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slicers/slicer1.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nithi\OneDrive\Documents\"/>
    </mc:Choice>
  </mc:AlternateContent>
  <xr:revisionPtr revIDLastSave="0" documentId="13_ncr:1_{ECC19F7D-0A10-48FC-9C9B-CCA2E5E8910C}" xr6:coauthVersionLast="47" xr6:coauthVersionMax="47" xr10:uidLastSave="{00000000-0000-0000-0000-000000000000}"/>
  <bookViews>
    <workbookView xWindow="-108" yWindow="-108" windowWidth="23256" windowHeight="12456" tabRatio="821" firstSheet="5" activeTab="7" xr2:uid="{26D4546B-D2A1-4444-8EAF-A6228F96F0C1}"/>
  </bookViews>
  <sheets>
    <sheet name="NZ Staff" sheetId="1" r:id="rId1"/>
    <sheet name="India Staff" sheetId="2" r:id="rId2"/>
    <sheet name="All_Staff" sheetId="3" r:id="rId3"/>
    <sheet name="PivotChart" sheetId="11" r:id="rId4"/>
    <sheet name="Employee Trend" sheetId="9" r:id="rId5"/>
    <sheet name="Salary Vs Ratings" sheetId="7" r:id="rId6"/>
    <sheet name="Sheet1" sheetId="12" r:id="rId7"/>
    <sheet name="InfoFinder2.0" sheetId="4" r:id="rId8"/>
    <sheet name="Female Vs Male Comp." sheetId="5" r:id="rId9"/>
  </sheets>
  <definedNames>
    <definedName name="_xlnm._FilterDatabase" localSheetId="1" hidden="1">'India Staff'!$A$2:$G$114</definedName>
    <definedName name="_xlnm._FilterDatabase" localSheetId="0" hidden="1">'NZ Staff'!$B$2:$H$102</definedName>
    <definedName name="_xlchart.v1.0" hidden="1">All_Staff!$G$1</definedName>
    <definedName name="_xlchart.v1.1" hidden="1">All_Staff!$G$2:$G$196</definedName>
    <definedName name="_xlcn.WorksheetConnection_blankdatafileversion1.xlsbStaff1" hidden="1">Staff[]</definedName>
    <definedName name="ExternalData_1" localSheetId="2" hidden="1">All_Staff!$A$1:$H$184</definedName>
    <definedName name="Slicer_Country">#N/A</definedName>
  </definedNames>
  <calcPr calcId="191029"/>
  <pivotCaches>
    <pivotCache cacheId="0" r:id="rId10"/>
    <pivotCache cacheId="1" r:id="rId11"/>
    <pivotCache cacheId="2" r:id="rId12"/>
    <pivotCache cacheId="3" r:id="rId13"/>
    <pivotCache cacheId="4" r:id="rId14"/>
  </pivotCaches>
  <extLst>
    <ext xmlns:x14="http://schemas.microsoft.com/office/spreadsheetml/2009/9/main" uri="{876F7934-8845-4945-9796-88D515C7AA90}">
      <x14:pivotCaches>
        <pivotCache cacheId="5"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version 1).xlsb!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5" i="3" l="1"/>
  <c r="M5" i="9" a="1"/>
  <c r="M5" i="9" s="1"/>
  <c r="N5" i="9" s="1" a="1"/>
  <c r="N5" i="9" s="1"/>
  <c r="O5"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5" i="4"/>
  <c r="P6" i="3"/>
  <c r="O9" i="3"/>
  <c r="O6"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5" i="3"/>
  <c r="O5" i="3"/>
  <c r="O4" i="3"/>
  <c r="O10" i="3" s="1"/>
  <c r="E103" i="1"/>
  <c r="G103" i="1"/>
  <c r="H103" i="1"/>
  <c r="O40" i="9" l="1"/>
  <c r="O32" i="9"/>
  <c r="O24" i="9"/>
  <c r="O16" i="9"/>
  <c r="O8" i="9"/>
  <c r="O39" i="9"/>
  <c r="O31" i="9"/>
  <c r="O23" i="9"/>
  <c r="O15" i="9"/>
  <c r="O7" i="9"/>
  <c r="O30" i="9"/>
  <c r="O22" i="9"/>
  <c r="O14" i="9"/>
  <c r="O6" i="9"/>
  <c r="P7" i="9" s="1"/>
  <c r="O13" i="9"/>
  <c r="O36" i="9"/>
  <c r="O28" i="9"/>
  <c r="O20" i="9"/>
  <c r="O12" i="9"/>
  <c r="O38" i="9"/>
  <c r="O37" i="9"/>
  <c r="O29" i="9"/>
  <c r="O21" i="9"/>
  <c r="O35" i="9"/>
  <c r="O27" i="9"/>
  <c r="O19" i="9"/>
  <c r="O11" i="9"/>
  <c r="O34" i="9"/>
  <c r="O26" i="9"/>
  <c r="O18" i="9"/>
  <c r="O10" i="9"/>
  <c r="O33" i="9"/>
  <c r="O25" i="9"/>
  <c r="O17" i="9"/>
  <c r="O9" i="9"/>
  <c r="K185" i="3"/>
  <c r="P5" i="9"/>
  <c r="O16" i="3" a="1"/>
  <c r="O16" i="3" s="1"/>
  <c r="B7" i="4" a="1"/>
  <c r="B7" i="4" s="1"/>
  <c r="O11" i="3"/>
  <c r="O8" i="3"/>
  <c r="O7" i="3"/>
  <c r="P6" i="9" l="1"/>
  <c r="P12" i="9"/>
  <c r="P40" i="9"/>
  <c r="P25" i="9"/>
  <c r="P8" i="9"/>
  <c r="P37" i="9"/>
  <c r="P27" i="9"/>
  <c r="P20" i="9"/>
  <c r="P15" i="9"/>
  <c r="P16" i="9"/>
  <c r="P28" i="9"/>
  <c r="P14" i="9"/>
  <c r="P23" i="9"/>
  <c r="P24" i="9"/>
  <c r="P18" i="9"/>
  <c r="P36" i="9"/>
  <c r="P22" i="9"/>
  <c r="P31" i="9"/>
  <c r="P32" i="9"/>
  <c r="P11" i="9"/>
  <c r="P34" i="9"/>
  <c r="P30" i="9"/>
  <c r="P39" i="9"/>
  <c r="P13" i="9"/>
  <c r="P38" i="9"/>
  <c r="P33" i="9"/>
  <c r="P9" i="9"/>
  <c r="P21" i="9"/>
  <c r="P10" i="9"/>
  <c r="P26" i="9"/>
  <c r="P17" i="9"/>
  <c r="P29" i="9"/>
  <c r="P19" i="9"/>
  <c r="P3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D2873-799C-4707-A93B-59CBD46899D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CEA89BB-830F-4DD3-8B73-081531B3855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604EE84-9F17-4569-B038-C0954BA9F39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4D93B7C-294B-4A4D-86D3-845B83F3C3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B6EDB8-2D5F-41B8-BF25-9D05E9927570}" name="WorksheetConnection_blank-data-file (version 1).xlsb!Staff" type="102" refreshedVersion="8" minRefreshableVersion="5">
    <extLst>
      <ext xmlns:x15="http://schemas.microsoft.com/office/spreadsheetml/2010/11/main" uri="{DE250136-89BD-433C-8126-D09CA5730AF9}">
        <x15:connection id="Staff" autoDelete="1">
          <x15:rangePr sourceName="_xlcn.WorksheetConnection_blankdatafileversion1.xlsb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<sst xmlns="http://schemas.openxmlformats.org/spreadsheetml/2006/main" count="2827" uniqueCount="266">
  <si>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</si>
  <si>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</si>
  <si>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</si>
  <si>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</si>
  <si>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</si>
  <si>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</si>
  <si>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</si>
  <si>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</si>
  <si>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</si>
  <si>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</si>
  <si>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</si>
  <si>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</si>
  <si>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</si>
  <si>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</si>
  <si>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</si>
  <si>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</si>
  <si>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</si>
  <si>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</si>
  <si>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</si>
  <si>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</si>
  <si>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</si>
  <si>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</si>
  <si>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</si>
  <si>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</si>
  <si>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</si>
  <si>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</si>
  <si>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</si>
  <si>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</si>
  <si>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</si>
  <si>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</si>
  <si>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</si>
  <si>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</si>
  <si>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</si>
  <si>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</si>
  <si>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</si>
  <si>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</si>
  <si>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</si>
  <si>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</si>
  <si>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</si>
  <si>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</si>
  <si>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</si>
  <si>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</si>
  <si>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</si>
  <si>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</si>
  <si>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</si>
  <si>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</si>
  <si>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</si>
  <si>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</si>
  <si>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</si>
  <si>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</si>
  <si>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</si>
  <si>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</si>
  <si>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</si>
  <si>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</si>
  <si>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</si>
  <si>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</si>
  <si>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</si>
  <si>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</si>
  <si>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</si>
  <si>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</si>
  <si>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</si>
  <si>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</si>
  <si>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</si>
  <si>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</si>
  <si>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</si>
  <si>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</si>
  <si>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</si>
  <si>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</si>
  <si>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</si>
  <si>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</si>
  <si>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</si>
  <si>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</si>
  <si>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</si>
  <si>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</si>
  <si>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</si>
  <si>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</si>
  <si>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</si>
  <si>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</si>
  <si>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</si>
  <si>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</si>
  <si>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</si>
  <si>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</si>
  <si>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</si>
  <si>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</si>
  <si>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</si>
  <si>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</si>
  <si>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</si>
  <si>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</si>
  <si>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</si>
  <si>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</si>
  <si>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</si>
  <si>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</si>
  <si>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</si>
  <si>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</si>
  <si>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</si>
  <si>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</si>
  <si>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</si>
  <si>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</si>
  <si>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</si>
  <si>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</si>
  <si>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</si>
  <si>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</si>
  <si>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</si>
  <si>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</si>
  <si>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</si>
  <si>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</si>
  <si>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</si>
  <si>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</si>
  <si>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</si>
  <si>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</si>
  <si>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</si>
  <si>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</si>
  <si>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</si>
  <si>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</si>
  <si>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</si>
  <si>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</si>
  <si>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</si>
  <si>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</si>
  <si>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</si>
  <si>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</si>
  <si>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</si>
  <si>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</si>
  <si>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</si>
  <si>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</si>
  <si>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</si>
  <si>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</si>
  <si>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</si>
  <si>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</si>
  <si>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</si>
  <si>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</si>
  <si>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</si>
  <si>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</si>
  <si>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</si>
  <si>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</si>
  <si>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</si>
  <si>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</si>
  <si>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</si>
  <si>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</si>
  <si>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</si>
  <si>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</si>
  <si>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</si>
  <si>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</si>
  <si>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</si>
  <si>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</si>
  <si>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</si>
  <si>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</si>
  <si>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</si>
  <si>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</si>
  <si>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</si>
  <si>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</si>
  <si>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</si>
  <si>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</si>
  <si>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</si>
  <si>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</si>
  <si>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</si>
  <si>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</si>
  <si>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</si>
  <si>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</si>
  <si>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</si>
  <si>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</si>
  <si>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</si>
  <si>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</si>
  <si>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</si>
  <si>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</si>
  <si>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</si>
  <si>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</si>
  <si>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</si>
  <si>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</si>
  <si>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</si>
  <si>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</si>
  <si>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</si>
  <si>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</si>
  <si>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</si>
  <si>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</si>
  <si>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</si>
  <si>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</si>
  <si>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</si>
  <si>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</si>
  <si>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</si>
  <si>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</si>
  <si>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</si>
  <si>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</si>
  <si>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</si>
  <si>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</si>
  <si>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</si>
  <si>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</si>
  <si>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</si>
  <si>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</si>
  <si>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</si>
  <si>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</si>
  <si>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</si>
  <si>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</si>
  <si>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</si>
  <si>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</si>
  <si>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</si>
  <si>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</si>
  <si>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</si>
  <si>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</si>
  <si>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</si>
  <si>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</si>
  <si>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</si>
  <si>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</si>
  <si>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</si>
  <si>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</si>
  <si>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</si>
  <si>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</si>
  <si>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</si>
  <si>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Quick Analytical Summary </t>
  </si>
  <si>
    <t>Count of Employees</t>
  </si>
  <si>
    <t>Average Salary</t>
  </si>
  <si>
    <t>Average Age</t>
  </si>
  <si>
    <t>Average Tenure</t>
  </si>
  <si>
    <t>Tenure</t>
  </si>
  <si>
    <t>Female Count</t>
  </si>
  <si>
    <t>Female Ratio %</t>
  </si>
  <si>
    <t>Staff Earning 90k +</t>
  </si>
  <si>
    <t xml:space="preserve">Staff Earning &lt;= 50k </t>
  </si>
  <si>
    <t>Number of Staff</t>
  </si>
  <si>
    <t>Information Finder 1.0</t>
  </si>
  <si>
    <t>Information Builder 2.0</t>
  </si>
  <si>
    <t>Column Labels</t>
  </si>
  <si>
    <t>Grand Total</t>
  </si>
  <si>
    <t>Count of Name</t>
  </si>
  <si>
    <t>Row Labels</t>
  </si>
  <si>
    <t>Average of Age</t>
  </si>
  <si>
    <t>Values</t>
  </si>
  <si>
    <t>Average of Salary</t>
  </si>
  <si>
    <t>Average of Tenure</t>
  </si>
  <si>
    <t>Bonus</t>
  </si>
  <si>
    <t>Ratings Num</t>
  </si>
  <si>
    <t>Here, we might not be able to see the big picture</t>
  </si>
  <si>
    <t>of how the values are spread.</t>
  </si>
  <si>
    <t>Ratings</t>
  </si>
  <si>
    <t>With the scatter plot we could deduce that employees who are in the average rating catgeory which is the reason</t>
  </si>
  <si>
    <t>why we have 76,799 average salary from the pivot table and a quick note that we had 137 employees in this category.</t>
  </si>
  <si>
    <t>Also, employees in the Exceptional category average salary reads 92,080. This because we only had two employees in</t>
  </si>
  <si>
    <t>in that category hence the low average salary.</t>
  </si>
  <si>
    <t>So the scatter plot enables us to visually understand the spread of the salary against the ratings.</t>
  </si>
  <si>
    <t>We are able to do this because we converted the data type of the Rating column in Text to numeric values</t>
  </si>
  <si>
    <t>we then use the scatter plot to express the relationship between salary and employee ratings.</t>
  </si>
  <si>
    <t>2020</t>
  </si>
  <si>
    <t>May</t>
  </si>
  <si>
    <t>Jun</t>
  </si>
  <si>
    <t>Jul</t>
  </si>
  <si>
    <t>Aug</t>
  </si>
  <si>
    <t>Sep</t>
  </si>
  <si>
    <t>Oct</t>
  </si>
  <si>
    <t>Nov</t>
  </si>
  <si>
    <t>Dec</t>
  </si>
  <si>
    <t>2021</t>
  </si>
  <si>
    <t>Jan</t>
  </si>
  <si>
    <t>Feb</t>
  </si>
  <si>
    <t>Mar</t>
  </si>
  <si>
    <t>Apr</t>
  </si>
  <si>
    <t>2022</t>
  </si>
  <si>
    <t>2023</t>
  </si>
  <si>
    <t xml:space="preserve">The problem with the graph is that it only shows the rate at which new </t>
  </si>
  <si>
    <t>employee joins the company but does not show the growth rate of the firm</t>
  </si>
  <si>
    <t>One way to know the growth rate of the company is to use the Running total feature</t>
  </si>
  <si>
    <t>Month</t>
  </si>
  <si>
    <t>Headcounts</t>
  </si>
  <si>
    <t>Running Total</t>
  </si>
  <si>
    <t>S/n</t>
  </si>
  <si>
    <t>Category</t>
  </si>
  <si>
    <t>Growth Rate by Year</t>
  </si>
  <si>
    <t>Headcount by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</si>
</sst>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Red]\-&quot;$&quot;#,##0"/>
    <numFmt numFmtId="165" formatCode="&quot;$&quot;#,##0.00;[Red]\-&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sz val="11"/>
      <color theme="2" tint="-0.499984740745262"/>
      <name val="Calibri"/>
      <family val="2"/>
      <scheme val="minor"/>
    </font>
    <font>
      <b/>
      <sz val="11"/>
      <color theme="0"/>
      <name val="Calibri"/>
      <family val="2"/>
      <scheme val="minor"/>
    </font>
    <font>
      <b/>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9868E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15" fontId="0" fillId="0" borderId="0" xfId="0" applyNumberFormat="1"/>
    <xf numFmtId="165" fontId="0" fillId="0" borderId="0" xfId="0" applyNumberFormat="1"/>
    <xf numFmtId="14" fontId="0" fillId="0" borderId="0" xfId="0" applyNumberFormat="1"/>
    <xf numFmtId="0" fontId="2" fillId="0" borderId="0" xfId="0" applyFont="1"/>
    <xf numFmtId="2" fontId="0" fillId="0" borderId="0" xfId="0" applyNumberFormat="1"/>
    <xf numFmtId="9" fontId="0" fillId="0" borderId="0" xfId="0" applyNumberFormat="1"/>
    <xf numFmtId="0" fontId="2" fillId="0" borderId="0" xfId="0" applyFont="1" applyAlignment="1">
      <alignment horizontal="center" vertical="center"/>
    </xf>
    <xf numFmtId="0" fontId="0" fillId="0" borderId="1" xfId="0" applyBorder="1"/>
    <xf numFmtId="0" fontId="0" fillId="2" borderId="1" xfId="0" applyFill="1" applyBorder="1"/>
    <xf numFmtId="9" fontId="0" fillId="2" borderId="1" xfId="1" applyFont="1" applyFill="1" applyBorder="1"/>
    <xf numFmtId="9" fontId="0" fillId="2" borderId="1" xfId="0" applyNumberFormat="1" applyFill="1" applyBorder="1"/>
    <xf numFmtId="0" fontId="4" fillId="2" borderId="1" xfId="0" applyFont="1" applyFill="1" applyBorder="1"/>
    <xf numFmtId="0" fontId="3" fillId="0" borderId="1" xfId="0" applyFont="1" applyBorder="1" applyAlignment="1">
      <alignment horizontal="left"/>
    </xf>
    <xf numFmtId="15" fontId="3" fillId="0" borderId="1" xfId="0" applyNumberFormat="1" applyFont="1" applyBorder="1" applyAlignment="1">
      <alignment horizontal="left"/>
    </xf>
    <xf numFmtId="0" fontId="0" fillId="0" borderId="0" xfId="0" pivotButton="1"/>
    <xf numFmtId="0" fontId="0" fillId="0" borderId="0" xfId="0" applyNumberFormat="1"/>
    <xf numFmtId="0" fontId="0" fillId="0" borderId="0" xfId="0" applyAlignment="1">
      <alignment horizontal="left"/>
    </xf>
    <xf numFmtId="1" fontId="0" fillId="0" borderId="0" xfId="0" applyNumberFormat="1"/>
    <xf numFmtId="0" fontId="0" fillId="0" borderId="0" xfId="0" applyAlignment="1">
      <alignment horizontal="left" indent="1"/>
    </xf>
    <xf numFmtId="164" fontId="0" fillId="0" borderId="0" xfId="0" applyNumberFormat="1"/>
    <xf numFmtId="0" fontId="0" fillId="0" borderId="0" xfId="0" applyAlignment="1">
      <alignment horizontal="left" vertical="center" indent="1"/>
    </xf>
    <xf numFmtId="0" fontId="0" fillId="0" borderId="8" xfId="0" applyBorder="1"/>
    <xf numFmtId="0" fontId="2" fillId="3" borderId="0" xfId="0" applyFont="1" applyFill="1" applyAlignment="1">
      <alignment horizontal="center" vertical="center"/>
    </xf>
    <xf numFmtId="0" fontId="2" fillId="3" borderId="1" xfId="0" applyFont="1" applyFill="1" applyBorder="1" applyAlignment="1">
      <alignment horizontal="left" vertical="center" indent="1"/>
    </xf>
    <xf numFmtId="0" fontId="0" fillId="0" borderId="1" xfId="0" applyBorder="1" applyAlignment="1">
      <alignment horizontal="left" vertical="center" indent="1"/>
    </xf>
    <xf numFmtId="15" fontId="0" fillId="0" borderId="1" xfId="0" applyNumberFormat="1" applyBorder="1" applyAlignment="1">
      <alignment horizontal="left" vertical="center" indent="1"/>
    </xf>
    <xf numFmtId="0" fontId="0" fillId="2" borderId="1" xfId="0" applyFill="1" applyBorder="1" applyAlignment="1">
      <alignment horizontal="left" vertical="center" indent="1"/>
    </xf>
    <xf numFmtId="15" fontId="0" fillId="2" borderId="1" xfId="0" applyNumberFormat="1" applyFill="1" applyBorder="1" applyAlignment="1">
      <alignment horizontal="left" vertical="center" indent="1"/>
    </xf>
    <xf numFmtId="0" fontId="5" fillId="6" borderId="14" xfId="0" applyFont="1" applyFill="1" applyBorder="1" applyAlignment="1">
      <alignment horizontal="center"/>
    </xf>
    <xf numFmtId="0" fontId="5" fillId="6" borderId="13" xfId="0" applyFont="1"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14" fontId="0" fillId="5" borderId="13" xfId="0" applyNumberFormat="1" applyFill="1" applyBorder="1" applyAlignment="1">
      <alignment horizontal="center"/>
    </xf>
    <xf numFmtId="165" fontId="0" fillId="5" borderId="13" xfId="0" applyNumberFormat="1" applyFill="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14" fontId="0" fillId="0" borderId="13" xfId="0" applyNumberFormat="1" applyBorder="1" applyAlignment="1">
      <alignment horizontal="center"/>
    </xf>
    <xf numFmtId="165" fontId="0" fillId="0" borderId="13" xfId="0" applyNumberFormat="1" applyBorder="1" applyAlignment="1">
      <alignment horizontal="center"/>
    </xf>
    <xf numFmtId="0" fontId="0" fillId="7" borderId="4" xfId="0" applyFill="1" applyBorder="1" applyAlignment="1">
      <alignment horizontal="left"/>
    </xf>
    <xf numFmtId="0" fontId="0" fillId="7" borderId="5" xfId="0" applyFill="1" applyBorder="1" applyAlignment="1">
      <alignment horizontal="left"/>
    </xf>
    <xf numFmtId="0" fontId="0" fillId="7" borderId="6" xfId="0" applyFill="1" applyBorder="1" applyAlignment="1">
      <alignment horizontal="left"/>
    </xf>
    <xf numFmtId="0" fontId="0" fillId="7" borderId="7" xfId="0" applyFill="1" applyBorder="1" applyAlignment="1">
      <alignment horizontal="left"/>
    </xf>
    <xf numFmtId="0" fontId="0" fillId="7" borderId="0" xfId="0" applyFill="1" applyBorder="1" applyAlignment="1">
      <alignment horizontal="left"/>
    </xf>
    <xf numFmtId="0" fontId="0" fillId="7" borderId="8" xfId="0" applyFill="1" applyBorder="1" applyAlignment="1">
      <alignment horizontal="left"/>
    </xf>
    <xf numFmtId="0" fontId="0" fillId="7" borderId="9" xfId="0" applyFill="1" applyBorder="1" applyAlignment="1">
      <alignment horizontal="left"/>
    </xf>
    <xf numFmtId="0" fontId="0" fillId="7" borderId="10" xfId="0" applyFill="1" applyBorder="1" applyAlignment="1">
      <alignment horizontal="left"/>
    </xf>
    <xf numFmtId="0" fontId="0" fillId="7" borderId="11" xfId="0" applyFill="1" applyBorder="1" applyAlignment="1">
      <alignment horizontal="left"/>
    </xf>
    <xf numFmtId="164" fontId="0" fillId="7" borderId="0" xfId="0" applyNumberFormat="1" applyFill="1"/>
    <xf numFmtId="0" fontId="0" fillId="7" borderId="0" xfId="0" applyFill="1" applyAlignment="1">
      <alignment horizontal="left"/>
    </xf>
    <xf numFmtId="0" fontId="0" fillId="7" borderId="0" xfId="0" applyNumberFormat="1" applyFill="1"/>
    <xf numFmtId="0" fontId="0" fillId="7" borderId="0" xfId="0" applyFill="1"/>
    <xf numFmtId="0" fontId="2" fillId="0" borderId="10" xfId="0" applyFont="1" applyBorder="1" applyAlignment="1">
      <alignment horizontal="center" vertical="center"/>
    </xf>
    <xf numFmtId="0" fontId="6" fillId="4" borderId="1" xfId="0" applyFont="1" applyFill="1" applyBorder="1" applyAlignment="1">
      <alignment horizontal="center"/>
    </xf>
    <xf numFmtId="0" fontId="2" fillId="4" borderId="2" xfId="0" applyFont="1" applyFill="1" applyBorder="1" applyAlignment="1">
      <alignment horizontal="center"/>
    </xf>
    <xf numFmtId="0" fontId="2" fillId="4" borderId="12" xfId="0" applyFont="1" applyFill="1" applyBorder="1" applyAlignment="1">
      <alignment horizontal="center"/>
    </xf>
    <xf numFmtId="0" fontId="2" fillId="4" borderId="3"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2" fillId="4" borderId="1" xfId="0" applyFont="1" applyFill="1" applyBorder="1" applyAlignment="1">
      <alignment horizontal="center" vertical="center"/>
    </xf>
    <xf numFmtId="0" fontId="0" fillId="4" borderId="1" xfId="0" applyFill="1" applyBorder="1"/>
  </cellXfs>
  <cellStyles count="2">
    <cellStyle name="Normal" xfId="0" builtinId="0"/>
    <cellStyle name="Percent" xfId="1" builtinId="5"/>
  </cellStyles>
  <dxfs count="19">
    <dxf>
      <border>
        <left style="thin">
          <color rgb="FFC00000"/>
        </left>
        <right style="thin">
          <color rgb="FFC00000"/>
        </right>
        <top style="thin">
          <color rgb="FFC00000"/>
        </top>
        <bottom style="thin">
          <color rgb="FFC00000"/>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alignment horizontal="left" vertical="bottom" textRotation="0" wrapText="0" indent="0" justifyLastLine="0" shrinkToFit="0" readingOrder="0"/>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numFmt numFmtId="164" formatCode="&quot;$&quot;#,##0;[Red]\-&quot;$&quot;#,##0"/>
    </dxf>
    <dxf>
      <numFmt numFmtId="2" formatCode="0.00"/>
    </dxf>
    <dxf>
      <numFmt numFmtId="164" formatCode="&quot;$&quot;#,##0;[Red]\-&quot;$&quot;#,##0"/>
    </dxf>
    <dxf>
      <border outline="0">
        <right style="thin">
          <color indexed="64"/>
        </right>
        <top/>
        <bottom/>
      </border>
    </dxf>
    <dxf>
      <numFmt numFmtId="2" formatCode="0.00"/>
      <border outline="0">
        <right style="thin">
          <color indexed="64"/>
        </right>
      </border>
    </dxf>
    <dxf>
      <numFmt numFmtId="165" formatCode="&quot;$&quot;#,##0.00;[Red]\-&quot;$&quot;#,##0.00"/>
    </dxf>
    <dxf>
      <numFmt numFmtId="166" formatCode="yyyy/mm/dd"/>
    </dxf>
    <dxf>
      <numFmt numFmtId="20" formatCode="dd/mmm/yy"/>
    </dxf>
    <dxf>
      <numFmt numFmtId="165" formatCode="&quot;$&quot;#,##0.00;[Red]\-&quot;$&quot;#,##0.00"/>
    </dxf>
  </dxfs>
  <tableStyles count="1" defaultTableStyle="TableStyleMedium2" defaultPivotStyle="PivotStyleLight16">
    <tableStyle name="Invisible" pivot="0" table="0" count="0" xr9:uid="{0C441877-6204-4B01-B2AA-1194474BCABC}"/>
  </tableStyles>
  <colors>
    <mruColors>
      <color rgb="FF4C91D0"/>
      <color rgb="FF9868E6"/>
      <color rgb="FFF2A1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[nithish.xlsx]Employee Trend!PivotTable4</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Trend'!$B$2</c:f>
              <c:strCache>
                <c:ptCount val="1"/>
                <c:pt idx="0">
                  <c:v>Total</c:v>
                </c:pt>
              </c:strCache>
            </c:strRef>
          </c:tx>
          <c:spPr>
            <a:ln w="28575" cap="rnd">
              <a:solidFill>
                <a:schemeClr val="accent1"/>
              </a:solidFill>
              <a:round/>
            </a:ln>
            <a:effectLst/>
          </c:spPr>
          <c:marker>
            <c:symbol val="none"/>
          </c:marker>
          <c:cat>
            <c:multiLvlStrRef>
              <c:f>'Employee Trend'!$A$3:$A$39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Trend'!$B$3:$B$39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9B2E-4E88-8FA3-A90BF6F0AFCB}"/>
            </c:ext>
          </c:extLst>
        </c:ser>
        <c:dLbls>
          <c:showLegendKey val="0"/>
          <c:showVal val="0"/>
          <c:showCatName val="0"/>
          <c:showSerName val="0"/>
          <c:showPercent val="0"/>
          <c:showBubbleSize val="0"/>
        </c:dLbls>
        <c:smooth val="0"/>
        <c:axId val="894090192"/>
        <c:axId val="894092592"/>
      </c:lineChart>
      <c:catAx>
        <c:axId val="89409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2592"/>
        <c:crosses val="autoZero"/>
        <c:auto val="1"/>
        <c:lblAlgn val="ctr"/>
        <c:lblOffset val="100"/>
        <c:noMultiLvlLbl val="0"/>
      </c:catAx>
      <c:valAx>
        <c:axId val="89409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Growth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Trend'!$P$4</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Trend'!$N$6:$N$41</c:f>
              <c:numCache>
                <c:formatCode>d\-mmm\-yy</c:formatCode>
                <c:ptCount val="36"/>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numCache>
            </c:numRef>
          </c:cat>
          <c:val>
            <c:numRef>
              <c:f>'Employee Trend'!$P$6:$P$41</c:f>
              <c:numCache>
                <c:formatCode>General</c:formatCode>
                <c:ptCount val="36"/>
                <c:pt idx="0">
                  <c:v>4</c:v>
                </c:pt>
                <c:pt idx="1">
                  <c:v>9</c:v>
                </c:pt>
                <c:pt idx="2">
                  <c:v>12</c:v>
                </c:pt>
                <c:pt idx="3">
                  <c:v>18</c:v>
                </c:pt>
                <c:pt idx="4">
                  <c:v>24</c:v>
                </c:pt>
                <c:pt idx="5">
                  <c:v>30</c:v>
                </c:pt>
                <c:pt idx="6">
                  <c:v>37</c:v>
                </c:pt>
                <c:pt idx="7">
                  <c:v>43</c:v>
                </c:pt>
                <c:pt idx="8">
                  <c:v>47</c:v>
                </c:pt>
                <c:pt idx="9">
                  <c:v>56</c:v>
                </c:pt>
                <c:pt idx="10">
                  <c:v>61</c:v>
                </c:pt>
                <c:pt idx="11">
                  <c:v>71</c:v>
                </c:pt>
                <c:pt idx="12">
                  <c:v>77</c:v>
                </c:pt>
                <c:pt idx="13">
                  <c:v>90</c:v>
                </c:pt>
                <c:pt idx="14">
                  <c:v>94</c:v>
                </c:pt>
                <c:pt idx="15">
                  <c:v>105</c:v>
                </c:pt>
                <c:pt idx="16">
                  <c:v>108</c:v>
                </c:pt>
                <c:pt idx="17">
                  <c:v>112</c:v>
                </c:pt>
                <c:pt idx="18">
                  <c:v>119</c:v>
                </c:pt>
                <c:pt idx="19">
                  <c:v>122</c:v>
                </c:pt>
                <c:pt idx="20">
                  <c:v>132</c:v>
                </c:pt>
                <c:pt idx="21">
                  <c:v>141</c:v>
                </c:pt>
                <c:pt idx="22">
                  <c:v>150</c:v>
                </c:pt>
                <c:pt idx="23">
                  <c:v>159</c:v>
                </c:pt>
                <c:pt idx="24">
                  <c:v>166</c:v>
                </c:pt>
                <c:pt idx="25">
                  <c:v>171</c:v>
                </c:pt>
                <c:pt idx="26">
                  <c:v>176</c:v>
                </c:pt>
                <c:pt idx="27">
                  <c:v>178</c:v>
                </c:pt>
                <c:pt idx="28">
                  <c:v>181</c:v>
                </c:pt>
                <c:pt idx="29">
                  <c:v>181</c:v>
                </c:pt>
                <c:pt idx="30">
                  <c:v>181</c:v>
                </c:pt>
                <c:pt idx="31">
                  <c:v>181</c:v>
                </c:pt>
                <c:pt idx="32">
                  <c:v>182</c:v>
                </c:pt>
                <c:pt idx="33">
                  <c:v>182</c:v>
                </c:pt>
                <c:pt idx="34">
                  <c:v>183</c:v>
                </c:pt>
              </c:numCache>
            </c:numRef>
          </c:val>
          <c:smooth val="0"/>
          <c:extLst>
            <c:ext xmlns:c16="http://schemas.microsoft.com/office/drawing/2014/chart" uri="{C3380CC4-5D6E-409C-BE32-E72D297353CC}">
              <c16:uniqueId val="{00000000-46CA-4A6C-94FC-07BDC507A2AC}"/>
            </c:ext>
          </c:extLst>
        </c:ser>
        <c:dLbls>
          <c:showLegendKey val="0"/>
          <c:showVal val="0"/>
          <c:showCatName val="0"/>
          <c:showSerName val="0"/>
          <c:showPercent val="0"/>
          <c:showBubbleSize val="0"/>
        </c:dLbls>
        <c:marker val="1"/>
        <c:smooth val="0"/>
        <c:axId val="508065680"/>
        <c:axId val="588780352"/>
      </c:lineChart>
      <c:dateAx>
        <c:axId val="50806568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780352"/>
        <c:crosses val="autoZero"/>
        <c:auto val="1"/>
        <c:lblOffset val="100"/>
        <c:baseTimeUnit val="months"/>
      </c:dateAx>
      <c:valAx>
        <c:axId val="58878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0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Salary Vs Ratings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860-478D-9830-71A8A54C0C55}"/>
            </c:ext>
          </c:extLst>
        </c:ser>
        <c:dLbls>
          <c:showLegendKey val="0"/>
          <c:showVal val="0"/>
          <c:showCatName val="0"/>
          <c:showSerName val="0"/>
          <c:showPercent val="0"/>
          <c:showBubbleSize val="0"/>
        </c:dLbls>
        <c:axId val="897007248"/>
        <c:axId val="897009648"/>
      </c:scatterChart>
      <c:valAx>
        <c:axId val="897007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648"/>
        <c:crosses val="autoZero"/>
        <c:crossBetween val="midCat"/>
      </c:valAx>
      <c:valAx>
        <c:axId val="897009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7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241300</xdr:colOff>
      <xdr:row>2</xdr:row>
      <xdr:rowOff>82550</xdr:rowOff>
    </xdr:from>
    <xdr:to>
      <xdr:col>11</xdr:col>
      <xdr:colOff>336550</xdr:colOff>
      <xdr:row>17</xdr:row>
      <xdr:rowOff>63500</xdr:rowOff>
    </xdr:to>
    <xdr:graphicFrame macro="">
      <xdr:nvGraphicFramePr>
        <xdr:cNvPr id="2" name="Chart 1">
          <a:extLst>
            <a:ext uri="{FF2B5EF4-FFF2-40B4-BE49-F238E27FC236}">
              <a16:creationId xmlns:a16="http://schemas.microsoft.com/office/drawing/2014/main" id="{E9F6E9D3-DB84-F588-3453-364B57AF1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238124</xdr:colOff>
      <xdr:row>22</xdr:row>
      <xdr:rowOff>139700</xdr:rowOff>
    </xdr:from>
    <xdr:to>
      <xdr:col>11</xdr:col>
      <xdr:colOff>38099</xdr:colOff>
      <xdr:row>37</xdr:row>
      <xdr:rowOff>120650</xdr:rowOff>
    </xdr:to>
    <xdr:graphicFrame macro="">
      <xdr:nvGraphicFramePr>
        <xdr:cNvPr id="3" name="Chart 2">
          <a:extLst>
            <a:ext uri="{FF2B5EF4-FFF2-40B4-BE49-F238E27FC236}">
              <a16:creationId xmlns:a16="http://schemas.microsoft.com/office/drawing/2014/main" id="{07BBD685-78A2-C79C-7AEB-D75AAD062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184150</xdr:colOff>
      <xdr:row>1</xdr:row>
      <xdr:rowOff>177800</xdr:rowOff>
    </xdr:from>
    <xdr:to>
      <xdr:col>14</xdr:col>
      <xdr:colOff>463176</xdr:colOff>
      <xdr:row>20</xdr:row>
      <xdr:rowOff>7844</xdr:rowOff>
    </xdr:to>
    <xdr:graphicFrame macro="">
      <xdr:nvGraphicFramePr>
        <xdr:cNvPr id="2" name="Chart 1">
          <a:extLst>
            <a:ext uri="{FF2B5EF4-FFF2-40B4-BE49-F238E27FC236}">
              <a16:creationId xmlns:a16="http://schemas.microsoft.com/office/drawing/2014/main" id="{3F22A376-E904-4F88-A73B-84C355CF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158750</xdr:colOff>
      <xdr:row>2</xdr:row>
      <xdr:rowOff>6350</xdr:rowOff>
    </xdr:from>
    <xdr:to>
      <xdr:col>6</xdr:col>
      <xdr:colOff>304800</xdr:colOff>
      <xdr:row>7</xdr:row>
      <xdr:rowOff>50799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5C368C-4455-C232-9318-3AD99FFD46F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90950" y="374650"/>
              <a:ext cx="17970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10</xdr:row>
      <xdr:rowOff>0</xdr:rowOff>
    </xdr:from>
    <xdr:to>
      <xdr:col>7</xdr:col>
      <xdr:colOff>859977</xdr:colOff>
      <xdr:row>27</xdr:row>
      <xdr:rowOff>175750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CE3D86-E54A-438A-BC3D-8FB2E06B68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28800"/>
              <a:ext cx="6483537" cy="3284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651314699076" backgroundQuery="1" createdVersion="8" refreshedVersion="8" minRefreshableVersion="3" recordCount="0" supportSubquery="1" supportAdvancedDrill="1" xr:uid="{755191AA-D81B-4656-BA7A-F30D23937174}">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217595" backgroundQuery="1" createdVersion="8" refreshedVersion="8" minRefreshableVersion="3" recordCount="0" supportSubquery="1" supportAdvancedDrill="1" xr:uid="{4FD4BC2A-73E1-43D8-A650-487F14C0378A}">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9.783663425929" backgroundQuery="1" createdVersion="8" refreshedVersion="8" minRefreshableVersion="3" recordCount="0" supportSubquery="1" supportAdvancedDrill="1" xr:uid="{AFB2C8B3-91E3-467F-8081-8D2CA47BBB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139467591" backgroundQuery="1" createdVersion="8" refreshedVersion="8" minRefreshableVersion="3" recordCount="0" supportSubquery="1" supportAdvancedDrill="1" xr:uid="{B77DE617-F8FF-4151-BB49-D94B697161E6}">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345254628" backgroundQuery="1" createdVersion="8" refreshedVersion="8" minRefreshableVersion="3" recordCount="0" supportSubquery="1" supportAdvancedDrill="1" xr:uid="{7FB611F2-0E8A-4B3F-BD0B-3523E0A83D00}">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912034" backgroundQuery="1" createdVersion="3" refreshedVersion="8" minRefreshableVersion="3" recordCount="0" supportSubquery="1" supportAdvancedDrill="1" xr:uid="{B3E079F9-25D1-4643-9773-54DF5A6C83DD}">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78302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5E75AB-45F1-44AB-800D-AA362C0583EB}"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3:E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3962AE-9F38-4A47-8722-F1880C17DCC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A4336-BACD-4D7B-8356-494AE2D47D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DB47D-712B-4262-8301-57F5256F6C9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formats count="6">
    <format dxfId="10">
      <pivotArea outline="0" collapsedLevelsAreSubtotals="1" fieldPosition="0">
        <references count="1">
          <reference field="4294967294" count="1" selected="0">
            <x v="1"/>
          </reference>
        </references>
      </pivotArea>
    </format>
    <format dxfId="9">
      <pivotArea field="0" grandRow="1" outline="0" collapsedLevelsAreSubtotals="1" axis="axisRow" fieldPosition="0">
        <references count="1">
          <reference field="4294967294" count="1" selected="0">
            <x v="1"/>
          </reference>
        </references>
      </pivotArea>
    </format>
    <format dxfId="8">
      <pivotArea field="0" grandRow="1" outline="0" collapsedLevelsAreSubtotals="1" axis="axisRow" fieldPosition="0">
        <references count="1">
          <reference field="4294967294" count="1" selected="0">
            <x v="0"/>
          </reference>
        </references>
      </pivotArea>
    </format>
    <format dxfId="7">
      <pivotArea dataOnly="0" labelOnly="1" grandRow="1" outline="0" fieldPosition="0"/>
    </format>
    <format dxfId="6">
      <pivotArea field="0" type="button" dataOnly="0" labelOnly="1" outline="0" axis="axisRow" fieldPosition="0"/>
    </format>
    <format dxfId="5">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22F429-1B0F-43C4-BD41-0F5A2659251E}" name="PivotTable2" cacheId="2"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A94E5D-D173-4586-AA27-E69EF9EF391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99AA0A2-7693-42A4-B988-9FAD86101274}" sourceName="[Staff].[Country]">
  <pivotTables>
    <pivotTable tabId="5" name="PivotTable2"/>
  </pivotTables>
  <data>
    <olap pivotCacheId="31783028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B2660B9-A533-4DD4-B969-4DCECD3CC2D4}"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1EEFB-CCF9-47C7-A6CF-4E8952473E52}" name="NZ_Staff" displayName="NZ_Staff" ref="B2:H103" totalsRowCount="1">
  <autoFilter ref="B2:H102" xr:uid="{B5A1EEFB-CCF9-47C7-A6CF-4E8952473E52}"/>
  <tableColumns count="7">
    <tableColumn id="1" xr3:uid="{4E844F1B-4DF0-404B-A2D9-71C808E22709}" name="Name" totalsRowLabel="Total"/>
    <tableColumn id="2" xr3:uid="{87D5FE57-EBD6-47EA-B38B-BCC698647F60}" name="Gender"/>
    <tableColumn id="3" xr3:uid="{C2C4EEFF-CA52-4791-912B-AA24DDF670EC}" name="Department"/>
    <tableColumn id="4" xr3:uid="{B60F0BF6-6E45-4387-A629-326386A4FAA8}" name="Age" totalsRowFunction="average"/>
    <tableColumn id="5" xr3:uid="{A4B5146D-F4BF-4927-9981-4BEECFA2436C}" name="Date Joined"/>
    <tableColumn id="6" xr3:uid="{100A22CD-2875-427C-A8C7-BA811EE84149}" name="Salary" totalsRowFunction="average" dataDxfId="18"/>
    <tableColumn id="7" xr3:uid="{9B10E53A-5007-46BE-BBB8-E03A80666C30}"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29AC5A-BC9F-46F9-B141-2A1A529FCEC7}" name="India_Staff" displayName="India_Staff" ref="A2:G114" totalsRowShown="0">
  <autoFilter ref="A2:G114" xr:uid="{EA29AC5A-BC9F-46F9-B141-2A1A529FCEC7}"/>
  <tableColumns count="7">
    <tableColumn id="1" xr3:uid="{D306D142-AB05-45C4-AD39-A1D9A0CBFBFF}" name="Name"/>
    <tableColumn id="2" xr3:uid="{686E1873-93A1-4346-B194-EB855BBE7ADF}" name="Gender"/>
    <tableColumn id="3" xr3:uid="{BD6C61E7-4ADE-4084-931A-B708508BCBBE}" name="Age"/>
    <tableColumn id="4" xr3:uid="{078BE451-2C10-41DC-B3A6-D8EF94513CF1}" name="Rating"/>
    <tableColumn id="5" xr3:uid="{847021F7-60E0-4024-B91B-D7FF521203B4}" name="Date Joined" dataDxfId="17"/>
    <tableColumn id="6" xr3:uid="{F0E88CD7-087E-472C-914E-A455AC43473C}" name="Department"/>
    <tableColumn id="7" xr3:uid="{5FEA9086-9CB7-4582-A7DB-31B3D9B83F0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A30C8-93D7-47F8-8F91-953EB13E2374}" name="Staff" displayName="Staff" ref="A1:K185" tableType="queryTable" totalsRowCount="1">
  <autoFilter ref="A1:K184" xr:uid="{D3CA30C8-93D7-47F8-8F91-953EB13E2374}"/>
  <sortState xmlns:xlrd2="http://schemas.microsoft.com/office/spreadsheetml/2017/richdata2" ref="A2:J184">
    <sortCondition ref="G1:G184"/>
  </sortState>
  <tableColumns count="11">
    <tableColumn id="1" xr3:uid="{EFA5DE75-A513-49CA-AE4E-1C347C689E0F}" uniqueName="1" name="Name" totalsRowLabel="Total" queryTableFieldId="1"/>
    <tableColumn id="2" xr3:uid="{23D1A4CE-ED5C-4BEF-A609-A62B08079FFE}" uniqueName="2" name="Gender" queryTableFieldId="2"/>
    <tableColumn id="3" xr3:uid="{5BF6508F-2462-481B-98D5-DDC63FD0932F}" uniqueName="3" name="Age" queryTableFieldId="3"/>
    <tableColumn id="4" xr3:uid="{355658D1-10AD-405D-8E24-A67493DACDD8}" uniqueName="4" name="Rating" queryTableFieldId="4"/>
    <tableColumn id="5" xr3:uid="{35CF28D0-B47B-4011-97EA-2158DBFA33BD}" uniqueName="5" name="Date Joined" queryTableFieldId="5" dataDxfId="16"/>
    <tableColumn id="6" xr3:uid="{F84B2B34-CCBE-4F36-9A04-09EEE6AAD09E}" uniqueName="6" name="Department" queryTableFieldId="6"/>
    <tableColumn id="7" xr3:uid="{E8803429-8B87-4CBB-A7D8-FBD0DF0D194B}" uniqueName="7" name="Salary" totalsRowFunction="average" queryTableFieldId="7" dataDxfId="15"/>
    <tableColumn id="8" xr3:uid="{D2BCF788-F977-4672-873A-EE8F0837BA27}" uniqueName="8" name="Country" queryTableFieldId="8"/>
    <tableColumn id="9" xr3:uid="{DC287CF7-5102-4184-AD72-946E0D263103}" uniqueName="9" name="Tenure" queryTableFieldId="9" dataDxfId="14" totalsRowDxfId="13">
      <calculatedColumnFormula>(TODAY()-Staff[[#This Row],[Date Joined]])/365</calculatedColumnFormula>
    </tableColumn>
    <tableColumn id="10" xr3:uid="{B597D640-4C07-4C47-B05A-767F13E79237}" uniqueName="10" name="Bonus" queryTableFieldId="10" dataDxfId="12">
      <calculatedColumnFormula>ROUNDUP(IF(Staff[[#This Row],[Tenure]]&gt;2,0.03,0.02)*Staff[[#This Row],[Salary]],0)</calculatedColumnFormula>
    </tableColumn>
    <tableColumn id="11" xr3:uid="{553E4D01-1D45-4890-9DD2-770597C9B7DB}" uniqueName="11" name="Ratings Num" totalsRowFunction="sum" queryTableFieldId="11" dataDxfId="11">
      <calculatedColumnFormula>_xlfn.XLOOKUP(Staff[[#This Row],[Rating]],'Female Vs Male Comp.'!$I$8:$I$12,'Female Vs Male Comp.'!$J$8:$J$12)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A201C6-145D-4A7D-9C72-100C9F8A9CCB}" name="Table7" displayName="Table7" ref="I7:J12" totalsRowShown="0">
  <autoFilter ref="I7:J12" xr:uid="{36A201C6-145D-4A7D-9C72-100C9F8A9CCB}"/>
  <tableColumns count="2">
    <tableColumn id="1" xr3:uid="{11DD2E22-4A5F-4FBC-A82C-901EF208C3FC}" name="Category" dataDxfId="4"/>
    <tableColumn id="2" xr3:uid="{9C448761-1572-4D15-9ACE-11A6500137D5}" name="Rating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5.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2:H103"/>
  <sheetViews>
    <sheetView showGridLines="0" zoomScale="70" zoomScaleNormal="70" workbookViewId="0">
      <selection activeCell="L19" sqref="L19"/>
    </sheetView>
  </sheetViews>
  <sheetFormatPr defaultRowHeight="14.4" x14ac:dyDescent="0.3"/>
  <cols>
    <col min="1" max="1" width="1.77734375" customWidth="1"/>
    <col min="2" max="2" width="24.6640625" bestFit="1" customWidth="1"/>
    <col min="3" max="3" width="9.21875" bestFit="1" customWidth="1"/>
    <col min="4" max="4" width="13.109375" customWidth="1"/>
    <col min="6" max="6" width="12.6640625" customWidth="1"/>
    <col min="7" max="7" width="10.77734375" bestFit="1" customWidth="1"/>
    <col min="8" max="8" width="13.21875" bestFit="1" customWidth="1"/>
  </cols>
  <sheetData>
    <row r="2" spans="2:8" x14ac:dyDescent="0.3">
      <c r="B2" t="s">
        <v>0</v>
      </c>
      <c r="C2" t="s">
        <v>1</v>
      </c>
      <c r="D2" t="s">
        <v>2</v>
      </c>
      <c r="E2" t="s">
        <v>3</v>
      </c>
      <c r="F2" s="1" t="s">
        <v>4</v>
      </c>
      <c r="G2" t="s">
        <v>5</v>
      </c>
      <c r="H2" t="s">
        <v>6</v>
      </c>
    </row>
    <row r="3" spans="2:8" x14ac:dyDescent="0.3">
      <c r="B3" t="s">
        <v>58</v>
      </c>
      <c r="C3" t="s">
        <v>15</v>
      </c>
      <c r="D3" t="s">
        <v>19</v>
      </c>
      <c r="E3">
        <v>22</v>
      </c>
      <c r="F3" s="1">
        <v>44446</v>
      </c>
      <c r="G3" s="2">
        <v>112780</v>
      </c>
      <c r="H3" t="s">
        <v>13</v>
      </c>
    </row>
    <row r="4" spans="2:8" x14ac:dyDescent="0.3">
      <c r="B4" t="s">
        <v>70</v>
      </c>
      <c r="C4" t="s">
        <v>15</v>
      </c>
      <c r="D4" t="s">
        <v>9</v>
      </c>
      <c r="E4">
        <v>46</v>
      </c>
      <c r="F4" s="1">
        <v>44758</v>
      </c>
      <c r="G4" s="2">
        <v>70610</v>
      </c>
      <c r="H4" t="s">
        <v>16</v>
      </c>
    </row>
    <row r="5" spans="2:8" x14ac:dyDescent="0.3">
      <c r="B5" t="s">
        <v>75</v>
      </c>
      <c r="C5" t="s">
        <v>8</v>
      </c>
      <c r="D5" t="s">
        <v>19</v>
      </c>
      <c r="E5">
        <v>28</v>
      </c>
      <c r="F5" s="1">
        <v>44357</v>
      </c>
      <c r="G5" s="2">
        <v>53240</v>
      </c>
      <c r="H5" t="s">
        <v>16</v>
      </c>
    </row>
    <row r="6" spans="2:8" x14ac:dyDescent="0.3">
      <c r="B6" t="s">
        <v>49</v>
      </c>
      <c r="D6" t="s">
        <v>21</v>
      </c>
      <c r="E6">
        <v>37</v>
      </c>
      <c r="F6" s="1">
        <v>44146</v>
      </c>
      <c r="G6" s="2">
        <v>115440</v>
      </c>
      <c r="H6" t="s">
        <v>24</v>
      </c>
    </row>
    <row r="7" spans="2:8" x14ac:dyDescent="0.3">
      <c r="B7" t="s">
        <v>65</v>
      </c>
      <c r="C7" t="s">
        <v>15</v>
      </c>
      <c r="D7" t="s">
        <v>19</v>
      </c>
      <c r="E7">
        <v>32</v>
      </c>
      <c r="F7" s="1">
        <v>44465</v>
      </c>
      <c r="G7" s="2">
        <v>53540</v>
      </c>
      <c r="H7" t="s">
        <v>16</v>
      </c>
    </row>
    <row r="8" spans="2:8" x14ac:dyDescent="0.3">
      <c r="B8" t="s">
        <v>81</v>
      </c>
      <c r="C8" t="s">
        <v>8</v>
      </c>
      <c r="D8" t="s">
        <v>9</v>
      </c>
      <c r="E8">
        <v>30</v>
      </c>
      <c r="F8" s="1">
        <v>44861</v>
      </c>
      <c r="G8" s="2">
        <v>112570</v>
      </c>
      <c r="H8" t="s">
        <v>16</v>
      </c>
    </row>
    <row r="9" spans="2:8" x14ac:dyDescent="0.3">
      <c r="B9" t="s">
        <v>51</v>
      </c>
      <c r="C9" t="s">
        <v>15</v>
      </c>
      <c r="D9" t="s">
        <v>9</v>
      </c>
      <c r="E9">
        <v>33</v>
      </c>
      <c r="F9" s="1">
        <v>44701</v>
      </c>
      <c r="G9" s="2">
        <v>48530</v>
      </c>
      <c r="H9" t="s">
        <v>13</v>
      </c>
    </row>
    <row r="10" spans="2:8" x14ac:dyDescent="0.3">
      <c r="B10" t="s">
        <v>61</v>
      </c>
      <c r="C10" t="s">
        <v>8</v>
      </c>
      <c r="D10" t="s">
        <v>12</v>
      </c>
      <c r="E10">
        <v>24</v>
      </c>
      <c r="F10" s="1">
        <v>44148</v>
      </c>
      <c r="G10" s="2">
        <v>62780</v>
      </c>
      <c r="H10" t="s">
        <v>16</v>
      </c>
    </row>
    <row r="11" spans="2:8" x14ac:dyDescent="0.3">
      <c r="B11" t="s">
        <v>82</v>
      </c>
      <c r="C11" t="s">
        <v>15</v>
      </c>
      <c r="D11" t="s">
        <v>12</v>
      </c>
      <c r="E11">
        <v>33</v>
      </c>
      <c r="F11" s="1">
        <v>44509</v>
      </c>
      <c r="G11" s="2">
        <v>53870</v>
      </c>
      <c r="H11" t="s">
        <v>16</v>
      </c>
    </row>
    <row r="12" spans="2:8" x14ac:dyDescent="0.3">
      <c r="B12" t="s">
        <v>60</v>
      </c>
      <c r="C12" t="s">
        <v>8</v>
      </c>
      <c r="D12" t="s">
        <v>56</v>
      </c>
      <c r="E12">
        <v>27</v>
      </c>
      <c r="F12" s="1">
        <v>44122</v>
      </c>
      <c r="G12" s="2">
        <v>119110</v>
      </c>
      <c r="H12" t="s">
        <v>16</v>
      </c>
    </row>
    <row r="13" spans="2:8" x14ac:dyDescent="0.3">
      <c r="B13" t="s">
        <v>87</v>
      </c>
      <c r="C13" t="s">
        <v>15</v>
      </c>
      <c r="D13" t="s">
        <v>12</v>
      </c>
      <c r="E13">
        <v>29</v>
      </c>
      <c r="F13" s="1">
        <v>44180</v>
      </c>
      <c r="G13" s="2">
        <v>112110</v>
      </c>
      <c r="H13" t="s">
        <v>24</v>
      </c>
    </row>
    <row r="14" spans="2:8" x14ac:dyDescent="0.3">
      <c r="B14" t="s">
        <v>76</v>
      </c>
      <c r="C14" t="s">
        <v>15</v>
      </c>
      <c r="D14" t="s">
        <v>19</v>
      </c>
      <c r="E14">
        <v>25</v>
      </c>
      <c r="F14" s="1">
        <v>44383</v>
      </c>
      <c r="G14" s="2">
        <v>65700</v>
      </c>
      <c r="H14" t="s">
        <v>16</v>
      </c>
    </row>
    <row r="15" spans="2:8" x14ac:dyDescent="0.3">
      <c r="B15" t="s">
        <v>97</v>
      </c>
      <c r="C15" t="s">
        <v>15</v>
      </c>
      <c r="D15" t="s">
        <v>12</v>
      </c>
      <c r="E15">
        <v>37</v>
      </c>
      <c r="F15" s="1">
        <v>44701</v>
      </c>
      <c r="G15" s="2">
        <v>69070</v>
      </c>
      <c r="H15" t="s">
        <v>16</v>
      </c>
    </row>
    <row r="16" spans="2:8" x14ac:dyDescent="0.3">
      <c r="B16" t="s">
        <v>22</v>
      </c>
      <c r="C16" t="s">
        <v>15</v>
      </c>
      <c r="D16" t="s">
        <v>12</v>
      </c>
      <c r="E16">
        <v>20</v>
      </c>
      <c r="F16" s="1">
        <v>44459</v>
      </c>
      <c r="G16" s="2">
        <v>107700</v>
      </c>
      <c r="H16" t="s">
        <v>16</v>
      </c>
    </row>
    <row r="17" spans="2:8" x14ac:dyDescent="0.3">
      <c r="B17" t="s">
        <v>84</v>
      </c>
      <c r="C17" t="s">
        <v>8</v>
      </c>
      <c r="D17" t="s">
        <v>12</v>
      </c>
      <c r="E17">
        <v>32</v>
      </c>
      <c r="F17" s="1">
        <v>44354</v>
      </c>
      <c r="G17" s="2">
        <v>43840</v>
      </c>
      <c r="H17" t="s">
        <v>13</v>
      </c>
    </row>
    <row r="18" spans="2:8" x14ac:dyDescent="0.3">
      <c r="B18" t="s">
        <v>105</v>
      </c>
      <c r="C18" t="s">
        <v>15</v>
      </c>
      <c r="D18" t="s">
        <v>9</v>
      </c>
      <c r="E18">
        <v>40</v>
      </c>
      <c r="F18" s="1">
        <v>44263</v>
      </c>
      <c r="G18" s="2">
        <v>99750</v>
      </c>
      <c r="H18" t="s">
        <v>16</v>
      </c>
    </row>
    <row r="19" spans="2:8" x14ac:dyDescent="0.3">
      <c r="B19" t="s">
        <v>47</v>
      </c>
      <c r="C19" t="s">
        <v>15</v>
      </c>
      <c r="D19" t="s">
        <v>9</v>
      </c>
      <c r="E19">
        <v>21</v>
      </c>
      <c r="F19" s="1">
        <v>44104</v>
      </c>
      <c r="G19" s="2">
        <v>37920</v>
      </c>
      <c r="H19" t="s">
        <v>16</v>
      </c>
    </row>
    <row r="20" spans="2:8" x14ac:dyDescent="0.3">
      <c r="B20" t="s">
        <v>31</v>
      </c>
      <c r="C20" t="s">
        <v>15</v>
      </c>
      <c r="D20" t="s">
        <v>9</v>
      </c>
      <c r="E20">
        <v>21</v>
      </c>
      <c r="F20" s="1">
        <v>44762</v>
      </c>
      <c r="G20" s="2">
        <v>57090</v>
      </c>
      <c r="H20" t="s">
        <v>16</v>
      </c>
    </row>
    <row r="21" spans="2:8" x14ac:dyDescent="0.3">
      <c r="B21" t="s">
        <v>30</v>
      </c>
      <c r="C21" t="s">
        <v>8</v>
      </c>
      <c r="D21" t="s">
        <v>12</v>
      </c>
      <c r="E21">
        <v>31</v>
      </c>
      <c r="F21" s="1">
        <v>44145</v>
      </c>
      <c r="G21" s="2">
        <v>41980</v>
      </c>
      <c r="H21" t="s">
        <v>16</v>
      </c>
    </row>
    <row r="22" spans="2:8" x14ac:dyDescent="0.3">
      <c r="B22" t="s">
        <v>78</v>
      </c>
      <c r="C22" t="s">
        <v>15</v>
      </c>
      <c r="D22" t="s">
        <v>56</v>
      </c>
      <c r="E22">
        <v>21</v>
      </c>
      <c r="F22" s="1">
        <v>44242</v>
      </c>
      <c r="G22" s="2">
        <v>75880</v>
      </c>
      <c r="H22" t="s">
        <v>16</v>
      </c>
    </row>
    <row r="23" spans="2:8" x14ac:dyDescent="0.3">
      <c r="B23" t="s">
        <v>36</v>
      </c>
      <c r="C23" t="s">
        <v>8</v>
      </c>
      <c r="D23" t="s">
        <v>21</v>
      </c>
      <c r="E23">
        <v>34</v>
      </c>
      <c r="F23" s="1">
        <v>44653</v>
      </c>
      <c r="G23" s="2">
        <v>58940</v>
      </c>
      <c r="H23" t="s">
        <v>16</v>
      </c>
    </row>
    <row r="24" spans="2:8" x14ac:dyDescent="0.3">
      <c r="B24" t="s">
        <v>27</v>
      </c>
      <c r="C24" t="s">
        <v>8</v>
      </c>
      <c r="D24" t="s">
        <v>21</v>
      </c>
      <c r="E24">
        <v>30</v>
      </c>
      <c r="F24" s="1">
        <v>44389</v>
      </c>
      <c r="G24" s="2">
        <v>67910</v>
      </c>
      <c r="H24" t="s">
        <v>24</v>
      </c>
    </row>
    <row r="25" spans="2:8" x14ac:dyDescent="0.3">
      <c r="B25" t="s">
        <v>26</v>
      </c>
      <c r="C25" t="s">
        <v>8</v>
      </c>
      <c r="D25" t="s">
        <v>12</v>
      </c>
      <c r="E25">
        <v>31</v>
      </c>
      <c r="F25" s="1">
        <v>44663</v>
      </c>
      <c r="G25" s="2">
        <v>58100</v>
      </c>
      <c r="H25" t="s">
        <v>16</v>
      </c>
    </row>
    <row r="26" spans="2:8" x14ac:dyDescent="0.3">
      <c r="B26" t="s">
        <v>53</v>
      </c>
      <c r="C26" t="s">
        <v>15</v>
      </c>
      <c r="D26" t="s">
        <v>21</v>
      </c>
      <c r="E26">
        <v>27</v>
      </c>
      <c r="F26" s="1">
        <v>44567</v>
      </c>
      <c r="G26" s="2">
        <v>48980</v>
      </c>
      <c r="H26" t="s">
        <v>16</v>
      </c>
    </row>
    <row r="27" spans="2:8" x14ac:dyDescent="0.3">
      <c r="B27" t="s">
        <v>20</v>
      </c>
      <c r="D27" t="s">
        <v>21</v>
      </c>
      <c r="E27">
        <v>30</v>
      </c>
      <c r="F27" s="1">
        <v>44597</v>
      </c>
      <c r="G27" s="2">
        <v>64000</v>
      </c>
      <c r="H27" t="s">
        <v>16</v>
      </c>
    </row>
    <row r="28" spans="2:8" x14ac:dyDescent="0.3">
      <c r="B28" t="s">
        <v>7</v>
      </c>
      <c r="C28" t="s">
        <v>8</v>
      </c>
      <c r="D28" t="s">
        <v>9</v>
      </c>
      <c r="E28">
        <v>42</v>
      </c>
      <c r="F28" s="1">
        <v>44779</v>
      </c>
      <c r="G28" s="2">
        <v>75000</v>
      </c>
      <c r="H28" t="s">
        <v>10</v>
      </c>
    </row>
    <row r="29" spans="2:8" x14ac:dyDescent="0.3">
      <c r="B29" t="s">
        <v>74</v>
      </c>
      <c r="C29" t="s">
        <v>8</v>
      </c>
      <c r="D29" t="s">
        <v>12</v>
      </c>
      <c r="E29">
        <v>40</v>
      </c>
      <c r="F29" s="1">
        <v>44337</v>
      </c>
      <c r="G29" s="2">
        <v>87620</v>
      </c>
      <c r="H29" t="s">
        <v>16</v>
      </c>
    </row>
    <row r="30" spans="2:8" x14ac:dyDescent="0.3">
      <c r="B30" t="s">
        <v>44</v>
      </c>
      <c r="C30" t="s">
        <v>8</v>
      </c>
      <c r="D30" t="s">
        <v>12</v>
      </c>
      <c r="E30">
        <v>29</v>
      </c>
      <c r="F30" s="1">
        <v>44023</v>
      </c>
      <c r="G30" s="2">
        <v>34980</v>
      </c>
      <c r="H30" t="s">
        <v>16</v>
      </c>
    </row>
    <row r="31" spans="2:8" x14ac:dyDescent="0.3">
      <c r="B31" t="s">
        <v>35</v>
      </c>
      <c r="C31" t="s">
        <v>8</v>
      </c>
      <c r="D31" t="s">
        <v>21</v>
      </c>
      <c r="E31">
        <v>28</v>
      </c>
      <c r="F31" s="1">
        <v>44185</v>
      </c>
      <c r="G31" s="2">
        <v>75970</v>
      </c>
      <c r="H31" t="s">
        <v>16</v>
      </c>
    </row>
    <row r="32" spans="2:8" x14ac:dyDescent="0.3">
      <c r="B32" t="s">
        <v>38</v>
      </c>
      <c r="C32" t="s">
        <v>8</v>
      </c>
      <c r="D32" t="s">
        <v>21</v>
      </c>
      <c r="E32">
        <v>34</v>
      </c>
      <c r="F32" s="1">
        <v>44612</v>
      </c>
      <c r="G32" s="2">
        <v>60130</v>
      </c>
      <c r="H32" t="s">
        <v>16</v>
      </c>
    </row>
    <row r="33" spans="2:8" x14ac:dyDescent="0.3">
      <c r="B33" t="s">
        <v>41</v>
      </c>
      <c r="C33" t="s">
        <v>8</v>
      </c>
      <c r="D33" t="s">
        <v>12</v>
      </c>
      <c r="E33">
        <v>33</v>
      </c>
      <c r="F33" s="1">
        <v>44374</v>
      </c>
      <c r="G33" s="2">
        <v>75480</v>
      </c>
      <c r="H33" t="s">
        <v>42</v>
      </c>
    </row>
    <row r="34" spans="2:8" x14ac:dyDescent="0.3">
      <c r="B34" t="s">
        <v>40</v>
      </c>
      <c r="C34" t="s">
        <v>15</v>
      </c>
      <c r="D34" t="s">
        <v>9</v>
      </c>
      <c r="E34">
        <v>33</v>
      </c>
      <c r="F34" s="1">
        <v>44164</v>
      </c>
      <c r="G34" s="2">
        <v>115920</v>
      </c>
      <c r="H34" t="s">
        <v>16</v>
      </c>
    </row>
    <row r="35" spans="2:8" x14ac:dyDescent="0.3">
      <c r="B35" t="s">
        <v>48</v>
      </c>
      <c r="C35" t="s">
        <v>8</v>
      </c>
      <c r="D35" t="s">
        <v>19</v>
      </c>
      <c r="E35">
        <v>36</v>
      </c>
      <c r="F35" s="1">
        <v>44494</v>
      </c>
      <c r="G35" s="2">
        <v>78540</v>
      </c>
      <c r="H35" t="s">
        <v>16</v>
      </c>
    </row>
    <row r="36" spans="2:8" x14ac:dyDescent="0.3">
      <c r="B36" t="s">
        <v>34</v>
      </c>
      <c r="C36" t="s">
        <v>15</v>
      </c>
      <c r="D36" t="s">
        <v>9</v>
      </c>
      <c r="E36">
        <v>25</v>
      </c>
      <c r="F36" s="1">
        <v>44726</v>
      </c>
      <c r="G36" s="2">
        <v>109190</v>
      </c>
      <c r="H36" t="s">
        <v>13</v>
      </c>
    </row>
    <row r="37" spans="2:8" x14ac:dyDescent="0.3">
      <c r="B37" t="s">
        <v>73</v>
      </c>
      <c r="C37" t="s">
        <v>8</v>
      </c>
      <c r="D37" t="s">
        <v>19</v>
      </c>
      <c r="E37">
        <v>34</v>
      </c>
      <c r="F37" s="1">
        <v>44721</v>
      </c>
      <c r="G37" s="2">
        <v>49630</v>
      </c>
      <c r="H37" t="s">
        <v>24</v>
      </c>
    </row>
    <row r="38" spans="2:8" x14ac:dyDescent="0.3">
      <c r="B38" t="s">
        <v>107</v>
      </c>
      <c r="C38" t="s">
        <v>8</v>
      </c>
      <c r="D38" t="s">
        <v>9</v>
      </c>
      <c r="E38">
        <v>28</v>
      </c>
      <c r="F38" s="1">
        <v>44630</v>
      </c>
      <c r="G38" s="2">
        <v>99970</v>
      </c>
      <c r="H38" t="s">
        <v>16</v>
      </c>
    </row>
    <row r="39" spans="2:8" x14ac:dyDescent="0.3">
      <c r="B39" t="s">
        <v>71</v>
      </c>
      <c r="C39" t="s">
        <v>8</v>
      </c>
      <c r="D39" t="s">
        <v>12</v>
      </c>
      <c r="E39">
        <v>33</v>
      </c>
      <c r="F39" s="1">
        <v>44190</v>
      </c>
      <c r="G39" s="2">
        <v>96140</v>
      </c>
      <c r="H39" t="s">
        <v>16</v>
      </c>
    </row>
    <row r="40" spans="2:8" x14ac:dyDescent="0.3">
      <c r="B40" t="s">
        <v>50</v>
      </c>
      <c r="C40" t="s">
        <v>15</v>
      </c>
      <c r="D40" t="s">
        <v>9</v>
      </c>
      <c r="E40">
        <v>31</v>
      </c>
      <c r="F40" s="1">
        <v>44724</v>
      </c>
      <c r="G40" s="2">
        <v>103550</v>
      </c>
      <c r="H40" t="s">
        <v>16</v>
      </c>
    </row>
    <row r="41" spans="2:8" x14ac:dyDescent="0.3">
      <c r="B41" t="s">
        <v>14</v>
      </c>
      <c r="C41" t="s">
        <v>15</v>
      </c>
      <c r="D41" t="s">
        <v>12</v>
      </c>
      <c r="E41">
        <v>31</v>
      </c>
      <c r="F41" s="1">
        <v>44511</v>
      </c>
      <c r="G41" s="2">
        <v>48950</v>
      </c>
      <c r="H41" t="s">
        <v>16</v>
      </c>
    </row>
    <row r="42" spans="2:8" x14ac:dyDescent="0.3">
      <c r="B42" t="s">
        <v>63</v>
      </c>
      <c r="C42" t="s">
        <v>15</v>
      </c>
      <c r="D42" t="s">
        <v>21</v>
      </c>
      <c r="E42">
        <v>24</v>
      </c>
      <c r="F42" s="1">
        <v>44436</v>
      </c>
      <c r="G42" s="2">
        <v>52610</v>
      </c>
      <c r="H42" t="s">
        <v>24</v>
      </c>
    </row>
    <row r="43" spans="2:8" x14ac:dyDescent="0.3">
      <c r="B43" t="s">
        <v>72</v>
      </c>
      <c r="C43" t="s">
        <v>8</v>
      </c>
      <c r="D43" t="s">
        <v>9</v>
      </c>
      <c r="E43">
        <v>36</v>
      </c>
      <c r="F43" s="1">
        <v>44529</v>
      </c>
      <c r="G43" s="2">
        <v>78390</v>
      </c>
      <c r="H43" t="s">
        <v>16</v>
      </c>
    </row>
    <row r="44" spans="2:8" x14ac:dyDescent="0.3">
      <c r="B44" t="s">
        <v>88</v>
      </c>
      <c r="C44" t="s">
        <v>8</v>
      </c>
      <c r="D44" t="s">
        <v>21</v>
      </c>
      <c r="E44">
        <v>33</v>
      </c>
      <c r="F44" s="1">
        <v>44809</v>
      </c>
      <c r="G44" s="2">
        <v>86570</v>
      </c>
      <c r="H44" t="s">
        <v>16</v>
      </c>
    </row>
    <row r="45" spans="2:8" x14ac:dyDescent="0.3">
      <c r="B45" t="s">
        <v>92</v>
      </c>
      <c r="C45" t="s">
        <v>8</v>
      </c>
      <c r="D45" t="s">
        <v>12</v>
      </c>
      <c r="E45">
        <v>27</v>
      </c>
      <c r="F45" s="1">
        <v>44686</v>
      </c>
      <c r="G45" s="2">
        <v>83750</v>
      </c>
      <c r="H45" t="s">
        <v>16</v>
      </c>
    </row>
    <row r="46" spans="2:8" x14ac:dyDescent="0.3">
      <c r="B46" t="s">
        <v>102</v>
      </c>
      <c r="C46" t="s">
        <v>8</v>
      </c>
      <c r="D46" t="s">
        <v>21</v>
      </c>
      <c r="E46">
        <v>34</v>
      </c>
      <c r="F46" s="1">
        <v>44445</v>
      </c>
      <c r="G46" s="2">
        <v>92450</v>
      </c>
      <c r="H46" t="s">
        <v>16</v>
      </c>
    </row>
    <row r="47" spans="2:8" x14ac:dyDescent="0.3">
      <c r="B47" t="s">
        <v>64</v>
      </c>
      <c r="C47" t="s">
        <v>15</v>
      </c>
      <c r="D47" t="s">
        <v>12</v>
      </c>
      <c r="E47">
        <v>20</v>
      </c>
      <c r="F47" s="1">
        <v>44183</v>
      </c>
      <c r="G47" s="2">
        <v>112650</v>
      </c>
      <c r="H47" t="s">
        <v>16</v>
      </c>
    </row>
    <row r="48" spans="2:8" x14ac:dyDescent="0.3">
      <c r="B48" t="s">
        <v>104</v>
      </c>
      <c r="C48" t="s">
        <v>15</v>
      </c>
      <c r="D48" t="s">
        <v>9</v>
      </c>
      <c r="E48">
        <v>20</v>
      </c>
      <c r="F48" s="1">
        <v>44744</v>
      </c>
      <c r="G48" s="2">
        <v>79570</v>
      </c>
      <c r="H48" t="s">
        <v>16</v>
      </c>
    </row>
    <row r="49" spans="2:8" x14ac:dyDescent="0.3">
      <c r="B49" t="s">
        <v>91</v>
      </c>
      <c r="C49" t="s">
        <v>8</v>
      </c>
      <c r="D49" t="s">
        <v>19</v>
      </c>
      <c r="E49">
        <v>20</v>
      </c>
      <c r="F49" s="1">
        <v>44537</v>
      </c>
      <c r="G49" s="2">
        <v>68900</v>
      </c>
      <c r="H49" t="s">
        <v>24</v>
      </c>
    </row>
    <row r="50" spans="2:8" x14ac:dyDescent="0.3">
      <c r="B50" t="s">
        <v>39</v>
      </c>
      <c r="C50" t="s">
        <v>8</v>
      </c>
      <c r="D50" t="s">
        <v>12</v>
      </c>
      <c r="E50">
        <v>25</v>
      </c>
      <c r="F50" s="1">
        <v>44694</v>
      </c>
      <c r="G50" s="2">
        <v>80700</v>
      </c>
      <c r="H50" t="s">
        <v>13</v>
      </c>
    </row>
    <row r="51" spans="2:8" x14ac:dyDescent="0.3">
      <c r="B51" t="s">
        <v>100</v>
      </c>
      <c r="C51" t="s">
        <v>15</v>
      </c>
      <c r="D51" t="s">
        <v>9</v>
      </c>
      <c r="E51">
        <v>19</v>
      </c>
      <c r="F51" s="1">
        <v>44277</v>
      </c>
      <c r="G51" s="2">
        <v>58960</v>
      </c>
      <c r="H51" t="s">
        <v>16</v>
      </c>
    </row>
    <row r="52" spans="2:8" x14ac:dyDescent="0.3">
      <c r="B52" t="s">
        <v>106</v>
      </c>
      <c r="C52" t="s">
        <v>15</v>
      </c>
      <c r="D52" t="s">
        <v>12</v>
      </c>
      <c r="E52">
        <v>36</v>
      </c>
      <c r="F52" s="1">
        <v>44019</v>
      </c>
      <c r="G52" s="2">
        <v>118840</v>
      </c>
      <c r="H52" t="s">
        <v>16</v>
      </c>
    </row>
    <row r="53" spans="2:8" x14ac:dyDescent="0.3">
      <c r="B53" t="s">
        <v>29</v>
      </c>
      <c r="C53" t="s">
        <v>15</v>
      </c>
      <c r="D53" t="s">
        <v>21</v>
      </c>
      <c r="E53">
        <v>28</v>
      </c>
      <c r="F53" s="1">
        <v>44041</v>
      </c>
      <c r="G53" s="2">
        <v>48170</v>
      </c>
      <c r="H53" t="s">
        <v>13</v>
      </c>
    </row>
    <row r="54" spans="2:8" x14ac:dyDescent="0.3">
      <c r="B54" t="s">
        <v>108</v>
      </c>
      <c r="C54" t="s">
        <v>8</v>
      </c>
      <c r="D54" t="s">
        <v>56</v>
      </c>
      <c r="E54">
        <v>32</v>
      </c>
      <c r="F54" s="1">
        <v>44400</v>
      </c>
      <c r="G54" s="2">
        <v>45510</v>
      </c>
      <c r="H54" t="s">
        <v>16</v>
      </c>
    </row>
    <row r="55" spans="2:8" x14ac:dyDescent="0.3">
      <c r="B55" t="s">
        <v>64</v>
      </c>
      <c r="C55" t="s">
        <v>15</v>
      </c>
      <c r="D55" t="s">
        <v>9</v>
      </c>
      <c r="E55">
        <v>34</v>
      </c>
      <c r="F55" s="1">
        <v>44703</v>
      </c>
      <c r="G55" s="2">
        <v>112650</v>
      </c>
      <c r="H55" t="s">
        <v>16</v>
      </c>
    </row>
    <row r="56" spans="2:8" x14ac:dyDescent="0.3">
      <c r="B56" t="s">
        <v>83</v>
      </c>
      <c r="C56" t="s">
        <v>8</v>
      </c>
      <c r="D56" t="s">
        <v>9</v>
      </c>
      <c r="E56">
        <v>36</v>
      </c>
      <c r="F56" s="1">
        <v>44085</v>
      </c>
      <c r="G56" s="2">
        <v>114890</v>
      </c>
      <c r="H56" t="s">
        <v>16</v>
      </c>
    </row>
    <row r="57" spans="2:8" x14ac:dyDescent="0.3">
      <c r="B57" t="s">
        <v>67</v>
      </c>
      <c r="C57" t="s">
        <v>15</v>
      </c>
      <c r="D57" t="s">
        <v>12</v>
      </c>
      <c r="E57">
        <v>30</v>
      </c>
      <c r="F57" s="1">
        <v>44850</v>
      </c>
      <c r="G57" s="2">
        <v>69710</v>
      </c>
      <c r="H57" t="s">
        <v>16</v>
      </c>
    </row>
    <row r="58" spans="2:8" x14ac:dyDescent="0.3">
      <c r="B58" t="s">
        <v>94</v>
      </c>
      <c r="C58" t="s">
        <v>15</v>
      </c>
      <c r="D58" t="s">
        <v>21</v>
      </c>
      <c r="E58">
        <v>36</v>
      </c>
      <c r="F58" s="1">
        <v>44333</v>
      </c>
      <c r="G58" s="2">
        <v>71380</v>
      </c>
      <c r="H58" t="s">
        <v>16</v>
      </c>
    </row>
    <row r="59" spans="2:8" x14ac:dyDescent="0.3">
      <c r="B59" t="s">
        <v>33</v>
      </c>
      <c r="C59" t="s">
        <v>8</v>
      </c>
      <c r="D59" t="s">
        <v>19</v>
      </c>
      <c r="E59">
        <v>38</v>
      </c>
      <c r="F59" s="1">
        <v>44377</v>
      </c>
      <c r="G59" s="2">
        <v>109160</v>
      </c>
      <c r="H59" t="s">
        <v>10</v>
      </c>
    </row>
    <row r="60" spans="2:8" x14ac:dyDescent="0.3">
      <c r="B60" t="s">
        <v>98</v>
      </c>
      <c r="C60" t="s">
        <v>15</v>
      </c>
      <c r="D60" t="s">
        <v>9</v>
      </c>
      <c r="E60">
        <v>27</v>
      </c>
      <c r="F60" s="1">
        <v>44609</v>
      </c>
      <c r="G60" s="2">
        <v>113280</v>
      </c>
      <c r="H60" t="s">
        <v>42</v>
      </c>
    </row>
    <row r="61" spans="2:8" x14ac:dyDescent="0.3">
      <c r="B61" t="s">
        <v>25</v>
      </c>
      <c r="C61" t="s">
        <v>15</v>
      </c>
      <c r="D61" t="s">
        <v>12</v>
      </c>
      <c r="E61">
        <v>30</v>
      </c>
      <c r="F61" s="1">
        <v>44273</v>
      </c>
      <c r="G61" s="2">
        <v>69120</v>
      </c>
      <c r="H61" t="s">
        <v>16</v>
      </c>
    </row>
    <row r="62" spans="2:8" x14ac:dyDescent="0.3">
      <c r="B62" t="s">
        <v>55</v>
      </c>
      <c r="C62" t="s">
        <v>8</v>
      </c>
      <c r="D62" t="s">
        <v>56</v>
      </c>
      <c r="E62">
        <v>37</v>
      </c>
      <c r="F62" s="1">
        <v>44451</v>
      </c>
      <c r="G62" s="2">
        <v>118100</v>
      </c>
      <c r="H62" t="s">
        <v>16</v>
      </c>
    </row>
    <row r="63" spans="2:8" x14ac:dyDescent="0.3">
      <c r="B63" t="s">
        <v>62</v>
      </c>
      <c r="C63" t="s">
        <v>8</v>
      </c>
      <c r="D63" t="s">
        <v>9</v>
      </c>
      <c r="E63">
        <v>22</v>
      </c>
      <c r="F63" s="1">
        <v>44450</v>
      </c>
      <c r="G63" s="2">
        <v>76900</v>
      </c>
      <c r="H63" t="s">
        <v>13</v>
      </c>
    </row>
    <row r="64" spans="2:8" x14ac:dyDescent="0.3">
      <c r="B64" t="s">
        <v>17</v>
      </c>
      <c r="C64" t="s">
        <v>8</v>
      </c>
      <c r="D64" t="s">
        <v>12</v>
      </c>
      <c r="E64">
        <v>43</v>
      </c>
      <c r="F64" s="1">
        <v>45045</v>
      </c>
      <c r="G64" s="2">
        <v>114870</v>
      </c>
      <c r="H64" t="s">
        <v>16</v>
      </c>
    </row>
    <row r="65" spans="2:8" x14ac:dyDescent="0.3">
      <c r="B65" t="s">
        <v>52</v>
      </c>
      <c r="D65" t="s">
        <v>12</v>
      </c>
      <c r="E65">
        <v>32</v>
      </c>
      <c r="F65" s="1">
        <v>44774</v>
      </c>
      <c r="G65" s="2">
        <v>91310</v>
      </c>
      <c r="H65" t="s">
        <v>16</v>
      </c>
    </row>
    <row r="66" spans="2:8" x14ac:dyDescent="0.3">
      <c r="B66" t="s">
        <v>43</v>
      </c>
      <c r="C66" t="s">
        <v>8</v>
      </c>
      <c r="D66" t="s">
        <v>9</v>
      </c>
      <c r="E66">
        <v>28</v>
      </c>
      <c r="F66" s="1">
        <v>44486</v>
      </c>
      <c r="G66" s="2">
        <v>104770</v>
      </c>
      <c r="H66" t="s">
        <v>16</v>
      </c>
    </row>
    <row r="67" spans="2:8" x14ac:dyDescent="0.3">
      <c r="B67" t="s">
        <v>89</v>
      </c>
      <c r="C67" t="s">
        <v>15</v>
      </c>
      <c r="D67" t="s">
        <v>19</v>
      </c>
      <c r="E67">
        <v>27</v>
      </c>
      <c r="F67" s="1">
        <v>44134</v>
      </c>
      <c r="G67" s="2">
        <v>54970</v>
      </c>
      <c r="H67" t="s">
        <v>16</v>
      </c>
    </row>
    <row r="68" spans="2:8" x14ac:dyDescent="0.3">
      <c r="B68" t="s">
        <v>11</v>
      </c>
      <c r="D68" t="s">
        <v>12</v>
      </c>
      <c r="E68">
        <v>26</v>
      </c>
      <c r="F68" s="1">
        <v>44271</v>
      </c>
      <c r="G68" s="2">
        <v>90700</v>
      </c>
      <c r="H68" t="s">
        <v>13</v>
      </c>
    </row>
    <row r="69" spans="2:8" x14ac:dyDescent="0.3">
      <c r="B69" t="s">
        <v>109</v>
      </c>
      <c r="C69" t="s">
        <v>8</v>
      </c>
      <c r="D69" t="s">
        <v>19</v>
      </c>
      <c r="E69">
        <v>38</v>
      </c>
      <c r="F69" s="1">
        <v>44329</v>
      </c>
      <c r="G69" s="2">
        <v>56870</v>
      </c>
      <c r="H69" t="s">
        <v>13</v>
      </c>
    </row>
    <row r="70" spans="2:8" x14ac:dyDescent="0.3">
      <c r="B70" t="s">
        <v>77</v>
      </c>
      <c r="C70" t="s">
        <v>8</v>
      </c>
      <c r="D70" t="s">
        <v>19</v>
      </c>
      <c r="E70">
        <v>25</v>
      </c>
      <c r="F70" s="1">
        <v>44205</v>
      </c>
      <c r="G70" s="2">
        <v>92700</v>
      </c>
      <c r="H70" t="s">
        <v>16</v>
      </c>
    </row>
    <row r="71" spans="2:8" x14ac:dyDescent="0.3">
      <c r="B71" t="s">
        <v>32</v>
      </c>
      <c r="C71" t="s">
        <v>8</v>
      </c>
      <c r="D71" t="s">
        <v>21</v>
      </c>
      <c r="E71">
        <v>21</v>
      </c>
      <c r="F71" s="1">
        <v>44317</v>
      </c>
      <c r="G71" s="2">
        <v>65920</v>
      </c>
      <c r="H71" t="s">
        <v>16</v>
      </c>
    </row>
    <row r="72" spans="2:8" x14ac:dyDescent="0.3">
      <c r="B72" t="s">
        <v>59</v>
      </c>
      <c r="C72" t="s">
        <v>15</v>
      </c>
      <c r="D72" t="s">
        <v>9</v>
      </c>
      <c r="E72">
        <v>26</v>
      </c>
      <c r="F72" s="1">
        <v>44225</v>
      </c>
      <c r="G72" s="2">
        <v>47360</v>
      </c>
      <c r="H72" t="s">
        <v>16</v>
      </c>
    </row>
    <row r="73" spans="2:8" x14ac:dyDescent="0.3">
      <c r="B73" t="s">
        <v>37</v>
      </c>
      <c r="C73" t="s">
        <v>15</v>
      </c>
      <c r="D73" t="s">
        <v>9</v>
      </c>
      <c r="E73">
        <v>30</v>
      </c>
      <c r="F73" s="1">
        <v>44666</v>
      </c>
      <c r="G73" s="2">
        <v>60570</v>
      </c>
      <c r="H73" t="s">
        <v>16</v>
      </c>
    </row>
    <row r="74" spans="2:8" x14ac:dyDescent="0.3">
      <c r="B74" t="s">
        <v>96</v>
      </c>
      <c r="C74" t="s">
        <v>8</v>
      </c>
      <c r="D74" t="s">
        <v>9</v>
      </c>
      <c r="E74">
        <v>28</v>
      </c>
      <c r="F74" s="1">
        <v>44649</v>
      </c>
      <c r="G74" s="2">
        <v>104120</v>
      </c>
      <c r="H74" t="s">
        <v>16</v>
      </c>
    </row>
    <row r="75" spans="2:8" x14ac:dyDescent="0.3">
      <c r="B75" t="s">
        <v>23</v>
      </c>
      <c r="C75" t="s">
        <v>15</v>
      </c>
      <c r="D75" t="s">
        <v>12</v>
      </c>
      <c r="E75">
        <v>37</v>
      </c>
      <c r="F75" s="1">
        <v>44338</v>
      </c>
      <c r="G75" s="2">
        <v>88050</v>
      </c>
      <c r="H75" t="s">
        <v>24</v>
      </c>
    </row>
    <row r="76" spans="2:8" x14ac:dyDescent="0.3">
      <c r="B76" t="s">
        <v>103</v>
      </c>
      <c r="C76" t="s">
        <v>15</v>
      </c>
      <c r="D76" t="s">
        <v>12</v>
      </c>
      <c r="E76">
        <v>24</v>
      </c>
      <c r="F76" s="1">
        <v>44686</v>
      </c>
      <c r="G76" s="2">
        <v>100420</v>
      </c>
      <c r="H76" t="s">
        <v>16</v>
      </c>
    </row>
    <row r="77" spans="2:8" x14ac:dyDescent="0.3">
      <c r="B77" t="s">
        <v>54</v>
      </c>
      <c r="C77" t="s">
        <v>8</v>
      </c>
      <c r="D77" t="s">
        <v>9</v>
      </c>
      <c r="E77">
        <v>30</v>
      </c>
      <c r="F77" s="1">
        <v>44850</v>
      </c>
      <c r="G77" s="2">
        <v>114180</v>
      </c>
      <c r="H77" t="s">
        <v>16</v>
      </c>
    </row>
    <row r="78" spans="2:8" x14ac:dyDescent="0.3">
      <c r="B78" t="s">
        <v>86</v>
      </c>
      <c r="C78" t="s">
        <v>8</v>
      </c>
      <c r="D78" t="s">
        <v>12</v>
      </c>
      <c r="E78">
        <v>21</v>
      </c>
      <c r="F78" s="1">
        <v>44678</v>
      </c>
      <c r="G78" s="2">
        <v>33920</v>
      </c>
      <c r="H78" t="s">
        <v>16</v>
      </c>
    </row>
    <row r="79" spans="2:8" x14ac:dyDescent="0.3">
      <c r="B79" t="s">
        <v>69</v>
      </c>
      <c r="C79" t="s">
        <v>15</v>
      </c>
      <c r="D79" t="s">
        <v>9</v>
      </c>
      <c r="E79">
        <v>23</v>
      </c>
      <c r="F79" s="1">
        <v>44440</v>
      </c>
      <c r="G79" s="2">
        <v>106460</v>
      </c>
      <c r="H79" t="s">
        <v>16</v>
      </c>
    </row>
    <row r="80" spans="2:8" x14ac:dyDescent="0.3">
      <c r="B80" t="s">
        <v>57</v>
      </c>
      <c r="C80" t="s">
        <v>15</v>
      </c>
      <c r="D80" t="s">
        <v>9</v>
      </c>
      <c r="E80">
        <v>35</v>
      </c>
      <c r="F80" s="1">
        <v>44727</v>
      </c>
      <c r="G80" s="2">
        <v>40400</v>
      </c>
      <c r="H80" t="s">
        <v>16</v>
      </c>
    </row>
    <row r="81" spans="2:8" x14ac:dyDescent="0.3">
      <c r="B81" t="s">
        <v>68</v>
      </c>
      <c r="C81" t="s">
        <v>15</v>
      </c>
      <c r="D81" t="s">
        <v>21</v>
      </c>
      <c r="E81">
        <v>27</v>
      </c>
      <c r="F81" s="1">
        <v>44236</v>
      </c>
      <c r="G81" s="2">
        <v>91650</v>
      </c>
      <c r="H81" t="s">
        <v>13</v>
      </c>
    </row>
    <row r="82" spans="2:8" x14ac:dyDescent="0.3">
      <c r="B82" t="s">
        <v>99</v>
      </c>
      <c r="C82" t="s">
        <v>15</v>
      </c>
      <c r="D82" t="s">
        <v>19</v>
      </c>
      <c r="E82">
        <v>43</v>
      </c>
      <c r="F82" s="1">
        <v>44620</v>
      </c>
      <c r="G82" s="2">
        <v>36040</v>
      </c>
      <c r="H82" t="s">
        <v>16</v>
      </c>
    </row>
    <row r="83" spans="2:8" x14ac:dyDescent="0.3">
      <c r="B83" t="s">
        <v>101</v>
      </c>
      <c r="C83" t="s">
        <v>8</v>
      </c>
      <c r="D83" t="s">
        <v>12</v>
      </c>
      <c r="E83">
        <v>40</v>
      </c>
      <c r="F83" s="1">
        <v>44381</v>
      </c>
      <c r="G83" s="2">
        <v>104410</v>
      </c>
      <c r="H83" t="s">
        <v>16</v>
      </c>
    </row>
    <row r="84" spans="2:8" x14ac:dyDescent="0.3">
      <c r="B84" t="s">
        <v>85</v>
      </c>
      <c r="C84" t="s">
        <v>15</v>
      </c>
      <c r="D84" t="s">
        <v>21</v>
      </c>
      <c r="E84">
        <v>30</v>
      </c>
      <c r="F84" s="1">
        <v>44606</v>
      </c>
      <c r="G84" s="2">
        <v>96800</v>
      </c>
      <c r="H84" t="s">
        <v>16</v>
      </c>
    </row>
    <row r="85" spans="2:8" x14ac:dyDescent="0.3">
      <c r="B85" t="s">
        <v>28</v>
      </c>
      <c r="C85" t="s">
        <v>8</v>
      </c>
      <c r="D85" t="s">
        <v>21</v>
      </c>
      <c r="E85">
        <v>34</v>
      </c>
      <c r="F85" s="1">
        <v>44459</v>
      </c>
      <c r="G85" s="2">
        <v>85000</v>
      </c>
      <c r="H85" t="s">
        <v>16</v>
      </c>
    </row>
    <row r="86" spans="2:8" x14ac:dyDescent="0.3">
      <c r="B86" t="s">
        <v>80</v>
      </c>
      <c r="C86" t="s">
        <v>15</v>
      </c>
      <c r="D86" t="s">
        <v>19</v>
      </c>
      <c r="E86">
        <v>28</v>
      </c>
      <c r="F86" s="1">
        <v>44820</v>
      </c>
      <c r="G86" s="2">
        <v>43510</v>
      </c>
      <c r="H86" t="s">
        <v>42</v>
      </c>
    </row>
    <row r="87" spans="2:8" x14ac:dyDescent="0.3">
      <c r="B87" t="s">
        <v>79</v>
      </c>
      <c r="C87" t="s">
        <v>15</v>
      </c>
      <c r="D87" t="s">
        <v>21</v>
      </c>
      <c r="E87">
        <v>33</v>
      </c>
      <c r="F87" s="1">
        <v>44243</v>
      </c>
      <c r="G87" s="2">
        <v>59430</v>
      </c>
      <c r="H87" t="s">
        <v>16</v>
      </c>
    </row>
    <row r="88" spans="2:8" x14ac:dyDescent="0.3">
      <c r="B88" t="s">
        <v>93</v>
      </c>
      <c r="C88" t="s">
        <v>8</v>
      </c>
      <c r="D88" t="s">
        <v>21</v>
      </c>
      <c r="E88">
        <v>33</v>
      </c>
      <c r="F88" s="1">
        <v>44067</v>
      </c>
      <c r="G88" s="2">
        <v>65360</v>
      </c>
      <c r="H88" t="s">
        <v>16</v>
      </c>
    </row>
    <row r="89" spans="2:8" x14ac:dyDescent="0.3">
      <c r="B89" t="s">
        <v>66</v>
      </c>
      <c r="C89" t="s">
        <v>8</v>
      </c>
      <c r="D89" t="s">
        <v>9</v>
      </c>
      <c r="E89">
        <v>32</v>
      </c>
      <c r="F89" s="1">
        <v>44611</v>
      </c>
      <c r="G89" s="2">
        <v>41570</v>
      </c>
      <c r="H89" t="s">
        <v>16</v>
      </c>
    </row>
    <row r="90" spans="2:8" x14ac:dyDescent="0.3">
      <c r="B90" t="s">
        <v>95</v>
      </c>
      <c r="C90" t="s">
        <v>8</v>
      </c>
      <c r="D90" t="s">
        <v>12</v>
      </c>
      <c r="E90">
        <v>33</v>
      </c>
      <c r="F90" s="1">
        <v>44312</v>
      </c>
      <c r="G90" s="2">
        <v>75280</v>
      </c>
      <c r="H90" t="s">
        <v>16</v>
      </c>
    </row>
    <row r="91" spans="2:8" x14ac:dyDescent="0.3">
      <c r="B91" t="s">
        <v>18</v>
      </c>
      <c r="C91" t="s">
        <v>15</v>
      </c>
      <c r="D91" t="s">
        <v>19</v>
      </c>
      <c r="E91">
        <v>33</v>
      </c>
      <c r="F91" s="1">
        <v>44385</v>
      </c>
      <c r="G91" s="2">
        <v>74550</v>
      </c>
      <c r="H91" t="s">
        <v>16</v>
      </c>
    </row>
    <row r="92" spans="2:8" x14ac:dyDescent="0.3">
      <c r="B92" t="s">
        <v>45</v>
      </c>
      <c r="C92" t="s">
        <v>15</v>
      </c>
      <c r="D92" t="s">
        <v>9</v>
      </c>
      <c r="E92">
        <v>30</v>
      </c>
      <c r="F92" s="1">
        <v>44701</v>
      </c>
      <c r="G92" s="2">
        <v>67950</v>
      </c>
      <c r="H92" t="s">
        <v>16</v>
      </c>
    </row>
    <row r="93" spans="2:8" x14ac:dyDescent="0.3">
      <c r="B93" t="s">
        <v>90</v>
      </c>
      <c r="C93" t="s">
        <v>15</v>
      </c>
      <c r="D93" t="s">
        <v>21</v>
      </c>
      <c r="E93">
        <v>42</v>
      </c>
      <c r="F93" s="1">
        <v>44731</v>
      </c>
      <c r="G93" s="2">
        <v>70270</v>
      </c>
      <c r="H93" t="s">
        <v>24</v>
      </c>
    </row>
    <row r="94" spans="2:8" x14ac:dyDescent="0.3">
      <c r="B94" t="s">
        <v>46</v>
      </c>
      <c r="C94" t="s">
        <v>15</v>
      </c>
      <c r="D94" t="s">
        <v>9</v>
      </c>
      <c r="E94">
        <v>26</v>
      </c>
      <c r="F94" s="1">
        <v>44411</v>
      </c>
      <c r="G94" s="2">
        <v>53540</v>
      </c>
      <c r="H94" t="s">
        <v>16</v>
      </c>
    </row>
    <row r="95" spans="2:8" x14ac:dyDescent="0.3">
      <c r="B95" t="s">
        <v>58</v>
      </c>
      <c r="C95" t="s">
        <v>15</v>
      </c>
      <c r="D95" t="s">
        <v>19</v>
      </c>
      <c r="E95">
        <v>22</v>
      </c>
      <c r="F95" s="1">
        <v>44446</v>
      </c>
      <c r="G95" s="2">
        <v>112780</v>
      </c>
      <c r="H95" t="s">
        <v>13</v>
      </c>
    </row>
    <row r="96" spans="2:8" x14ac:dyDescent="0.3">
      <c r="B96" t="s">
        <v>70</v>
      </c>
      <c r="C96" t="s">
        <v>15</v>
      </c>
      <c r="D96" t="s">
        <v>9</v>
      </c>
      <c r="E96">
        <v>46</v>
      </c>
      <c r="F96" s="1">
        <v>44758</v>
      </c>
      <c r="G96" s="2">
        <v>70610</v>
      </c>
      <c r="H96" t="s">
        <v>16</v>
      </c>
    </row>
    <row r="97" spans="2:8" x14ac:dyDescent="0.3">
      <c r="B97" t="s">
        <v>75</v>
      </c>
      <c r="C97" t="s">
        <v>8</v>
      </c>
      <c r="D97" t="s">
        <v>19</v>
      </c>
      <c r="E97">
        <v>28</v>
      </c>
      <c r="F97" s="1">
        <v>44357</v>
      </c>
      <c r="G97" s="2">
        <v>53240</v>
      </c>
      <c r="H97" t="s">
        <v>16</v>
      </c>
    </row>
    <row r="98" spans="2:8" x14ac:dyDescent="0.3">
      <c r="B98" t="s">
        <v>49</v>
      </c>
      <c r="D98" t="s">
        <v>21</v>
      </c>
      <c r="E98">
        <v>37</v>
      </c>
      <c r="F98" s="1">
        <v>44146</v>
      </c>
      <c r="G98" s="2">
        <v>115440</v>
      </c>
      <c r="H98" t="s">
        <v>24</v>
      </c>
    </row>
    <row r="99" spans="2:8" x14ac:dyDescent="0.3">
      <c r="B99" t="s">
        <v>65</v>
      </c>
      <c r="C99" t="s">
        <v>15</v>
      </c>
      <c r="D99" t="s">
        <v>19</v>
      </c>
      <c r="E99">
        <v>32</v>
      </c>
      <c r="F99" s="1">
        <v>44465</v>
      </c>
      <c r="G99" s="2">
        <v>53540</v>
      </c>
      <c r="H99" t="s">
        <v>16</v>
      </c>
    </row>
    <row r="100" spans="2:8" x14ac:dyDescent="0.3">
      <c r="B100" t="s">
        <v>81</v>
      </c>
      <c r="C100" t="s">
        <v>8</v>
      </c>
      <c r="D100" t="s">
        <v>9</v>
      </c>
      <c r="E100">
        <v>30</v>
      </c>
      <c r="F100" s="1">
        <v>44861</v>
      </c>
      <c r="G100" s="2">
        <v>112570</v>
      </c>
      <c r="H100" t="s">
        <v>16</v>
      </c>
    </row>
    <row r="101" spans="2:8" x14ac:dyDescent="0.3">
      <c r="B101" t="s">
        <v>51</v>
      </c>
      <c r="C101" t="s">
        <v>15</v>
      </c>
      <c r="D101" t="s">
        <v>9</v>
      </c>
      <c r="E101">
        <v>33</v>
      </c>
      <c r="F101" s="1">
        <v>44701</v>
      </c>
      <c r="G101" s="2">
        <v>48530</v>
      </c>
      <c r="H101" t="s">
        <v>13</v>
      </c>
    </row>
    <row r="102" spans="2:8" x14ac:dyDescent="0.3">
      <c r="B102" t="s">
        <v>61</v>
      </c>
      <c r="C102" t="s">
        <v>8</v>
      </c>
      <c r="D102" t="s">
        <v>12</v>
      </c>
      <c r="E102">
        <v>24</v>
      </c>
      <c r="F102" s="1">
        <v>44148</v>
      </c>
      <c r="G102" s="2">
        <v>62780</v>
      </c>
      <c r="H102" t="s">
        <v>16</v>
      </c>
    </row>
    <row r="103" spans="2:8" x14ac:dyDescent="0.3">
      <c r="B103" t="s">
        <v>202</v>
      </c>
      <c r="E103">
        <f>SUBTOTAL(101,NZ_Staff[Age])</f>
        <v>30.52</v>
      </c>
      <c r="G103" s="2">
        <f>SUBTOTAL(101,NZ_Staff[Salary])</f>
        <v>77472.100000000006</v>
      </c>
      <c r="H103">
        <f>SUBTOTAL(103,NZ_Staff[Rating])</f>
        <v>100</v>
      </c>
    </row>
  </sheetData>
  <conditionalFormatting sqref="B3:B102">
    <cfRule type="duplicateValues" dxfId="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2:G114"/>
  <sheetViews>
    <sheetView zoomScale="85" zoomScaleNormal="85" workbookViewId="0">
      <selection activeCell="H13" sqref="H13"/>
    </sheetView>
  </sheetViews>
  <sheetFormatPr defaultRowHeight="14.4" x14ac:dyDescent="0.3"/>
  <cols>
    <col min="1" max="1" width="28.21875" bestFit="1" customWidth="1"/>
    <col min="2" max="2" width="9" customWidth="1"/>
    <col min="3" max="3" width="5.88671875" customWidth="1"/>
    <col min="4" max="4" width="13.21875" bestFit="1" customWidth="1"/>
    <col min="5" max="5" width="12.6640625" customWidth="1"/>
    <col min="6" max="6" width="13.109375" customWidth="1"/>
    <col min="7" max="7" width="7.77734375" customWidth="1"/>
  </cols>
  <sheetData>
    <row r="2" spans="1:7" x14ac:dyDescent="0.3">
      <c r="A2" t="s">
        <v>0</v>
      </c>
      <c r="B2" t="s">
        <v>1</v>
      </c>
      <c r="C2" t="s">
        <v>3</v>
      </c>
      <c r="D2" t="s">
        <v>6</v>
      </c>
      <c r="E2" t="s">
        <v>4</v>
      </c>
      <c r="F2" t="s">
        <v>2</v>
      </c>
      <c r="G2" t="s">
        <v>5</v>
      </c>
    </row>
    <row r="3" spans="1:7" x14ac:dyDescent="0.3">
      <c r="A3" t="s">
        <v>155</v>
      </c>
      <c r="B3" t="s">
        <v>15</v>
      </c>
      <c r="C3">
        <v>20</v>
      </c>
      <c r="D3" t="s">
        <v>16</v>
      </c>
      <c r="E3" s="1">
        <v>44122</v>
      </c>
      <c r="F3" t="s">
        <v>12</v>
      </c>
      <c r="G3">
        <v>112650</v>
      </c>
    </row>
    <row r="4" spans="1:7" x14ac:dyDescent="0.3">
      <c r="A4" t="s">
        <v>175</v>
      </c>
      <c r="B4" t="s">
        <v>8</v>
      </c>
      <c r="C4">
        <v>32</v>
      </c>
      <c r="D4" t="s">
        <v>13</v>
      </c>
      <c r="E4" s="1">
        <v>44293</v>
      </c>
      <c r="F4" t="s">
        <v>12</v>
      </c>
      <c r="G4">
        <v>43840</v>
      </c>
    </row>
    <row r="5" spans="1:7" x14ac:dyDescent="0.3">
      <c r="A5" t="s">
        <v>142</v>
      </c>
      <c r="B5" t="s">
        <v>15</v>
      </c>
      <c r="C5">
        <v>31</v>
      </c>
      <c r="D5" t="s">
        <v>16</v>
      </c>
      <c r="E5" s="1">
        <v>44663</v>
      </c>
      <c r="F5" t="s">
        <v>9</v>
      </c>
      <c r="G5">
        <v>103550</v>
      </c>
    </row>
    <row r="6" spans="1:7" x14ac:dyDescent="0.3">
      <c r="A6" t="s">
        <v>200</v>
      </c>
      <c r="B6" t="s">
        <v>8</v>
      </c>
      <c r="C6">
        <v>32</v>
      </c>
      <c r="D6" t="s">
        <v>16</v>
      </c>
      <c r="E6" s="1">
        <v>44339</v>
      </c>
      <c r="F6" t="s">
        <v>56</v>
      </c>
      <c r="G6">
        <v>45510</v>
      </c>
    </row>
    <row r="7" spans="1:7" x14ac:dyDescent="0.3">
      <c r="A7" t="s">
        <v>141</v>
      </c>
      <c r="C7">
        <v>37</v>
      </c>
      <c r="D7" t="s">
        <v>24</v>
      </c>
      <c r="E7" s="1">
        <v>44085</v>
      </c>
      <c r="F7" t="s">
        <v>21</v>
      </c>
      <c r="G7">
        <v>115440</v>
      </c>
    </row>
    <row r="8" spans="1:7" x14ac:dyDescent="0.3">
      <c r="A8" t="s">
        <v>201</v>
      </c>
      <c r="B8" t="s">
        <v>8</v>
      </c>
      <c r="C8">
        <v>38</v>
      </c>
      <c r="D8" t="s">
        <v>13</v>
      </c>
      <c r="E8" s="1">
        <v>44268</v>
      </c>
      <c r="F8" t="s">
        <v>19</v>
      </c>
      <c r="G8">
        <v>56870</v>
      </c>
    </row>
    <row r="9" spans="1:7" x14ac:dyDescent="0.3">
      <c r="A9" t="s">
        <v>168</v>
      </c>
      <c r="B9" t="s">
        <v>8</v>
      </c>
      <c r="C9">
        <v>25</v>
      </c>
      <c r="D9" t="s">
        <v>16</v>
      </c>
      <c r="E9" s="1">
        <v>44144</v>
      </c>
      <c r="F9" t="s">
        <v>19</v>
      </c>
      <c r="G9">
        <v>92700</v>
      </c>
    </row>
    <row r="10" spans="1:7" x14ac:dyDescent="0.3">
      <c r="A10" t="s">
        <v>144</v>
      </c>
      <c r="C10">
        <v>32</v>
      </c>
      <c r="D10" t="s">
        <v>16</v>
      </c>
      <c r="E10" s="1">
        <v>44713</v>
      </c>
      <c r="F10" t="s">
        <v>12</v>
      </c>
      <c r="G10">
        <v>91310</v>
      </c>
    </row>
    <row r="11" spans="1:7" x14ac:dyDescent="0.3">
      <c r="A11" t="s">
        <v>114</v>
      </c>
      <c r="B11" t="s">
        <v>15</v>
      </c>
      <c r="C11">
        <v>33</v>
      </c>
      <c r="D11" t="s">
        <v>16</v>
      </c>
      <c r="E11" s="1">
        <v>44324</v>
      </c>
      <c r="F11" t="s">
        <v>19</v>
      </c>
      <c r="G11">
        <v>74550</v>
      </c>
    </row>
    <row r="12" spans="1:7" x14ac:dyDescent="0.3">
      <c r="A12" t="s">
        <v>127</v>
      </c>
      <c r="B12" t="s">
        <v>15</v>
      </c>
      <c r="C12">
        <v>25</v>
      </c>
      <c r="D12" t="s">
        <v>13</v>
      </c>
      <c r="E12" s="1">
        <v>44665</v>
      </c>
      <c r="F12" t="s">
        <v>9</v>
      </c>
      <c r="G12">
        <v>109190</v>
      </c>
    </row>
    <row r="13" spans="1:7" x14ac:dyDescent="0.3">
      <c r="A13" t="s">
        <v>193</v>
      </c>
      <c r="B13" t="s">
        <v>8</v>
      </c>
      <c r="C13">
        <v>40</v>
      </c>
      <c r="D13" t="s">
        <v>16</v>
      </c>
      <c r="E13" s="1">
        <v>44320</v>
      </c>
      <c r="F13" t="s">
        <v>12</v>
      </c>
      <c r="G13">
        <v>104410</v>
      </c>
    </row>
    <row r="14" spans="1:7" x14ac:dyDescent="0.3">
      <c r="A14" t="s">
        <v>176</v>
      </c>
      <c r="B14" t="s">
        <v>15</v>
      </c>
      <c r="C14">
        <v>30</v>
      </c>
      <c r="D14" t="s">
        <v>16</v>
      </c>
      <c r="E14" s="1">
        <v>44544</v>
      </c>
      <c r="F14" t="s">
        <v>21</v>
      </c>
      <c r="G14">
        <v>96800</v>
      </c>
    </row>
    <row r="15" spans="1:7" x14ac:dyDescent="0.3">
      <c r="A15" t="s">
        <v>122</v>
      </c>
      <c r="B15" t="s">
        <v>15</v>
      </c>
      <c r="C15">
        <v>28</v>
      </c>
      <c r="D15" t="s">
        <v>13</v>
      </c>
      <c r="E15" s="1">
        <v>43980</v>
      </c>
      <c r="F15" t="s">
        <v>21</v>
      </c>
      <c r="G15">
        <v>48170</v>
      </c>
    </row>
    <row r="16" spans="1:7" x14ac:dyDescent="0.3">
      <c r="A16" t="s">
        <v>139</v>
      </c>
      <c r="B16" t="s">
        <v>15</v>
      </c>
      <c r="C16">
        <v>21</v>
      </c>
      <c r="D16" t="s">
        <v>16</v>
      </c>
      <c r="E16" s="1">
        <v>44042</v>
      </c>
      <c r="F16" t="s">
        <v>9</v>
      </c>
      <c r="G16">
        <v>37920</v>
      </c>
    </row>
    <row r="17" spans="1:7" x14ac:dyDescent="0.3">
      <c r="A17" t="s">
        <v>177</v>
      </c>
      <c r="B17" t="s">
        <v>15</v>
      </c>
      <c r="C17">
        <v>34</v>
      </c>
      <c r="D17" t="s">
        <v>16</v>
      </c>
      <c r="E17" s="1">
        <v>44642</v>
      </c>
      <c r="F17" t="s">
        <v>9</v>
      </c>
      <c r="G17">
        <v>112650</v>
      </c>
    </row>
    <row r="18" spans="1:7" x14ac:dyDescent="0.3">
      <c r="A18" t="s">
        <v>164</v>
      </c>
      <c r="B18" t="s">
        <v>8</v>
      </c>
      <c r="C18">
        <v>34</v>
      </c>
      <c r="D18" t="s">
        <v>24</v>
      </c>
      <c r="E18" s="1">
        <v>44660</v>
      </c>
      <c r="F18" t="s">
        <v>19</v>
      </c>
      <c r="G18">
        <v>49630</v>
      </c>
    </row>
    <row r="19" spans="1:7" x14ac:dyDescent="0.3">
      <c r="A19" t="s">
        <v>198</v>
      </c>
      <c r="B19" t="s">
        <v>15</v>
      </c>
      <c r="C19">
        <v>36</v>
      </c>
      <c r="D19" t="s">
        <v>16</v>
      </c>
      <c r="E19" s="1">
        <v>43958</v>
      </c>
      <c r="F19" t="s">
        <v>12</v>
      </c>
      <c r="G19">
        <v>118840</v>
      </c>
    </row>
    <row r="20" spans="1:7" x14ac:dyDescent="0.3">
      <c r="A20" t="s">
        <v>158</v>
      </c>
      <c r="B20" t="s">
        <v>15</v>
      </c>
      <c r="C20">
        <v>30</v>
      </c>
      <c r="D20" t="s">
        <v>16</v>
      </c>
      <c r="E20" s="1">
        <v>44789</v>
      </c>
      <c r="F20" t="s">
        <v>12</v>
      </c>
      <c r="G20">
        <v>69710</v>
      </c>
    </row>
    <row r="21" spans="1:7" x14ac:dyDescent="0.3">
      <c r="A21" t="s">
        <v>196</v>
      </c>
      <c r="B21" t="s">
        <v>15</v>
      </c>
      <c r="C21">
        <v>20</v>
      </c>
      <c r="D21" t="s">
        <v>16</v>
      </c>
      <c r="E21" s="1">
        <v>44683</v>
      </c>
      <c r="F21" t="s">
        <v>9</v>
      </c>
      <c r="G21">
        <v>79570</v>
      </c>
    </row>
    <row r="22" spans="1:7" x14ac:dyDescent="0.3">
      <c r="A22" t="s">
        <v>153</v>
      </c>
      <c r="B22" t="s">
        <v>8</v>
      </c>
      <c r="C22">
        <v>22</v>
      </c>
      <c r="D22" t="s">
        <v>13</v>
      </c>
      <c r="E22" s="1">
        <v>44388</v>
      </c>
      <c r="F22" t="s">
        <v>9</v>
      </c>
      <c r="G22">
        <v>76900</v>
      </c>
    </row>
    <row r="23" spans="1:7" x14ac:dyDescent="0.3">
      <c r="A23" t="s">
        <v>181</v>
      </c>
      <c r="B23" t="s">
        <v>15</v>
      </c>
      <c r="C23">
        <v>27</v>
      </c>
      <c r="D23" t="s">
        <v>16</v>
      </c>
      <c r="E23" s="1">
        <v>44073</v>
      </c>
      <c r="F23" t="s">
        <v>19</v>
      </c>
      <c r="G23">
        <v>54970</v>
      </c>
    </row>
    <row r="24" spans="1:7" x14ac:dyDescent="0.3">
      <c r="A24" t="s">
        <v>117</v>
      </c>
      <c r="B24" t="s">
        <v>15</v>
      </c>
      <c r="C24">
        <v>37</v>
      </c>
      <c r="D24" t="s">
        <v>24</v>
      </c>
      <c r="E24" s="1">
        <v>44277</v>
      </c>
      <c r="F24" t="s">
        <v>12</v>
      </c>
      <c r="G24">
        <v>88050</v>
      </c>
    </row>
    <row r="25" spans="1:7" x14ac:dyDescent="0.3">
      <c r="A25" t="s">
        <v>191</v>
      </c>
      <c r="B25" t="s">
        <v>15</v>
      </c>
      <c r="C25">
        <v>43</v>
      </c>
      <c r="D25" t="s">
        <v>16</v>
      </c>
      <c r="E25" s="1">
        <v>44558</v>
      </c>
      <c r="F25" t="s">
        <v>19</v>
      </c>
      <c r="G25">
        <v>36040</v>
      </c>
    </row>
    <row r="26" spans="1:7" x14ac:dyDescent="0.3">
      <c r="A26" t="s">
        <v>110</v>
      </c>
      <c r="B26" t="s">
        <v>8</v>
      </c>
      <c r="C26">
        <v>42</v>
      </c>
      <c r="D26" t="s">
        <v>10</v>
      </c>
      <c r="E26" s="1">
        <v>44718</v>
      </c>
      <c r="F26" t="s">
        <v>9</v>
      </c>
      <c r="G26">
        <v>75000</v>
      </c>
    </row>
    <row r="27" spans="1:7" x14ac:dyDescent="0.3">
      <c r="A27" t="s">
        <v>148</v>
      </c>
      <c r="B27" t="s">
        <v>15</v>
      </c>
      <c r="C27">
        <v>35</v>
      </c>
      <c r="D27" t="s">
        <v>16</v>
      </c>
      <c r="E27" s="1">
        <v>44666</v>
      </c>
      <c r="F27" t="s">
        <v>9</v>
      </c>
      <c r="G27">
        <v>40400</v>
      </c>
    </row>
    <row r="28" spans="1:7" x14ac:dyDescent="0.3">
      <c r="A28" t="s">
        <v>195</v>
      </c>
      <c r="B28" t="s">
        <v>15</v>
      </c>
      <c r="C28">
        <v>24</v>
      </c>
      <c r="D28" t="s">
        <v>16</v>
      </c>
      <c r="E28" s="1">
        <v>44625</v>
      </c>
      <c r="F28" t="s">
        <v>12</v>
      </c>
      <c r="G28">
        <v>100420</v>
      </c>
    </row>
    <row r="29" spans="1:7" x14ac:dyDescent="0.3">
      <c r="A29" t="s">
        <v>119</v>
      </c>
      <c r="B29" t="s">
        <v>8</v>
      </c>
      <c r="C29">
        <v>31</v>
      </c>
      <c r="D29" t="s">
        <v>16</v>
      </c>
      <c r="E29" s="1">
        <v>44604</v>
      </c>
      <c r="F29" t="s">
        <v>12</v>
      </c>
      <c r="G29">
        <v>58100</v>
      </c>
    </row>
    <row r="30" spans="1:7" x14ac:dyDescent="0.3">
      <c r="A30" t="s">
        <v>113</v>
      </c>
      <c r="B30" t="s">
        <v>8</v>
      </c>
      <c r="C30">
        <v>44</v>
      </c>
      <c r="D30" t="s">
        <v>16</v>
      </c>
      <c r="E30" s="1">
        <v>44985</v>
      </c>
      <c r="F30" t="s">
        <v>12</v>
      </c>
      <c r="G30">
        <v>114870</v>
      </c>
    </row>
    <row r="31" spans="1:7" x14ac:dyDescent="0.3">
      <c r="A31" t="s">
        <v>157</v>
      </c>
      <c r="B31" t="s">
        <v>8</v>
      </c>
      <c r="C31">
        <v>32</v>
      </c>
      <c r="D31" t="s">
        <v>16</v>
      </c>
      <c r="E31" s="1">
        <v>44549</v>
      </c>
      <c r="F31" t="s">
        <v>9</v>
      </c>
      <c r="G31">
        <v>41570</v>
      </c>
    </row>
    <row r="32" spans="1:7" x14ac:dyDescent="0.3">
      <c r="A32" t="s">
        <v>172</v>
      </c>
      <c r="B32" t="s">
        <v>8</v>
      </c>
      <c r="C32">
        <v>30</v>
      </c>
      <c r="D32" t="s">
        <v>16</v>
      </c>
      <c r="E32" s="1">
        <v>44800</v>
      </c>
      <c r="F32" t="s">
        <v>9</v>
      </c>
      <c r="G32">
        <v>112570</v>
      </c>
    </row>
    <row r="33" spans="1:7" x14ac:dyDescent="0.3">
      <c r="A33" t="s">
        <v>150</v>
      </c>
      <c r="B33" t="s">
        <v>15</v>
      </c>
      <c r="C33">
        <v>26</v>
      </c>
      <c r="D33" t="s">
        <v>16</v>
      </c>
      <c r="E33" s="1">
        <v>44164</v>
      </c>
      <c r="F33" t="s">
        <v>9</v>
      </c>
      <c r="G33">
        <v>47360</v>
      </c>
    </row>
    <row r="34" spans="1:7" x14ac:dyDescent="0.3">
      <c r="A34" t="s">
        <v>125</v>
      </c>
      <c r="B34" t="s">
        <v>8</v>
      </c>
      <c r="C34">
        <v>21</v>
      </c>
      <c r="D34" t="s">
        <v>16</v>
      </c>
      <c r="E34" s="1">
        <v>44256</v>
      </c>
      <c r="F34" t="s">
        <v>21</v>
      </c>
      <c r="G34">
        <v>65920</v>
      </c>
    </row>
    <row r="35" spans="1:7" x14ac:dyDescent="0.3">
      <c r="A35" t="s">
        <v>199</v>
      </c>
      <c r="B35" t="s">
        <v>8</v>
      </c>
      <c r="C35">
        <v>28</v>
      </c>
      <c r="D35" t="s">
        <v>16</v>
      </c>
      <c r="E35" s="1">
        <v>44571</v>
      </c>
      <c r="F35" t="s">
        <v>9</v>
      </c>
      <c r="G35">
        <v>99970</v>
      </c>
    </row>
    <row r="36" spans="1:7" x14ac:dyDescent="0.3">
      <c r="A36" t="s">
        <v>132</v>
      </c>
      <c r="B36" t="s">
        <v>8</v>
      </c>
      <c r="C36">
        <v>25</v>
      </c>
      <c r="D36" t="s">
        <v>13</v>
      </c>
      <c r="E36" s="1">
        <v>44633</v>
      </c>
      <c r="F36" t="s">
        <v>12</v>
      </c>
      <c r="G36">
        <v>80700</v>
      </c>
    </row>
    <row r="37" spans="1:7" x14ac:dyDescent="0.3">
      <c r="A37" t="s">
        <v>154</v>
      </c>
      <c r="B37" t="s">
        <v>15</v>
      </c>
      <c r="C37">
        <v>24</v>
      </c>
      <c r="D37" t="s">
        <v>24</v>
      </c>
      <c r="E37" s="1">
        <v>44375</v>
      </c>
      <c r="F37" t="s">
        <v>21</v>
      </c>
      <c r="G37">
        <v>52610</v>
      </c>
    </row>
    <row r="38" spans="1:7" x14ac:dyDescent="0.3">
      <c r="A38" t="s">
        <v>179</v>
      </c>
      <c r="B38" t="s">
        <v>15</v>
      </c>
      <c r="C38">
        <v>29</v>
      </c>
      <c r="D38" t="s">
        <v>24</v>
      </c>
      <c r="E38" s="1">
        <v>44119</v>
      </c>
      <c r="F38" t="s">
        <v>12</v>
      </c>
      <c r="G38">
        <v>112110</v>
      </c>
    </row>
    <row r="39" spans="1:7" x14ac:dyDescent="0.3">
      <c r="A39" t="s">
        <v>151</v>
      </c>
      <c r="B39" t="s">
        <v>8</v>
      </c>
      <c r="C39">
        <v>27</v>
      </c>
      <c r="D39" t="s">
        <v>16</v>
      </c>
      <c r="E39" s="1">
        <v>44061</v>
      </c>
      <c r="F39" t="s">
        <v>56</v>
      </c>
      <c r="G39">
        <v>119110</v>
      </c>
    </row>
    <row r="40" spans="1:7" x14ac:dyDescent="0.3">
      <c r="A40" t="s">
        <v>149</v>
      </c>
      <c r="B40" t="s">
        <v>15</v>
      </c>
      <c r="C40">
        <v>22</v>
      </c>
      <c r="D40" t="s">
        <v>13</v>
      </c>
      <c r="E40" s="1">
        <v>44384</v>
      </c>
      <c r="F40" t="s">
        <v>19</v>
      </c>
      <c r="G40">
        <v>112780</v>
      </c>
    </row>
    <row r="41" spans="1:7" x14ac:dyDescent="0.3">
      <c r="A41" t="s">
        <v>174</v>
      </c>
      <c r="B41" t="s">
        <v>8</v>
      </c>
      <c r="C41">
        <v>36</v>
      </c>
      <c r="D41" t="s">
        <v>16</v>
      </c>
      <c r="E41" s="1">
        <v>44023</v>
      </c>
      <c r="F41" t="s">
        <v>9</v>
      </c>
      <c r="G41">
        <v>114890</v>
      </c>
    </row>
    <row r="42" spans="1:7" x14ac:dyDescent="0.3">
      <c r="A42" t="s">
        <v>145</v>
      </c>
      <c r="B42" t="s">
        <v>15</v>
      </c>
      <c r="C42">
        <v>27</v>
      </c>
      <c r="D42" t="s">
        <v>16</v>
      </c>
      <c r="E42" s="1">
        <v>44506</v>
      </c>
      <c r="F42" t="s">
        <v>21</v>
      </c>
      <c r="G42">
        <v>48980</v>
      </c>
    </row>
    <row r="43" spans="1:7" x14ac:dyDescent="0.3">
      <c r="A43" t="s">
        <v>169</v>
      </c>
      <c r="B43" t="s">
        <v>15</v>
      </c>
      <c r="C43">
        <v>21</v>
      </c>
      <c r="D43" t="s">
        <v>16</v>
      </c>
      <c r="E43" s="1">
        <v>44180</v>
      </c>
      <c r="F43" t="s">
        <v>56</v>
      </c>
      <c r="G43">
        <v>75880</v>
      </c>
    </row>
    <row r="44" spans="1:7" x14ac:dyDescent="0.3">
      <c r="A44" t="s">
        <v>166</v>
      </c>
      <c r="B44" t="s">
        <v>8</v>
      </c>
      <c r="C44">
        <v>28</v>
      </c>
      <c r="D44" t="s">
        <v>16</v>
      </c>
      <c r="E44" s="1">
        <v>44296</v>
      </c>
      <c r="F44" t="s">
        <v>19</v>
      </c>
      <c r="G44">
        <v>53240</v>
      </c>
    </row>
    <row r="45" spans="1:7" x14ac:dyDescent="0.3">
      <c r="A45" t="s">
        <v>121</v>
      </c>
      <c r="B45" t="s">
        <v>8</v>
      </c>
      <c r="C45">
        <v>34</v>
      </c>
      <c r="D45" t="s">
        <v>16</v>
      </c>
      <c r="E45" s="1">
        <v>44397</v>
      </c>
      <c r="F45" t="s">
        <v>21</v>
      </c>
      <c r="G45">
        <v>85000</v>
      </c>
    </row>
    <row r="46" spans="1:7" x14ac:dyDescent="0.3">
      <c r="A46" t="s">
        <v>178</v>
      </c>
      <c r="B46" t="s">
        <v>8</v>
      </c>
      <c r="C46">
        <v>21</v>
      </c>
      <c r="D46" t="s">
        <v>16</v>
      </c>
      <c r="E46" s="1">
        <v>44619</v>
      </c>
      <c r="F46" t="s">
        <v>12</v>
      </c>
      <c r="G46">
        <v>33920</v>
      </c>
    </row>
    <row r="47" spans="1:7" x14ac:dyDescent="0.3">
      <c r="A47" t="s">
        <v>187</v>
      </c>
      <c r="B47" t="s">
        <v>8</v>
      </c>
      <c r="C47">
        <v>33</v>
      </c>
      <c r="D47" t="s">
        <v>16</v>
      </c>
      <c r="E47" s="1">
        <v>44253</v>
      </c>
      <c r="F47" t="s">
        <v>12</v>
      </c>
      <c r="G47">
        <v>75280</v>
      </c>
    </row>
    <row r="48" spans="1:7" x14ac:dyDescent="0.3">
      <c r="A48" t="s">
        <v>129</v>
      </c>
      <c r="B48" t="s">
        <v>8</v>
      </c>
      <c r="C48">
        <v>34</v>
      </c>
      <c r="D48" t="s">
        <v>16</v>
      </c>
      <c r="E48" s="1">
        <v>44594</v>
      </c>
      <c r="F48" t="s">
        <v>21</v>
      </c>
      <c r="G48">
        <v>58940</v>
      </c>
    </row>
    <row r="49" spans="1:7" x14ac:dyDescent="0.3">
      <c r="A49" t="s">
        <v>135</v>
      </c>
      <c r="B49" t="s">
        <v>8</v>
      </c>
      <c r="C49">
        <v>28</v>
      </c>
      <c r="D49" t="s">
        <v>16</v>
      </c>
      <c r="E49" s="1">
        <v>44425</v>
      </c>
      <c r="F49" t="s">
        <v>9</v>
      </c>
      <c r="G49">
        <v>104770</v>
      </c>
    </row>
    <row r="50" spans="1:7" x14ac:dyDescent="0.3">
      <c r="A50" t="s">
        <v>124</v>
      </c>
      <c r="B50" t="s">
        <v>15</v>
      </c>
      <c r="C50">
        <v>21</v>
      </c>
      <c r="D50" t="s">
        <v>16</v>
      </c>
      <c r="E50" s="1">
        <v>44701</v>
      </c>
      <c r="F50" t="s">
        <v>9</v>
      </c>
      <c r="G50">
        <v>57090</v>
      </c>
    </row>
    <row r="51" spans="1:7" x14ac:dyDescent="0.3">
      <c r="A51" t="s">
        <v>159</v>
      </c>
      <c r="B51" t="s">
        <v>15</v>
      </c>
      <c r="C51">
        <v>27</v>
      </c>
      <c r="D51" t="s">
        <v>13</v>
      </c>
      <c r="E51" s="1">
        <v>44174</v>
      </c>
      <c r="F51" t="s">
        <v>21</v>
      </c>
      <c r="G51">
        <v>91650</v>
      </c>
    </row>
    <row r="52" spans="1:7" x14ac:dyDescent="0.3">
      <c r="A52" t="s">
        <v>182</v>
      </c>
      <c r="B52" t="s">
        <v>15</v>
      </c>
      <c r="C52">
        <v>42</v>
      </c>
      <c r="D52" t="s">
        <v>24</v>
      </c>
      <c r="E52" s="1">
        <v>44670</v>
      </c>
      <c r="F52" t="s">
        <v>21</v>
      </c>
      <c r="G52">
        <v>70270</v>
      </c>
    </row>
    <row r="53" spans="1:7" x14ac:dyDescent="0.3">
      <c r="A53" t="s">
        <v>128</v>
      </c>
      <c r="B53" t="s">
        <v>8</v>
      </c>
      <c r="C53">
        <v>28</v>
      </c>
      <c r="D53" t="s">
        <v>16</v>
      </c>
      <c r="E53" s="1">
        <v>44124</v>
      </c>
      <c r="F53" t="s">
        <v>21</v>
      </c>
      <c r="G53">
        <v>75970</v>
      </c>
    </row>
    <row r="54" spans="1:7" x14ac:dyDescent="0.3">
      <c r="A54" t="s">
        <v>111</v>
      </c>
      <c r="C54">
        <v>27</v>
      </c>
      <c r="D54" t="s">
        <v>13</v>
      </c>
      <c r="E54" s="1">
        <v>44212</v>
      </c>
      <c r="F54" t="s">
        <v>12</v>
      </c>
      <c r="G54">
        <v>90700</v>
      </c>
    </row>
    <row r="55" spans="1:7" x14ac:dyDescent="0.3">
      <c r="A55" t="s">
        <v>130</v>
      </c>
      <c r="B55" t="s">
        <v>15</v>
      </c>
      <c r="C55">
        <v>30</v>
      </c>
      <c r="D55" t="s">
        <v>16</v>
      </c>
      <c r="E55" s="1">
        <v>44607</v>
      </c>
      <c r="F55" t="s">
        <v>9</v>
      </c>
      <c r="G55">
        <v>60570</v>
      </c>
    </row>
    <row r="56" spans="1:7" x14ac:dyDescent="0.3">
      <c r="A56" t="s">
        <v>133</v>
      </c>
      <c r="B56" t="s">
        <v>15</v>
      </c>
      <c r="C56">
        <v>33</v>
      </c>
      <c r="D56" t="s">
        <v>16</v>
      </c>
      <c r="E56" s="1">
        <v>44103</v>
      </c>
      <c r="F56" t="s">
        <v>9</v>
      </c>
      <c r="G56">
        <v>115920</v>
      </c>
    </row>
    <row r="57" spans="1:7" x14ac:dyDescent="0.3">
      <c r="A57" t="s">
        <v>185</v>
      </c>
      <c r="B57" t="s">
        <v>8</v>
      </c>
      <c r="C57">
        <v>33</v>
      </c>
      <c r="D57" t="s">
        <v>16</v>
      </c>
      <c r="E57" s="1">
        <v>44006</v>
      </c>
      <c r="F57" t="s">
        <v>21</v>
      </c>
      <c r="G57">
        <v>65360</v>
      </c>
    </row>
    <row r="58" spans="1:7" x14ac:dyDescent="0.3">
      <c r="A58" t="s">
        <v>115</v>
      </c>
      <c r="C58">
        <v>30</v>
      </c>
      <c r="D58" t="s">
        <v>16</v>
      </c>
      <c r="E58" s="1">
        <v>44535</v>
      </c>
      <c r="F58" t="s">
        <v>21</v>
      </c>
      <c r="G58">
        <v>64000</v>
      </c>
    </row>
    <row r="59" spans="1:7" x14ac:dyDescent="0.3">
      <c r="A59" t="s">
        <v>194</v>
      </c>
      <c r="B59" t="s">
        <v>8</v>
      </c>
      <c r="C59">
        <v>34</v>
      </c>
      <c r="D59" t="s">
        <v>16</v>
      </c>
      <c r="E59" s="1">
        <v>44383</v>
      </c>
      <c r="F59" t="s">
        <v>21</v>
      </c>
      <c r="G59">
        <v>92450</v>
      </c>
    </row>
    <row r="60" spans="1:7" x14ac:dyDescent="0.3">
      <c r="A60" t="s">
        <v>112</v>
      </c>
      <c r="B60" t="s">
        <v>15</v>
      </c>
      <c r="C60">
        <v>31</v>
      </c>
      <c r="D60" t="s">
        <v>16</v>
      </c>
      <c r="E60" s="1">
        <v>44450</v>
      </c>
      <c r="F60" t="s">
        <v>12</v>
      </c>
      <c r="G60">
        <v>48950</v>
      </c>
    </row>
    <row r="61" spans="1:7" x14ac:dyDescent="0.3">
      <c r="A61" t="s">
        <v>184</v>
      </c>
      <c r="B61" t="s">
        <v>8</v>
      </c>
      <c r="C61">
        <v>27</v>
      </c>
      <c r="D61" t="s">
        <v>16</v>
      </c>
      <c r="E61" s="1">
        <v>44625</v>
      </c>
      <c r="F61" t="s">
        <v>12</v>
      </c>
      <c r="G61">
        <v>83750</v>
      </c>
    </row>
    <row r="62" spans="1:7" x14ac:dyDescent="0.3">
      <c r="A62" t="s">
        <v>165</v>
      </c>
      <c r="B62" t="s">
        <v>8</v>
      </c>
      <c r="C62">
        <v>40</v>
      </c>
      <c r="D62" t="s">
        <v>16</v>
      </c>
      <c r="E62" s="1">
        <v>44276</v>
      </c>
      <c r="F62" t="s">
        <v>12</v>
      </c>
      <c r="G62">
        <v>87620</v>
      </c>
    </row>
    <row r="63" spans="1:7" x14ac:dyDescent="0.3">
      <c r="A63" t="s">
        <v>183</v>
      </c>
      <c r="B63" t="s">
        <v>8</v>
      </c>
      <c r="C63">
        <v>20</v>
      </c>
      <c r="D63" t="s">
        <v>24</v>
      </c>
      <c r="E63" s="1">
        <v>44476</v>
      </c>
      <c r="F63" t="s">
        <v>19</v>
      </c>
      <c r="G63">
        <v>68900</v>
      </c>
    </row>
    <row r="64" spans="1:7" x14ac:dyDescent="0.3">
      <c r="A64" t="s">
        <v>156</v>
      </c>
      <c r="B64" t="s">
        <v>15</v>
      </c>
      <c r="C64">
        <v>32</v>
      </c>
      <c r="D64" t="s">
        <v>16</v>
      </c>
      <c r="E64" s="1">
        <v>44403</v>
      </c>
      <c r="F64" t="s">
        <v>19</v>
      </c>
      <c r="G64">
        <v>53540</v>
      </c>
    </row>
    <row r="65" spans="1:7" x14ac:dyDescent="0.3">
      <c r="A65" t="s">
        <v>171</v>
      </c>
      <c r="B65" t="s">
        <v>15</v>
      </c>
      <c r="C65">
        <v>28</v>
      </c>
      <c r="D65" t="s">
        <v>42</v>
      </c>
      <c r="E65" s="1">
        <v>44758</v>
      </c>
      <c r="F65" t="s">
        <v>19</v>
      </c>
      <c r="G65">
        <v>43510</v>
      </c>
    </row>
    <row r="66" spans="1:7" x14ac:dyDescent="0.3">
      <c r="A66" t="s">
        <v>126</v>
      </c>
      <c r="B66" t="s">
        <v>8</v>
      </c>
      <c r="C66">
        <v>38</v>
      </c>
      <c r="D66" t="s">
        <v>10</v>
      </c>
      <c r="E66" s="1">
        <v>44316</v>
      </c>
      <c r="F66" t="s">
        <v>19</v>
      </c>
      <c r="G66">
        <v>109160</v>
      </c>
    </row>
    <row r="67" spans="1:7" x14ac:dyDescent="0.3">
      <c r="A67" t="s">
        <v>197</v>
      </c>
      <c r="B67" t="s">
        <v>15</v>
      </c>
      <c r="C67">
        <v>40</v>
      </c>
      <c r="D67" t="s">
        <v>16</v>
      </c>
      <c r="E67" s="1">
        <v>44204</v>
      </c>
      <c r="F67" t="s">
        <v>9</v>
      </c>
      <c r="G67">
        <v>99750</v>
      </c>
    </row>
    <row r="68" spans="1:7" x14ac:dyDescent="0.3">
      <c r="A68" t="s">
        <v>123</v>
      </c>
      <c r="B68" t="s">
        <v>8</v>
      </c>
      <c r="C68">
        <v>31</v>
      </c>
      <c r="D68" t="s">
        <v>16</v>
      </c>
      <c r="E68" s="1">
        <v>44084</v>
      </c>
      <c r="F68" t="s">
        <v>12</v>
      </c>
      <c r="G68">
        <v>41980</v>
      </c>
    </row>
    <row r="69" spans="1:7" x14ac:dyDescent="0.3">
      <c r="A69" t="s">
        <v>186</v>
      </c>
      <c r="B69" t="s">
        <v>15</v>
      </c>
      <c r="C69">
        <v>36</v>
      </c>
      <c r="D69" t="s">
        <v>16</v>
      </c>
      <c r="E69" s="1">
        <v>44272</v>
      </c>
      <c r="F69" t="s">
        <v>21</v>
      </c>
      <c r="G69">
        <v>71380</v>
      </c>
    </row>
    <row r="70" spans="1:7" x14ac:dyDescent="0.3">
      <c r="A70" t="s">
        <v>190</v>
      </c>
      <c r="B70" t="s">
        <v>15</v>
      </c>
      <c r="C70">
        <v>27</v>
      </c>
      <c r="D70" t="s">
        <v>42</v>
      </c>
      <c r="E70" s="1">
        <v>44547</v>
      </c>
      <c r="F70" t="s">
        <v>9</v>
      </c>
      <c r="G70">
        <v>113280</v>
      </c>
    </row>
    <row r="71" spans="1:7" x14ac:dyDescent="0.3">
      <c r="A71" t="s">
        <v>180</v>
      </c>
      <c r="B71" t="s">
        <v>8</v>
      </c>
      <c r="C71">
        <v>33</v>
      </c>
      <c r="D71" t="s">
        <v>16</v>
      </c>
      <c r="E71" s="1">
        <v>44747</v>
      </c>
      <c r="F71" t="s">
        <v>21</v>
      </c>
      <c r="G71">
        <v>86570</v>
      </c>
    </row>
    <row r="72" spans="1:7" x14ac:dyDescent="0.3">
      <c r="A72" t="s">
        <v>138</v>
      </c>
      <c r="B72" t="s">
        <v>15</v>
      </c>
      <c r="C72">
        <v>26</v>
      </c>
      <c r="D72" t="s">
        <v>16</v>
      </c>
      <c r="E72" s="1">
        <v>44350</v>
      </c>
      <c r="F72" t="s">
        <v>9</v>
      </c>
      <c r="G72">
        <v>53540</v>
      </c>
    </row>
    <row r="73" spans="1:7" x14ac:dyDescent="0.3">
      <c r="A73" t="s">
        <v>189</v>
      </c>
      <c r="B73" t="s">
        <v>15</v>
      </c>
      <c r="C73">
        <v>37</v>
      </c>
      <c r="D73" t="s">
        <v>16</v>
      </c>
      <c r="E73" s="1">
        <v>44640</v>
      </c>
      <c r="F73" t="s">
        <v>12</v>
      </c>
      <c r="G73">
        <v>69070</v>
      </c>
    </row>
    <row r="74" spans="1:7" x14ac:dyDescent="0.3">
      <c r="A74" t="s">
        <v>120</v>
      </c>
      <c r="B74" t="s">
        <v>8</v>
      </c>
      <c r="C74">
        <v>30</v>
      </c>
      <c r="D74" t="s">
        <v>24</v>
      </c>
      <c r="E74" s="1">
        <v>44328</v>
      </c>
      <c r="F74" t="s">
        <v>21</v>
      </c>
      <c r="G74">
        <v>67910</v>
      </c>
    </row>
    <row r="75" spans="1:7" x14ac:dyDescent="0.3">
      <c r="A75" t="s">
        <v>118</v>
      </c>
      <c r="B75" t="s">
        <v>15</v>
      </c>
      <c r="C75">
        <v>30</v>
      </c>
      <c r="D75" t="s">
        <v>16</v>
      </c>
      <c r="E75" s="1">
        <v>44214</v>
      </c>
      <c r="F75" t="s">
        <v>12</v>
      </c>
      <c r="G75">
        <v>69120</v>
      </c>
    </row>
    <row r="76" spans="1:7" x14ac:dyDescent="0.3">
      <c r="A76" t="s">
        <v>131</v>
      </c>
      <c r="B76" t="s">
        <v>8</v>
      </c>
      <c r="C76">
        <v>34</v>
      </c>
      <c r="D76" t="s">
        <v>16</v>
      </c>
      <c r="E76" s="1">
        <v>44550</v>
      </c>
      <c r="F76" t="s">
        <v>21</v>
      </c>
      <c r="G76">
        <v>60130</v>
      </c>
    </row>
    <row r="77" spans="1:7" x14ac:dyDescent="0.3">
      <c r="A77" t="s">
        <v>160</v>
      </c>
      <c r="B77" t="s">
        <v>15</v>
      </c>
      <c r="C77">
        <v>23</v>
      </c>
      <c r="D77" t="s">
        <v>16</v>
      </c>
      <c r="E77" s="1">
        <v>44378</v>
      </c>
      <c r="F77" t="s">
        <v>9</v>
      </c>
      <c r="G77">
        <v>106460</v>
      </c>
    </row>
    <row r="78" spans="1:7" x14ac:dyDescent="0.3">
      <c r="A78" t="s">
        <v>147</v>
      </c>
      <c r="B78" t="s">
        <v>8</v>
      </c>
      <c r="C78">
        <v>37</v>
      </c>
      <c r="D78" t="s">
        <v>16</v>
      </c>
      <c r="E78" s="1">
        <v>44389</v>
      </c>
      <c r="F78" t="s">
        <v>56</v>
      </c>
      <c r="G78">
        <v>118100</v>
      </c>
    </row>
    <row r="79" spans="1:7" x14ac:dyDescent="0.3">
      <c r="A79" t="s">
        <v>163</v>
      </c>
      <c r="B79" t="s">
        <v>8</v>
      </c>
      <c r="C79">
        <v>36</v>
      </c>
      <c r="D79" t="s">
        <v>16</v>
      </c>
      <c r="E79" s="1">
        <v>44468</v>
      </c>
      <c r="F79" t="s">
        <v>9</v>
      </c>
      <c r="G79">
        <v>78390</v>
      </c>
    </row>
    <row r="80" spans="1:7" x14ac:dyDescent="0.3">
      <c r="A80" t="s">
        <v>146</v>
      </c>
      <c r="B80" t="s">
        <v>8</v>
      </c>
      <c r="C80">
        <v>30</v>
      </c>
      <c r="D80" t="s">
        <v>16</v>
      </c>
      <c r="E80" s="1">
        <v>44789</v>
      </c>
      <c r="F80" t="s">
        <v>9</v>
      </c>
      <c r="G80">
        <v>114180</v>
      </c>
    </row>
    <row r="81" spans="1:7" x14ac:dyDescent="0.3">
      <c r="A81" t="s">
        <v>188</v>
      </c>
      <c r="B81" t="s">
        <v>8</v>
      </c>
      <c r="C81">
        <v>28</v>
      </c>
      <c r="D81" t="s">
        <v>16</v>
      </c>
      <c r="E81" s="1">
        <v>44590</v>
      </c>
      <c r="F81" t="s">
        <v>9</v>
      </c>
      <c r="G81">
        <v>104120</v>
      </c>
    </row>
    <row r="82" spans="1:7" x14ac:dyDescent="0.3">
      <c r="A82" t="s">
        <v>137</v>
      </c>
      <c r="B82" t="s">
        <v>15</v>
      </c>
      <c r="C82">
        <v>30</v>
      </c>
      <c r="D82" t="s">
        <v>16</v>
      </c>
      <c r="E82" s="1">
        <v>44640</v>
      </c>
      <c r="F82" t="s">
        <v>9</v>
      </c>
      <c r="G82">
        <v>67950</v>
      </c>
    </row>
    <row r="83" spans="1:7" x14ac:dyDescent="0.3">
      <c r="A83" t="s">
        <v>136</v>
      </c>
      <c r="B83" t="s">
        <v>8</v>
      </c>
      <c r="C83">
        <v>29</v>
      </c>
      <c r="D83" t="s">
        <v>16</v>
      </c>
      <c r="E83" s="1">
        <v>43962</v>
      </c>
      <c r="F83" t="s">
        <v>12</v>
      </c>
      <c r="G83">
        <v>34980</v>
      </c>
    </row>
    <row r="84" spans="1:7" x14ac:dyDescent="0.3">
      <c r="A84" t="s">
        <v>152</v>
      </c>
      <c r="B84" t="s">
        <v>8</v>
      </c>
      <c r="C84">
        <v>24</v>
      </c>
      <c r="D84" t="s">
        <v>16</v>
      </c>
      <c r="E84" s="1">
        <v>44087</v>
      </c>
      <c r="F84" t="s">
        <v>12</v>
      </c>
      <c r="G84">
        <v>62780</v>
      </c>
    </row>
    <row r="85" spans="1:7" x14ac:dyDescent="0.3">
      <c r="A85" t="s">
        <v>116</v>
      </c>
      <c r="B85" t="s">
        <v>15</v>
      </c>
      <c r="C85">
        <v>20</v>
      </c>
      <c r="D85" t="s">
        <v>16</v>
      </c>
      <c r="E85" s="1">
        <v>44397</v>
      </c>
      <c r="F85" t="s">
        <v>12</v>
      </c>
      <c r="G85">
        <v>107700</v>
      </c>
    </row>
    <row r="86" spans="1:7" x14ac:dyDescent="0.3">
      <c r="A86" t="s">
        <v>167</v>
      </c>
      <c r="B86" t="s">
        <v>15</v>
      </c>
      <c r="C86">
        <v>25</v>
      </c>
      <c r="D86" t="s">
        <v>16</v>
      </c>
      <c r="E86" s="1">
        <v>44322</v>
      </c>
      <c r="F86" t="s">
        <v>19</v>
      </c>
      <c r="G86">
        <v>65700</v>
      </c>
    </row>
    <row r="87" spans="1:7" x14ac:dyDescent="0.3">
      <c r="A87" t="s">
        <v>134</v>
      </c>
      <c r="B87" t="s">
        <v>8</v>
      </c>
      <c r="C87">
        <v>33</v>
      </c>
      <c r="D87" t="s">
        <v>42</v>
      </c>
      <c r="E87" s="1">
        <v>44313</v>
      </c>
      <c r="F87" t="s">
        <v>12</v>
      </c>
      <c r="G87">
        <v>75480</v>
      </c>
    </row>
    <row r="88" spans="1:7" x14ac:dyDescent="0.3">
      <c r="A88" t="s">
        <v>173</v>
      </c>
      <c r="B88" t="s">
        <v>15</v>
      </c>
      <c r="C88">
        <v>33</v>
      </c>
      <c r="D88" t="s">
        <v>16</v>
      </c>
      <c r="E88" s="1">
        <v>44448</v>
      </c>
      <c r="F88" t="s">
        <v>12</v>
      </c>
      <c r="G88">
        <v>53870</v>
      </c>
    </row>
    <row r="89" spans="1:7" x14ac:dyDescent="0.3">
      <c r="A89" t="s">
        <v>140</v>
      </c>
      <c r="B89" t="s">
        <v>8</v>
      </c>
      <c r="C89">
        <v>36</v>
      </c>
      <c r="D89" t="s">
        <v>16</v>
      </c>
      <c r="E89" s="1">
        <v>44433</v>
      </c>
      <c r="F89" t="s">
        <v>19</v>
      </c>
      <c r="G89">
        <v>78540</v>
      </c>
    </row>
    <row r="90" spans="1:7" x14ac:dyDescent="0.3">
      <c r="A90" t="s">
        <v>192</v>
      </c>
      <c r="B90" t="s">
        <v>15</v>
      </c>
      <c r="C90">
        <v>19</v>
      </c>
      <c r="D90" t="s">
        <v>16</v>
      </c>
      <c r="E90" s="1">
        <v>44218</v>
      </c>
      <c r="F90" t="s">
        <v>9</v>
      </c>
      <c r="G90">
        <v>58960</v>
      </c>
    </row>
    <row r="91" spans="1:7" x14ac:dyDescent="0.3">
      <c r="A91" t="s">
        <v>161</v>
      </c>
      <c r="B91" t="s">
        <v>15</v>
      </c>
      <c r="C91">
        <v>46</v>
      </c>
      <c r="D91" t="s">
        <v>16</v>
      </c>
      <c r="E91" s="1">
        <v>44697</v>
      </c>
      <c r="F91" t="s">
        <v>9</v>
      </c>
      <c r="G91">
        <v>70610</v>
      </c>
    </row>
    <row r="92" spans="1:7" x14ac:dyDescent="0.3">
      <c r="A92" t="s">
        <v>170</v>
      </c>
      <c r="B92" t="s">
        <v>15</v>
      </c>
      <c r="C92">
        <v>33</v>
      </c>
      <c r="D92" t="s">
        <v>16</v>
      </c>
      <c r="E92" s="1">
        <v>44181</v>
      </c>
      <c r="F92" t="s">
        <v>21</v>
      </c>
      <c r="G92">
        <v>59430</v>
      </c>
    </row>
    <row r="93" spans="1:7" x14ac:dyDescent="0.3">
      <c r="A93" t="s">
        <v>143</v>
      </c>
      <c r="B93" t="s">
        <v>15</v>
      </c>
      <c r="C93">
        <v>33</v>
      </c>
      <c r="D93" t="s">
        <v>13</v>
      </c>
      <c r="E93" s="1">
        <v>44640</v>
      </c>
      <c r="F93" t="s">
        <v>9</v>
      </c>
      <c r="G93">
        <v>48530</v>
      </c>
    </row>
    <row r="94" spans="1:7" x14ac:dyDescent="0.3">
      <c r="A94" t="s">
        <v>162</v>
      </c>
      <c r="B94" t="s">
        <v>8</v>
      </c>
      <c r="C94">
        <v>33</v>
      </c>
      <c r="D94" t="s">
        <v>16</v>
      </c>
      <c r="E94" s="1">
        <v>44129</v>
      </c>
      <c r="F94" t="s">
        <v>12</v>
      </c>
      <c r="G94">
        <v>96140</v>
      </c>
    </row>
    <row r="95" spans="1:7" x14ac:dyDescent="0.3">
      <c r="A95" t="s">
        <v>155</v>
      </c>
      <c r="B95" t="s">
        <v>15</v>
      </c>
      <c r="C95">
        <v>20</v>
      </c>
      <c r="D95" t="s">
        <v>16</v>
      </c>
      <c r="E95" s="1">
        <v>44122</v>
      </c>
      <c r="F95" t="s">
        <v>12</v>
      </c>
      <c r="G95">
        <v>112650</v>
      </c>
    </row>
    <row r="96" spans="1:7" x14ac:dyDescent="0.3">
      <c r="A96" t="s">
        <v>175</v>
      </c>
      <c r="B96" t="s">
        <v>8</v>
      </c>
      <c r="C96">
        <v>32</v>
      </c>
      <c r="D96" t="s">
        <v>13</v>
      </c>
      <c r="E96" s="1">
        <v>44293</v>
      </c>
      <c r="F96" t="s">
        <v>12</v>
      </c>
      <c r="G96">
        <v>43840</v>
      </c>
    </row>
    <row r="97" spans="1:7" x14ac:dyDescent="0.3">
      <c r="A97" t="s">
        <v>142</v>
      </c>
      <c r="B97" t="s">
        <v>15</v>
      </c>
      <c r="C97">
        <v>31</v>
      </c>
      <c r="D97" t="s">
        <v>16</v>
      </c>
      <c r="E97" s="1">
        <v>44663</v>
      </c>
      <c r="F97" t="s">
        <v>9</v>
      </c>
      <c r="G97">
        <v>103550</v>
      </c>
    </row>
    <row r="98" spans="1:7" x14ac:dyDescent="0.3">
      <c r="A98" t="s">
        <v>200</v>
      </c>
      <c r="B98" t="s">
        <v>8</v>
      </c>
      <c r="C98">
        <v>32</v>
      </c>
      <c r="D98" t="s">
        <v>16</v>
      </c>
      <c r="E98" s="1">
        <v>44339</v>
      </c>
      <c r="F98" t="s">
        <v>56</v>
      </c>
      <c r="G98">
        <v>45510</v>
      </c>
    </row>
    <row r="99" spans="1:7" x14ac:dyDescent="0.3">
      <c r="A99" t="s">
        <v>141</v>
      </c>
      <c r="C99">
        <v>37</v>
      </c>
      <c r="D99" t="s">
        <v>24</v>
      </c>
      <c r="E99" s="1">
        <v>44085</v>
      </c>
      <c r="F99" t="s">
        <v>21</v>
      </c>
      <c r="G99">
        <v>115440</v>
      </c>
    </row>
    <row r="100" spans="1:7" x14ac:dyDescent="0.3">
      <c r="A100" t="s">
        <v>201</v>
      </c>
      <c r="B100" t="s">
        <v>8</v>
      </c>
      <c r="C100">
        <v>38</v>
      </c>
      <c r="D100" t="s">
        <v>13</v>
      </c>
      <c r="E100" s="1">
        <v>44268</v>
      </c>
      <c r="F100" t="s">
        <v>19</v>
      </c>
      <c r="G100">
        <v>56870</v>
      </c>
    </row>
    <row r="101" spans="1:7" x14ac:dyDescent="0.3">
      <c r="A101" t="s">
        <v>168</v>
      </c>
      <c r="B101" t="s">
        <v>8</v>
      </c>
      <c r="C101">
        <v>25</v>
      </c>
      <c r="D101" t="s">
        <v>16</v>
      </c>
      <c r="E101" s="1">
        <v>44144</v>
      </c>
      <c r="F101" t="s">
        <v>19</v>
      </c>
      <c r="G101">
        <v>92700</v>
      </c>
    </row>
    <row r="102" spans="1:7" x14ac:dyDescent="0.3">
      <c r="A102" t="s">
        <v>144</v>
      </c>
      <c r="C102">
        <v>32</v>
      </c>
      <c r="D102" t="s">
        <v>16</v>
      </c>
      <c r="E102" s="1">
        <v>44713</v>
      </c>
      <c r="F102" t="s">
        <v>12</v>
      </c>
      <c r="G102">
        <v>91310</v>
      </c>
    </row>
    <row r="103" spans="1:7" x14ac:dyDescent="0.3">
      <c r="A103" t="s">
        <v>114</v>
      </c>
      <c r="B103" t="s">
        <v>15</v>
      </c>
      <c r="C103">
        <v>33</v>
      </c>
      <c r="D103" t="s">
        <v>16</v>
      </c>
      <c r="E103" s="1">
        <v>44324</v>
      </c>
      <c r="F103" t="s">
        <v>19</v>
      </c>
      <c r="G103">
        <v>74550</v>
      </c>
    </row>
    <row r="104" spans="1:7" x14ac:dyDescent="0.3">
      <c r="A104" t="s">
        <v>127</v>
      </c>
      <c r="B104" t="s">
        <v>15</v>
      </c>
      <c r="C104">
        <v>25</v>
      </c>
      <c r="D104" t="s">
        <v>13</v>
      </c>
      <c r="E104" s="1">
        <v>44665</v>
      </c>
      <c r="F104" t="s">
        <v>9</v>
      </c>
      <c r="G104">
        <v>109190</v>
      </c>
    </row>
    <row r="105" spans="1:7" x14ac:dyDescent="0.3">
      <c r="A105" t="s">
        <v>193</v>
      </c>
      <c r="B105" t="s">
        <v>8</v>
      </c>
      <c r="C105">
        <v>40</v>
      </c>
      <c r="D105" t="s">
        <v>16</v>
      </c>
      <c r="E105" s="1">
        <v>44320</v>
      </c>
      <c r="F105" t="s">
        <v>12</v>
      </c>
      <c r="G105">
        <v>104410</v>
      </c>
    </row>
    <row r="106" spans="1:7" x14ac:dyDescent="0.3">
      <c r="A106" t="s">
        <v>176</v>
      </c>
      <c r="B106" t="s">
        <v>15</v>
      </c>
      <c r="C106">
        <v>30</v>
      </c>
      <c r="D106" t="s">
        <v>16</v>
      </c>
      <c r="E106" s="1">
        <v>44544</v>
      </c>
      <c r="F106" t="s">
        <v>21</v>
      </c>
      <c r="G106">
        <v>96800</v>
      </c>
    </row>
    <row r="107" spans="1:7" x14ac:dyDescent="0.3">
      <c r="A107" t="s">
        <v>122</v>
      </c>
      <c r="B107" t="s">
        <v>15</v>
      </c>
      <c r="C107">
        <v>28</v>
      </c>
      <c r="D107" t="s">
        <v>13</v>
      </c>
      <c r="E107" s="1">
        <v>43980</v>
      </c>
      <c r="F107" t="s">
        <v>21</v>
      </c>
      <c r="G107">
        <v>48170</v>
      </c>
    </row>
    <row r="108" spans="1:7" x14ac:dyDescent="0.3">
      <c r="A108" t="s">
        <v>139</v>
      </c>
      <c r="B108" t="s">
        <v>15</v>
      </c>
      <c r="C108">
        <v>21</v>
      </c>
      <c r="D108" t="s">
        <v>16</v>
      </c>
      <c r="E108" s="1">
        <v>44042</v>
      </c>
      <c r="F108" t="s">
        <v>9</v>
      </c>
      <c r="G108">
        <v>37920</v>
      </c>
    </row>
    <row r="109" spans="1:7" x14ac:dyDescent="0.3">
      <c r="A109" t="s">
        <v>177</v>
      </c>
      <c r="B109" t="s">
        <v>15</v>
      </c>
      <c r="C109">
        <v>34</v>
      </c>
      <c r="D109" t="s">
        <v>16</v>
      </c>
      <c r="E109" s="1">
        <v>44642</v>
      </c>
      <c r="F109" t="s">
        <v>9</v>
      </c>
      <c r="G109">
        <v>112650</v>
      </c>
    </row>
    <row r="110" spans="1:7" x14ac:dyDescent="0.3">
      <c r="A110" t="s">
        <v>164</v>
      </c>
      <c r="B110" t="s">
        <v>8</v>
      </c>
      <c r="C110">
        <v>34</v>
      </c>
      <c r="D110" t="s">
        <v>24</v>
      </c>
      <c r="E110" s="1">
        <v>44660</v>
      </c>
      <c r="F110" t="s">
        <v>19</v>
      </c>
      <c r="G110">
        <v>49630</v>
      </c>
    </row>
    <row r="111" spans="1:7" x14ac:dyDescent="0.3">
      <c r="A111" t="s">
        <v>198</v>
      </c>
      <c r="B111" t="s">
        <v>15</v>
      </c>
      <c r="C111">
        <v>36</v>
      </c>
      <c r="D111" t="s">
        <v>16</v>
      </c>
      <c r="E111" s="1">
        <v>43958</v>
      </c>
      <c r="F111" t="s">
        <v>12</v>
      </c>
      <c r="G111">
        <v>118840</v>
      </c>
    </row>
    <row r="112" spans="1:7" x14ac:dyDescent="0.3">
      <c r="A112" t="s">
        <v>158</v>
      </c>
      <c r="B112" t="s">
        <v>15</v>
      </c>
      <c r="C112">
        <v>30</v>
      </c>
      <c r="D112" t="s">
        <v>16</v>
      </c>
      <c r="E112" s="1">
        <v>44789</v>
      </c>
      <c r="F112" t="s">
        <v>12</v>
      </c>
      <c r="G112">
        <v>69710</v>
      </c>
    </row>
    <row r="113" spans="1:7" x14ac:dyDescent="0.3">
      <c r="A113" t="s">
        <v>196</v>
      </c>
      <c r="B113" t="s">
        <v>15</v>
      </c>
      <c r="C113">
        <v>20</v>
      </c>
      <c r="D113" t="s">
        <v>16</v>
      </c>
      <c r="E113" s="1">
        <v>44683</v>
      </c>
      <c r="F113" t="s">
        <v>9</v>
      </c>
      <c r="G113">
        <v>79570</v>
      </c>
    </row>
    <row r="114" spans="1:7" x14ac:dyDescent="0.3">
      <c r="A114" t="s">
        <v>153</v>
      </c>
      <c r="B114" t="s">
        <v>8</v>
      </c>
      <c r="C114">
        <v>22</v>
      </c>
      <c r="D114" t="s">
        <v>13</v>
      </c>
      <c r="E114" s="1">
        <v>44388</v>
      </c>
      <c r="F114" t="s">
        <v>9</v>
      </c>
      <c r="G114">
        <v>76900</v>
      </c>
    </row>
  </sheetData>
  <conditionalFormatting sqref="A3:A114">
    <cfRule type="duplicateValues" dxfId="2"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36DF-16A8-4AD0-A418-431C7E18B35F}">
  <sheetPr>
    <tabColor theme="9" tint="-0.249977111117893"/>
  </sheetPr>
  <dimension ref="A1:P185"/>
  <sheetViews>
    <sheetView zoomScale="85" zoomScaleNormal="85" workbookViewId="0">
      <selection activeCell="M11" sqref="M11"/>
    </sheetView>
  </sheetViews>
  <sheetFormatPr defaultRowHeight="14.4" x14ac:dyDescent="0.3"/>
  <cols>
    <col min="1" max="1" width="28.21875" bestFit="1" customWidth="1"/>
    <col min="2" max="2" width="9.21875" bestFit="1" customWidth="1"/>
    <col min="3" max="3" width="6.21875" bestFit="1" customWidth="1"/>
    <col min="4" max="4" width="13.21875" bestFit="1" customWidth="1"/>
    <col min="5" max="5" width="12.88671875" bestFit="1" customWidth="1"/>
    <col min="6" max="6" width="13.33203125" bestFit="1" customWidth="1"/>
    <col min="7" max="7" width="11.6640625" bestFit="1" customWidth="1"/>
    <col min="8" max="8" width="9.77734375" bestFit="1" customWidth="1"/>
    <col min="9" max="9" width="9" bestFit="1" customWidth="1"/>
    <col min="10" max="10" width="9" customWidth="1"/>
    <col min="11" max="11" width="14.44140625" bestFit="1" customWidth="1"/>
    <col min="12" max="12" width="9" customWidth="1"/>
    <col min="13" max="13" width="13.6640625" bestFit="1" customWidth="1"/>
    <col min="14" max="14" width="23.21875" bestFit="1" customWidth="1"/>
    <col min="15" max="15" width="14.6640625" bestFit="1" customWidth="1"/>
  </cols>
  <sheetData>
    <row r="1" spans="1:16" x14ac:dyDescent="0.3">
      <c r="A1" t="s">
        <v>0</v>
      </c>
      <c r="B1" t="s">
        <v>1</v>
      </c>
      <c r="C1" t="s">
        <v>3</v>
      </c>
      <c r="D1" t="s">
        <v>6</v>
      </c>
      <c r="E1" t="s">
        <v>4</v>
      </c>
      <c r="F1" t="s">
        <v>2</v>
      </c>
      <c r="G1" t="s">
        <v>5</v>
      </c>
      <c r="H1" t="s">
        <v>203</v>
      </c>
      <c r="I1" t="s">
        <v>212</v>
      </c>
      <c r="J1" t="s">
        <v>228</v>
      </c>
      <c r="K1" t="s">
        <v>229</v>
      </c>
    </row>
    <row r="2" spans="1:16" x14ac:dyDescent="0.3">
      <c r="A2" t="s">
        <v>178</v>
      </c>
      <c r="B2" t="s">
        <v>8</v>
      </c>
      <c r="C2">
        <v>21</v>
      </c>
      <c r="D2" t="s">
        <v>16</v>
      </c>
      <c r="E2" s="3">
        <v>44619</v>
      </c>
      <c r="F2" t="s">
        <v>12</v>
      </c>
      <c r="G2" s="2">
        <v>33920</v>
      </c>
      <c r="H2" t="s">
        <v>204</v>
      </c>
      <c r="I2" s="5">
        <f ca="1">(TODAY()-Staff[[#This Row],[Date Joined]])/365</f>
        <v>2.526027397260274</v>
      </c>
      <c r="J2" s="20">
        <f ca="1">ROUNDUP(IF(Staff[[#This Row],[Tenure]]&gt;2,0.03,0.02)*Staff[[#This Row],[Salary]],0)</f>
        <v>1018</v>
      </c>
      <c r="K2" s="5">
        <f>_xlfn.XLOOKUP(Staff[[#This Row],[Rating]],'Female Vs Male Comp.'!$I$8:$I$12,'Female Vs Male Comp.'!$J$8:$J$12)</f>
        <v>3</v>
      </c>
      <c r="L2" s="5"/>
      <c r="M2" s="23">
        <v>1</v>
      </c>
    </row>
    <row r="3" spans="1:16" x14ac:dyDescent="0.3">
      <c r="A3" t="s">
        <v>86</v>
      </c>
      <c r="B3" t="s">
        <v>8</v>
      </c>
      <c r="C3">
        <v>21</v>
      </c>
      <c r="D3" t="s">
        <v>16</v>
      </c>
      <c r="E3" s="3">
        <v>44678</v>
      </c>
      <c r="F3" t="s">
        <v>12</v>
      </c>
      <c r="G3" s="2">
        <v>33920</v>
      </c>
      <c r="H3" t="s">
        <v>206</v>
      </c>
      <c r="I3" s="5">
        <f ca="1">(TODAY()-Staff[[#This Row],[Date Joined]])/365</f>
        <v>2.3643835616438356</v>
      </c>
      <c r="J3" s="20">
        <f ca="1">ROUNDUP(IF(Staff[[#This Row],[Tenure]]&gt;2,0.03,0.02)*Staff[[#This Row],[Salary]],0)</f>
        <v>1018</v>
      </c>
      <c r="K3" s="5">
        <f>_xlfn.XLOOKUP(Staff[[#This Row],[Rating]],'Female Vs Male Comp.'!$I$8:$I$12,'Female Vs Male Comp.'!$J$8:$J$12)</f>
        <v>3</v>
      </c>
      <c r="L3" s="5"/>
      <c r="N3" s="12" t="s">
        <v>207</v>
      </c>
    </row>
    <row r="4" spans="1:16" x14ac:dyDescent="0.3">
      <c r="A4" t="s">
        <v>136</v>
      </c>
      <c r="B4" t="s">
        <v>8</v>
      </c>
      <c r="C4">
        <v>29</v>
      </c>
      <c r="D4" t="s">
        <v>16</v>
      </c>
      <c r="E4" s="3">
        <v>43962</v>
      </c>
      <c r="F4" t="s">
        <v>12</v>
      </c>
      <c r="G4" s="2">
        <v>34980</v>
      </c>
      <c r="H4" t="s">
        <v>204</v>
      </c>
      <c r="I4" s="5">
        <f ca="1">(TODAY()-Staff[[#This Row],[Date Joined]])/365</f>
        <v>4.3260273972602743</v>
      </c>
      <c r="J4" s="20">
        <f ca="1">ROUNDUP(IF(Staff[[#This Row],[Tenure]]&gt;2,0.03,0.02)*Staff[[#This Row],[Salary]],0)</f>
        <v>1050</v>
      </c>
      <c r="K4" s="5">
        <f>_xlfn.XLOOKUP(Staff[[#This Row],[Rating]],'Female Vs Male Comp.'!$I$8:$I$12,'Female Vs Male Comp.'!$J$8:$J$12)</f>
        <v>3</v>
      </c>
      <c r="L4" s="5"/>
      <c r="N4" s="8" t="s">
        <v>208</v>
      </c>
      <c r="O4" s="9">
        <f>COUNTA(Staff[Name])</f>
        <v>183</v>
      </c>
      <c r="P4" s="8"/>
    </row>
    <row r="5" spans="1:16" x14ac:dyDescent="0.3">
      <c r="A5" t="s">
        <v>44</v>
      </c>
      <c r="B5" t="s">
        <v>8</v>
      </c>
      <c r="C5">
        <v>29</v>
      </c>
      <c r="D5" t="s">
        <v>16</v>
      </c>
      <c r="E5" s="3">
        <v>44023</v>
      </c>
      <c r="F5" t="s">
        <v>12</v>
      </c>
      <c r="G5" s="2">
        <v>34980</v>
      </c>
      <c r="H5" t="s">
        <v>206</v>
      </c>
      <c r="I5" s="5">
        <f ca="1">(TODAY()-Staff[[#This Row],[Date Joined]])/365</f>
        <v>4.1589041095890407</v>
      </c>
      <c r="J5" s="20">
        <f ca="1">ROUNDUP(IF(Staff[[#This Row],[Tenure]]&gt;2,0.03,0.02)*Staff[[#This Row],[Salary]],0)</f>
        <v>1050</v>
      </c>
      <c r="K5" s="5">
        <f>_xlfn.XLOOKUP(Staff[[#This Row],[Rating]],'Female Vs Male Comp.'!$I$8:$I$12,'Female Vs Male Comp.'!$J$8:$J$12)</f>
        <v>3</v>
      </c>
      <c r="L5" s="5"/>
      <c r="N5" s="8" t="s">
        <v>209</v>
      </c>
      <c r="O5" s="9">
        <f>AVERAGE(Staff[Salary])</f>
        <v>77173.715846994543</v>
      </c>
      <c r="P5" s="8">
        <f>MEDIAN(Staff[Salary])</f>
        <v>75000</v>
      </c>
    </row>
    <row r="6" spans="1:16" x14ac:dyDescent="0.3">
      <c r="A6" t="s">
        <v>191</v>
      </c>
      <c r="B6" t="s">
        <v>15</v>
      </c>
      <c r="C6">
        <v>43</v>
      </c>
      <c r="D6" t="s">
        <v>16</v>
      </c>
      <c r="E6" s="3">
        <v>44558</v>
      </c>
      <c r="F6" t="s">
        <v>19</v>
      </c>
      <c r="G6" s="2">
        <v>36040</v>
      </c>
      <c r="H6" t="s">
        <v>204</v>
      </c>
      <c r="I6" s="5">
        <f ca="1">(TODAY()-Staff[[#This Row],[Date Joined]])/365</f>
        <v>2.6931506849315068</v>
      </c>
      <c r="J6" s="20">
        <f ca="1">ROUNDUP(IF(Staff[[#This Row],[Tenure]]&gt;2,0.03,0.02)*Staff[[#This Row],[Salary]],0)</f>
        <v>1082</v>
      </c>
      <c r="K6" s="5">
        <f>_xlfn.XLOOKUP(Staff[[#This Row],[Rating]],'Female Vs Male Comp.'!$I$8:$I$12,'Female Vs Male Comp.'!$J$8:$J$12)</f>
        <v>3</v>
      </c>
      <c r="L6" s="5"/>
      <c r="N6" s="8" t="s">
        <v>210</v>
      </c>
      <c r="O6" s="9">
        <f>AVERAGE(Staff[Age])</f>
        <v>30.42622950819672</v>
      </c>
      <c r="P6" s="8">
        <f>MEDIAN(Staff[Age])</f>
        <v>30</v>
      </c>
    </row>
    <row r="7" spans="1:16" x14ac:dyDescent="0.3">
      <c r="A7" t="s">
        <v>99</v>
      </c>
      <c r="B7" t="s">
        <v>15</v>
      </c>
      <c r="C7">
        <v>43</v>
      </c>
      <c r="D7" t="s">
        <v>16</v>
      </c>
      <c r="E7" s="3">
        <v>44620</v>
      </c>
      <c r="F7" t="s">
        <v>19</v>
      </c>
      <c r="G7" s="2">
        <v>36040</v>
      </c>
      <c r="H7" t="s">
        <v>206</v>
      </c>
      <c r="I7" s="5">
        <f ca="1">(TODAY()-Staff[[#This Row],[Date Joined]])/365</f>
        <v>2.5232876712328767</v>
      </c>
      <c r="J7" s="20">
        <f ca="1">ROUNDUP(IF(Staff[[#This Row],[Tenure]]&gt;2,0.03,0.02)*Staff[[#This Row],[Salary]],0)</f>
        <v>1082</v>
      </c>
      <c r="K7" s="5">
        <f>_xlfn.XLOOKUP(Staff[[#This Row],[Rating]],'Female Vs Male Comp.'!$I$8:$I$12,'Female Vs Male Comp.'!$J$8:$J$12)</f>
        <v>3</v>
      </c>
      <c r="L7" s="5"/>
      <c r="N7" s="8" t="s">
        <v>211</v>
      </c>
      <c r="O7" s="9">
        <f ca="1">AVERAGE(Staff[Tenure])</f>
        <v>3.0355266112732986</v>
      </c>
      <c r="P7" s="8"/>
    </row>
    <row r="8" spans="1:16" x14ac:dyDescent="0.3">
      <c r="A8" t="s">
        <v>139</v>
      </c>
      <c r="B8" t="s">
        <v>15</v>
      </c>
      <c r="C8">
        <v>21</v>
      </c>
      <c r="D8" t="s">
        <v>16</v>
      </c>
      <c r="E8" s="3">
        <v>44042</v>
      </c>
      <c r="F8" t="s">
        <v>9</v>
      </c>
      <c r="G8" s="2">
        <v>37920</v>
      </c>
      <c r="H8" t="s">
        <v>204</v>
      </c>
      <c r="I8" s="5">
        <f ca="1">(TODAY()-Staff[[#This Row],[Date Joined]])/365</f>
        <v>4.1068493150684935</v>
      </c>
      <c r="J8" s="20">
        <f ca="1">ROUNDUP(IF(Staff[[#This Row],[Tenure]]&gt;2,0.03,0.02)*Staff[[#This Row],[Salary]],0)</f>
        <v>1138</v>
      </c>
      <c r="K8" s="5">
        <f>_xlfn.XLOOKUP(Staff[[#This Row],[Rating]],'Female Vs Male Comp.'!$I$8:$I$12,'Female Vs Male Comp.'!$J$8:$J$12)</f>
        <v>3</v>
      </c>
      <c r="L8" s="5"/>
      <c r="N8" s="8" t="s">
        <v>214</v>
      </c>
      <c r="O8" s="10">
        <f>O9/O4</f>
        <v>0.46994535519125685</v>
      </c>
      <c r="P8" s="8"/>
    </row>
    <row r="9" spans="1:16" x14ac:dyDescent="0.3">
      <c r="A9" t="s">
        <v>47</v>
      </c>
      <c r="B9" t="s">
        <v>15</v>
      </c>
      <c r="C9">
        <v>21</v>
      </c>
      <c r="D9" t="s">
        <v>16</v>
      </c>
      <c r="E9" s="3">
        <v>44104</v>
      </c>
      <c r="F9" t="s">
        <v>9</v>
      </c>
      <c r="G9" s="2">
        <v>37920</v>
      </c>
      <c r="H9" t="s">
        <v>206</v>
      </c>
      <c r="I9" s="5">
        <f ca="1">(TODAY()-Staff[[#This Row],[Date Joined]])/365</f>
        <v>3.9369863013698629</v>
      </c>
      <c r="J9" s="20">
        <f ca="1">ROUNDUP(IF(Staff[[#This Row],[Tenure]]&gt;2,0.03,0.02)*Staff[[#This Row],[Salary]],0)</f>
        <v>1138</v>
      </c>
      <c r="K9" s="5">
        <f>_xlfn.XLOOKUP(Staff[[#This Row],[Rating]],'Female Vs Male Comp.'!$I$8:$I$12,'Female Vs Male Comp.'!$J$8:$J$12)</f>
        <v>3</v>
      </c>
      <c r="L9" s="5"/>
      <c r="N9" s="8" t="s">
        <v>213</v>
      </c>
      <c r="O9" s="9">
        <f>COUNTIFS(Staff[Gender],"Female")</f>
        <v>86</v>
      </c>
      <c r="P9" s="8"/>
    </row>
    <row r="10" spans="1:16" x14ac:dyDescent="0.3">
      <c r="A10" t="s">
        <v>148</v>
      </c>
      <c r="B10" t="s">
        <v>15</v>
      </c>
      <c r="C10">
        <v>35</v>
      </c>
      <c r="D10" t="s">
        <v>16</v>
      </c>
      <c r="E10" s="3">
        <v>44666</v>
      </c>
      <c r="F10" t="s">
        <v>9</v>
      </c>
      <c r="G10" s="2">
        <v>40400</v>
      </c>
      <c r="H10" t="s">
        <v>204</v>
      </c>
      <c r="I10" s="5">
        <f ca="1">(TODAY()-Staff[[#This Row],[Date Joined]])/365</f>
        <v>2.3972602739726026</v>
      </c>
      <c r="J10" s="20">
        <f ca="1">ROUNDUP(IF(Staff[[#This Row],[Tenure]]&gt;2,0.03,0.02)*Staff[[#This Row],[Salary]],0)</f>
        <v>1212</v>
      </c>
      <c r="K10" s="5">
        <f>_xlfn.XLOOKUP(Staff[[#This Row],[Rating]],'Female Vs Male Comp.'!$I$8:$I$12,'Female Vs Male Comp.'!$J$8:$J$12)</f>
        <v>3</v>
      </c>
      <c r="L10" s="5"/>
      <c r="N10" s="8" t="s">
        <v>215</v>
      </c>
      <c r="O10" s="11">
        <f>(COUNTIFS(Staff[Salary],"&gt;=90,000")/O4)</f>
        <v>0.34426229508196721</v>
      </c>
      <c r="P10" s="8"/>
    </row>
    <row r="11" spans="1:16" x14ac:dyDescent="0.3">
      <c r="A11" t="s">
        <v>57</v>
      </c>
      <c r="B11" t="s">
        <v>15</v>
      </c>
      <c r="C11">
        <v>35</v>
      </c>
      <c r="D11" t="s">
        <v>16</v>
      </c>
      <c r="E11" s="3">
        <v>44727</v>
      </c>
      <c r="F11" t="s">
        <v>9</v>
      </c>
      <c r="G11" s="2">
        <v>40400</v>
      </c>
      <c r="H11" t="s">
        <v>206</v>
      </c>
      <c r="I11" s="5">
        <f ca="1">(TODAY()-Staff[[#This Row],[Date Joined]])/365</f>
        <v>2.2301369863013698</v>
      </c>
      <c r="J11" s="20">
        <f ca="1">ROUNDUP(IF(Staff[[#This Row],[Tenure]]&gt;2,0.03,0.02)*Staff[[#This Row],[Salary]],0)</f>
        <v>1212</v>
      </c>
      <c r="K11" s="5">
        <f>_xlfn.XLOOKUP(Staff[[#This Row],[Rating]],'Female Vs Male Comp.'!$I$8:$I$12,'Female Vs Male Comp.'!$J$8:$J$12)</f>
        <v>3</v>
      </c>
      <c r="L11" s="5"/>
      <c r="N11" s="8" t="s">
        <v>216</v>
      </c>
      <c r="O11" s="11">
        <f>(COUNTIF(Staff[Salary],"&lt;=50,000")/O4)</f>
        <v>0.17486338797814208</v>
      </c>
      <c r="P11" s="8"/>
    </row>
    <row r="12" spans="1:16" x14ac:dyDescent="0.3">
      <c r="A12" t="s">
        <v>157</v>
      </c>
      <c r="B12" t="s">
        <v>8</v>
      </c>
      <c r="C12">
        <v>32</v>
      </c>
      <c r="D12" t="s">
        <v>16</v>
      </c>
      <c r="E12" s="3">
        <v>44549</v>
      </c>
      <c r="F12" t="s">
        <v>9</v>
      </c>
      <c r="G12" s="2">
        <v>41570</v>
      </c>
      <c r="H12" t="s">
        <v>204</v>
      </c>
      <c r="I12" s="5">
        <f ca="1">(TODAY()-Staff[[#This Row],[Date Joined]])/365</f>
        <v>2.7178082191780821</v>
      </c>
      <c r="J12" s="20">
        <f ca="1">ROUNDUP(IF(Staff[[#This Row],[Tenure]]&gt;2,0.03,0.02)*Staff[[#This Row],[Salary]],0)</f>
        <v>1248</v>
      </c>
      <c r="K12" s="5">
        <f>_xlfn.XLOOKUP(Staff[[#This Row],[Rating]],'Female Vs Male Comp.'!$I$8:$I$12,'Female Vs Male Comp.'!$J$8:$J$12)</f>
        <v>3</v>
      </c>
      <c r="L12" s="5"/>
    </row>
    <row r="13" spans="1:16" x14ac:dyDescent="0.3">
      <c r="A13" t="s">
        <v>66</v>
      </c>
      <c r="B13" t="s">
        <v>8</v>
      </c>
      <c r="C13">
        <v>32</v>
      </c>
      <c r="D13" t="s">
        <v>16</v>
      </c>
      <c r="E13" s="3">
        <v>44611</v>
      </c>
      <c r="F13" t="s">
        <v>9</v>
      </c>
      <c r="G13" s="2">
        <v>41570</v>
      </c>
      <c r="H13" t="s">
        <v>206</v>
      </c>
      <c r="I13" s="5">
        <f ca="1">(TODAY()-Staff[[#This Row],[Date Joined]])/365</f>
        <v>2.547945205479452</v>
      </c>
      <c r="J13" s="20">
        <f ca="1">ROUNDUP(IF(Staff[[#This Row],[Tenure]]&gt;2,0.03,0.02)*Staff[[#This Row],[Salary]],0)</f>
        <v>1248</v>
      </c>
      <c r="K13" s="5">
        <f>_xlfn.XLOOKUP(Staff[[#This Row],[Rating]],'Female Vs Male Comp.'!$I$8:$I$12,'Female Vs Male Comp.'!$J$8:$J$12)</f>
        <v>3</v>
      </c>
      <c r="L13" s="5"/>
      <c r="M13" s="23">
        <v>2</v>
      </c>
      <c r="O13" s="6"/>
    </row>
    <row r="14" spans="1:16" x14ac:dyDescent="0.3">
      <c r="A14" t="s">
        <v>123</v>
      </c>
      <c r="B14" t="s">
        <v>8</v>
      </c>
      <c r="C14">
        <v>31</v>
      </c>
      <c r="D14" t="s">
        <v>16</v>
      </c>
      <c r="E14" s="3">
        <v>44084</v>
      </c>
      <c r="F14" t="s">
        <v>12</v>
      </c>
      <c r="G14" s="2">
        <v>41980</v>
      </c>
      <c r="H14" t="s">
        <v>204</v>
      </c>
      <c r="I14" s="5">
        <f ca="1">(TODAY()-Staff[[#This Row],[Date Joined]])/365</f>
        <v>3.9917808219178084</v>
      </c>
      <c r="J14" s="20">
        <f ca="1">ROUNDUP(IF(Staff[[#This Row],[Tenure]]&gt;2,0.03,0.02)*Staff[[#This Row],[Salary]],0)</f>
        <v>1260</v>
      </c>
      <c r="K14" s="5">
        <f>_xlfn.XLOOKUP(Staff[[#This Row],[Rating]],'Female Vs Male Comp.'!$I$8:$I$12,'Female Vs Male Comp.'!$J$8:$J$12)</f>
        <v>3</v>
      </c>
      <c r="L14" s="5"/>
      <c r="N14" s="12" t="s">
        <v>218</v>
      </c>
    </row>
    <row r="15" spans="1:16" x14ac:dyDescent="0.3">
      <c r="A15" t="s">
        <v>30</v>
      </c>
      <c r="B15" t="s">
        <v>8</v>
      </c>
      <c r="C15">
        <v>31</v>
      </c>
      <c r="D15" t="s">
        <v>16</v>
      </c>
      <c r="E15" s="3">
        <v>44145</v>
      </c>
      <c r="F15" t="s">
        <v>12</v>
      </c>
      <c r="G15" s="2">
        <v>41980</v>
      </c>
      <c r="H15" t="s">
        <v>206</v>
      </c>
      <c r="I15" s="5">
        <f ca="1">(TODAY()-Staff[[#This Row],[Date Joined]])/365</f>
        <v>3.8246575342465752</v>
      </c>
      <c r="J15" s="20">
        <f ca="1">ROUNDUP(IF(Staff[[#This Row],[Tenure]]&gt;2,0.03,0.02)*Staff[[#This Row],[Salary]],0)</f>
        <v>1260</v>
      </c>
      <c r="K15" s="5">
        <f>_xlfn.XLOOKUP(Staff[[#This Row],[Rating]],'Female Vs Male Comp.'!$I$8:$I$12,'Female Vs Male Comp.'!$J$8:$J$12)</f>
        <v>3</v>
      </c>
      <c r="L15" s="5"/>
      <c r="N15" s="8" t="s">
        <v>0</v>
      </c>
      <c r="O15" s="8" t="s">
        <v>178</v>
      </c>
    </row>
    <row r="16" spans="1:16" x14ac:dyDescent="0.3">
      <c r="A16" t="s">
        <v>171</v>
      </c>
      <c r="B16" t="s">
        <v>15</v>
      </c>
      <c r="C16">
        <v>28</v>
      </c>
      <c r="D16" t="s">
        <v>42</v>
      </c>
      <c r="E16" s="3">
        <v>44758</v>
      </c>
      <c r="F16" t="s">
        <v>19</v>
      </c>
      <c r="G16" s="2">
        <v>43510</v>
      </c>
      <c r="H16" t="s">
        <v>204</v>
      </c>
      <c r="I16" s="5">
        <f ca="1">(TODAY()-Staff[[#This Row],[Date Joined]])/365</f>
        <v>2.1452054794520548</v>
      </c>
      <c r="J16" s="20">
        <f ca="1">ROUNDUP(IF(Staff[[#This Row],[Tenure]]&gt;2,0.03,0.02)*Staff[[#This Row],[Salary]],0)</f>
        <v>1306</v>
      </c>
      <c r="K16" s="5">
        <f>_xlfn.XLOOKUP(Staff[[#This Row],[Rating]],'Female Vs Male Comp.'!$I$8:$I$12,'Female Vs Male Comp.'!$J$8:$J$12)</f>
        <v>1</v>
      </c>
      <c r="L16" s="5"/>
      <c r="N16" s="8" t="s">
        <v>1</v>
      </c>
      <c r="O16" s="13" t="str" cm="1">
        <f t="array" aca="1" ref="O16:O23" ca="1">TRANSPOSE(_xlfn.XLOOKUP(O15,Staff[Name],Staff[[Gender]:[Tenure]]))</f>
        <v>Female</v>
      </c>
    </row>
    <row r="17" spans="1:15" x14ac:dyDescent="0.3">
      <c r="A17" t="s">
        <v>80</v>
      </c>
      <c r="B17" t="s">
        <v>15</v>
      </c>
      <c r="C17">
        <v>28</v>
      </c>
      <c r="D17" t="s">
        <v>42</v>
      </c>
      <c r="E17" s="3">
        <v>44820</v>
      </c>
      <c r="F17" t="s">
        <v>19</v>
      </c>
      <c r="G17" s="2">
        <v>43510</v>
      </c>
      <c r="H17" t="s">
        <v>206</v>
      </c>
      <c r="I17" s="5">
        <f ca="1">(TODAY()-Staff[[#This Row],[Date Joined]])/365</f>
        <v>1.9753424657534246</v>
      </c>
      <c r="J17" s="20">
        <f ca="1">ROUNDUP(IF(Staff[[#This Row],[Tenure]]&gt;2,0.03,0.02)*Staff[[#This Row],[Salary]],0)</f>
        <v>871</v>
      </c>
      <c r="K17" s="5">
        <f>_xlfn.XLOOKUP(Staff[[#This Row],[Rating]],'Female Vs Male Comp.'!$I$8:$I$12,'Female Vs Male Comp.'!$J$8:$J$12)</f>
        <v>1</v>
      </c>
      <c r="L17" s="5"/>
      <c r="N17" s="8" t="s">
        <v>3</v>
      </c>
      <c r="O17" s="13">
        <f ca="1"/>
        <v>21</v>
      </c>
    </row>
    <row r="18" spans="1:15" x14ac:dyDescent="0.3">
      <c r="A18" t="s">
        <v>175</v>
      </c>
      <c r="B18" t="s">
        <v>8</v>
      </c>
      <c r="C18">
        <v>32</v>
      </c>
      <c r="D18" t="s">
        <v>13</v>
      </c>
      <c r="E18" s="3">
        <v>44293</v>
      </c>
      <c r="F18" t="s">
        <v>12</v>
      </c>
      <c r="G18" s="2">
        <v>43840</v>
      </c>
      <c r="H18" t="s">
        <v>204</v>
      </c>
      <c r="I18" s="5">
        <f ca="1">(TODAY()-Staff[[#This Row],[Date Joined]])/365</f>
        <v>3.419178082191781</v>
      </c>
      <c r="J18" s="20">
        <f ca="1">ROUNDUP(IF(Staff[[#This Row],[Tenure]]&gt;2,0.03,0.02)*Staff[[#This Row],[Salary]],0)</f>
        <v>1316</v>
      </c>
      <c r="K18" s="5">
        <f>_xlfn.XLOOKUP(Staff[[#This Row],[Rating]],'Female Vs Male Comp.'!$I$8:$I$12,'Female Vs Male Comp.'!$J$8:$J$12)</f>
        <v>4</v>
      </c>
      <c r="L18" s="5"/>
      <c r="N18" s="8" t="s">
        <v>6</v>
      </c>
      <c r="O18" s="13" t="str">
        <f ca="1"/>
        <v>Average</v>
      </c>
    </row>
    <row r="19" spans="1:15" x14ac:dyDescent="0.3">
      <c r="A19" t="s">
        <v>84</v>
      </c>
      <c r="B19" t="s">
        <v>8</v>
      </c>
      <c r="C19">
        <v>32</v>
      </c>
      <c r="D19" t="s">
        <v>13</v>
      </c>
      <c r="E19" s="3">
        <v>44354</v>
      </c>
      <c r="F19" t="s">
        <v>12</v>
      </c>
      <c r="G19" s="2">
        <v>43840</v>
      </c>
      <c r="H19" t="s">
        <v>206</v>
      </c>
      <c r="I19" s="5">
        <f ca="1">(TODAY()-Staff[[#This Row],[Date Joined]])/365</f>
        <v>3.2520547945205478</v>
      </c>
      <c r="J19" s="20">
        <f ca="1">ROUNDUP(IF(Staff[[#This Row],[Tenure]]&gt;2,0.03,0.02)*Staff[[#This Row],[Salary]],0)</f>
        <v>1316</v>
      </c>
      <c r="K19" s="5">
        <f>_xlfn.XLOOKUP(Staff[[#This Row],[Rating]],'Female Vs Male Comp.'!$I$8:$I$12,'Female Vs Male Comp.'!$J$8:$J$12)</f>
        <v>4</v>
      </c>
      <c r="L19" s="5"/>
      <c r="N19" s="8" t="s">
        <v>4</v>
      </c>
      <c r="O19" s="14">
        <f ca="1"/>
        <v>44619</v>
      </c>
    </row>
    <row r="20" spans="1:15" x14ac:dyDescent="0.3">
      <c r="A20" t="s">
        <v>200</v>
      </c>
      <c r="B20" t="s">
        <v>8</v>
      </c>
      <c r="C20">
        <v>32</v>
      </c>
      <c r="D20" t="s">
        <v>16</v>
      </c>
      <c r="E20" s="3">
        <v>44339</v>
      </c>
      <c r="F20" t="s">
        <v>56</v>
      </c>
      <c r="G20" s="2">
        <v>45510</v>
      </c>
      <c r="H20" t="s">
        <v>204</v>
      </c>
      <c r="I20" s="5">
        <f ca="1">(TODAY()-Staff[[#This Row],[Date Joined]])/365</f>
        <v>3.2931506849315069</v>
      </c>
      <c r="J20" s="20">
        <f ca="1">ROUNDUP(IF(Staff[[#This Row],[Tenure]]&gt;2,0.03,0.02)*Staff[[#This Row],[Salary]],0)</f>
        <v>1366</v>
      </c>
      <c r="K20" s="5">
        <f>_xlfn.XLOOKUP(Staff[[#This Row],[Rating]],'Female Vs Male Comp.'!$I$8:$I$12,'Female Vs Male Comp.'!$J$8:$J$12)</f>
        <v>3</v>
      </c>
      <c r="L20" s="5"/>
      <c r="N20" s="8" t="s">
        <v>2</v>
      </c>
      <c r="O20" s="13" t="str">
        <f ca="1"/>
        <v>Website</v>
      </c>
    </row>
    <row r="21" spans="1:15" x14ac:dyDescent="0.3">
      <c r="A21" t="s">
        <v>108</v>
      </c>
      <c r="B21" t="s">
        <v>8</v>
      </c>
      <c r="C21">
        <v>32</v>
      </c>
      <c r="D21" t="s">
        <v>16</v>
      </c>
      <c r="E21" s="3">
        <v>44400</v>
      </c>
      <c r="F21" t="s">
        <v>56</v>
      </c>
      <c r="G21" s="2">
        <v>45510</v>
      </c>
      <c r="H21" t="s">
        <v>206</v>
      </c>
      <c r="I21" s="5">
        <f ca="1">(TODAY()-Staff[[#This Row],[Date Joined]])/365</f>
        <v>3.1260273972602741</v>
      </c>
      <c r="J21" s="20">
        <f ca="1">ROUNDUP(IF(Staff[[#This Row],[Tenure]]&gt;2,0.03,0.02)*Staff[[#This Row],[Salary]],0)</f>
        <v>1366</v>
      </c>
      <c r="K21" s="5">
        <f>_xlfn.XLOOKUP(Staff[[#This Row],[Rating]],'Female Vs Male Comp.'!$I$8:$I$12,'Female Vs Male Comp.'!$J$8:$J$12)</f>
        <v>3</v>
      </c>
      <c r="L21" s="5"/>
      <c r="N21" s="8" t="s">
        <v>5</v>
      </c>
      <c r="O21" s="13">
        <f ca="1"/>
        <v>33920</v>
      </c>
    </row>
    <row r="22" spans="1:15" x14ac:dyDescent="0.3">
      <c r="A22" t="s">
        <v>150</v>
      </c>
      <c r="B22" t="s">
        <v>15</v>
      </c>
      <c r="C22">
        <v>26</v>
      </c>
      <c r="D22" t="s">
        <v>16</v>
      </c>
      <c r="E22" s="3">
        <v>44164</v>
      </c>
      <c r="F22" t="s">
        <v>9</v>
      </c>
      <c r="G22" s="2">
        <v>47360</v>
      </c>
      <c r="H22" t="s">
        <v>204</v>
      </c>
      <c r="I22" s="5">
        <f ca="1">(TODAY()-Staff[[#This Row],[Date Joined]])/365</f>
        <v>3.7726027397260276</v>
      </c>
      <c r="J22" s="20">
        <f ca="1">ROUNDUP(IF(Staff[[#This Row],[Tenure]]&gt;2,0.03,0.02)*Staff[[#This Row],[Salary]],0)</f>
        <v>1421</v>
      </c>
      <c r="K22" s="5">
        <f>_xlfn.XLOOKUP(Staff[[#This Row],[Rating]],'Female Vs Male Comp.'!$I$8:$I$12,'Female Vs Male Comp.'!$J$8:$J$12)</f>
        <v>3</v>
      </c>
      <c r="L22" s="5"/>
      <c r="N22" s="8" t="s">
        <v>203</v>
      </c>
      <c r="O22" s="13" t="str">
        <f ca="1"/>
        <v>IND</v>
      </c>
    </row>
    <row r="23" spans="1:15" x14ac:dyDescent="0.3">
      <c r="A23" t="s">
        <v>59</v>
      </c>
      <c r="B23" t="s">
        <v>15</v>
      </c>
      <c r="C23">
        <v>26</v>
      </c>
      <c r="D23" t="s">
        <v>16</v>
      </c>
      <c r="E23" s="3">
        <v>44225</v>
      </c>
      <c r="F23" t="s">
        <v>9</v>
      </c>
      <c r="G23" s="2">
        <v>47360</v>
      </c>
      <c r="H23" t="s">
        <v>206</v>
      </c>
      <c r="I23" s="5">
        <f ca="1">(TODAY()-Staff[[#This Row],[Date Joined]])/365</f>
        <v>3.6054794520547944</v>
      </c>
      <c r="J23" s="20">
        <f ca="1">ROUNDUP(IF(Staff[[#This Row],[Tenure]]&gt;2,0.03,0.02)*Staff[[#This Row],[Salary]],0)</f>
        <v>1421</v>
      </c>
      <c r="K23" s="5">
        <f>_xlfn.XLOOKUP(Staff[[#This Row],[Rating]],'Female Vs Male Comp.'!$I$8:$I$12,'Female Vs Male Comp.'!$J$8:$J$12)</f>
        <v>3</v>
      </c>
      <c r="L23" s="5"/>
      <c r="N23" s="8" t="s">
        <v>212</v>
      </c>
      <c r="O23" s="13">
        <f ca="1"/>
        <v>2.526027397260274</v>
      </c>
    </row>
    <row r="24" spans="1:15" x14ac:dyDescent="0.3">
      <c r="A24" t="s">
        <v>122</v>
      </c>
      <c r="B24" t="s">
        <v>15</v>
      </c>
      <c r="C24">
        <v>28</v>
      </c>
      <c r="D24" t="s">
        <v>13</v>
      </c>
      <c r="E24" s="3">
        <v>43980</v>
      </c>
      <c r="F24" t="s">
        <v>21</v>
      </c>
      <c r="G24" s="2">
        <v>48170</v>
      </c>
      <c r="H24" t="s">
        <v>204</v>
      </c>
      <c r="I24" s="5">
        <f ca="1">(TODAY()-Staff[[#This Row],[Date Joined]])/365</f>
        <v>4.2767123287671236</v>
      </c>
      <c r="J24" s="20">
        <f ca="1">ROUNDUP(IF(Staff[[#This Row],[Tenure]]&gt;2,0.03,0.02)*Staff[[#This Row],[Salary]],0)</f>
        <v>1446</v>
      </c>
      <c r="K24" s="5">
        <f>_xlfn.XLOOKUP(Staff[[#This Row],[Rating]],'Female Vs Male Comp.'!$I$8:$I$12,'Female Vs Male Comp.'!$J$8:$J$12)</f>
        <v>4</v>
      </c>
      <c r="L24" s="5"/>
    </row>
    <row r="25" spans="1:15" x14ac:dyDescent="0.3">
      <c r="A25" t="s">
        <v>29</v>
      </c>
      <c r="B25" t="s">
        <v>15</v>
      </c>
      <c r="C25">
        <v>28</v>
      </c>
      <c r="D25" t="s">
        <v>13</v>
      </c>
      <c r="E25" s="3">
        <v>44041</v>
      </c>
      <c r="F25" t="s">
        <v>21</v>
      </c>
      <c r="G25" s="2">
        <v>48170</v>
      </c>
      <c r="H25" t="s">
        <v>206</v>
      </c>
      <c r="I25" s="5">
        <f ca="1">(TODAY()-Staff[[#This Row],[Date Joined]])/365</f>
        <v>4.1095890410958908</v>
      </c>
      <c r="J25" s="20">
        <f ca="1">ROUNDUP(IF(Staff[[#This Row],[Tenure]]&gt;2,0.03,0.02)*Staff[[#This Row],[Salary]],0)</f>
        <v>1446</v>
      </c>
      <c r="K25" s="5">
        <f>_xlfn.XLOOKUP(Staff[[#This Row],[Rating]],'Female Vs Male Comp.'!$I$8:$I$12,'Female Vs Male Comp.'!$J$8:$J$12)</f>
        <v>4</v>
      </c>
      <c r="L25" s="5"/>
    </row>
    <row r="26" spans="1:15" x14ac:dyDescent="0.3">
      <c r="A26" t="s">
        <v>143</v>
      </c>
      <c r="B26" t="s">
        <v>15</v>
      </c>
      <c r="C26">
        <v>33</v>
      </c>
      <c r="D26" t="s">
        <v>13</v>
      </c>
      <c r="E26" s="3">
        <v>44640</v>
      </c>
      <c r="F26" t="s">
        <v>9</v>
      </c>
      <c r="G26" s="2">
        <v>48530</v>
      </c>
      <c r="H26" t="s">
        <v>204</v>
      </c>
      <c r="I26" s="5">
        <f ca="1">(TODAY()-Staff[[#This Row],[Date Joined]])/365</f>
        <v>2.4684931506849317</v>
      </c>
      <c r="J26" s="20">
        <f ca="1">ROUNDUP(IF(Staff[[#This Row],[Tenure]]&gt;2,0.03,0.02)*Staff[[#This Row],[Salary]],0)</f>
        <v>1456</v>
      </c>
      <c r="K26" s="5">
        <f>_xlfn.XLOOKUP(Staff[[#This Row],[Rating]],'Female Vs Male Comp.'!$I$8:$I$12,'Female Vs Male Comp.'!$J$8:$J$12)</f>
        <v>4</v>
      </c>
      <c r="L26" s="5"/>
    </row>
    <row r="27" spans="1:15" x14ac:dyDescent="0.3">
      <c r="A27" t="s">
        <v>51</v>
      </c>
      <c r="B27" t="s">
        <v>15</v>
      </c>
      <c r="C27">
        <v>33</v>
      </c>
      <c r="D27" t="s">
        <v>13</v>
      </c>
      <c r="E27" s="3">
        <v>44701</v>
      </c>
      <c r="F27" t="s">
        <v>9</v>
      </c>
      <c r="G27" s="2">
        <v>48530</v>
      </c>
      <c r="H27" t="s">
        <v>206</v>
      </c>
      <c r="I27" s="5">
        <f ca="1">(TODAY()-Staff[[#This Row],[Date Joined]])/365</f>
        <v>2.3013698630136985</v>
      </c>
      <c r="J27" s="20">
        <f ca="1">ROUNDUP(IF(Staff[[#This Row],[Tenure]]&gt;2,0.03,0.02)*Staff[[#This Row],[Salary]],0)</f>
        <v>1456</v>
      </c>
      <c r="K27" s="5">
        <f>_xlfn.XLOOKUP(Staff[[#This Row],[Rating]],'Female Vs Male Comp.'!$I$8:$I$12,'Female Vs Male Comp.'!$J$8:$J$12)</f>
        <v>4</v>
      </c>
      <c r="L27" s="5"/>
    </row>
    <row r="28" spans="1:15" x14ac:dyDescent="0.3">
      <c r="A28" t="s">
        <v>112</v>
      </c>
      <c r="B28" t="s">
        <v>15</v>
      </c>
      <c r="C28">
        <v>31</v>
      </c>
      <c r="D28" t="s">
        <v>16</v>
      </c>
      <c r="E28" s="3">
        <v>44450</v>
      </c>
      <c r="F28" t="s">
        <v>12</v>
      </c>
      <c r="G28" s="2">
        <v>48950</v>
      </c>
      <c r="H28" t="s">
        <v>204</v>
      </c>
      <c r="I28" s="5">
        <f ca="1">(TODAY()-Staff[[#This Row],[Date Joined]])/365</f>
        <v>2.989041095890411</v>
      </c>
      <c r="J28" s="20">
        <f ca="1">ROUNDUP(IF(Staff[[#This Row],[Tenure]]&gt;2,0.03,0.02)*Staff[[#This Row],[Salary]],0)</f>
        <v>1469</v>
      </c>
      <c r="K28" s="5">
        <f>_xlfn.XLOOKUP(Staff[[#This Row],[Rating]],'Female Vs Male Comp.'!$I$8:$I$12,'Female Vs Male Comp.'!$J$8:$J$12)</f>
        <v>3</v>
      </c>
      <c r="L28" s="5"/>
    </row>
    <row r="29" spans="1:15" x14ac:dyDescent="0.3">
      <c r="A29" t="s">
        <v>14</v>
      </c>
      <c r="B29" t="s">
        <v>15</v>
      </c>
      <c r="C29">
        <v>31</v>
      </c>
      <c r="D29" t="s">
        <v>16</v>
      </c>
      <c r="E29" s="3">
        <v>44511</v>
      </c>
      <c r="F29" t="s">
        <v>12</v>
      </c>
      <c r="G29" s="2">
        <v>48950</v>
      </c>
      <c r="H29" t="s">
        <v>206</v>
      </c>
      <c r="I29" s="5">
        <f ca="1">(TODAY()-Staff[[#This Row],[Date Joined]])/365</f>
        <v>2.8219178082191783</v>
      </c>
      <c r="J29" s="20">
        <f ca="1">ROUNDUP(IF(Staff[[#This Row],[Tenure]]&gt;2,0.03,0.02)*Staff[[#This Row],[Salary]],0)</f>
        <v>1469</v>
      </c>
      <c r="K29" s="5">
        <f>_xlfn.XLOOKUP(Staff[[#This Row],[Rating]],'Female Vs Male Comp.'!$I$8:$I$12,'Female Vs Male Comp.'!$J$8:$J$12)</f>
        <v>3</v>
      </c>
      <c r="L29" s="5"/>
    </row>
    <row r="30" spans="1:15" x14ac:dyDescent="0.3">
      <c r="A30" t="s">
        <v>145</v>
      </c>
      <c r="B30" t="s">
        <v>15</v>
      </c>
      <c r="C30">
        <v>27</v>
      </c>
      <c r="D30" t="s">
        <v>16</v>
      </c>
      <c r="E30" s="3">
        <v>44506</v>
      </c>
      <c r="F30" t="s">
        <v>21</v>
      </c>
      <c r="G30" s="2">
        <v>48980</v>
      </c>
      <c r="H30" t="s">
        <v>204</v>
      </c>
      <c r="I30" s="5">
        <f ca="1">(TODAY()-Staff[[#This Row],[Date Joined]])/365</f>
        <v>2.8356164383561642</v>
      </c>
      <c r="J30" s="20">
        <f ca="1">ROUNDUP(IF(Staff[[#This Row],[Tenure]]&gt;2,0.03,0.02)*Staff[[#This Row],[Salary]],0)</f>
        <v>1470</v>
      </c>
      <c r="K30" s="5">
        <f>_xlfn.XLOOKUP(Staff[[#This Row],[Rating]],'Female Vs Male Comp.'!$I$8:$I$12,'Female Vs Male Comp.'!$J$8:$J$12)</f>
        <v>3</v>
      </c>
      <c r="L30" s="5"/>
    </row>
    <row r="31" spans="1:15" x14ac:dyDescent="0.3">
      <c r="A31" t="s">
        <v>53</v>
      </c>
      <c r="B31" t="s">
        <v>15</v>
      </c>
      <c r="C31">
        <v>27</v>
      </c>
      <c r="D31" t="s">
        <v>16</v>
      </c>
      <c r="E31" s="3">
        <v>44567</v>
      </c>
      <c r="F31" t="s">
        <v>21</v>
      </c>
      <c r="G31" s="2">
        <v>48980</v>
      </c>
      <c r="H31" t="s">
        <v>206</v>
      </c>
      <c r="I31" s="5">
        <f ca="1">(TODAY()-Staff[[#This Row],[Date Joined]])/365</f>
        <v>2.6684931506849314</v>
      </c>
      <c r="J31" s="20">
        <f ca="1">ROUNDUP(IF(Staff[[#This Row],[Tenure]]&gt;2,0.03,0.02)*Staff[[#This Row],[Salary]],0)</f>
        <v>1470</v>
      </c>
      <c r="K31" s="5">
        <f>_xlfn.XLOOKUP(Staff[[#This Row],[Rating]],'Female Vs Male Comp.'!$I$8:$I$12,'Female Vs Male Comp.'!$J$8:$J$12)</f>
        <v>3</v>
      </c>
      <c r="L31" s="5"/>
    </row>
    <row r="32" spans="1:15" x14ac:dyDescent="0.3">
      <c r="A32" t="s">
        <v>164</v>
      </c>
      <c r="B32" t="s">
        <v>8</v>
      </c>
      <c r="C32">
        <v>34</v>
      </c>
      <c r="D32" t="s">
        <v>24</v>
      </c>
      <c r="E32" s="3">
        <v>44660</v>
      </c>
      <c r="F32" t="s">
        <v>19</v>
      </c>
      <c r="G32" s="2">
        <v>49630</v>
      </c>
      <c r="H32" t="s">
        <v>204</v>
      </c>
      <c r="I32" s="5">
        <f ca="1">(TODAY()-Staff[[#This Row],[Date Joined]])/365</f>
        <v>2.4136986301369863</v>
      </c>
      <c r="J32" s="20">
        <f ca="1">ROUNDUP(IF(Staff[[#This Row],[Tenure]]&gt;2,0.03,0.02)*Staff[[#This Row],[Salary]],0)</f>
        <v>1489</v>
      </c>
      <c r="K32" s="5">
        <f>_xlfn.XLOOKUP(Staff[[#This Row],[Rating]],'Female Vs Male Comp.'!$I$8:$I$12,'Female Vs Male Comp.'!$J$8:$J$12)</f>
        <v>2</v>
      </c>
      <c r="L32" s="5"/>
    </row>
    <row r="33" spans="1:12" x14ac:dyDescent="0.3">
      <c r="A33" t="s">
        <v>73</v>
      </c>
      <c r="B33" t="s">
        <v>8</v>
      </c>
      <c r="C33">
        <v>34</v>
      </c>
      <c r="D33" t="s">
        <v>24</v>
      </c>
      <c r="E33" s="3">
        <v>44721</v>
      </c>
      <c r="F33" t="s">
        <v>19</v>
      </c>
      <c r="G33" s="2">
        <v>49630</v>
      </c>
      <c r="H33" t="s">
        <v>206</v>
      </c>
      <c r="I33" s="5">
        <f ca="1">(TODAY()-Staff[[#This Row],[Date Joined]])/365</f>
        <v>2.2465753424657535</v>
      </c>
      <c r="J33" s="20">
        <f ca="1">ROUNDUP(IF(Staff[[#This Row],[Tenure]]&gt;2,0.03,0.02)*Staff[[#This Row],[Salary]],0)</f>
        <v>1489</v>
      </c>
      <c r="K33" s="5">
        <f>_xlfn.XLOOKUP(Staff[[#This Row],[Rating]],'Female Vs Male Comp.'!$I$8:$I$12,'Female Vs Male Comp.'!$J$8:$J$12)</f>
        <v>2</v>
      </c>
      <c r="L33" s="5"/>
    </row>
    <row r="34" spans="1:12" x14ac:dyDescent="0.3">
      <c r="A34" t="s">
        <v>154</v>
      </c>
      <c r="B34" t="s">
        <v>15</v>
      </c>
      <c r="C34">
        <v>24</v>
      </c>
      <c r="D34" t="s">
        <v>24</v>
      </c>
      <c r="E34" s="3">
        <v>44375</v>
      </c>
      <c r="F34" t="s">
        <v>21</v>
      </c>
      <c r="G34" s="2">
        <v>52610</v>
      </c>
      <c r="H34" t="s">
        <v>204</v>
      </c>
      <c r="I34" s="5">
        <f ca="1">(TODAY()-Staff[[#This Row],[Date Joined]])/365</f>
        <v>3.1945205479452055</v>
      </c>
      <c r="J34" s="20">
        <f ca="1">ROUNDUP(IF(Staff[[#This Row],[Tenure]]&gt;2,0.03,0.02)*Staff[[#This Row],[Salary]],0)</f>
        <v>1579</v>
      </c>
      <c r="K34" s="5">
        <f>_xlfn.XLOOKUP(Staff[[#This Row],[Rating]],'Female Vs Male Comp.'!$I$8:$I$12,'Female Vs Male Comp.'!$J$8:$J$12)</f>
        <v>2</v>
      </c>
      <c r="L34" s="5"/>
    </row>
    <row r="35" spans="1:12" x14ac:dyDescent="0.3">
      <c r="A35" t="s">
        <v>63</v>
      </c>
      <c r="B35" t="s">
        <v>15</v>
      </c>
      <c r="C35">
        <v>24</v>
      </c>
      <c r="D35" t="s">
        <v>24</v>
      </c>
      <c r="E35" s="3">
        <v>44436</v>
      </c>
      <c r="F35" t="s">
        <v>21</v>
      </c>
      <c r="G35" s="2">
        <v>52610</v>
      </c>
      <c r="H35" t="s">
        <v>206</v>
      </c>
      <c r="I35" s="5">
        <f ca="1">(TODAY()-Staff[[#This Row],[Date Joined]])/365</f>
        <v>3.0273972602739727</v>
      </c>
      <c r="J35" s="20">
        <f ca="1">ROUNDUP(IF(Staff[[#This Row],[Tenure]]&gt;2,0.03,0.02)*Staff[[#This Row],[Salary]],0)</f>
        <v>1579</v>
      </c>
      <c r="K35" s="5">
        <f>_xlfn.XLOOKUP(Staff[[#This Row],[Rating]],'Female Vs Male Comp.'!$I$8:$I$12,'Female Vs Male Comp.'!$J$8:$J$12)</f>
        <v>2</v>
      </c>
      <c r="L35" s="5"/>
    </row>
    <row r="36" spans="1:12" x14ac:dyDescent="0.3">
      <c r="A36" t="s">
        <v>166</v>
      </c>
      <c r="B36" t="s">
        <v>8</v>
      </c>
      <c r="C36">
        <v>28</v>
      </c>
      <c r="D36" t="s">
        <v>16</v>
      </c>
      <c r="E36" s="3">
        <v>44296</v>
      </c>
      <c r="F36" t="s">
        <v>19</v>
      </c>
      <c r="G36" s="2">
        <v>53240</v>
      </c>
      <c r="H36" t="s">
        <v>204</v>
      </c>
      <c r="I36" s="5">
        <f ca="1">(TODAY()-Staff[[#This Row],[Date Joined]])/365</f>
        <v>3.4109589041095889</v>
      </c>
      <c r="J36" s="20">
        <f ca="1">ROUNDUP(IF(Staff[[#This Row],[Tenure]]&gt;2,0.03,0.02)*Staff[[#This Row],[Salary]],0)</f>
        <v>1598</v>
      </c>
      <c r="K36" s="5">
        <f>_xlfn.XLOOKUP(Staff[[#This Row],[Rating]],'Female Vs Male Comp.'!$I$8:$I$12,'Female Vs Male Comp.'!$J$8:$J$12)</f>
        <v>3</v>
      </c>
      <c r="L36" s="5"/>
    </row>
    <row r="37" spans="1:12" x14ac:dyDescent="0.3">
      <c r="A37" t="s">
        <v>75</v>
      </c>
      <c r="B37" t="s">
        <v>8</v>
      </c>
      <c r="C37">
        <v>28</v>
      </c>
      <c r="D37" t="s">
        <v>16</v>
      </c>
      <c r="E37" s="3">
        <v>44357</v>
      </c>
      <c r="F37" t="s">
        <v>19</v>
      </c>
      <c r="G37" s="2">
        <v>53240</v>
      </c>
      <c r="H37" t="s">
        <v>206</v>
      </c>
      <c r="I37" s="5">
        <f ca="1">(TODAY()-Staff[[#This Row],[Date Joined]])/365</f>
        <v>3.2438356164383562</v>
      </c>
      <c r="J37" s="20">
        <f ca="1">ROUNDUP(IF(Staff[[#This Row],[Tenure]]&gt;2,0.03,0.02)*Staff[[#This Row],[Salary]],0)</f>
        <v>1598</v>
      </c>
      <c r="K37" s="5">
        <f>_xlfn.XLOOKUP(Staff[[#This Row],[Rating]],'Female Vs Male Comp.'!$I$8:$I$12,'Female Vs Male Comp.'!$J$8:$J$12)</f>
        <v>3</v>
      </c>
      <c r="L37" s="5"/>
    </row>
    <row r="38" spans="1:12" x14ac:dyDescent="0.3">
      <c r="A38" t="s">
        <v>156</v>
      </c>
      <c r="B38" t="s">
        <v>15</v>
      </c>
      <c r="C38">
        <v>32</v>
      </c>
      <c r="D38" t="s">
        <v>16</v>
      </c>
      <c r="E38" s="3">
        <v>44403</v>
      </c>
      <c r="F38" t="s">
        <v>19</v>
      </c>
      <c r="G38" s="2">
        <v>53540</v>
      </c>
      <c r="H38" t="s">
        <v>204</v>
      </c>
      <c r="I38" s="5">
        <f ca="1">(TODAY()-Staff[[#This Row],[Date Joined]])/365</f>
        <v>3.117808219178082</v>
      </c>
      <c r="J38" s="20">
        <f ca="1">ROUNDUP(IF(Staff[[#This Row],[Tenure]]&gt;2,0.03,0.02)*Staff[[#This Row],[Salary]],0)</f>
        <v>1607</v>
      </c>
      <c r="K38" s="5">
        <f>_xlfn.XLOOKUP(Staff[[#This Row],[Rating]],'Female Vs Male Comp.'!$I$8:$I$12,'Female Vs Male Comp.'!$J$8:$J$12)</f>
        <v>3</v>
      </c>
      <c r="L38" s="5"/>
    </row>
    <row r="39" spans="1:12" x14ac:dyDescent="0.3">
      <c r="A39" t="s">
        <v>138</v>
      </c>
      <c r="B39" t="s">
        <v>15</v>
      </c>
      <c r="C39">
        <v>26</v>
      </c>
      <c r="D39" t="s">
        <v>16</v>
      </c>
      <c r="E39" s="3">
        <v>44350</v>
      </c>
      <c r="F39" t="s">
        <v>9</v>
      </c>
      <c r="G39" s="2">
        <v>53540</v>
      </c>
      <c r="H39" t="s">
        <v>204</v>
      </c>
      <c r="I39" s="5">
        <f ca="1">(TODAY()-Staff[[#This Row],[Date Joined]])/365</f>
        <v>3.2630136986301368</v>
      </c>
      <c r="J39" s="20">
        <f ca="1">ROUNDUP(IF(Staff[[#This Row],[Tenure]]&gt;2,0.03,0.02)*Staff[[#This Row],[Salary]],0)</f>
        <v>1607</v>
      </c>
      <c r="K39" s="5">
        <f>_xlfn.XLOOKUP(Staff[[#This Row],[Rating]],'Female Vs Male Comp.'!$I$8:$I$12,'Female Vs Male Comp.'!$J$8:$J$12)</f>
        <v>3</v>
      </c>
      <c r="L39" s="5"/>
    </row>
    <row r="40" spans="1:12" x14ac:dyDescent="0.3">
      <c r="A40" t="s">
        <v>65</v>
      </c>
      <c r="B40" t="s">
        <v>15</v>
      </c>
      <c r="C40">
        <v>32</v>
      </c>
      <c r="D40" t="s">
        <v>16</v>
      </c>
      <c r="E40" s="3">
        <v>44465</v>
      </c>
      <c r="F40" t="s">
        <v>19</v>
      </c>
      <c r="G40" s="2">
        <v>53540</v>
      </c>
      <c r="H40" t="s">
        <v>206</v>
      </c>
      <c r="I40" s="5">
        <f ca="1">(TODAY()-Staff[[#This Row],[Date Joined]])/365</f>
        <v>2.9479452054794519</v>
      </c>
      <c r="J40" s="20">
        <f ca="1">ROUNDUP(IF(Staff[[#This Row],[Tenure]]&gt;2,0.03,0.02)*Staff[[#This Row],[Salary]],0)</f>
        <v>1607</v>
      </c>
      <c r="K40" s="5">
        <f>_xlfn.XLOOKUP(Staff[[#This Row],[Rating]],'Female Vs Male Comp.'!$I$8:$I$12,'Female Vs Male Comp.'!$J$8:$J$12)</f>
        <v>3</v>
      </c>
      <c r="L40" s="5"/>
    </row>
    <row r="41" spans="1:12" x14ac:dyDescent="0.3">
      <c r="A41" t="s">
        <v>46</v>
      </c>
      <c r="B41" t="s">
        <v>15</v>
      </c>
      <c r="C41">
        <v>26</v>
      </c>
      <c r="D41" t="s">
        <v>16</v>
      </c>
      <c r="E41" s="3">
        <v>44411</v>
      </c>
      <c r="F41" t="s">
        <v>9</v>
      </c>
      <c r="G41" s="2">
        <v>53540</v>
      </c>
      <c r="H41" t="s">
        <v>206</v>
      </c>
      <c r="I41" s="5">
        <f ca="1">(TODAY()-Staff[[#This Row],[Date Joined]])/365</f>
        <v>3.095890410958904</v>
      </c>
      <c r="J41" s="20">
        <f ca="1">ROUNDUP(IF(Staff[[#This Row],[Tenure]]&gt;2,0.03,0.02)*Staff[[#This Row],[Salary]],0)</f>
        <v>1607</v>
      </c>
      <c r="K41" s="5">
        <f>_xlfn.XLOOKUP(Staff[[#This Row],[Rating]],'Female Vs Male Comp.'!$I$8:$I$12,'Female Vs Male Comp.'!$J$8:$J$12)</f>
        <v>3</v>
      </c>
      <c r="L41" s="5"/>
    </row>
    <row r="42" spans="1:12" x14ac:dyDescent="0.3">
      <c r="A42" t="s">
        <v>173</v>
      </c>
      <c r="B42" t="s">
        <v>15</v>
      </c>
      <c r="C42">
        <v>33</v>
      </c>
      <c r="D42" t="s">
        <v>16</v>
      </c>
      <c r="E42" s="3">
        <v>44448</v>
      </c>
      <c r="F42" t="s">
        <v>12</v>
      </c>
      <c r="G42" s="2">
        <v>53870</v>
      </c>
      <c r="H42" t="s">
        <v>204</v>
      </c>
      <c r="I42" s="5">
        <f ca="1">(TODAY()-Staff[[#This Row],[Date Joined]])/365</f>
        <v>2.9945205479452053</v>
      </c>
      <c r="J42" s="20">
        <f ca="1">ROUNDUP(IF(Staff[[#This Row],[Tenure]]&gt;2,0.03,0.02)*Staff[[#This Row],[Salary]],0)</f>
        <v>1617</v>
      </c>
      <c r="K42" s="5">
        <f>_xlfn.XLOOKUP(Staff[[#This Row],[Rating]],'Female Vs Male Comp.'!$I$8:$I$12,'Female Vs Male Comp.'!$J$8:$J$12)</f>
        <v>3</v>
      </c>
      <c r="L42" s="5"/>
    </row>
    <row r="43" spans="1:12" x14ac:dyDescent="0.3">
      <c r="A43" t="s">
        <v>82</v>
      </c>
      <c r="B43" t="s">
        <v>15</v>
      </c>
      <c r="C43">
        <v>33</v>
      </c>
      <c r="D43" t="s">
        <v>16</v>
      </c>
      <c r="E43" s="3">
        <v>44509</v>
      </c>
      <c r="F43" t="s">
        <v>12</v>
      </c>
      <c r="G43" s="2">
        <v>53870</v>
      </c>
      <c r="H43" t="s">
        <v>206</v>
      </c>
      <c r="I43" s="5">
        <f ca="1">(TODAY()-Staff[[#This Row],[Date Joined]])/365</f>
        <v>2.8273972602739725</v>
      </c>
      <c r="J43" s="20">
        <f ca="1">ROUNDUP(IF(Staff[[#This Row],[Tenure]]&gt;2,0.03,0.02)*Staff[[#This Row],[Salary]],0)</f>
        <v>1617</v>
      </c>
      <c r="K43" s="5">
        <f>_xlfn.XLOOKUP(Staff[[#This Row],[Rating]],'Female Vs Male Comp.'!$I$8:$I$12,'Female Vs Male Comp.'!$J$8:$J$12)</f>
        <v>3</v>
      </c>
      <c r="L43" s="5"/>
    </row>
    <row r="44" spans="1:12" x14ac:dyDescent="0.3">
      <c r="A44" t="s">
        <v>181</v>
      </c>
      <c r="B44" t="s">
        <v>15</v>
      </c>
      <c r="C44">
        <v>27</v>
      </c>
      <c r="D44" t="s">
        <v>16</v>
      </c>
      <c r="E44" s="3">
        <v>44073</v>
      </c>
      <c r="F44" t="s">
        <v>19</v>
      </c>
      <c r="G44" s="2">
        <v>54970</v>
      </c>
      <c r="H44" t="s">
        <v>204</v>
      </c>
      <c r="I44" s="5">
        <f ca="1">(TODAY()-Staff[[#This Row],[Date Joined]])/365</f>
        <v>4.021917808219178</v>
      </c>
      <c r="J44" s="20">
        <f ca="1">ROUNDUP(IF(Staff[[#This Row],[Tenure]]&gt;2,0.03,0.02)*Staff[[#This Row],[Salary]],0)</f>
        <v>1650</v>
      </c>
      <c r="K44" s="5">
        <f>_xlfn.XLOOKUP(Staff[[#This Row],[Rating]],'Female Vs Male Comp.'!$I$8:$I$12,'Female Vs Male Comp.'!$J$8:$J$12)</f>
        <v>3</v>
      </c>
      <c r="L44" s="5"/>
    </row>
    <row r="45" spans="1:12" x14ac:dyDescent="0.3">
      <c r="A45" t="s">
        <v>89</v>
      </c>
      <c r="B45" t="s">
        <v>15</v>
      </c>
      <c r="C45">
        <v>27</v>
      </c>
      <c r="D45" t="s">
        <v>16</v>
      </c>
      <c r="E45" s="3">
        <v>44134</v>
      </c>
      <c r="F45" t="s">
        <v>19</v>
      </c>
      <c r="G45" s="2">
        <v>54970</v>
      </c>
      <c r="H45" t="s">
        <v>206</v>
      </c>
      <c r="I45" s="5">
        <f ca="1">(TODAY()-Staff[[#This Row],[Date Joined]])/365</f>
        <v>3.8547945205479452</v>
      </c>
      <c r="J45" s="20">
        <f ca="1">ROUNDUP(IF(Staff[[#This Row],[Tenure]]&gt;2,0.03,0.02)*Staff[[#This Row],[Salary]],0)</f>
        <v>1650</v>
      </c>
      <c r="K45" s="5">
        <f>_xlfn.XLOOKUP(Staff[[#This Row],[Rating]],'Female Vs Male Comp.'!$I$8:$I$12,'Female Vs Male Comp.'!$J$8:$J$12)</f>
        <v>3</v>
      </c>
      <c r="L45" s="5"/>
    </row>
    <row r="46" spans="1:12" x14ac:dyDescent="0.3">
      <c r="A46" t="s">
        <v>201</v>
      </c>
      <c r="B46" t="s">
        <v>8</v>
      </c>
      <c r="C46">
        <v>38</v>
      </c>
      <c r="D46" t="s">
        <v>13</v>
      </c>
      <c r="E46" s="3">
        <v>44268</v>
      </c>
      <c r="F46" t="s">
        <v>19</v>
      </c>
      <c r="G46" s="2">
        <v>56870</v>
      </c>
      <c r="H46" t="s">
        <v>204</v>
      </c>
      <c r="I46" s="5">
        <f ca="1">(TODAY()-Staff[[#This Row],[Date Joined]])/365</f>
        <v>3.4876712328767123</v>
      </c>
      <c r="J46" s="20">
        <f ca="1">ROUNDUP(IF(Staff[[#This Row],[Tenure]]&gt;2,0.03,0.02)*Staff[[#This Row],[Salary]],0)</f>
        <v>1707</v>
      </c>
      <c r="K46" s="5">
        <f>_xlfn.XLOOKUP(Staff[[#This Row],[Rating]],'Female Vs Male Comp.'!$I$8:$I$12,'Female Vs Male Comp.'!$J$8:$J$12)</f>
        <v>4</v>
      </c>
      <c r="L46" s="5"/>
    </row>
    <row r="47" spans="1:12" x14ac:dyDescent="0.3">
      <c r="A47" t="s">
        <v>109</v>
      </c>
      <c r="B47" t="s">
        <v>8</v>
      </c>
      <c r="C47">
        <v>38</v>
      </c>
      <c r="D47" t="s">
        <v>13</v>
      </c>
      <c r="E47" s="3">
        <v>44329</v>
      </c>
      <c r="F47" t="s">
        <v>19</v>
      </c>
      <c r="G47" s="2">
        <v>56870</v>
      </c>
      <c r="H47" t="s">
        <v>206</v>
      </c>
      <c r="I47" s="5">
        <f ca="1">(TODAY()-Staff[[#This Row],[Date Joined]])/365</f>
        <v>3.3205479452054796</v>
      </c>
      <c r="J47" s="20">
        <f ca="1">ROUNDUP(IF(Staff[[#This Row],[Tenure]]&gt;2,0.03,0.02)*Staff[[#This Row],[Salary]],0)</f>
        <v>1707</v>
      </c>
      <c r="K47" s="5">
        <f>_xlfn.XLOOKUP(Staff[[#This Row],[Rating]],'Female Vs Male Comp.'!$I$8:$I$12,'Female Vs Male Comp.'!$J$8:$J$12)</f>
        <v>4</v>
      </c>
      <c r="L47" s="5"/>
    </row>
    <row r="48" spans="1:12" x14ac:dyDescent="0.3">
      <c r="A48" t="s">
        <v>124</v>
      </c>
      <c r="B48" t="s">
        <v>15</v>
      </c>
      <c r="C48">
        <v>21</v>
      </c>
      <c r="D48" t="s">
        <v>16</v>
      </c>
      <c r="E48" s="3">
        <v>44701</v>
      </c>
      <c r="F48" t="s">
        <v>9</v>
      </c>
      <c r="G48" s="2">
        <v>57090</v>
      </c>
      <c r="H48" t="s">
        <v>204</v>
      </c>
      <c r="I48" s="5">
        <f ca="1">(TODAY()-Staff[[#This Row],[Date Joined]])/365</f>
        <v>2.3013698630136985</v>
      </c>
      <c r="J48" s="20">
        <f ca="1">ROUNDUP(IF(Staff[[#This Row],[Tenure]]&gt;2,0.03,0.02)*Staff[[#This Row],[Salary]],0)</f>
        <v>1713</v>
      </c>
      <c r="K48" s="5">
        <f>_xlfn.XLOOKUP(Staff[[#This Row],[Rating]],'Female Vs Male Comp.'!$I$8:$I$12,'Female Vs Male Comp.'!$J$8:$J$12)</f>
        <v>3</v>
      </c>
      <c r="L48" s="5"/>
    </row>
    <row r="49" spans="1:12" x14ac:dyDescent="0.3">
      <c r="A49" t="s">
        <v>31</v>
      </c>
      <c r="B49" t="s">
        <v>15</v>
      </c>
      <c r="C49">
        <v>21</v>
      </c>
      <c r="D49" t="s">
        <v>16</v>
      </c>
      <c r="E49" s="3">
        <v>44762</v>
      </c>
      <c r="F49" t="s">
        <v>9</v>
      </c>
      <c r="G49" s="2">
        <v>57090</v>
      </c>
      <c r="H49" t="s">
        <v>206</v>
      </c>
      <c r="I49" s="5">
        <f ca="1">(TODAY()-Staff[[#This Row],[Date Joined]])/365</f>
        <v>2.1342465753424658</v>
      </c>
      <c r="J49" s="20">
        <f ca="1">ROUNDUP(IF(Staff[[#This Row],[Tenure]]&gt;2,0.03,0.02)*Staff[[#This Row],[Salary]],0)</f>
        <v>1713</v>
      </c>
      <c r="K49" s="5">
        <f>_xlfn.XLOOKUP(Staff[[#This Row],[Rating]],'Female Vs Male Comp.'!$I$8:$I$12,'Female Vs Male Comp.'!$J$8:$J$12)</f>
        <v>3</v>
      </c>
      <c r="L49" s="5"/>
    </row>
    <row r="50" spans="1:12" x14ac:dyDescent="0.3">
      <c r="A50" t="s">
        <v>119</v>
      </c>
      <c r="B50" t="s">
        <v>8</v>
      </c>
      <c r="C50">
        <v>31</v>
      </c>
      <c r="D50" t="s">
        <v>16</v>
      </c>
      <c r="E50" s="3">
        <v>44604</v>
      </c>
      <c r="F50" t="s">
        <v>12</v>
      </c>
      <c r="G50" s="2">
        <v>58100</v>
      </c>
      <c r="H50" t="s">
        <v>204</v>
      </c>
      <c r="I50" s="5">
        <f ca="1">(TODAY()-Staff[[#This Row],[Date Joined]])/365</f>
        <v>2.5671232876712327</v>
      </c>
      <c r="J50" s="20">
        <f ca="1">ROUNDUP(IF(Staff[[#This Row],[Tenure]]&gt;2,0.03,0.02)*Staff[[#This Row],[Salary]],0)</f>
        <v>1743</v>
      </c>
      <c r="K50" s="5">
        <f>_xlfn.XLOOKUP(Staff[[#This Row],[Rating]],'Female Vs Male Comp.'!$I$8:$I$12,'Female Vs Male Comp.'!$J$8:$J$12)</f>
        <v>3</v>
      </c>
      <c r="L50" s="5"/>
    </row>
    <row r="51" spans="1:12" x14ac:dyDescent="0.3">
      <c r="A51" t="s">
        <v>26</v>
      </c>
      <c r="B51" t="s">
        <v>8</v>
      </c>
      <c r="C51">
        <v>31</v>
      </c>
      <c r="D51" t="s">
        <v>16</v>
      </c>
      <c r="E51" s="3">
        <v>44663</v>
      </c>
      <c r="F51" t="s">
        <v>12</v>
      </c>
      <c r="G51" s="2">
        <v>58100</v>
      </c>
      <c r="H51" t="s">
        <v>206</v>
      </c>
      <c r="I51" s="5">
        <f ca="1">(TODAY()-Staff[[#This Row],[Date Joined]])/365</f>
        <v>2.4054794520547946</v>
      </c>
      <c r="J51" s="20">
        <f ca="1">ROUNDUP(IF(Staff[[#This Row],[Tenure]]&gt;2,0.03,0.02)*Staff[[#This Row],[Salary]],0)</f>
        <v>1743</v>
      </c>
      <c r="K51" s="5">
        <f>_xlfn.XLOOKUP(Staff[[#This Row],[Rating]],'Female Vs Male Comp.'!$I$8:$I$12,'Female Vs Male Comp.'!$J$8:$J$12)</f>
        <v>3</v>
      </c>
      <c r="L51" s="5"/>
    </row>
    <row r="52" spans="1:12" x14ac:dyDescent="0.3">
      <c r="A52" t="s">
        <v>129</v>
      </c>
      <c r="B52" t="s">
        <v>8</v>
      </c>
      <c r="C52">
        <v>34</v>
      </c>
      <c r="D52" t="s">
        <v>16</v>
      </c>
      <c r="E52" s="3">
        <v>44594</v>
      </c>
      <c r="F52" t="s">
        <v>21</v>
      </c>
      <c r="G52" s="2">
        <v>58940</v>
      </c>
      <c r="H52" t="s">
        <v>204</v>
      </c>
      <c r="I52" s="5">
        <f ca="1">(TODAY()-Staff[[#This Row],[Date Joined]])/365</f>
        <v>2.5945205479452054</v>
      </c>
      <c r="J52" s="20">
        <f ca="1">ROUNDUP(IF(Staff[[#This Row],[Tenure]]&gt;2,0.03,0.02)*Staff[[#This Row],[Salary]],0)</f>
        <v>1769</v>
      </c>
      <c r="K52" s="5">
        <f>_xlfn.XLOOKUP(Staff[[#This Row],[Rating]],'Female Vs Male Comp.'!$I$8:$I$12,'Female Vs Male Comp.'!$J$8:$J$12)</f>
        <v>3</v>
      </c>
      <c r="L52" s="5"/>
    </row>
    <row r="53" spans="1:12" x14ac:dyDescent="0.3">
      <c r="A53" t="s">
        <v>36</v>
      </c>
      <c r="B53" t="s">
        <v>8</v>
      </c>
      <c r="C53">
        <v>34</v>
      </c>
      <c r="D53" t="s">
        <v>16</v>
      </c>
      <c r="E53" s="3">
        <v>44653</v>
      </c>
      <c r="F53" t="s">
        <v>21</v>
      </c>
      <c r="G53" s="2">
        <v>58940</v>
      </c>
      <c r="H53" t="s">
        <v>206</v>
      </c>
      <c r="I53" s="5">
        <f ca="1">(TODAY()-Staff[[#This Row],[Date Joined]])/365</f>
        <v>2.4328767123287673</v>
      </c>
      <c r="J53" s="20">
        <f ca="1">ROUNDUP(IF(Staff[[#This Row],[Tenure]]&gt;2,0.03,0.02)*Staff[[#This Row],[Salary]],0)</f>
        <v>1769</v>
      </c>
      <c r="K53" s="5">
        <f>_xlfn.XLOOKUP(Staff[[#This Row],[Rating]],'Female Vs Male Comp.'!$I$8:$I$12,'Female Vs Male Comp.'!$J$8:$J$12)</f>
        <v>3</v>
      </c>
      <c r="L53" s="5"/>
    </row>
    <row r="54" spans="1:12" x14ac:dyDescent="0.3">
      <c r="A54" t="s">
        <v>192</v>
      </c>
      <c r="B54" t="s">
        <v>15</v>
      </c>
      <c r="C54">
        <v>19</v>
      </c>
      <c r="D54" t="s">
        <v>16</v>
      </c>
      <c r="E54" s="3">
        <v>44218</v>
      </c>
      <c r="F54" t="s">
        <v>9</v>
      </c>
      <c r="G54" s="2">
        <v>58960</v>
      </c>
      <c r="H54" t="s">
        <v>204</v>
      </c>
      <c r="I54" s="5">
        <f ca="1">(TODAY()-Staff[[#This Row],[Date Joined]])/365</f>
        <v>3.6246575342465754</v>
      </c>
      <c r="J54" s="20">
        <f ca="1">ROUNDUP(IF(Staff[[#This Row],[Tenure]]&gt;2,0.03,0.02)*Staff[[#This Row],[Salary]],0)</f>
        <v>1769</v>
      </c>
      <c r="K54" s="5">
        <f>_xlfn.XLOOKUP(Staff[[#This Row],[Rating]],'Female Vs Male Comp.'!$I$8:$I$12,'Female Vs Male Comp.'!$J$8:$J$12)</f>
        <v>3</v>
      </c>
      <c r="L54" s="5"/>
    </row>
    <row r="55" spans="1:12" x14ac:dyDescent="0.3">
      <c r="A55" t="s">
        <v>100</v>
      </c>
      <c r="B55" t="s">
        <v>15</v>
      </c>
      <c r="C55">
        <v>19</v>
      </c>
      <c r="D55" t="s">
        <v>16</v>
      </c>
      <c r="E55" s="3">
        <v>44277</v>
      </c>
      <c r="F55" t="s">
        <v>9</v>
      </c>
      <c r="G55" s="2">
        <v>58960</v>
      </c>
      <c r="H55" t="s">
        <v>206</v>
      </c>
      <c r="I55" s="5">
        <f ca="1">(TODAY()-Staff[[#This Row],[Date Joined]])/365</f>
        <v>3.463013698630137</v>
      </c>
      <c r="J55" s="20">
        <f ca="1">ROUNDUP(IF(Staff[[#This Row],[Tenure]]&gt;2,0.03,0.02)*Staff[[#This Row],[Salary]],0)</f>
        <v>1769</v>
      </c>
      <c r="K55" s="5">
        <f>_xlfn.XLOOKUP(Staff[[#This Row],[Rating]],'Female Vs Male Comp.'!$I$8:$I$12,'Female Vs Male Comp.'!$J$8:$J$12)</f>
        <v>3</v>
      </c>
      <c r="L55" s="5"/>
    </row>
    <row r="56" spans="1:12" x14ac:dyDescent="0.3">
      <c r="A56" t="s">
        <v>170</v>
      </c>
      <c r="B56" t="s">
        <v>15</v>
      </c>
      <c r="C56">
        <v>33</v>
      </c>
      <c r="D56" t="s">
        <v>16</v>
      </c>
      <c r="E56" s="3">
        <v>44181</v>
      </c>
      <c r="F56" t="s">
        <v>21</v>
      </c>
      <c r="G56" s="2">
        <v>59430</v>
      </c>
      <c r="H56" t="s">
        <v>204</v>
      </c>
      <c r="I56" s="5">
        <f ca="1">(TODAY()-Staff[[#This Row],[Date Joined]])/365</f>
        <v>3.7260273972602738</v>
      </c>
      <c r="J56" s="20">
        <f ca="1">ROUNDUP(IF(Staff[[#This Row],[Tenure]]&gt;2,0.03,0.02)*Staff[[#This Row],[Salary]],0)</f>
        <v>1783</v>
      </c>
      <c r="K56" s="5">
        <f>_xlfn.XLOOKUP(Staff[[#This Row],[Rating]],'Female Vs Male Comp.'!$I$8:$I$12,'Female Vs Male Comp.'!$J$8:$J$12)</f>
        <v>3</v>
      </c>
      <c r="L56" s="5"/>
    </row>
    <row r="57" spans="1:12" x14ac:dyDescent="0.3">
      <c r="A57" t="s">
        <v>79</v>
      </c>
      <c r="B57" t="s">
        <v>15</v>
      </c>
      <c r="C57">
        <v>33</v>
      </c>
      <c r="D57" t="s">
        <v>16</v>
      </c>
      <c r="E57" s="3">
        <v>44243</v>
      </c>
      <c r="F57" t="s">
        <v>21</v>
      </c>
      <c r="G57" s="2">
        <v>59430</v>
      </c>
      <c r="H57" t="s">
        <v>206</v>
      </c>
      <c r="I57" s="5">
        <f ca="1">(TODAY()-Staff[[#This Row],[Date Joined]])/365</f>
        <v>3.5561643835616437</v>
      </c>
      <c r="J57" s="20">
        <f ca="1">ROUNDUP(IF(Staff[[#This Row],[Tenure]]&gt;2,0.03,0.02)*Staff[[#This Row],[Salary]],0)</f>
        <v>1783</v>
      </c>
      <c r="K57" s="5">
        <f>_xlfn.XLOOKUP(Staff[[#This Row],[Rating]],'Female Vs Male Comp.'!$I$8:$I$12,'Female Vs Male Comp.'!$J$8:$J$12)</f>
        <v>3</v>
      </c>
      <c r="L57" s="5"/>
    </row>
    <row r="58" spans="1:12" x14ac:dyDescent="0.3">
      <c r="A58" t="s">
        <v>131</v>
      </c>
      <c r="B58" t="s">
        <v>8</v>
      </c>
      <c r="C58">
        <v>34</v>
      </c>
      <c r="D58" t="s">
        <v>16</v>
      </c>
      <c r="E58" s="3">
        <v>44550</v>
      </c>
      <c r="F58" t="s">
        <v>21</v>
      </c>
      <c r="G58" s="2">
        <v>60130</v>
      </c>
      <c r="H58" t="s">
        <v>204</v>
      </c>
      <c r="I58" s="5">
        <f ca="1">(TODAY()-Staff[[#This Row],[Date Joined]])/365</f>
        <v>2.7150684931506848</v>
      </c>
      <c r="J58" s="20">
        <f ca="1">ROUNDUP(IF(Staff[[#This Row],[Tenure]]&gt;2,0.03,0.02)*Staff[[#This Row],[Salary]],0)</f>
        <v>1804</v>
      </c>
      <c r="K58" s="5">
        <f>_xlfn.XLOOKUP(Staff[[#This Row],[Rating]],'Female Vs Male Comp.'!$I$8:$I$12,'Female Vs Male Comp.'!$J$8:$J$12)</f>
        <v>3</v>
      </c>
      <c r="L58" s="5"/>
    </row>
    <row r="59" spans="1:12" x14ac:dyDescent="0.3">
      <c r="A59" t="s">
        <v>38</v>
      </c>
      <c r="B59" t="s">
        <v>8</v>
      </c>
      <c r="C59">
        <v>34</v>
      </c>
      <c r="D59" t="s">
        <v>16</v>
      </c>
      <c r="E59" s="3">
        <v>44612</v>
      </c>
      <c r="F59" t="s">
        <v>21</v>
      </c>
      <c r="G59" s="2">
        <v>60130</v>
      </c>
      <c r="H59" t="s">
        <v>206</v>
      </c>
      <c r="I59" s="5">
        <f ca="1">(TODAY()-Staff[[#This Row],[Date Joined]])/365</f>
        <v>2.5452054794520547</v>
      </c>
      <c r="J59" s="20">
        <f ca="1">ROUNDUP(IF(Staff[[#This Row],[Tenure]]&gt;2,0.03,0.02)*Staff[[#This Row],[Salary]],0)</f>
        <v>1804</v>
      </c>
      <c r="K59" s="5">
        <f>_xlfn.XLOOKUP(Staff[[#This Row],[Rating]],'Female Vs Male Comp.'!$I$8:$I$12,'Female Vs Male Comp.'!$J$8:$J$12)</f>
        <v>3</v>
      </c>
      <c r="L59" s="5"/>
    </row>
    <row r="60" spans="1:12" x14ac:dyDescent="0.3">
      <c r="A60" t="s">
        <v>130</v>
      </c>
      <c r="B60" t="s">
        <v>15</v>
      </c>
      <c r="C60">
        <v>30</v>
      </c>
      <c r="D60" t="s">
        <v>16</v>
      </c>
      <c r="E60" s="3">
        <v>44607</v>
      </c>
      <c r="F60" t="s">
        <v>9</v>
      </c>
      <c r="G60" s="2">
        <v>60570</v>
      </c>
      <c r="H60" t="s">
        <v>204</v>
      </c>
      <c r="I60" s="5">
        <f ca="1">(TODAY()-Staff[[#This Row],[Date Joined]])/365</f>
        <v>2.558904109589041</v>
      </c>
      <c r="J60" s="20">
        <f ca="1">ROUNDUP(IF(Staff[[#This Row],[Tenure]]&gt;2,0.03,0.02)*Staff[[#This Row],[Salary]],0)</f>
        <v>1818</v>
      </c>
      <c r="K60" s="5">
        <f>_xlfn.XLOOKUP(Staff[[#This Row],[Rating]],'Female Vs Male Comp.'!$I$8:$I$12,'Female Vs Male Comp.'!$J$8:$J$12)</f>
        <v>3</v>
      </c>
      <c r="L60" s="5"/>
    </row>
    <row r="61" spans="1:12" x14ac:dyDescent="0.3">
      <c r="A61" t="s">
        <v>37</v>
      </c>
      <c r="B61" t="s">
        <v>15</v>
      </c>
      <c r="C61">
        <v>30</v>
      </c>
      <c r="D61" t="s">
        <v>16</v>
      </c>
      <c r="E61" s="3">
        <v>44666</v>
      </c>
      <c r="F61" t="s">
        <v>9</v>
      </c>
      <c r="G61" s="2">
        <v>60570</v>
      </c>
      <c r="H61" t="s">
        <v>206</v>
      </c>
      <c r="I61" s="5">
        <f ca="1">(TODAY()-Staff[[#This Row],[Date Joined]])/365</f>
        <v>2.3972602739726026</v>
      </c>
      <c r="J61" s="20">
        <f ca="1">ROUNDUP(IF(Staff[[#This Row],[Tenure]]&gt;2,0.03,0.02)*Staff[[#This Row],[Salary]],0)</f>
        <v>1818</v>
      </c>
      <c r="K61" s="5">
        <f>_xlfn.XLOOKUP(Staff[[#This Row],[Rating]],'Female Vs Male Comp.'!$I$8:$I$12,'Female Vs Male Comp.'!$J$8:$J$12)</f>
        <v>3</v>
      </c>
      <c r="L61" s="5"/>
    </row>
    <row r="62" spans="1:12" x14ac:dyDescent="0.3">
      <c r="A62" t="s">
        <v>152</v>
      </c>
      <c r="B62" t="s">
        <v>8</v>
      </c>
      <c r="C62">
        <v>24</v>
      </c>
      <c r="D62" t="s">
        <v>16</v>
      </c>
      <c r="E62" s="3">
        <v>44087</v>
      </c>
      <c r="F62" t="s">
        <v>12</v>
      </c>
      <c r="G62" s="2">
        <v>62780</v>
      </c>
      <c r="H62" t="s">
        <v>204</v>
      </c>
      <c r="I62" s="5">
        <f ca="1">(TODAY()-Staff[[#This Row],[Date Joined]])/365</f>
        <v>3.9835616438356163</v>
      </c>
      <c r="J62" s="20">
        <f ca="1">ROUNDUP(IF(Staff[[#This Row],[Tenure]]&gt;2,0.03,0.02)*Staff[[#This Row],[Salary]],0)</f>
        <v>1884</v>
      </c>
      <c r="K62" s="5">
        <f>_xlfn.XLOOKUP(Staff[[#This Row],[Rating]],'Female Vs Male Comp.'!$I$8:$I$12,'Female Vs Male Comp.'!$J$8:$J$12)</f>
        <v>3</v>
      </c>
      <c r="L62" s="5"/>
    </row>
    <row r="63" spans="1:12" x14ac:dyDescent="0.3">
      <c r="A63" t="s">
        <v>61</v>
      </c>
      <c r="B63" t="s">
        <v>8</v>
      </c>
      <c r="C63">
        <v>24</v>
      </c>
      <c r="D63" t="s">
        <v>16</v>
      </c>
      <c r="E63" s="3">
        <v>44148</v>
      </c>
      <c r="F63" t="s">
        <v>12</v>
      </c>
      <c r="G63" s="2">
        <v>62780</v>
      </c>
      <c r="H63" t="s">
        <v>206</v>
      </c>
      <c r="I63" s="5">
        <f ca="1">(TODAY()-Staff[[#This Row],[Date Joined]])/365</f>
        <v>3.8164383561643835</v>
      </c>
      <c r="J63" s="20">
        <f ca="1">ROUNDUP(IF(Staff[[#This Row],[Tenure]]&gt;2,0.03,0.02)*Staff[[#This Row],[Salary]],0)</f>
        <v>1884</v>
      </c>
      <c r="K63" s="5">
        <f>_xlfn.XLOOKUP(Staff[[#This Row],[Rating]],'Female Vs Male Comp.'!$I$8:$I$12,'Female Vs Male Comp.'!$J$8:$J$12)</f>
        <v>3</v>
      </c>
      <c r="L63" s="5"/>
    </row>
    <row r="64" spans="1:12" x14ac:dyDescent="0.3">
      <c r="A64" t="s">
        <v>115</v>
      </c>
      <c r="B64" t="s">
        <v>205</v>
      </c>
      <c r="C64">
        <v>30</v>
      </c>
      <c r="D64" t="s">
        <v>16</v>
      </c>
      <c r="E64" s="3">
        <v>44535</v>
      </c>
      <c r="F64" t="s">
        <v>21</v>
      </c>
      <c r="G64" s="2">
        <v>64000</v>
      </c>
      <c r="H64" t="s">
        <v>204</v>
      </c>
      <c r="I64" s="5">
        <f ca="1">(TODAY()-Staff[[#This Row],[Date Joined]])/365</f>
        <v>2.7561643835616438</v>
      </c>
      <c r="J64" s="20">
        <f ca="1">ROUNDUP(IF(Staff[[#This Row],[Tenure]]&gt;2,0.03,0.02)*Staff[[#This Row],[Salary]],0)</f>
        <v>1920</v>
      </c>
      <c r="K64" s="5">
        <f>_xlfn.XLOOKUP(Staff[[#This Row],[Rating]],'Female Vs Male Comp.'!$I$8:$I$12,'Female Vs Male Comp.'!$J$8:$J$12)</f>
        <v>3</v>
      </c>
      <c r="L64" s="5"/>
    </row>
    <row r="65" spans="1:12" x14ac:dyDescent="0.3">
      <c r="A65" t="s">
        <v>20</v>
      </c>
      <c r="B65" t="s">
        <v>205</v>
      </c>
      <c r="C65">
        <v>30</v>
      </c>
      <c r="D65" t="s">
        <v>16</v>
      </c>
      <c r="E65" s="3">
        <v>44597</v>
      </c>
      <c r="F65" t="s">
        <v>21</v>
      </c>
      <c r="G65" s="2">
        <v>64000</v>
      </c>
      <c r="H65" t="s">
        <v>206</v>
      </c>
      <c r="I65" s="5">
        <f ca="1">(TODAY()-Staff[[#This Row],[Date Joined]])/365</f>
        <v>2.5863013698630137</v>
      </c>
      <c r="J65" s="20">
        <f ca="1">ROUNDUP(IF(Staff[[#This Row],[Tenure]]&gt;2,0.03,0.02)*Staff[[#This Row],[Salary]],0)</f>
        <v>1920</v>
      </c>
      <c r="K65" s="5">
        <f>_xlfn.XLOOKUP(Staff[[#This Row],[Rating]],'Female Vs Male Comp.'!$I$8:$I$12,'Female Vs Male Comp.'!$J$8:$J$12)</f>
        <v>3</v>
      </c>
      <c r="L65" s="5"/>
    </row>
    <row r="66" spans="1:12" x14ac:dyDescent="0.3">
      <c r="A66" t="s">
        <v>185</v>
      </c>
      <c r="B66" t="s">
        <v>8</v>
      </c>
      <c r="C66">
        <v>33</v>
      </c>
      <c r="D66" t="s">
        <v>16</v>
      </c>
      <c r="E66" s="3">
        <v>44006</v>
      </c>
      <c r="F66" t="s">
        <v>21</v>
      </c>
      <c r="G66" s="2">
        <v>65360</v>
      </c>
      <c r="H66" t="s">
        <v>204</v>
      </c>
      <c r="I66" s="5">
        <f ca="1">(TODAY()-Staff[[#This Row],[Date Joined]])/365</f>
        <v>4.2054794520547949</v>
      </c>
      <c r="J66" s="20">
        <f ca="1">ROUNDUP(IF(Staff[[#This Row],[Tenure]]&gt;2,0.03,0.02)*Staff[[#This Row],[Salary]],0)</f>
        <v>1961</v>
      </c>
      <c r="K66" s="5">
        <f>_xlfn.XLOOKUP(Staff[[#This Row],[Rating]],'Female Vs Male Comp.'!$I$8:$I$12,'Female Vs Male Comp.'!$J$8:$J$12)</f>
        <v>3</v>
      </c>
      <c r="L66" s="5"/>
    </row>
    <row r="67" spans="1:12" x14ac:dyDescent="0.3">
      <c r="A67" t="s">
        <v>93</v>
      </c>
      <c r="B67" t="s">
        <v>8</v>
      </c>
      <c r="C67">
        <v>33</v>
      </c>
      <c r="D67" t="s">
        <v>16</v>
      </c>
      <c r="E67" s="3">
        <v>44067</v>
      </c>
      <c r="F67" t="s">
        <v>21</v>
      </c>
      <c r="G67" s="2">
        <v>65360</v>
      </c>
      <c r="H67" t="s">
        <v>206</v>
      </c>
      <c r="I67" s="5">
        <f ca="1">(TODAY()-Staff[[#This Row],[Date Joined]])/365</f>
        <v>4.0383561643835613</v>
      </c>
      <c r="J67" s="20">
        <f ca="1">ROUNDUP(IF(Staff[[#This Row],[Tenure]]&gt;2,0.03,0.02)*Staff[[#This Row],[Salary]],0)</f>
        <v>1961</v>
      </c>
      <c r="K67" s="5">
        <f>_xlfn.XLOOKUP(Staff[[#This Row],[Rating]],'Female Vs Male Comp.'!$I$8:$I$12,'Female Vs Male Comp.'!$J$8:$J$12)</f>
        <v>3</v>
      </c>
      <c r="L67" s="5"/>
    </row>
    <row r="68" spans="1:12" x14ac:dyDescent="0.3">
      <c r="A68" t="s">
        <v>167</v>
      </c>
      <c r="B68" t="s">
        <v>15</v>
      </c>
      <c r="C68">
        <v>25</v>
      </c>
      <c r="D68" t="s">
        <v>16</v>
      </c>
      <c r="E68" s="3">
        <v>44322</v>
      </c>
      <c r="F68" t="s">
        <v>19</v>
      </c>
      <c r="G68" s="2">
        <v>65700</v>
      </c>
      <c r="H68" t="s">
        <v>204</v>
      </c>
      <c r="I68" s="5">
        <f ca="1">(TODAY()-Staff[[#This Row],[Date Joined]])/365</f>
        <v>3.3397260273972602</v>
      </c>
      <c r="J68" s="20">
        <f ca="1">ROUNDUP(IF(Staff[[#This Row],[Tenure]]&gt;2,0.03,0.02)*Staff[[#This Row],[Salary]],0)</f>
        <v>1971</v>
      </c>
      <c r="K68" s="5">
        <f>_xlfn.XLOOKUP(Staff[[#This Row],[Rating]],'Female Vs Male Comp.'!$I$8:$I$12,'Female Vs Male Comp.'!$J$8:$J$12)</f>
        <v>3</v>
      </c>
      <c r="L68" s="5"/>
    </row>
    <row r="69" spans="1:12" x14ac:dyDescent="0.3">
      <c r="A69" t="s">
        <v>76</v>
      </c>
      <c r="B69" t="s">
        <v>15</v>
      </c>
      <c r="C69">
        <v>25</v>
      </c>
      <c r="D69" t="s">
        <v>16</v>
      </c>
      <c r="E69" s="3">
        <v>44383</v>
      </c>
      <c r="F69" t="s">
        <v>19</v>
      </c>
      <c r="G69" s="2">
        <v>65700</v>
      </c>
      <c r="H69" t="s">
        <v>206</v>
      </c>
      <c r="I69" s="5">
        <f ca="1">(TODAY()-Staff[[#This Row],[Date Joined]])/365</f>
        <v>3.1726027397260275</v>
      </c>
      <c r="J69" s="20">
        <f ca="1">ROUNDUP(IF(Staff[[#This Row],[Tenure]]&gt;2,0.03,0.02)*Staff[[#This Row],[Salary]],0)</f>
        <v>1971</v>
      </c>
      <c r="K69" s="5">
        <f>_xlfn.XLOOKUP(Staff[[#This Row],[Rating]],'Female Vs Male Comp.'!$I$8:$I$12,'Female Vs Male Comp.'!$J$8:$J$12)</f>
        <v>3</v>
      </c>
      <c r="L69" s="5"/>
    </row>
    <row r="70" spans="1:12" x14ac:dyDescent="0.3">
      <c r="A70" t="s">
        <v>125</v>
      </c>
      <c r="B70" t="s">
        <v>8</v>
      </c>
      <c r="C70">
        <v>21</v>
      </c>
      <c r="D70" t="s">
        <v>16</v>
      </c>
      <c r="E70" s="3">
        <v>44256</v>
      </c>
      <c r="F70" t="s">
        <v>21</v>
      </c>
      <c r="G70" s="2">
        <v>65920</v>
      </c>
      <c r="H70" t="s">
        <v>204</v>
      </c>
      <c r="I70" s="5">
        <f ca="1">(TODAY()-Staff[[#This Row],[Date Joined]])/365</f>
        <v>3.5205479452054793</v>
      </c>
      <c r="J70" s="20">
        <f ca="1">ROUNDUP(IF(Staff[[#This Row],[Tenure]]&gt;2,0.03,0.02)*Staff[[#This Row],[Salary]],0)</f>
        <v>1978</v>
      </c>
      <c r="K70" s="5">
        <f>_xlfn.XLOOKUP(Staff[[#This Row],[Rating]],'Female Vs Male Comp.'!$I$8:$I$12,'Female Vs Male Comp.'!$J$8:$J$12)</f>
        <v>3</v>
      </c>
      <c r="L70" s="5"/>
    </row>
    <row r="71" spans="1:12" x14ac:dyDescent="0.3">
      <c r="A71" t="s">
        <v>32</v>
      </c>
      <c r="B71" t="s">
        <v>8</v>
      </c>
      <c r="C71">
        <v>21</v>
      </c>
      <c r="D71" t="s">
        <v>16</v>
      </c>
      <c r="E71" s="3">
        <v>44317</v>
      </c>
      <c r="F71" t="s">
        <v>21</v>
      </c>
      <c r="G71" s="2">
        <v>65920</v>
      </c>
      <c r="H71" t="s">
        <v>206</v>
      </c>
      <c r="I71" s="5">
        <f ca="1">(TODAY()-Staff[[#This Row],[Date Joined]])/365</f>
        <v>3.3534246575342466</v>
      </c>
      <c r="J71" s="20">
        <f ca="1">ROUNDUP(IF(Staff[[#This Row],[Tenure]]&gt;2,0.03,0.02)*Staff[[#This Row],[Salary]],0)</f>
        <v>1978</v>
      </c>
      <c r="K71" s="5">
        <f>_xlfn.XLOOKUP(Staff[[#This Row],[Rating]],'Female Vs Male Comp.'!$I$8:$I$12,'Female Vs Male Comp.'!$J$8:$J$12)</f>
        <v>3</v>
      </c>
      <c r="L71" s="5"/>
    </row>
    <row r="72" spans="1:12" x14ac:dyDescent="0.3">
      <c r="A72" t="s">
        <v>120</v>
      </c>
      <c r="B72" t="s">
        <v>8</v>
      </c>
      <c r="C72">
        <v>30</v>
      </c>
      <c r="D72" t="s">
        <v>24</v>
      </c>
      <c r="E72" s="3">
        <v>44328</v>
      </c>
      <c r="F72" t="s">
        <v>21</v>
      </c>
      <c r="G72" s="2">
        <v>67910</v>
      </c>
      <c r="H72" t="s">
        <v>204</v>
      </c>
      <c r="I72" s="5">
        <f ca="1">(TODAY()-Staff[[#This Row],[Date Joined]])/365</f>
        <v>3.3232876712328765</v>
      </c>
      <c r="J72" s="20">
        <f ca="1">ROUNDUP(IF(Staff[[#This Row],[Tenure]]&gt;2,0.03,0.02)*Staff[[#This Row],[Salary]],0)</f>
        <v>2038</v>
      </c>
      <c r="K72" s="5">
        <f>_xlfn.XLOOKUP(Staff[[#This Row],[Rating]],'Female Vs Male Comp.'!$I$8:$I$12,'Female Vs Male Comp.'!$J$8:$J$12)</f>
        <v>2</v>
      </c>
      <c r="L72" s="5"/>
    </row>
    <row r="73" spans="1:12" x14ac:dyDescent="0.3">
      <c r="A73" t="s">
        <v>27</v>
      </c>
      <c r="B73" t="s">
        <v>8</v>
      </c>
      <c r="C73">
        <v>30</v>
      </c>
      <c r="D73" t="s">
        <v>24</v>
      </c>
      <c r="E73" s="3">
        <v>44389</v>
      </c>
      <c r="F73" t="s">
        <v>21</v>
      </c>
      <c r="G73" s="2">
        <v>67910</v>
      </c>
      <c r="H73" t="s">
        <v>206</v>
      </c>
      <c r="I73" s="5">
        <f ca="1">(TODAY()-Staff[[#This Row],[Date Joined]])/365</f>
        <v>3.1561643835616437</v>
      </c>
      <c r="J73" s="20">
        <f ca="1">ROUNDUP(IF(Staff[[#This Row],[Tenure]]&gt;2,0.03,0.02)*Staff[[#This Row],[Salary]],0)</f>
        <v>2038</v>
      </c>
      <c r="K73" s="5">
        <f>_xlfn.XLOOKUP(Staff[[#This Row],[Rating]],'Female Vs Male Comp.'!$I$8:$I$12,'Female Vs Male Comp.'!$J$8:$J$12)</f>
        <v>2</v>
      </c>
      <c r="L73" s="5"/>
    </row>
    <row r="74" spans="1:12" x14ac:dyDescent="0.3">
      <c r="A74" t="s">
        <v>137</v>
      </c>
      <c r="B74" t="s">
        <v>15</v>
      </c>
      <c r="C74">
        <v>30</v>
      </c>
      <c r="D74" t="s">
        <v>16</v>
      </c>
      <c r="E74" s="3">
        <v>44640</v>
      </c>
      <c r="F74" t="s">
        <v>9</v>
      </c>
      <c r="G74" s="2">
        <v>67950</v>
      </c>
      <c r="H74" t="s">
        <v>204</v>
      </c>
      <c r="I74" s="5">
        <f ca="1">(TODAY()-Staff[[#This Row],[Date Joined]])/365</f>
        <v>2.4684931506849317</v>
      </c>
      <c r="J74" s="20">
        <f ca="1">ROUNDUP(IF(Staff[[#This Row],[Tenure]]&gt;2,0.03,0.02)*Staff[[#This Row],[Salary]],0)</f>
        <v>2039</v>
      </c>
      <c r="K74" s="5">
        <f>_xlfn.XLOOKUP(Staff[[#This Row],[Rating]],'Female Vs Male Comp.'!$I$8:$I$12,'Female Vs Male Comp.'!$J$8:$J$12)</f>
        <v>3</v>
      </c>
      <c r="L74" s="5"/>
    </row>
    <row r="75" spans="1:12" x14ac:dyDescent="0.3">
      <c r="A75" t="s">
        <v>45</v>
      </c>
      <c r="B75" t="s">
        <v>15</v>
      </c>
      <c r="C75">
        <v>30</v>
      </c>
      <c r="D75" t="s">
        <v>16</v>
      </c>
      <c r="E75" s="3">
        <v>44701</v>
      </c>
      <c r="F75" t="s">
        <v>9</v>
      </c>
      <c r="G75" s="2">
        <v>67950</v>
      </c>
      <c r="H75" t="s">
        <v>206</v>
      </c>
      <c r="I75" s="5">
        <f ca="1">(TODAY()-Staff[[#This Row],[Date Joined]])/365</f>
        <v>2.3013698630136985</v>
      </c>
      <c r="J75" s="20">
        <f ca="1">ROUNDUP(IF(Staff[[#This Row],[Tenure]]&gt;2,0.03,0.02)*Staff[[#This Row],[Salary]],0)</f>
        <v>2039</v>
      </c>
      <c r="K75" s="5">
        <f>_xlfn.XLOOKUP(Staff[[#This Row],[Rating]],'Female Vs Male Comp.'!$I$8:$I$12,'Female Vs Male Comp.'!$J$8:$J$12)</f>
        <v>3</v>
      </c>
      <c r="L75" s="5"/>
    </row>
    <row r="76" spans="1:12" x14ac:dyDescent="0.3">
      <c r="A76" t="s">
        <v>183</v>
      </c>
      <c r="B76" t="s">
        <v>8</v>
      </c>
      <c r="C76">
        <v>20</v>
      </c>
      <c r="D76" t="s">
        <v>24</v>
      </c>
      <c r="E76" s="3">
        <v>44476</v>
      </c>
      <c r="F76" t="s">
        <v>19</v>
      </c>
      <c r="G76" s="2">
        <v>68900</v>
      </c>
      <c r="H76" t="s">
        <v>204</v>
      </c>
      <c r="I76" s="5">
        <f ca="1">(TODAY()-Staff[[#This Row],[Date Joined]])/365</f>
        <v>2.9178082191780823</v>
      </c>
      <c r="J76" s="20">
        <f ca="1">ROUNDUP(IF(Staff[[#This Row],[Tenure]]&gt;2,0.03,0.02)*Staff[[#This Row],[Salary]],0)</f>
        <v>2067</v>
      </c>
      <c r="K76" s="5">
        <f>_xlfn.XLOOKUP(Staff[[#This Row],[Rating]],'Female Vs Male Comp.'!$I$8:$I$12,'Female Vs Male Comp.'!$J$8:$J$12)</f>
        <v>2</v>
      </c>
      <c r="L76" s="5"/>
    </row>
    <row r="77" spans="1:12" x14ac:dyDescent="0.3">
      <c r="A77" t="s">
        <v>91</v>
      </c>
      <c r="B77" t="s">
        <v>8</v>
      </c>
      <c r="C77">
        <v>20</v>
      </c>
      <c r="D77" t="s">
        <v>24</v>
      </c>
      <c r="E77" s="3">
        <v>44537</v>
      </c>
      <c r="F77" t="s">
        <v>19</v>
      </c>
      <c r="G77" s="2">
        <v>68900</v>
      </c>
      <c r="H77" t="s">
        <v>206</v>
      </c>
      <c r="I77" s="5">
        <f ca="1">(TODAY()-Staff[[#This Row],[Date Joined]])/365</f>
        <v>2.7506849315068491</v>
      </c>
      <c r="J77" s="20">
        <f ca="1">ROUNDUP(IF(Staff[[#This Row],[Tenure]]&gt;2,0.03,0.02)*Staff[[#This Row],[Salary]],0)</f>
        <v>2067</v>
      </c>
      <c r="K77" s="5">
        <f>_xlfn.XLOOKUP(Staff[[#This Row],[Rating]],'Female Vs Male Comp.'!$I$8:$I$12,'Female Vs Male Comp.'!$J$8:$J$12)</f>
        <v>2</v>
      </c>
      <c r="L77" s="5"/>
    </row>
    <row r="78" spans="1:12" x14ac:dyDescent="0.3">
      <c r="A78" t="s">
        <v>189</v>
      </c>
      <c r="B78" t="s">
        <v>15</v>
      </c>
      <c r="C78">
        <v>37</v>
      </c>
      <c r="D78" t="s">
        <v>16</v>
      </c>
      <c r="E78" s="3">
        <v>44640</v>
      </c>
      <c r="F78" t="s">
        <v>12</v>
      </c>
      <c r="G78" s="2">
        <v>69070</v>
      </c>
      <c r="H78" t="s">
        <v>204</v>
      </c>
      <c r="I78" s="5">
        <f ca="1">(TODAY()-Staff[[#This Row],[Date Joined]])/365</f>
        <v>2.4684931506849317</v>
      </c>
      <c r="J78" s="20">
        <f ca="1">ROUNDUP(IF(Staff[[#This Row],[Tenure]]&gt;2,0.03,0.02)*Staff[[#This Row],[Salary]],0)</f>
        <v>2073</v>
      </c>
      <c r="K78" s="5">
        <f>_xlfn.XLOOKUP(Staff[[#This Row],[Rating]],'Female Vs Male Comp.'!$I$8:$I$12,'Female Vs Male Comp.'!$J$8:$J$12)</f>
        <v>3</v>
      </c>
      <c r="L78" s="5"/>
    </row>
    <row r="79" spans="1:12" x14ac:dyDescent="0.3">
      <c r="A79" t="s">
        <v>97</v>
      </c>
      <c r="B79" t="s">
        <v>15</v>
      </c>
      <c r="C79">
        <v>37</v>
      </c>
      <c r="D79" t="s">
        <v>16</v>
      </c>
      <c r="E79" s="3">
        <v>44701</v>
      </c>
      <c r="F79" t="s">
        <v>12</v>
      </c>
      <c r="G79" s="2">
        <v>69070</v>
      </c>
      <c r="H79" t="s">
        <v>206</v>
      </c>
      <c r="I79" s="5">
        <f ca="1">(TODAY()-Staff[[#This Row],[Date Joined]])/365</f>
        <v>2.3013698630136985</v>
      </c>
      <c r="J79" s="20">
        <f ca="1">ROUNDUP(IF(Staff[[#This Row],[Tenure]]&gt;2,0.03,0.02)*Staff[[#This Row],[Salary]],0)</f>
        <v>2073</v>
      </c>
      <c r="K79" s="5">
        <f>_xlfn.XLOOKUP(Staff[[#This Row],[Rating]],'Female Vs Male Comp.'!$I$8:$I$12,'Female Vs Male Comp.'!$J$8:$J$12)</f>
        <v>3</v>
      </c>
      <c r="L79" s="5"/>
    </row>
    <row r="80" spans="1:12" x14ac:dyDescent="0.3">
      <c r="A80" t="s">
        <v>118</v>
      </c>
      <c r="B80" t="s">
        <v>15</v>
      </c>
      <c r="C80">
        <v>30</v>
      </c>
      <c r="D80" t="s">
        <v>16</v>
      </c>
      <c r="E80" s="3">
        <v>44214</v>
      </c>
      <c r="F80" t="s">
        <v>12</v>
      </c>
      <c r="G80" s="2">
        <v>69120</v>
      </c>
      <c r="H80" t="s">
        <v>204</v>
      </c>
      <c r="I80" s="5">
        <f ca="1">(TODAY()-Staff[[#This Row],[Date Joined]])/365</f>
        <v>3.6356164383561644</v>
      </c>
      <c r="J80" s="20">
        <f ca="1">ROUNDUP(IF(Staff[[#This Row],[Tenure]]&gt;2,0.03,0.02)*Staff[[#This Row],[Salary]],0)</f>
        <v>2074</v>
      </c>
      <c r="K80" s="5">
        <f>_xlfn.XLOOKUP(Staff[[#This Row],[Rating]],'Female Vs Male Comp.'!$I$8:$I$12,'Female Vs Male Comp.'!$J$8:$J$12)</f>
        <v>3</v>
      </c>
      <c r="L80" s="5"/>
    </row>
    <row r="81" spans="1:12" x14ac:dyDescent="0.3">
      <c r="A81" t="s">
        <v>25</v>
      </c>
      <c r="B81" t="s">
        <v>15</v>
      </c>
      <c r="C81">
        <v>30</v>
      </c>
      <c r="D81" t="s">
        <v>16</v>
      </c>
      <c r="E81" s="3">
        <v>44273</v>
      </c>
      <c r="F81" t="s">
        <v>12</v>
      </c>
      <c r="G81" s="2">
        <v>69120</v>
      </c>
      <c r="H81" t="s">
        <v>206</v>
      </c>
      <c r="I81" s="5">
        <f ca="1">(TODAY()-Staff[[#This Row],[Date Joined]])/365</f>
        <v>3.473972602739726</v>
      </c>
      <c r="J81" s="20">
        <f ca="1">ROUNDUP(IF(Staff[[#This Row],[Tenure]]&gt;2,0.03,0.02)*Staff[[#This Row],[Salary]],0)</f>
        <v>2074</v>
      </c>
      <c r="K81" s="5">
        <f>_xlfn.XLOOKUP(Staff[[#This Row],[Rating]],'Female Vs Male Comp.'!$I$8:$I$12,'Female Vs Male Comp.'!$J$8:$J$12)</f>
        <v>3</v>
      </c>
      <c r="L81" s="5"/>
    </row>
    <row r="82" spans="1:12" x14ac:dyDescent="0.3">
      <c r="A82" t="s">
        <v>158</v>
      </c>
      <c r="B82" t="s">
        <v>15</v>
      </c>
      <c r="C82">
        <v>30</v>
      </c>
      <c r="D82" t="s">
        <v>16</v>
      </c>
      <c r="E82" s="3">
        <v>44789</v>
      </c>
      <c r="F82" t="s">
        <v>12</v>
      </c>
      <c r="G82" s="2">
        <v>69710</v>
      </c>
      <c r="H82" t="s">
        <v>204</v>
      </c>
      <c r="I82" s="5">
        <f ca="1">(TODAY()-Staff[[#This Row],[Date Joined]])/365</f>
        <v>2.0602739726027397</v>
      </c>
      <c r="J82" s="20">
        <f ca="1">ROUNDUP(IF(Staff[[#This Row],[Tenure]]&gt;2,0.03,0.02)*Staff[[#This Row],[Salary]],0)</f>
        <v>2092</v>
      </c>
      <c r="K82" s="5">
        <f>_xlfn.XLOOKUP(Staff[[#This Row],[Rating]],'Female Vs Male Comp.'!$I$8:$I$12,'Female Vs Male Comp.'!$J$8:$J$12)</f>
        <v>3</v>
      </c>
      <c r="L82" s="5"/>
    </row>
    <row r="83" spans="1:12" x14ac:dyDescent="0.3">
      <c r="A83" t="s">
        <v>67</v>
      </c>
      <c r="B83" t="s">
        <v>15</v>
      </c>
      <c r="C83">
        <v>30</v>
      </c>
      <c r="D83" t="s">
        <v>16</v>
      </c>
      <c r="E83" s="3">
        <v>44850</v>
      </c>
      <c r="F83" t="s">
        <v>12</v>
      </c>
      <c r="G83" s="2">
        <v>69710</v>
      </c>
      <c r="H83" t="s">
        <v>206</v>
      </c>
      <c r="I83" s="5">
        <f ca="1">(TODAY()-Staff[[#This Row],[Date Joined]])/365</f>
        <v>1.893150684931507</v>
      </c>
      <c r="J83" s="20">
        <f ca="1">ROUNDUP(IF(Staff[[#This Row],[Tenure]]&gt;2,0.03,0.02)*Staff[[#This Row],[Salary]],0)</f>
        <v>1395</v>
      </c>
      <c r="K83" s="5">
        <f>_xlfn.XLOOKUP(Staff[[#This Row],[Rating]],'Female Vs Male Comp.'!$I$8:$I$12,'Female Vs Male Comp.'!$J$8:$J$12)</f>
        <v>3</v>
      </c>
      <c r="L83" s="5"/>
    </row>
    <row r="84" spans="1:12" x14ac:dyDescent="0.3">
      <c r="A84" t="s">
        <v>182</v>
      </c>
      <c r="B84" t="s">
        <v>15</v>
      </c>
      <c r="C84">
        <v>42</v>
      </c>
      <c r="D84" t="s">
        <v>24</v>
      </c>
      <c r="E84" s="3">
        <v>44670</v>
      </c>
      <c r="F84" t="s">
        <v>21</v>
      </c>
      <c r="G84" s="2">
        <v>70270</v>
      </c>
      <c r="H84" t="s">
        <v>204</v>
      </c>
      <c r="I84" s="5">
        <f ca="1">(TODAY()-Staff[[#This Row],[Date Joined]])/365</f>
        <v>2.3863013698630136</v>
      </c>
      <c r="J84" s="20">
        <f ca="1">ROUNDUP(IF(Staff[[#This Row],[Tenure]]&gt;2,0.03,0.02)*Staff[[#This Row],[Salary]],0)</f>
        <v>2109</v>
      </c>
      <c r="K84" s="5">
        <f>_xlfn.XLOOKUP(Staff[[#This Row],[Rating]],'Female Vs Male Comp.'!$I$8:$I$12,'Female Vs Male Comp.'!$J$8:$J$12)</f>
        <v>2</v>
      </c>
      <c r="L84" s="5"/>
    </row>
    <row r="85" spans="1:12" x14ac:dyDescent="0.3">
      <c r="A85" t="s">
        <v>90</v>
      </c>
      <c r="B85" t="s">
        <v>15</v>
      </c>
      <c r="C85">
        <v>42</v>
      </c>
      <c r="D85" t="s">
        <v>24</v>
      </c>
      <c r="E85" s="3">
        <v>44731</v>
      </c>
      <c r="F85" t="s">
        <v>21</v>
      </c>
      <c r="G85" s="2">
        <v>70270</v>
      </c>
      <c r="H85" t="s">
        <v>206</v>
      </c>
      <c r="I85" s="5">
        <f ca="1">(TODAY()-Staff[[#This Row],[Date Joined]])/365</f>
        <v>2.2191780821917808</v>
      </c>
      <c r="J85" s="20">
        <f ca="1">ROUNDUP(IF(Staff[[#This Row],[Tenure]]&gt;2,0.03,0.02)*Staff[[#This Row],[Salary]],0)</f>
        <v>2109</v>
      </c>
      <c r="K85" s="5">
        <f>_xlfn.XLOOKUP(Staff[[#This Row],[Rating]],'Female Vs Male Comp.'!$I$8:$I$12,'Female Vs Male Comp.'!$J$8:$J$12)</f>
        <v>2</v>
      </c>
      <c r="L85" s="5"/>
    </row>
    <row r="86" spans="1:12" x14ac:dyDescent="0.3">
      <c r="A86" t="s">
        <v>161</v>
      </c>
      <c r="B86" t="s">
        <v>15</v>
      </c>
      <c r="C86">
        <v>46</v>
      </c>
      <c r="D86" t="s">
        <v>16</v>
      </c>
      <c r="E86" s="3">
        <v>44697</v>
      </c>
      <c r="F86" t="s">
        <v>9</v>
      </c>
      <c r="G86" s="2">
        <v>70610</v>
      </c>
      <c r="H86" t="s">
        <v>204</v>
      </c>
      <c r="I86" s="5">
        <f ca="1">(TODAY()-Staff[[#This Row],[Date Joined]])/365</f>
        <v>2.3123287671232875</v>
      </c>
      <c r="J86" s="20">
        <f ca="1">ROUNDUP(IF(Staff[[#This Row],[Tenure]]&gt;2,0.03,0.02)*Staff[[#This Row],[Salary]],0)</f>
        <v>2119</v>
      </c>
      <c r="K86" s="5">
        <f>_xlfn.XLOOKUP(Staff[[#This Row],[Rating]],'Female Vs Male Comp.'!$I$8:$I$12,'Female Vs Male Comp.'!$J$8:$J$12)</f>
        <v>3</v>
      </c>
      <c r="L86" s="5"/>
    </row>
    <row r="87" spans="1:12" x14ac:dyDescent="0.3">
      <c r="A87" t="s">
        <v>70</v>
      </c>
      <c r="B87" t="s">
        <v>15</v>
      </c>
      <c r="C87">
        <v>46</v>
      </c>
      <c r="D87" t="s">
        <v>16</v>
      </c>
      <c r="E87" s="3">
        <v>44758</v>
      </c>
      <c r="F87" t="s">
        <v>9</v>
      </c>
      <c r="G87" s="2">
        <v>70610</v>
      </c>
      <c r="H87" t="s">
        <v>206</v>
      </c>
      <c r="I87" s="5">
        <f ca="1">(TODAY()-Staff[[#This Row],[Date Joined]])/365</f>
        <v>2.1452054794520548</v>
      </c>
      <c r="J87" s="20">
        <f ca="1">ROUNDUP(IF(Staff[[#This Row],[Tenure]]&gt;2,0.03,0.02)*Staff[[#This Row],[Salary]],0)</f>
        <v>2119</v>
      </c>
      <c r="K87" s="5">
        <f>_xlfn.XLOOKUP(Staff[[#This Row],[Rating]],'Female Vs Male Comp.'!$I$8:$I$12,'Female Vs Male Comp.'!$J$8:$J$12)</f>
        <v>3</v>
      </c>
      <c r="L87" s="5"/>
    </row>
    <row r="88" spans="1:12" x14ac:dyDescent="0.3">
      <c r="A88" t="s">
        <v>186</v>
      </c>
      <c r="B88" t="s">
        <v>15</v>
      </c>
      <c r="C88">
        <v>36</v>
      </c>
      <c r="D88" t="s">
        <v>16</v>
      </c>
      <c r="E88" s="3">
        <v>44272</v>
      </c>
      <c r="F88" t="s">
        <v>21</v>
      </c>
      <c r="G88" s="2">
        <v>71380</v>
      </c>
      <c r="H88" t="s">
        <v>204</v>
      </c>
      <c r="I88" s="5">
        <f ca="1">(TODAY()-Staff[[#This Row],[Date Joined]])/365</f>
        <v>3.4767123287671233</v>
      </c>
      <c r="J88" s="20">
        <f ca="1">ROUNDUP(IF(Staff[[#This Row],[Tenure]]&gt;2,0.03,0.02)*Staff[[#This Row],[Salary]],0)</f>
        <v>2142</v>
      </c>
      <c r="K88" s="5">
        <f>_xlfn.XLOOKUP(Staff[[#This Row],[Rating]],'Female Vs Male Comp.'!$I$8:$I$12,'Female Vs Male Comp.'!$J$8:$J$12)</f>
        <v>3</v>
      </c>
      <c r="L88" s="5"/>
    </row>
    <row r="89" spans="1:12" x14ac:dyDescent="0.3">
      <c r="A89" t="s">
        <v>94</v>
      </c>
      <c r="B89" t="s">
        <v>15</v>
      </c>
      <c r="C89">
        <v>36</v>
      </c>
      <c r="D89" t="s">
        <v>16</v>
      </c>
      <c r="E89" s="3">
        <v>44333</v>
      </c>
      <c r="F89" t="s">
        <v>21</v>
      </c>
      <c r="G89" s="2">
        <v>71380</v>
      </c>
      <c r="H89" t="s">
        <v>206</v>
      </c>
      <c r="I89" s="5">
        <f ca="1">(TODAY()-Staff[[#This Row],[Date Joined]])/365</f>
        <v>3.3095890410958906</v>
      </c>
      <c r="J89" s="20">
        <f ca="1">ROUNDUP(IF(Staff[[#This Row],[Tenure]]&gt;2,0.03,0.02)*Staff[[#This Row],[Salary]],0)</f>
        <v>2142</v>
      </c>
      <c r="K89" s="5">
        <f>_xlfn.XLOOKUP(Staff[[#This Row],[Rating]],'Female Vs Male Comp.'!$I$8:$I$12,'Female Vs Male Comp.'!$J$8:$J$12)</f>
        <v>3</v>
      </c>
      <c r="L89" s="5"/>
    </row>
    <row r="90" spans="1:12" x14ac:dyDescent="0.3">
      <c r="A90" t="s">
        <v>114</v>
      </c>
      <c r="B90" t="s">
        <v>15</v>
      </c>
      <c r="C90">
        <v>33</v>
      </c>
      <c r="D90" t="s">
        <v>16</v>
      </c>
      <c r="E90" s="3">
        <v>44324</v>
      </c>
      <c r="F90" t="s">
        <v>19</v>
      </c>
      <c r="G90" s="2">
        <v>74550</v>
      </c>
      <c r="H90" t="s">
        <v>204</v>
      </c>
      <c r="I90" s="5">
        <f ca="1">(TODAY()-Staff[[#This Row],[Date Joined]])/365</f>
        <v>3.3342465753424659</v>
      </c>
      <c r="J90" s="20">
        <f ca="1">ROUNDUP(IF(Staff[[#This Row],[Tenure]]&gt;2,0.03,0.02)*Staff[[#This Row],[Salary]],0)</f>
        <v>2237</v>
      </c>
      <c r="K90" s="5">
        <f>_xlfn.XLOOKUP(Staff[[#This Row],[Rating]],'Female Vs Male Comp.'!$I$8:$I$12,'Female Vs Male Comp.'!$J$8:$J$12)</f>
        <v>3</v>
      </c>
      <c r="L90" s="5"/>
    </row>
    <row r="91" spans="1:12" x14ac:dyDescent="0.3">
      <c r="A91" t="s">
        <v>18</v>
      </c>
      <c r="B91" t="s">
        <v>15</v>
      </c>
      <c r="C91">
        <v>33</v>
      </c>
      <c r="D91" t="s">
        <v>16</v>
      </c>
      <c r="E91" s="3">
        <v>44385</v>
      </c>
      <c r="F91" t="s">
        <v>19</v>
      </c>
      <c r="G91" s="2">
        <v>74550</v>
      </c>
      <c r="H91" t="s">
        <v>206</v>
      </c>
      <c r="I91" s="5">
        <f ca="1">(TODAY()-Staff[[#This Row],[Date Joined]])/365</f>
        <v>3.1671232876712327</v>
      </c>
      <c r="J91" s="20">
        <f ca="1">ROUNDUP(IF(Staff[[#This Row],[Tenure]]&gt;2,0.03,0.02)*Staff[[#This Row],[Salary]],0)</f>
        <v>2237</v>
      </c>
      <c r="K91" s="5">
        <f>_xlfn.XLOOKUP(Staff[[#This Row],[Rating]],'Female Vs Male Comp.'!$I$8:$I$12,'Female Vs Male Comp.'!$J$8:$J$12)</f>
        <v>3</v>
      </c>
      <c r="L91" s="5"/>
    </row>
    <row r="92" spans="1:12" x14ac:dyDescent="0.3">
      <c r="A92" t="s">
        <v>110</v>
      </c>
      <c r="B92" t="s">
        <v>8</v>
      </c>
      <c r="C92">
        <v>42</v>
      </c>
      <c r="D92" t="s">
        <v>10</v>
      </c>
      <c r="E92" s="3">
        <v>44718</v>
      </c>
      <c r="F92" t="s">
        <v>9</v>
      </c>
      <c r="G92" s="2">
        <v>75000</v>
      </c>
      <c r="H92" t="s">
        <v>204</v>
      </c>
      <c r="I92" s="5">
        <f ca="1">(TODAY()-Staff[[#This Row],[Date Joined]])/365</f>
        <v>2.2547945205479452</v>
      </c>
      <c r="J92" s="20">
        <f ca="1">ROUNDUP(IF(Staff[[#This Row],[Tenure]]&gt;2,0.03,0.02)*Staff[[#This Row],[Salary]],0)</f>
        <v>2250</v>
      </c>
      <c r="K92" s="5">
        <f>_xlfn.XLOOKUP(Staff[[#This Row],[Rating]],'Female Vs Male Comp.'!$I$8:$I$12,'Female Vs Male Comp.'!$J$8:$J$12)</f>
        <v>5</v>
      </c>
      <c r="L92" s="5"/>
    </row>
    <row r="93" spans="1:12" x14ac:dyDescent="0.3">
      <c r="A93" t="s">
        <v>7</v>
      </c>
      <c r="B93" t="s">
        <v>8</v>
      </c>
      <c r="C93">
        <v>42</v>
      </c>
      <c r="D93" t="s">
        <v>10</v>
      </c>
      <c r="E93" s="3">
        <v>44779</v>
      </c>
      <c r="F93" t="s">
        <v>9</v>
      </c>
      <c r="G93" s="2">
        <v>75000</v>
      </c>
      <c r="H93" t="s">
        <v>206</v>
      </c>
      <c r="I93" s="5">
        <f ca="1">(TODAY()-Staff[[#This Row],[Date Joined]])/365</f>
        <v>2.0876712328767124</v>
      </c>
      <c r="J93" s="20">
        <f ca="1">ROUNDUP(IF(Staff[[#This Row],[Tenure]]&gt;2,0.03,0.02)*Staff[[#This Row],[Salary]],0)</f>
        <v>2250</v>
      </c>
      <c r="K93" s="5">
        <f>_xlfn.XLOOKUP(Staff[[#This Row],[Rating]],'Female Vs Male Comp.'!$I$8:$I$12,'Female Vs Male Comp.'!$J$8:$J$12)</f>
        <v>5</v>
      </c>
      <c r="L93" s="5"/>
    </row>
    <row r="94" spans="1:12" x14ac:dyDescent="0.3">
      <c r="A94" t="s">
        <v>187</v>
      </c>
      <c r="B94" t="s">
        <v>8</v>
      </c>
      <c r="C94">
        <v>33</v>
      </c>
      <c r="D94" t="s">
        <v>16</v>
      </c>
      <c r="E94" s="3">
        <v>44253</v>
      </c>
      <c r="F94" t="s">
        <v>12</v>
      </c>
      <c r="G94" s="2">
        <v>75280</v>
      </c>
      <c r="H94" t="s">
        <v>204</v>
      </c>
      <c r="I94" s="5">
        <f ca="1">(TODAY()-Staff[[#This Row],[Date Joined]])/365</f>
        <v>3.5287671232876714</v>
      </c>
      <c r="J94" s="20">
        <f ca="1">ROUNDUP(IF(Staff[[#This Row],[Tenure]]&gt;2,0.03,0.02)*Staff[[#This Row],[Salary]],0)</f>
        <v>2259</v>
      </c>
      <c r="K94" s="5">
        <f>_xlfn.XLOOKUP(Staff[[#This Row],[Rating]],'Female Vs Male Comp.'!$I$8:$I$12,'Female Vs Male Comp.'!$J$8:$J$12)</f>
        <v>3</v>
      </c>
      <c r="L94" s="5"/>
    </row>
    <row r="95" spans="1:12" x14ac:dyDescent="0.3">
      <c r="A95" t="s">
        <v>95</v>
      </c>
      <c r="B95" t="s">
        <v>8</v>
      </c>
      <c r="C95">
        <v>33</v>
      </c>
      <c r="D95" t="s">
        <v>16</v>
      </c>
      <c r="E95" s="3">
        <v>44312</v>
      </c>
      <c r="F95" t="s">
        <v>12</v>
      </c>
      <c r="G95" s="2">
        <v>75280</v>
      </c>
      <c r="H95" t="s">
        <v>206</v>
      </c>
      <c r="I95" s="5">
        <f ca="1">(TODAY()-Staff[[#This Row],[Date Joined]])/365</f>
        <v>3.3671232876712329</v>
      </c>
      <c r="J95" s="20">
        <f ca="1">ROUNDUP(IF(Staff[[#This Row],[Tenure]]&gt;2,0.03,0.02)*Staff[[#This Row],[Salary]],0)</f>
        <v>2259</v>
      </c>
      <c r="K95" s="5">
        <f>_xlfn.XLOOKUP(Staff[[#This Row],[Rating]],'Female Vs Male Comp.'!$I$8:$I$12,'Female Vs Male Comp.'!$J$8:$J$12)</f>
        <v>3</v>
      </c>
      <c r="L95" s="5"/>
    </row>
    <row r="96" spans="1:12" x14ac:dyDescent="0.3">
      <c r="A96" t="s">
        <v>134</v>
      </c>
      <c r="B96" t="s">
        <v>8</v>
      </c>
      <c r="C96">
        <v>33</v>
      </c>
      <c r="D96" t="s">
        <v>42</v>
      </c>
      <c r="E96" s="3">
        <v>44313</v>
      </c>
      <c r="F96" t="s">
        <v>12</v>
      </c>
      <c r="G96" s="2">
        <v>75480</v>
      </c>
      <c r="H96" t="s">
        <v>204</v>
      </c>
      <c r="I96" s="5">
        <f ca="1">(TODAY()-Staff[[#This Row],[Date Joined]])/365</f>
        <v>3.3643835616438356</v>
      </c>
      <c r="J96" s="20">
        <f ca="1">ROUNDUP(IF(Staff[[#This Row],[Tenure]]&gt;2,0.03,0.02)*Staff[[#This Row],[Salary]],0)</f>
        <v>2265</v>
      </c>
      <c r="K96" s="5">
        <f>_xlfn.XLOOKUP(Staff[[#This Row],[Rating]],'Female Vs Male Comp.'!$I$8:$I$12,'Female Vs Male Comp.'!$J$8:$J$12)</f>
        <v>1</v>
      </c>
      <c r="L96" s="5"/>
    </row>
    <row r="97" spans="1:12" x14ac:dyDescent="0.3">
      <c r="A97" t="s">
        <v>41</v>
      </c>
      <c r="B97" t="s">
        <v>8</v>
      </c>
      <c r="C97">
        <v>33</v>
      </c>
      <c r="D97" t="s">
        <v>42</v>
      </c>
      <c r="E97" s="3">
        <v>44374</v>
      </c>
      <c r="F97" t="s">
        <v>12</v>
      </c>
      <c r="G97" s="2">
        <v>75480</v>
      </c>
      <c r="H97" t="s">
        <v>206</v>
      </c>
      <c r="I97" s="5">
        <f ca="1">(TODAY()-Staff[[#This Row],[Date Joined]])/365</f>
        <v>3.1972602739726028</v>
      </c>
      <c r="J97" s="20">
        <f ca="1">ROUNDUP(IF(Staff[[#This Row],[Tenure]]&gt;2,0.03,0.02)*Staff[[#This Row],[Salary]],0)</f>
        <v>2265</v>
      </c>
      <c r="K97" s="5">
        <f>_xlfn.XLOOKUP(Staff[[#This Row],[Rating]],'Female Vs Male Comp.'!$I$8:$I$12,'Female Vs Male Comp.'!$J$8:$J$12)</f>
        <v>1</v>
      </c>
      <c r="L97" s="5"/>
    </row>
    <row r="98" spans="1:12" x14ac:dyDescent="0.3">
      <c r="A98" t="s">
        <v>169</v>
      </c>
      <c r="B98" t="s">
        <v>15</v>
      </c>
      <c r="C98">
        <v>21</v>
      </c>
      <c r="D98" t="s">
        <v>16</v>
      </c>
      <c r="E98" s="3">
        <v>44180</v>
      </c>
      <c r="F98" t="s">
        <v>56</v>
      </c>
      <c r="G98" s="2">
        <v>75880</v>
      </c>
      <c r="H98" t="s">
        <v>204</v>
      </c>
      <c r="I98" s="5">
        <f ca="1">(TODAY()-Staff[[#This Row],[Date Joined]])/365</f>
        <v>3.7287671232876711</v>
      </c>
      <c r="J98" s="20">
        <f ca="1">ROUNDUP(IF(Staff[[#This Row],[Tenure]]&gt;2,0.03,0.02)*Staff[[#This Row],[Salary]],0)</f>
        <v>2277</v>
      </c>
      <c r="K98" s="5">
        <f>_xlfn.XLOOKUP(Staff[[#This Row],[Rating]],'Female Vs Male Comp.'!$I$8:$I$12,'Female Vs Male Comp.'!$J$8:$J$12)</f>
        <v>3</v>
      </c>
      <c r="L98" s="5"/>
    </row>
    <row r="99" spans="1:12" x14ac:dyDescent="0.3">
      <c r="A99" t="s">
        <v>78</v>
      </c>
      <c r="B99" t="s">
        <v>15</v>
      </c>
      <c r="C99">
        <v>21</v>
      </c>
      <c r="D99" t="s">
        <v>16</v>
      </c>
      <c r="E99" s="3">
        <v>44242</v>
      </c>
      <c r="F99" t="s">
        <v>56</v>
      </c>
      <c r="G99" s="2">
        <v>75880</v>
      </c>
      <c r="H99" t="s">
        <v>206</v>
      </c>
      <c r="I99" s="5">
        <f ca="1">(TODAY()-Staff[[#This Row],[Date Joined]])/365</f>
        <v>3.558904109589041</v>
      </c>
      <c r="J99" s="20">
        <f ca="1">ROUNDUP(IF(Staff[[#This Row],[Tenure]]&gt;2,0.03,0.02)*Staff[[#This Row],[Salary]],0)</f>
        <v>2277</v>
      </c>
      <c r="K99" s="5">
        <f>_xlfn.XLOOKUP(Staff[[#This Row],[Rating]],'Female Vs Male Comp.'!$I$8:$I$12,'Female Vs Male Comp.'!$J$8:$J$12)</f>
        <v>3</v>
      </c>
      <c r="L99" s="5"/>
    </row>
    <row r="100" spans="1:12" x14ac:dyDescent="0.3">
      <c r="A100" t="s">
        <v>128</v>
      </c>
      <c r="B100" t="s">
        <v>8</v>
      </c>
      <c r="C100">
        <v>28</v>
      </c>
      <c r="D100" t="s">
        <v>16</v>
      </c>
      <c r="E100" s="3">
        <v>44124</v>
      </c>
      <c r="F100" t="s">
        <v>21</v>
      </c>
      <c r="G100" s="2">
        <v>75970</v>
      </c>
      <c r="H100" t="s">
        <v>204</v>
      </c>
      <c r="I100" s="5">
        <f ca="1">(TODAY()-Staff[[#This Row],[Date Joined]])/365</f>
        <v>3.882191780821918</v>
      </c>
      <c r="J100" s="20">
        <f ca="1">ROUNDUP(IF(Staff[[#This Row],[Tenure]]&gt;2,0.03,0.02)*Staff[[#This Row],[Salary]],0)</f>
        <v>2280</v>
      </c>
      <c r="K100" s="5">
        <f>_xlfn.XLOOKUP(Staff[[#This Row],[Rating]],'Female Vs Male Comp.'!$I$8:$I$12,'Female Vs Male Comp.'!$J$8:$J$12)</f>
        <v>3</v>
      </c>
      <c r="L100" s="5"/>
    </row>
    <row r="101" spans="1:12" x14ac:dyDescent="0.3">
      <c r="A101" t="s">
        <v>35</v>
      </c>
      <c r="B101" t="s">
        <v>8</v>
      </c>
      <c r="C101">
        <v>28</v>
      </c>
      <c r="D101" t="s">
        <v>16</v>
      </c>
      <c r="E101" s="3">
        <v>44185</v>
      </c>
      <c r="F101" t="s">
        <v>21</v>
      </c>
      <c r="G101" s="2">
        <v>75970</v>
      </c>
      <c r="H101" t="s">
        <v>206</v>
      </c>
      <c r="I101" s="5">
        <f ca="1">(TODAY()-Staff[[#This Row],[Date Joined]])/365</f>
        <v>3.7150684931506848</v>
      </c>
      <c r="J101" s="20">
        <f ca="1">ROUNDUP(IF(Staff[[#This Row],[Tenure]]&gt;2,0.03,0.02)*Staff[[#This Row],[Salary]],0)</f>
        <v>2280</v>
      </c>
      <c r="K101" s="5">
        <f>_xlfn.XLOOKUP(Staff[[#This Row],[Rating]],'Female Vs Male Comp.'!$I$8:$I$12,'Female Vs Male Comp.'!$J$8:$J$12)</f>
        <v>3</v>
      </c>
      <c r="L101" s="5"/>
    </row>
    <row r="102" spans="1:12" x14ac:dyDescent="0.3">
      <c r="A102" t="s">
        <v>153</v>
      </c>
      <c r="B102" t="s">
        <v>8</v>
      </c>
      <c r="C102">
        <v>22</v>
      </c>
      <c r="D102" t="s">
        <v>13</v>
      </c>
      <c r="E102" s="3">
        <v>44388</v>
      </c>
      <c r="F102" t="s">
        <v>9</v>
      </c>
      <c r="G102" s="2">
        <v>76900</v>
      </c>
      <c r="H102" t="s">
        <v>204</v>
      </c>
      <c r="I102" s="5">
        <f ca="1">(TODAY()-Staff[[#This Row],[Date Joined]])/365</f>
        <v>3.1589041095890411</v>
      </c>
      <c r="J102" s="20">
        <f ca="1">ROUNDUP(IF(Staff[[#This Row],[Tenure]]&gt;2,0.03,0.02)*Staff[[#This Row],[Salary]],0)</f>
        <v>2307</v>
      </c>
      <c r="K102" s="5">
        <f>_xlfn.XLOOKUP(Staff[[#This Row],[Rating]],'Female Vs Male Comp.'!$I$8:$I$12,'Female Vs Male Comp.'!$J$8:$J$12)</f>
        <v>4</v>
      </c>
      <c r="L102" s="5"/>
    </row>
    <row r="103" spans="1:12" x14ac:dyDescent="0.3">
      <c r="A103" t="s">
        <v>62</v>
      </c>
      <c r="B103" t="s">
        <v>8</v>
      </c>
      <c r="C103">
        <v>22</v>
      </c>
      <c r="D103" t="s">
        <v>13</v>
      </c>
      <c r="E103" s="3">
        <v>44450</v>
      </c>
      <c r="F103" t="s">
        <v>9</v>
      </c>
      <c r="G103" s="2">
        <v>76900</v>
      </c>
      <c r="H103" t="s">
        <v>206</v>
      </c>
      <c r="I103" s="5">
        <f ca="1">(TODAY()-Staff[[#This Row],[Date Joined]])/365</f>
        <v>2.989041095890411</v>
      </c>
      <c r="J103" s="20">
        <f ca="1">ROUNDUP(IF(Staff[[#This Row],[Tenure]]&gt;2,0.03,0.02)*Staff[[#This Row],[Salary]],0)</f>
        <v>2307</v>
      </c>
      <c r="K103" s="5">
        <f>_xlfn.XLOOKUP(Staff[[#This Row],[Rating]],'Female Vs Male Comp.'!$I$8:$I$12,'Female Vs Male Comp.'!$J$8:$J$12)</f>
        <v>4</v>
      </c>
      <c r="L103" s="5"/>
    </row>
    <row r="104" spans="1:12" x14ac:dyDescent="0.3">
      <c r="A104" t="s">
        <v>163</v>
      </c>
      <c r="B104" t="s">
        <v>8</v>
      </c>
      <c r="C104">
        <v>36</v>
      </c>
      <c r="D104" t="s">
        <v>16</v>
      </c>
      <c r="E104" s="3">
        <v>44468</v>
      </c>
      <c r="F104" t="s">
        <v>9</v>
      </c>
      <c r="G104" s="2">
        <v>78390</v>
      </c>
      <c r="H104" t="s">
        <v>204</v>
      </c>
      <c r="I104" s="5">
        <f ca="1">(TODAY()-Staff[[#This Row],[Date Joined]])/365</f>
        <v>2.9397260273972603</v>
      </c>
      <c r="J104" s="20">
        <f ca="1">ROUNDUP(IF(Staff[[#This Row],[Tenure]]&gt;2,0.03,0.02)*Staff[[#This Row],[Salary]],0)</f>
        <v>2352</v>
      </c>
      <c r="K104" s="5">
        <f>_xlfn.XLOOKUP(Staff[[#This Row],[Rating]],'Female Vs Male Comp.'!$I$8:$I$12,'Female Vs Male Comp.'!$J$8:$J$12)</f>
        <v>3</v>
      </c>
      <c r="L104" s="5"/>
    </row>
    <row r="105" spans="1:12" x14ac:dyDescent="0.3">
      <c r="A105" t="s">
        <v>72</v>
      </c>
      <c r="B105" t="s">
        <v>8</v>
      </c>
      <c r="C105">
        <v>36</v>
      </c>
      <c r="D105" t="s">
        <v>16</v>
      </c>
      <c r="E105" s="3">
        <v>44529</v>
      </c>
      <c r="F105" t="s">
        <v>9</v>
      </c>
      <c r="G105" s="2">
        <v>78390</v>
      </c>
      <c r="H105" t="s">
        <v>206</v>
      </c>
      <c r="I105" s="5">
        <f ca="1">(TODAY()-Staff[[#This Row],[Date Joined]])/365</f>
        <v>2.7726027397260276</v>
      </c>
      <c r="J105" s="20">
        <f ca="1">ROUNDUP(IF(Staff[[#This Row],[Tenure]]&gt;2,0.03,0.02)*Staff[[#This Row],[Salary]],0)</f>
        <v>2352</v>
      </c>
      <c r="K105" s="5">
        <f>_xlfn.XLOOKUP(Staff[[#This Row],[Rating]],'Female Vs Male Comp.'!$I$8:$I$12,'Female Vs Male Comp.'!$J$8:$J$12)</f>
        <v>3</v>
      </c>
      <c r="L105" s="5"/>
    </row>
    <row r="106" spans="1:12" x14ac:dyDescent="0.3">
      <c r="A106" t="s">
        <v>140</v>
      </c>
      <c r="B106" t="s">
        <v>8</v>
      </c>
      <c r="C106">
        <v>36</v>
      </c>
      <c r="D106" t="s">
        <v>16</v>
      </c>
      <c r="E106" s="3">
        <v>44433</v>
      </c>
      <c r="F106" t="s">
        <v>19</v>
      </c>
      <c r="G106" s="2">
        <v>78540</v>
      </c>
      <c r="H106" t="s">
        <v>204</v>
      </c>
      <c r="I106" s="5">
        <f ca="1">(TODAY()-Staff[[#This Row],[Date Joined]])/365</f>
        <v>3.0356164383561643</v>
      </c>
      <c r="J106" s="20">
        <f ca="1">ROUNDUP(IF(Staff[[#This Row],[Tenure]]&gt;2,0.03,0.02)*Staff[[#This Row],[Salary]],0)</f>
        <v>2357</v>
      </c>
      <c r="K106" s="5">
        <f>_xlfn.XLOOKUP(Staff[[#This Row],[Rating]],'Female Vs Male Comp.'!$I$8:$I$12,'Female Vs Male Comp.'!$J$8:$J$12)</f>
        <v>3</v>
      </c>
      <c r="L106" s="5"/>
    </row>
    <row r="107" spans="1:12" x14ac:dyDescent="0.3">
      <c r="A107" t="s">
        <v>48</v>
      </c>
      <c r="B107" t="s">
        <v>8</v>
      </c>
      <c r="C107">
        <v>36</v>
      </c>
      <c r="D107" t="s">
        <v>16</v>
      </c>
      <c r="E107" s="3">
        <v>44494</v>
      </c>
      <c r="F107" t="s">
        <v>19</v>
      </c>
      <c r="G107" s="2">
        <v>78540</v>
      </c>
      <c r="H107" t="s">
        <v>206</v>
      </c>
      <c r="I107" s="5">
        <f ca="1">(TODAY()-Staff[[#This Row],[Date Joined]])/365</f>
        <v>2.8684931506849316</v>
      </c>
      <c r="J107" s="20">
        <f ca="1">ROUNDUP(IF(Staff[[#This Row],[Tenure]]&gt;2,0.03,0.02)*Staff[[#This Row],[Salary]],0)</f>
        <v>2357</v>
      </c>
      <c r="K107" s="5">
        <f>_xlfn.XLOOKUP(Staff[[#This Row],[Rating]],'Female Vs Male Comp.'!$I$8:$I$12,'Female Vs Male Comp.'!$J$8:$J$12)</f>
        <v>3</v>
      </c>
      <c r="L107" s="5"/>
    </row>
    <row r="108" spans="1:12" x14ac:dyDescent="0.3">
      <c r="A108" t="s">
        <v>196</v>
      </c>
      <c r="B108" t="s">
        <v>15</v>
      </c>
      <c r="C108">
        <v>20</v>
      </c>
      <c r="D108" t="s">
        <v>16</v>
      </c>
      <c r="E108" s="3">
        <v>44683</v>
      </c>
      <c r="F108" t="s">
        <v>9</v>
      </c>
      <c r="G108" s="2">
        <v>79570</v>
      </c>
      <c r="H108" t="s">
        <v>204</v>
      </c>
      <c r="I108" s="5">
        <f ca="1">(TODAY()-Staff[[#This Row],[Date Joined]])/365</f>
        <v>2.3506849315068492</v>
      </c>
      <c r="J108" s="20">
        <f ca="1">ROUNDUP(IF(Staff[[#This Row],[Tenure]]&gt;2,0.03,0.02)*Staff[[#This Row],[Salary]],0)</f>
        <v>2388</v>
      </c>
      <c r="K108" s="5">
        <f>_xlfn.XLOOKUP(Staff[[#This Row],[Rating]],'Female Vs Male Comp.'!$I$8:$I$12,'Female Vs Male Comp.'!$J$8:$J$12)</f>
        <v>3</v>
      </c>
      <c r="L108" s="5"/>
    </row>
    <row r="109" spans="1:12" x14ac:dyDescent="0.3">
      <c r="A109" t="s">
        <v>104</v>
      </c>
      <c r="B109" t="s">
        <v>15</v>
      </c>
      <c r="C109">
        <v>20</v>
      </c>
      <c r="D109" t="s">
        <v>16</v>
      </c>
      <c r="E109" s="3">
        <v>44744</v>
      </c>
      <c r="F109" t="s">
        <v>9</v>
      </c>
      <c r="G109" s="2">
        <v>79570</v>
      </c>
      <c r="H109" t="s">
        <v>206</v>
      </c>
      <c r="I109" s="5">
        <f ca="1">(TODAY()-Staff[[#This Row],[Date Joined]])/365</f>
        <v>2.1835616438356165</v>
      </c>
      <c r="J109" s="20">
        <f ca="1">ROUNDUP(IF(Staff[[#This Row],[Tenure]]&gt;2,0.03,0.02)*Staff[[#This Row],[Salary]],0)</f>
        <v>2388</v>
      </c>
      <c r="K109" s="5">
        <f>_xlfn.XLOOKUP(Staff[[#This Row],[Rating]],'Female Vs Male Comp.'!$I$8:$I$12,'Female Vs Male Comp.'!$J$8:$J$12)</f>
        <v>3</v>
      </c>
      <c r="L109" s="5"/>
    </row>
    <row r="110" spans="1:12" x14ac:dyDescent="0.3">
      <c r="A110" t="s">
        <v>132</v>
      </c>
      <c r="B110" t="s">
        <v>8</v>
      </c>
      <c r="C110">
        <v>25</v>
      </c>
      <c r="D110" t="s">
        <v>13</v>
      </c>
      <c r="E110" s="3">
        <v>44633</v>
      </c>
      <c r="F110" t="s">
        <v>12</v>
      </c>
      <c r="G110" s="2">
        <v>80700</v>
      </c>
      <c r="H110" t="s">
        <v>204</v>
      </c>
      <c r="I110" s="5">
        <f ca="1">(TODAY()-Staff[[#This Row],[Date Joined]])/365</f>
        <v>2.4876712328767123</v>
      </c>
      <c r="J110" s="20">
        <f ca="1">ROUNDUP(IF(Staff[[#This Row],[Tenure]]&gt;2,0.03,0.02)*Staff[[#This Row],[Salary]],0)</f>
        <v>2421</v>
      </c>
      <c r="K110" s="5">
        <f>_xlfn.XLOOKUP(Staff[[#This Row],[Rating]],'Female Vs Male Comp.'!$I$8:$I$12,'Female Vs Male Comp.'!$J$8:$J$12)</f>
        <v>4</v>
      </c>
      <c r="L110" s="5"/>
    </row>
    <row r="111" spans="1:12" x14ac:dyDescent="0.3">
      <c r="A111" t="s">
        <v>39</v>
      </c>
      <c r="B111" t="s">
        <v>8</v>
      </c>
      <c r="C111">
        <v>25</v>
      </c>
      <c r="D111" t="s">
        <v>13</v>
      </c>
      <c r="E111" s="3">
        <v>44694</v>
      </c>
      <c r="F111" t="s">
        <v>12</v>
      </c>
      <c r="G111" s="2">
        <v>80700</v>
      </c>
      <c r="H111" t="s">
        <v>206</v>
      </c>
      <c r="I111" s="5">
        <f ca="1">(TODAY()-Staff[[#This Row],[Date Joined]])/365</f>
        <v>2.3205479452054796</v>
      </c>
      <c r="J111" s="20">
        <f ca="1">ROUNDUP(IF(Staff[[#This Row],[Tenure]]&gt;2,0.03,0.02)*Staff[[#This Row],[Salary]],0)</f>
        <v>2421</v>
      </c>
      <c r="K111" s="5">
        <f>_xlfn.XLOOKUP(Staff[[#This Row],[Rating]],'Female Vs Male Comp.'!$I$8:$I$12,'Female Vs Male Comp.'!$J$8:$J$12)</f>
        <v>4</v>
      </c>
      <c r="L111" s="5"/>
    </row>
    <row r="112" spans="1:12" x14ac:dyDescent="0.3">
      <c r="A112" t="s">
        <v>184</v>
      </c>
      <c r="B112" t="s">
        <v>8</v>
      </c>
      <c r="C112">
        <v>27</v>
      </c>
      <c r="D112" t="s">
        <v>16</v>
      </c>
      <c r="E112" s="3">
        <v>44625</v>
      </c>
      <c r="F112" t="s">
        <v>12</v>
      </c>
      <c r="G112" s="2">
        <v>83750</v>
      </c>
      <c r="H112" t="s">
        <v>204</v>
      </c>
      <c r="I112" s="5">
        <f ca="1">(TODAY()-Staff[[#This Row],[Date Joined]])/365</f>
        <v>2.5095890410958903</v>
      </c>
      <c r="J112" s="20">
        <f ca="1">ROUNDUP(IF(Staff[[#This Row],[Tenure]]&gt;2,0.03,0.02)*Staff[[#This Row],[Salary]],0)</f>
        <v>2513</v>
      </c>
      <c r="K112" s="5">
        <f>_xlfn.XLOOKUP(Staff[[#This Row],[Rating]],'Female Vs Male Comp.'!$I$8:$I$12,'Female Vs Male Comp.'!$J$8:$J$12)</f>
        <v>3</v>
      </c>
      <c r="L112" s="5"/>
    </row>
    <row r="113" spans="1:12" x14ac:dyDescent="0.3">
      <c r="A113" t="s">
        <v>92</v>
      </c>
      <c r="B113" t="s">
        <v>8</v>
      </c>
      <c r="C113">
        <v>27</v>
      </c>
      <c r="D113" t="s">
        <v>16</v>
      </c>
      <c r="E113" s="3">
        <v>44686</v>
      </c>
      <c r="F113" t="s">
        <v>12</v>
      </c>
      <c r="G113" s="2">
        <v>83750</v>
      </c>
      <c r="H113" t="s">
        <v>206</v>
      </c>
      <c r="I113" s="5">
        <f ca="1">(TODAY()-Staff[[#This Row],[Date Joined]])/365</f>
        <v>2.3424657534246576</v>
      </c>
      <c r="J113" s="20">
        <f ca="1">ROUNDUP(IF(Staff[[#This Row],[Tenure]]&gt;2,0.03,0.02)*Staff[[#This Row],[Salary]],0)</f>
        <v>2513</v>
      </c>
      <c r="K113" s="5">
        <f>_xlfn.XLOOKUP(Staff[[#This Row],[Rating]],'Female Vs Male Comp.'!$I$8:$I$12,'Female Vs Male Comp.'!$J$8:$J$12)</f>
        <v>3</v>
      </c>
      <c r="L113" s="5"/>
    </row>
    <row r="114" spans="1:12" x14ac:dyDescent="0.3">
      <c r="A114" t="s">
        <v>121</v>
      </c>
      <c r="B114" t="s">
        <v>8</v>
      </c>
      <c r="C114">
        <v>34</v>
      </c>
      <c r="D114" t="s">
        <v>16</v>
      </c>
      <c r="E114" s="3">
        <v>44397</v>
      </c>
      <c r="F114" t="s">
        <v>21</v>
      </c>
      <c r="G114" s="2">
        <v>85000</v>
      </c>
      <c r="H114" t="s">
        <v>204</v>
      </c>
      <c r="I114" s="5">
        <f ca="1">(TODAY()-Staff[[#This Row],[Date Joined]])/365</f>
        <v>3.1342465753424658</v>
      </c>
      <c r="J114" s="20">
        <f ca="1">ROUNDUP(IF(Staff[[#This Row],[Tenure]]&gt;2,0.03,0.02)*Staff[[#This Row],[Salary]],0)</f>
        <v>2550</v>
      </c>
      <c r="K114" s="5">
        <f>_xlfn.XLOOKUP(Staff[[#This Row],[Rating]],'Female Vs Male Comp.'!$I$8:$I$12,'Female Vs Male Comp.'!$J$8:$J$12)</f>
        <v>3</v>
      </c>
      <c r="L114" s="5"/>
    </row>
    <row r="115" spans="1:12" x14ac:dyDescent="0.3">
      <c r="A115" t="s">
        <v>28</v>
      </c>
      <c r="B115" t="s">
        <v>8</v>
      </c>
      <c r="C115">
        <v>34</v>
      </c>
      <c r="D115" t="s">
        <v>16</v>
      </c>
      <c r="E115" s="3">
        <v>44459</v>
      </c>
      <c r="F115" t="s">
        <v>21</v>
      </c>
      <c r="G115" s="2">
        <v>85000</v>
      </c>
      <c r="H115" t="s">
        <v>206</v>
      </c>
      <c r="I115" s="5">
        <f ca="1">(TODAY()-Staff[[#This Row],[Date Joined]])/365</f>
        <v>2.9643835616438357</v>
      </c>
      <c r="J115" s="20">
        <f ca="1">ROUNDUP(IF(Staff[[#This Row],[Tenure]]&gt;2,0.03,0.02)*Staff[[#This Row],[Salary]],0)</f>
        <v>2550</v>
      </c>
      <c r="K115" s="5">
        <f>_xlfn.XLOOKUP(Staff[[#This Row],[Rating]],'Female Vs Male Comp.'!$I$8:$I$12,'Female Vs Male Comp.'!$J$8:$J$12)</f>
        <v>3</v>
      </c>
      <c r="L115" s="5"/>
    </row>
    <row r="116" spans="1:12" x14ac:dyDescent="0.3">
      <c r="A116" t="s">
        <v>180</v>
      </c>
      <c r="B116" t="s">
        <v>8</v>
      </c>
      <c r="C116">
        <v>33</v>
      </c>
      <c r="D116" t="s">
        <v>16</v>
      </c>
      <c r="E116" s="3">
        <v>44747</v>
      </c>
      <c r="F116" t="s">
        <v>21</v>
      </c>
      <c r="G116" s="2">
        <v>86570</v>
      </c>
      <c r="H116" t="s">
        <v>204</v>
      </c>
      <c r="I116" s="5">
        <f ca="1">(TODAY()-Staff[[#This Row],[Date Joined]])/365</f>
        <v>2.1753424657534248</v>
      </c>
      <c r="J116" s="20">
        <f ca="1">ROUNDUP(IF(Staff[[#This Row],[Tenure]]&gt;2,0.03,0.02)*Staff[[#This Row],[Salary]],0)</f>
        <v>2598</v>
      </c>
      <c r="K116" s="5">
        <f>_xlfn.XLOOKUP(Staff[[#This Row],[Rating]],'Female Vs Male Comp.'!$I$8:$I$12,'Female Vs Male Comp.'!$J$8:$J$12)</f>
        <v>3</v>
      </c>
      <c r="L116" s="5"/>
    </row>
    <row r="117" spans="1:12" x14ac:dyDescent="0.3">
      <c r="A117" t="s">
        <v>88</v>
      </c>
      <c r="B117" t="s">
        <v>8</v>
      </c>
      <c r="C117">
        <v>33</v>
      </c>
      <c r="D117" t="s">
        <v>16</v>
      </c>
      <c r="E117" s="3">
        <v>44809</v>
      </c>
      <c r="F117" t="s">
        <v>21</v>
      </c>
      <c r="G117" s="2">
        <v>86570</v>
      </c>
      <c r="H117" t="s">
        <v>206</v>
      </c>
      <c r="I117" s="5">
        <f ca="1">(TODAY()-Staff[[#This Row],[Date Joined]])/365</f>
        <v>2.0054794520547947</v>
      </c>
      <c r="J117" s="20">
        <f ca="1">ROUNDUP(IF(Staff[[#This Row],[Tenure]]&gt;2,0.03,0.02)*Staff[[#This Row],[Salary]],0)</f>
        <v>2598</v>
      </c>
      <c r="K117" s="5">
        <f>_xlfn.XLOOKUP(Staff[[#This Row],[Rating]],'Female Vs Male Comp.'!$I$8:$I$12,'Female Vs Male Comp.'!$J$8:$J$12)</f>
        <v>3</v>
      </c>
      <c r="L117" s="5"/>
    </row>
    <row r="118" spans="1:12" x14ac:dyDescent="0.3">
      <c r="A118" t="s">
        <v>165</v>
      </c>
      <c r="B118" t="s">
        <v>8</v>
      </c>
      <c r="C118">
        <v>40</v>
      </c>
      <c r="D118" t="s">
        <v>16</v>
      </c>
      <c r="E118" s="3">
        <v>44276</v>
      </c>
      <c r="F118" t="s">
        <v>12</v>
      </c>
      <c r="G118" s="2">
        <v>87620</v>
      </c>
      <c r="H118" t="s">
        <v>204</v>
      </c>
      <c r="I118" s="5">
        <f ca="1">(TODAY()-Staff[[#This Row],[Date Joined]])/365</f>
        <v>3.4657534246575343</v>
      </c>
      <c r="J118" s="20">
        <f ca="1">ROUNDUP(IF(Staff[[#This Row],[Tenure]]&gt;2,0.03,0.02)*Staff[[#This Row],[Salary]],0)</f>
        <v>2629</v>
      </c>
      <c r="K118" s="5">
        <f>_xlfn.XLOOKUP(Staff[[#This Row],[Rating]],'Female Vs Male Comp.'!$I$8:$I$12,'Female Vs Male Comp.'!$J$8:$J$12)</f>
        <v>3</v>
      </c>
      <c r="L118" s="5"/>
    </row>
    <row r="119" spans="1:12" x14ac:dyDescent="0.3">
      <c r="A119" t="s">
        <v>74</v>
      </c>
      <c r="B119" t="s">
        <v>8</v>
      </c>
      <c r="C119">
        <v>40</v>
      </c>
      <c r="D119" t="s">
        <v>16</v>
      </c>
      <c r="E119" s="3">
        <v>44337</v>
      </c>
      <c r="F119" t="s">
        <v>12</v>
      </c>
      <c r="G119" s="2">
        <v>87620</v>
      </c>
      <c r="H119" t="s">
        <v>206</v>
      </c>
      <c r="I119" s="5">
        <f ca="1">(TODAY()-Staff[[#This Row],[Date Joined]])/365</f>
        <v>3.2986301369863016</v>
      </c>
      <c r="J119" s="20">
        <f ca="1">ROUNDUP(IF(Staff[[#This Row],[Tenure]]&gt;2,0.03,0.02)*Staff[[#This Row],[Salary]],0)</f>
        <v>2629</v>
      </c>
      <c r="K119" s="5">
        <f>_xlfn.XLOOKUP(Staff[[#This Row],[Rating]],'Female Vs Male Comp.'!$I$8:$I$12,'Female Vs Male Comp.'!$J$8:$J$12)</f>
        <v>3</v>
      </c>
      <c r="L119" s="5"/>
    </row>
    <row r="120" spans="1:12" x14ac:dyDescent="0.3">
      <c r="A120" t="s">
        <v>117</v>
      </c>
      <c r="B120" t="s">
        <v>15</v>
      </c>
      <c r="C120">
        <v>37</v>
      </c>
      <c r="D120" t="s">
        <v>24</v>
      </c>
      <c r="E120" s="3">
        <v>44277</v>
      </c>
      <c r="F120" t="s">
        <v>12</v>
      </c>
      <c r="G120" s="2">
        <v>88050</v>
      </c>
      <c r="H120" t="s">
        <v>204</v>
      </c>
      <c r="I120" s="5">
        <f ca="1">(TODAY()-Staff[[#This Row],[Date Joined]])/365</f>
        <v>3.463013698630137</v>
      </c>
      <c r="J120" s="20">
        <f ca="1">ROUNDUP(IF(Staff[[#This Row],[Tenure]]&gt;2,0.03,0.02)*Staff[[#This Row],[Salary]],0)</f>
        <v>2642</v>
      </c>
      <c r="K120" s="5">
        <f>_xlfn.XLOOKUP(Staff[[#This Row],[Rating]],'Female Vs Male Comp.'!$I$8:$I$12,'Female Vs Male Comp.'!$J$8:$J$12)</f>
        <v>2</v>
      </c>
      <c r="L120" s="5"/>
    </row>
    <row r="121" spans="1:12" x14ac:dyDescent="0.3">
      <c r="A121" t="s">
        <v>23</v>
      </c>
      <c r="B121" t="s">
        <v>15</v>
      </c>
      <c r="C121">
        <v>37</v>
      </c>
      <c r="D121" t="s">
        <v>24</v>
      </c>
      <c r="E121" s="3">
        <v>44338</v>
      </c>
      <c r="F121" t="s">
        <v>12</v>
      </c>
      <c r="G121" s="2">
        <v>88050</v>
      </c>
      <c r="H121" t="s">
        <v>206</v>
      </c>
      <c r="I121" s="5">
        <f ca="1">(TODAY()-Staff[[#This Row],[Date Joined]])/365</f>
        <v>3.2958904109589042</v>
      </c>
      <c r="J121" s="20">
        <f ca="1">ROUNDUP(IF(Staff[[#This Row],[Tenure]]&gt;2,0.03,0.02)*Staff[[#This Row],[Salary]],0)</f>
        <v>2642</v>
      </c>
      <c r="K121" s="5">
        <f>_xlfn.XLOOKUP(Staff[[#This Row],[Rating]],'Female Vs Male Comp.'!$I$8:$I$12,'Female Vs Male Comp.'!$J$8:$J$12)</f>
        <v>2</v>
      </c>
      <c r="L121" s="5"/>
    </row>
    <row r="122" spans="1:12" x14ac:dyDescent="0.3">
      <c r="A122" t="s">
        <v>111</v>
      </c>
      <c r="B122" t="s">
        <v>205</v>
      </c>
      <c r="C122">
        <v>27</v>
      </c>
      <c r="D122" t="s">
        <v>13</v>
      </c>
      <c r="E122" s="3">
        <v>44212</v>
      </c>
      <c r="F122" t="s">
        <v>12</v>
      </c>
      <c r="G122" s="2">
        <v>90700</v>
      </c>
      <c r="H122" t="s">
        <v>204</v>
      </c>
      <c r="I122" s="5">
        <f ca="1">(TODAY()-Staff[[#This Row],[Date Joined]])/365</f>
        <v>3.6410958904109587</v>
      </c>
      <c r="J122" s="20">
        <f ca="1">ROUNDUP(IF(Staff[[#This Row],[Tenure]]&gt;2,0.03,0.02)*Staff[[#This Row],[Salary]],0)</f>
        <v>2721</v>
      </c>
      <c r="K122" s="5">
        <f>_xlfn.XLOOKUP(Staff[[#This Row],[Rating]],'Female Vs Male Comp.'!$I$8:$I$12,'Female Vs Male Comp.'!$J$8:$J$12)</f>
        <v>4</v>
      </c>
      <c r="L122" s="5"/>
    </row>
    <row r="123" spans="1:12" x14ac:dyDescent="0.3">
      <c r="A123" t="s">
        <v>11</v>
      </c>
      <c r="B123" t="s">
        <v>205</v>
      </c>
      <c r="C123">
        <v>26</v>
      </c>
      <c r="D123" t="s">
        <v>13</v>
      </c>
      <c r="E123" s="3">
        <v>44271</v>
      </c>
      <c r="F123" t="s">
        <v>12</v>
      </c>
      <c r="G123" s="2">
        <v>90700</v>
      </c>
      <c r="H123" t="s">
        <v>206</v>
      </c>
      <c r="I123" s="5">
        <f ca="1">(TODAY()-Staff[[#This Row],[Date Joined]])/365</f>
        <v>3.4794520547945207</v>
      </c>
      <c r="J123" s="20">
        <f ca="1">ROUNDUP(IF(Staff[[#This Row],[Tenure]]&gt;2,0.03,0.02)*Staff[[#This Row],[Salary]],0)</f>
        <v>2721</v>
      </c>
      <c r="K123" s="5">
        <f>_xlfn.XLOOKUP(Staff[[#This Row],[Rating]],'Female Vs Male Comp.'!$I$8:$I$12,'Female Vs Male Comp.'!$J$8:$J$12)</f>
        <v>4</v>
      </c>
      <c r="L123" s="5"/>
    </row>
    <row r="124" spans="1:12" x14ac:dyDescent="0.3">
      <c r="A124" t="s">
        <v>144</v>
      </c>
      <c r="B124" t="s">
        <v>205</v>
      </c>
      <c r="C124">
        <v>32</v>
      </c>
      <c r="D124" t="s">
        <v>16</v>
      </c>
      <c r="E124" s="3">
        <v>44713</v>
      </c>
      <c r="F124" t="s">
        <v>12</v>
      </c>
      <c r="G124" s="2">
        <v>91310</v>
      </c>
      <c r="H124" t="s">
        <v>204</v>
      </c>
      <c r="I124" s="5">
        <f ca="1">(TODAY()-Staff[[#This Row],[Date Joined]])/365</f>
        <v>2.2684931506849315</v>
      </c>
      <c r="J124" s="20">
        <f ca="1">ROUNDUP(IF(Staff[[#This Row],[Tenure]]&gt;2,0.03,0.02)*Staff[[#This Row],[Salary]],0)</f>
        <v>2740</v>
      </c>
      <c r="K124" s="5">
        <f>_xlfn.XLOOKUP(Staff[[#This Row],[Rating]],'Female Vs Male Comp.'!$I$8:$I$12,'Female Vs Male Comp.'!$J$8:$J$12)</f>
        <v>3</v>
      </c>
      <c r="L124" s="5"/>
    </row>
    <row r="125" spans="1:12" x14ac:dyDescent="0.3">
      <c r="A125" t="s">
        <v>52</v>
      </c>
      <c r="B125" t="s">
        <v>205</v>
      </c>
      <c r="C125">
        <v>32</v>
      </c>
      <c r="D125" t="s">
        <v>16</v>
      </c>
      <c r="E125" s="3">
        <v>44774</v>
      </c>
      <c r="F125" t="s">
        <v>12</v>
      </c>
      <c r="G125" s="2">
        <v>91310</v>
      </c>
      <c r="H125" t="s">
        <v>206</v>
      </c>
      <c r="I125" s="5">
        <f ca="1">(TODAY()-Staff[[#This Row],[Date Joined]])/365</f>
        <v>2.1013698630136988</v>
      </c>
      <c r="J125" s="20">
        <f ca="1">ROUNDUP(IF(Staff[[#This Row],[Tenure]]&gt;2,0.03,0.02)*Staff[[#This Row],[Salary]],0)</f>
        <v>2740</v>
      </c>
      <c r="K125" s="5">
        <f>_xlfn.XLOOKUP(Staff[[#This Row],[Rating]],'Female Vs Male Comp.'!$I$8:$I$12,'Female Vs Male Comp.'!$J$8:$J$12)</f>
        <v>3</v>
      </c>
      <c r="L125" s="5"/>
    </row>
    <row r="126" spans="1:12" x14ac:dyDescent="0.3">
      <c r="A126" t="s">
        <v>159</v>
      </c>
      <c r="B126" t="s">
        <v>15</v>
      </c>
      <c r="C126">
        <v>27</v>
      </c>
      <c r="D126" t="s">
        <v>13</v>
      </c>
      <c r="E126" s="3">
        <v>44174</v>
      </c>
      <c r="F126" t="s">
        <v>21</v>
      </c>
      <c r="G126" s="2">
        <v>91650</v>
      </c>
      <c r="H126" t="s">
        <v>204</v>
      </c>
      <c r="I126" s="5">
        <f ca="1">(TODAY()-Staff[[#This Row],[Date Joined]])/365</f>
        <v>3.7452054794520548</v>
      </c>
      <c r="J126" s="20">
        <f ca="1">ROUNDUP(IF(Staff[[#This Row],[Tenure]]&gt;2,0.03,0.02)*Staff[[#This Row],[Salary]],0)</f>
        <v>2750</v>
      </c>
      <c r="K126" s="5">
        <f>_xlfn.XLOOKUP(Staff[[#This Row],[Rating]],'Female Vs Male Comp.'!$I$8:$I$12,'Female Vs Male Comp.'!$J$8:$J$12)</f>
        <v>4</v>
      </c>
      <c r="L126" s="5"/>
    </row>
    <row r="127" spans="1:12" x14ac:dyDescent="0.3">
      <c r="A127" t="s">
        <v>68</v>
      </c>
      <c r="B127" t="s">
        <v>15</v>
      </c>
      <c r="C127">
        <v>27</v>
      </c>
      <c r="D127" t="s">
        <v>13</v>
      </c>
      <c r="E127" s="3">
        <v>44236</v>
      </c>
      <c r="F127" t="s">
        <v>21</v>
      </c>
      <c r="G127" s="2">
        <v>91650</v>
      </c>
      <c r="H127" t="s">
        <v>206</v>
      </c>
      <c r="I127" s="5">
        <f ca="1">(TODAY()-Staff[[#This Row],[Date Joined]])/365</f>
        <v>3.5753424657534247</v>
      </c>
      <c r="J127" s="20">
        <f ca="1">ROUNDUP(IF(Staff[[#This Row],[Tenure]]&gt;2,0.03,0.02)*Staff[[#This Row],[Salary]],0)</f>
        <v>2750</v>
      </c>
      <c r="K127" s="5">
        <f>_xlfn.XLOOKUP(Staff[[#This Row],[Rating]],'Female Vs Male Comp.'!$I$8:$I$12,'Female Vs Male Comp.'!$J$8:$J$12)</f>
        <v>4</v>
      </c>
      <c r="L127" s="5"/>
    </row>
    <row r="128" spans="1:12" x14ac:dyDescent="0.3">
      <c r="A128" t="s">
        <v>194</v>
      </c>
      <c r="B128" t="s">
        <v>8</v>
      </c>
      <c r="C128">
        <v>34</v>
      </c>
      <c r="D128" t="s">
        <v>16</v>
      </c>
      <c r="E128" s="3">
        <v>44383</v>
      </c>
      <c r="F128" t="s">
        <v>21</v>
      </c>
      <c r="G128" s="2">
        <v>92450</v>
      </c>
      <c r="H128" t="s">
        <v>204</v>
      </c>
      <c r="I128" s="5">
        <f ca="1">(TODAY()-Staff[[#This Row],[Date Joined]])/365</f>
        <v>3.1726027397260275</v>
      </c>
      <c r="J128" s="20">
        <f ca="1">ROUNDUP(IF(Staff[[#This Row],[Tenure]]&gt;2,0.03,0.02)*Staff[[#This Row],[Salary]],0)</f>
        <v>2774</v>
      </c>
      <c r="K128" s="5">
        <f>_xlfn.XLOOKUP(Staff[[#This Row],[Rating]],'Female Vs Male Comp.'!$I$8:$I$12,'Female Vs Male Comp.'!$J$8:$J$12)</f>
        <v>3</v>
      </c>
      <c r="L128" s="5"/>
    </row>
    <row r="129" spans="1:12" x14ac:dyDescent="0.3">
      <c r="A129" t="s">
        <v>102</v>
      </c>
      <c r="B129" t="s">
        <v>8</v>
      </c>
      <c r="C129">
        <v>34</v>
      </c>
      <c r="D129" t="s">
        <v>16</v>
      </c>
      <c r="E129" s="3">
        <v>44445</v>
      </c>
      <c r="F129" t="s">
        <v>21</v>
      </c>
      <c r="G129" s="2">
        <v>92450</v>
      </c>
      <c r="H129" t="s">
        <v>206</v>
      </c>
      <c r="I129" s="5">
        <f ca="1">(TODAY()-Staff[[#This Row],[Date Joined]])/365</f>
        <v>3.0027397260273974</v>
      </c>
      <c r="J129" s="20">
        <f ca="1">ROUNDUP(IF(Staff[[#This Row],[Tenure]]&gt;2,0.03,0.02)*Staff[[#This Row],[Salary]],0)</f>
        <v>2774</v>
      </c>
      <c r="K129" s="5">
        <f>_xlfn.XLOOKUP(Staff[[#This Row],[Rating]],'Female Vs Male Comp.'!$I$8:$I$12,'Female Vs Male Comp.'!$J$8:$J$12)</f>
        <v>3</v>
      </c>
      <c r="L129" s="5"/>
    </row>
    <row r="130" spans="1:12" x14ac:dyDescent="0.3">
      <c r="A130" t="s">
        <v>168</v>
      </c>
      <c r="B130" t="s">
        <v>8</v>
      </c>
      <c r="C130">
        <v>25</v>
      </c>
      <c r="D130" t="s">
        <v>16</v>
      </c>
      <c r="E130" s="3">
        <v>44144</v>
      </c>
      <c r="F130" t="s">
        <v>19</v>
      </c>
      <c r="G130" s="2">
        <v>92700</v>
      </c>
      <c r="H130" t="s">
        <v>204</v>
      </c>
      <c r="I130" s="5">
        <f ca="1">(TODAY()-Staff[[#This Row],[Date Joined]])/365</f>
        <v>3.8273972602739725</v>
      </c>
      <c r="J130" s="20">
        <f ca="1">ROUNDUP(IF(Staff[[#This Row],[Tenure]]&gt;2,0.03,0.02)*Staff[[#This Row],[Salary]],0)</f>
        <v>2781</v>
      </c>
      <c r="K130" s="5">
        <f>_xlfn.XLOOKUP(Staff[[#This Row],[Rating]],'Female Vs Male Comp.'!$I$8:$I$12,'Female Vs Male Comp.'!$J$8:$J$12)</f>
        <v>3</v>
      </c>
      <c r="L130" s="5"/>
    </row>
    <row r="131" spans="1:12" x14ac:dyDescent="0.3">
      <c r="A131" t="s">
        <v>77</v>
      </c>
      <c r="B131" t="s">
        <v>8</v>
      </c>
      <c r="C131">
        <v>25</v>
      </c>
      <c r="D131" t="s">
        <v>16</v>
      </c>
      <c r="E131" s="3">
        <v>44205</v>
      </c>
      <c r="F131" t="s">
        <v>19</v>
      </c>
      <c r="G131" s="2">
        <v>92700</v>
      </c>
      <c r="H131" t="s">
        <v>206</v>
      </c>
      <c r="I131" s="5">
        <f ca="1">(TODAY()-Staff[[#This Row],[Date Joined]])/365</f>
        <v>3.6602739726027398</v>
      </c>
      <c r="J131" s="20">
        <f ca="1">ROUNDUP(IF(Staff[[#This Row],[Tenure]]&gt;2,0.03,0.02)*Staff[[#This Row],[Salary]],0)</f>
        <v>2781</v>
      </c>
      <c r="K131" s="5">
        <f>_xlfn.XLOOKUP(Staff[[#This Row],[Rating]],'Female Vs Male Comp.'!$I$8:$I$12,'Female Vs Male Comp.'!$J$8:$J$12)</f>
        <v>3</v>
      </c>
      <c r="L131" s="5"/>
    </row>
    <row r="132" spans="1:12" x14ac:dyDescent="0.3">
      <c r="A132" t="s">
        <v>162</v>
      </c>
      <c r="B132" t="s">
        <v>8</v>
      </c>
      <c r="C132">
        <v>33</v>
      </c>
      <c r="D132" t="s">
        <v>16</v>
      </c>
      <c r="E132" s="3">
        <v>44129</v>
      </c>
      <c r="F132" t="s">
        <v>12</v>
      </c>
      <c r="G132" s="2">
        <v>96140</v>
      </c>
      <c r="H132" t="s">
        <v>204</v>
      </c>
      <c r="I132" s="5">
        <f ca="1">(TODAY()-Staff[[#This Row],[Date Joined]])/365</f>
        <v>3.8684931506849316</v>
      </c>
      <c r="J132" s="20">
        <f ca="1">ROUNDUP(IF(Staff[[#This Row],[Tenure]]&gt;2,0.03,0.02)*Staff[[#This Row],[Salary]],0)</f>
        <v>2885</v>
      </c>
      <c r="K132" s="5">
        <f>_xlfn.XLOOKUP(Staff[[#This Row],[Rating]],'Female Vs Male Comp.'!$I$8:$I$12,'Female Vs Male Comp.'!$J$8:$J$12)</f>
        <v>3</v>
      </c>
      <c r="L132" s="5"/>
    </row>
    <row r="133" spans="1:12" x14ac:dyDescent="0.3">
      <c r="A133" t="s">
        <v>71</v>
      </c>
      <c r="B133" t="s">
        <v>8</v>
      </c>
      <c r="C133">
        <v>33</v>
      </c>
      <c r="D133" t="s">
        <v>16</v>
      </c>
      <c r="E133" s="3">
        <v>44190</v>
      </c>
      <c r="F133" t="s">
        <v>12</v>
      </c>
      <c r="G133" s="2">
        <v>96140</v>
      </c>
      <c r="H133" t="s">
        <v>206</v>
      </c>
      <c r="I133" s="5">
        <f ca="1">(TODAY()-Staff[[#This Row],[Date Joined]])/365</f>
        <v>3.7013698630136984</v>
      </c>
      <c r="J133" s="20">
        <f ca="1">ROUNDUP(IF(Staff[[#This Row],[Tenure]]&gt;2,0.03,0.02)*Staff[[#This Row],[Salary]],0)</f>
        <v>2885</v>
      </c>
      <c r="K133" s="5">
        <f>_xlfn.XLOOKUP(Staff[[#This Row],[Rating]],'Female Vs Male Comp.'!$I$8:$I$12,'Female Vs Male Comp.'!$J$8:$J$12)</f>
        <v>3</v>
      </c>
      <c r="L133" s="5"/>
    </row>
    <row r="134" spans="1:12" x14ac:dyDescent="0.3">
      <c r="A134" t="s">
        <v>176</v>
      </c>
      <c r="B134" t="s">
        <v>15</v>
      </c>
      <c r="C134">
        <v>30</v>
      </c>
      <c r="D134" t="s">
        <v>16</v>
      </c>
      <c r="E134" s="3">
        <v>44544</v>
      </c>
      <c r="F134" t="s">
        <v>21</v>
      </c>
      <c r="G134" s="2">
        <v>96800</v>
      </c>
      <c r="H134" t="s">
        <v>204</v>
      </c>
      <c r="I134" s="5">
        <f ca="1">(TODAY()-Staff[[#This Row],[Date Joined]])/365</f>
        <v>2.7315068493150685</v>
      </c>
      <c r="J134" s="20">
        <f ca="1">ROUNDUP(IF(Staff[[#This Row],[Tenure]]&gt;2,0.03,0.02)*Staff[[#This Row],[Salary]],0)</f>
        <v>2904</v>
      </c>
      <c r="K134" s="5">
        <f>_xlfn.XLOOKUP(Staff[[#This Row],[Rating]],'Female Vs Male Comp.'!$I$8:$I$12,'Female Vs Male Comp.'!$J$8:$J$12)</f>
        <v>3</v>
      </c>
      <c r="L134" s="5"/>
    </row>
    <row r="135" spans="1:12" x14ac:dyDescent="0.3">
      <c r="A135" t="s">
        <v>85</v>
      </c>
      <c r="B135" t="s">
        <v>15</v>
      </c>
      <c r="C135">
        <v>30</v>
      </c>
      <c r="D135" t="s">
        <v>16</v>
      </c>
      <c r="E135" s="3">
        <v>44606</v>
      </c>
      <c r="F135" t="s">
        <v>21</v>
      </c>
      <c r="G135" s="2">
        <v>96800</v>
      </c>
      <c r="H135" t="s">
        <v>206</v>
      </c>
      <c r="I135" s="5">
        <f ca="1">(TODAY()-Staff[[#This Row],[Date Joined]])/365</f>
        <v>2.5616438356164384</v>
      </c>
      <c r="J135" s="20">
        <f ca="1">ROUNDUP(IF(Staff[[#This Row],[Tenure]]&gt;2,0.03,0.02)*Staff[[#This Row],[Salary]],0)</f>
        <v>2904</v>
      </c>
      <c r="K135" s="5">
        <f>_xlfn.XLOOKUP(Staff[[#This Row],[Rating]],'Female Vs Male Comp.'!$I$8:$I$12,'Female Vs Male Comp.'!$J$8:$J$12)</f>
        <v>3</v>
      </c>
      <c r="L135" s="5"/>
    </row>
    <row r="136" spans="1:12" x14ac:dyDescent="0.3">
      <c r="A136" t="s">
        <v>197</v>
      </c>
      <c r="B136" t="s">
        <v>15</v>
      </c>
      <c r="C136">
        <v>40</v>
      </c>
      <c r="D136" t="s">
        <v>16</v>
      </c>
      <c r="E136" s="3">
        <v>44204</v>
      </c>
      <c r="F136" t="s">
        <v>9</v>
      </c>
      <c r="G136" s="2">
        <v>99750</v>
      </c>
      <c r="H136" t="s">
        <v>204</v>
      </c>
      <c r="I136" s="5">
        <f ca="1">(TODAY()-Staff[[#This Row],[Date Joined]])/365</f>
        <v>3.6630136986301371</v>
      </c>
      <c r="J136" s="20">
        <f ca="1">ROUNDUP(IF(Staff[[#This Row],[Tenure]]&gt;2,0.03,0.02)*Staff[[#This Row],[Salary]],0)</f>
        <v>2993</v>
      </c>
      <c r="K136" s="5">
        <f>_xlfn.XLOOKUP(Staff[[#This Row],[Rating]],'Female Vs Male Comp.'!$I$8:$I$12,'Female Vs Male Comp.'!$J$8:$J$12)</f>
        <v>3</v>
      </c>
      <c r="L136" s="5"/>
    </row>
    <row r="137" spans="1:12" x14ac:dyDescent="0.3">
      <c r="A137" t="s">
        <v>105</v>
      </c>
      <c r="B137" t="s">
        <v>15</v>
      </c>
      <c r="C137">
        <v>40</v>
      </c>
      <c r="D137" t="s">
        <v>16</v>
      </c>
      <c r="E137" s="3">
        <v>44263</v>
      </c>
      <c r="F137" t="s">
        <v>9</v>
      </c>
      <c r="G137" s="2">
        <v>99750</v>
      </c>
      <c r="H137" t="s">
        <v>206</v>
      </c>
      <c r="I137" s="5">
        <f ca="1">(TODAY()-Staff[[#This Row],[Date Joined]])/365</f>
        <v>3.5013698630136987</v>
      </c>
      <c r="J137" s="20">
        <f ca="1">ROUNDUP(IF(Staff[[#This Row],[Tenure]]&gt;2,0.03,0.02)*Staff[[#This Row],[Salary]],0)</f>
        <v>2993</v>
      </c>
      <c r="K137" s="5">
        <f>_xlfn.XLOOKUP(Staff[[#This Row],[Rating]],'Female Vs Male Comp.'!$I$8:$I$12,'Female Vs Male Comp.'!$J$8:$J$12)</f>
        <v>3</v>
      </c>
      <c r="L137" s="5"/>
    </row>
    <row r="138" spans="1:12" x14ac:dyDescent="0.3">
      <c r="A138" t="s">
        <v>199</v>
      </c>
      <c r="B138" t="s">
        <v>8</v>
      </c>
      <c r="C138">
        <v>28</v>
      </c>
      <c r="D138" t="s">
        <v>16</v>
      </c>
      <c r="E138" s="3">
        <v>44571</v>
      </c>
      <c r="F138" t="s">
        <v>9</v>
      </c>
      <c r="G138" s="2">
        <v>99970</v>
      </c>
      <c r="H138" t="s">
        <v>204</v>
      </c>
      <c r="I138" s="5">
        <f ca="1">(TODAY()-Staff[[#This Row],[Date Joined]])/365</f>
        <v>2.6575342465753424</v>
      </c>
      <c r="J138" s="20">
        <f ca="1">ROUNDUP(IF(Staff[[#This Row],[Tenure]]&gt;2,0.03,0.02)*Staff[[#This Row],[Salary]],0)</f>
        <v>3000</v>
      </c>
      <c r="K138" s="5">
        <f>_xlfn.XLOOKUP(Staff[[#This Row],[Rating]],'Female Vs Male Comp.'!$I$8:$I$12,'Female Vs Male Comp.'!$J$8:$J$12)</f>
        <v>3</v>
      </c>
      <c r="L138" s="5"/>
    </row>
    <row r="139" spans="1:12" x14ac:dyDescent="0.3">
      <c r="A139" t="s">
        <v>107</v>
      </c>
      <c r="B139" t="s">
        <v>8</v>
      </c>
      <c r="C139">
        <v>28</v>
      </c>
      <c r="D139" t="s">
        <v>16</v>
      </c>
      <c r="E139" s="3">
        <v>44630</v>
      </c>
      <c r="F139" t="s">
        <v>9</v>
      </c>
      <c r="G139" s="2">
        <v>99970</v>
      </c>
      <c r="H139" t="s">
        <v>206</v>
      </c>
      <c r="I139" s="5">
        <f ca="1">(TODAY()-Staff[[#This Row],[Date Joined]])/365</f>
        <v>2.495890410958904</v>
      </c>
      <c r="J139" s="20">
        <f ca="1">ROUNDUP(IF(Staff[[#This Row],[Tenure]]&gt;2,0.03,0.02)*Staff[[#This Row],[Salary]],0)</f>
        <v>3000</v>
      </c>
      <c r="K139" s="5">
        <f>_xlfn.XLOOKUP(Staff[[#This Row],[Rating]],'Female Vs Male Comp.'!$I$8:$I$12,'Female Vs Male Comp.'!$J$8:$J$12)</f>
        <v>3</v>
      </c>
      <c r="L139" s="5"/>
    </row>
    <row r="140" spans="1:12" x14ac:dyDescent="0.3">
      <c r="A140" t="s">
        <v>195</v>
      </c>
      <c r="B140" t="s">
        <v>15</v>
      </c>
      <c r="C140">
        <v>24</v>
      </c>
      <c r="D140" t="s">
        <v>16</v>
      </c>
      <c r="E140" s="3">
        <v>44625</v>
      </c>
      <c r="F140" t="s">
        <v>12</v>
      </c>
      <c r="G140" s="2">
        <v>100420</v>
      </c>
      <c r="H140" t="s">
        <v>204</v>
      </c>
      <c r="I140" s="5">
        <f ca="1">(TODAY()-Staff[[#This Row],[Date Joined]])/365</f>
        <v>2.5095890410958903</v>
      </c>
      <c r="J140" s="20">
        <f ca="1">ROUNDUP(IF(Staff[[#This Row],[Tenure]]&gt;2,0.03,0.02)*Staff[[#This Row],[Salary]],0)</f>
        <v>3013</v>
      </c>
      <c r="K140" s="5">
        <f>_xlfn.XLOOKUP(Staff[[#This Row],[Rating]],'Female Vs Male Comp.'!$I$8:$I$12,'Female Vs Male Comp.'!$J$8:$J$12)</f>
        <v>3</v>
      </c>
      <c r="L140" s="5"/>
    </row>
    <row r="141" spans="1:12" x14ac:dyDescent="0.3">
      <c r="A141" t="s">
        <v>103</v>
      </c>
      <c r="B141" t="s">
        <v>15</v>
      </c>
      <c r="C141">
        <v>24</v>
      </c>
      <c r="D141" t="s">
        <v>16</v>
      </c>
      <c r="E141" s="3">
        <v>44686</v>
      </c>
      <c r="F141" t="s">
        <v>12</v>
      </c>
      <c r="G141" s="2">
        <v>100420</v>
      </c>
      <c r="H141" t="s">
        <v>206</v>
      </c>
      <c r="I141" s="5">
        <f ca="1">(TODAY()-Staff[[#This Row],[Date Joined]])/365</f>
        <v>2.3424657534246576</v>
      </c>
      <c r="J141" s="20">
        <f ca="1">ROUNDUP(IF(Staff[[#This Row],[Tenure]]&gt;2,0.03,0.02)*Staff[[#This Row],[Salary]],0)</f>
        <v>3013</v>
      </c>
      <c r="K141" s="5">
        <f>_xlfn.XLOOKUP(Staff[[#This Row],[Rating]],'Female Vs Male Comp.'!$I$8:$I$12,'Female Vs Male Comp.'!$J$8:$J$12)</f>
        <v>3</v>
      </c>
      <c r="L141" s="5"/>
    </row>
    <row r="142" spans="1:12" x14ac:dyDescent="0.3">
      <c r="A142" t="s">
        <v>142</v>
      </c>
      <c r="B142" t="s">
        <v>15</v>
      </c>
      <c r="C142">
        <v>31</v>
      </c>
      <c r="D142" t="s">
        <v>16</v>
      </c>
      <c r="E142" s="3">
        <v>44663</v>
      </c>
      <c r="F142" t="s">
        <v>9</v>
      </c>
      <c r="G142" s="2">
        <v>103550</v>
      </c>
      <c r="H142" t="s">
        <v>204</v>
      </c>
      <c r="I142" s="5">
        <f ca="1">(TODAY()-Staff[[#This Row],[Date Joined]])/365</f>
        <v>2.4054794520547946</v>
      </c>
      <c r="J142" s="20">
        <f ca="1">ROUNDUP(IF(Staff[[#This Row],[Tenure]]&gt;2,0.03,0.02)*Staff[[#This Row],[Salary]],0)</f>
        <v>3107</v>
      </c>
      <c r="K142" s="5">
        <f>_xlfn.XLOOKUP(Staff[[#This Row],[Rating]],'Female Vs Male Comp.'!$I$8:$I$12,'Female Vs Male Comp.'!$J$8:$J$12)</f>
        <v>3</v>
      </c>
      <c r="L142" s="5"/>
    </row>
    <row r="143" spans="1:12" x14ac:dyDescent="0.3">
      <c r="A143" t="s">
        <v>50</v>
      </c>
      <c r="B143" t="s">
        <v>15</v>
      </c>
      <c r="C143">
        <v>31</v>
      </c>
      <c r="D143" t="s">
        <v>16</v>
      </c>
      <c r="E143" s="3">
        <v>44724</v>
      </c>
      <c r="F143" t="s">
        <v>9</v>
      </c>
      <c r="G143" s="2">
        <v>103550</v>
      </c>
      <c r="H143" t="s">
        <v>206</v>
      </c>
      <c r="I143" s="5">
        <f ca="1">(TODAY()-Staff[[#This Row],[Date Joined]])/365</f>
        <v>2.2383561643835614</v>
      </c>
      <c r="J143" s="20">
        <f ca="1">ROUNDUP(IF(Staff[[#This Row],[Tenure]]&gt;2,0.03,0.02)*Staff[[#This Row],[Salary]],0)</f>
        <v>3107</v>
      </c>
      <c r="K143" s="5">
        <f>_xlfn.XLOOKUP(Staff[[#This Row],[Rating]],'Female Vs Male Comp.'!$I$8:$I$12,'Female Vs Male Comp.'!$J$8:$J$12)</f>
        <v>3</v>
      </c>
      <c r="L143" s="5"/>
    </row>
    <row r="144" spans="1:12" x14ac:dyDescent="0.3">
      <c r="A144" t="s">
        <v>188</v>
      </c>
      <c r="B144" t="s">
        <v>8</v>
      </c>
      <c r="C144">
        <v>28</v>
      </c>
      <c r="D144" t="s">
        <v>16</v>
      </c>
      <c r="E144" s="3">
        <v>44590</v>
      </c>
      <c r="F144" t="s">
        <v>9</v>
      </c>
      <c r="G144" s="2">
        <v>104120</v>
      </c>
      <c r="H144" t="s">
        <v>204</v>
      </c>
      <c r="I144" s="5">
        <f ca="1">(TODAY()-Staff[[#This Row],[Date Joined]])/365</f>
        <v>2.6054794520547944</v>
      </c>
      <c r="J144" s="20">
        <f ca="1">ROUNDUP(IF(Staff[[#This Row],[Tenure]]&gt;2,0.03,0.02)*Staff[[#This Row],[Salary]],0)</f>
        <v>3124</v>
      </c>
      <c r="K144" s="5">
        <f>_xlfn.XLOOKUP(Staff[[#This Row],[Rating]],'Female Vs Male Comp.'!$I$8:$I$12,'Female Vs Male Comp.'!$J$8:$J$12)</f>
        <v>3</v>
      </c>
      <c r="L144" s="5"/>
    </row>
    <row r="145" spans="1:12" x14ac:dyDescent="0.3">
      <c r="A145" t="s">
        <v>96</v>
      </c>
      <c r="B145" t="s">
        <v>8</v>
      </c>
      <c r="C145">
        <v>28</v>
      </c>
      <c r="D145" t="s">
        <v>16</v>
      </c>
      <c r="E145" s="3">
        <v>44649</v>
      </c>
      <c r="F145" t="s">
        <v>9</v>
      </c>
      <c r="G145" s="2">
        <v>104120</v>
      </c>
      <c r="H145" t="s">
        <v>206</v>
      </c>
      <c r="I145" s="5">
        <f ca="1">(TODAY()-Staff[[#This Row],[Date Joined]])/365</f>
        <v>2.4438356164383563</v>
      </c>
      <c r="J145" s="20">
        <f ca="1">ROUNDUP(IF(Staff[[#This Row],[Tenure]]&gt;2,0.03,0.02)*Staff[[#This Row],[Salary]],0)</f>
        <v>3124</v>
      </c>
      <c r="K145" s="5">
        <f>_xlfn.XLOOKUP(Staff[[#This Row],[Rating]],'Female Vs Male Comp.'!$I$8:$I$12,'Female Vs Male Comp.'!$J$8:$J$12)</f>
        <v>3</v>
      </c>
      <c r="L145" s="5"/>
    </row>
    <row r="146" spans="1:12" x14ac:dyDescent="0.3">
      <c r="A146" t="s">
        <v>193</v>
      </c>
      <c r="B146" t="s">
        <v>8</v>
      </c>
      <c r="C146">
        <v>40</v>
      </c>
      <c r="D146" t="s">
        <v>16</v>
      </c>
      <c r="E146" s="3">
        <v>44320</v>
      </c>
      <c r="F146" t="s">
        <v>12</v>
      </c>
      <c r="G146" s="2">
        <v>104410</v>
      </c>
      <c r="H146" t="s">
        <v>204</v>
      </c>
      <c r="I146" s="5">
        <f ca="1">(TODAY()-Staff[[#This Row],[Date Joined]])/365</f>
        <v>3.3452054794520549</v>
      </c>
      <c r="J146" s="20">
        <f ca="1">ROUNDUP(IF(Staff[[#This Row],[Tenure]]&gt;2,0.03,0.02)*Staff[[#This Row],[Salary]],0)</f>
        <v>3133</v>
      </c>
      <c r="K146" s="5">
        <f>_xlfn.XLOOKUP(Staff[[#This Row],[Rating]],'Female Vs Male Comp.'!$I$8:$I$12,'Female Vs Male Comp.'!$J$8:$J$12)</f>
        <v>3</v>
      </c>
      <c r="L146" s="5"/>
    </row>
    <row r="147" spans="1:12" x14ac:dyDescent="0.3">
      <c r="A147" t="s">
        <v>101</v>
      </c>
      <c r="B147" t="s">
        <v>8</v>
      </c>
      <c r="C147">
        <v>40</v>
      </c>
      <c r="D147" t="s">
        <v>16</v>
      </c>
      <c r="E147" s="3">
        <v>44381</v>
      </c>
      <c r="F147" t="s">
        <v>12</v>
      </c>
      <c r="G147" s="2">
        <v>104410</v>
      </c>
      <c r="H147" t="s">
        <v>206</v>
      </c>
      <c r="I147" s="5">
        <f ca="1">(TODAY()-Staff[[#This Row],[Date Joined]])/365</f>
        <v>3.1780821917808217</v>
      </c>
      <c r="J147" s="20">
        <f ca="1">ROUNDUP(IF(Staff[[#This Row],[Tenure]]&gt;2,0.03,0.02)*Staff[[#This Row],[Salary]],0)</f>
        <v>3133</v>
      </c>
      <c r="K147" s="5">
        <f>_xlfn.XLOOKUP(Staff[[#This Row],[Rating]],'Female Vs Male Comp.'!$I$8:$I$12,'Female Vs Male Comp.'!$J$8:$J$12)</f>
        <v>3</v>
      </c>
      <c r="L147" s="5"/>
    </row>
    <row r="148" spans="1:12" x14ac:dyDescent="0.3">
      <c r="A148" t="s">
        <v>135</v>
      </c>
      <c r="B148" t="s">
        <v>8</v>
      </c>
      <c r="C148">
        <v>28</v>
      </c>
      <c r="D148" t="s">
        <v>16</v>
      </c>
      <c r="E148" s="3">
        <v>44425</v>
      </c>
      <c r="F148" t="s">
        <v>9</v>
      </c>
      <c r="G148" s="2">
        <v>104770</v>
      </c>
      <c r="H148" t="s">
        <v>204</v>
      </c>
      <c r="I148" s="5">
        <f ca="1">(TODAY()-Staff[[#This Row],[Date Joined]])/365</f>
        <v>3.0575342465753423</v>
      </c>
      <c r="J148" s="20">
        <f ca="1">ROUNDUP(IF(Staff[[#This Row],[Tenure]]&gt;2,0.03,0.02)*Staff[[#This Row],[Salary]],0)</f>
        <v>3144</v>
      </c>
      <c r="K148" s="5">
        <f>_xlfn.XLOOKUP(Staff[[#This Row],[Rating]],'Female Vs Male Comp.'!$I$8:$I$12,'Female Vs Male Comp.'!$J$8:$J$12)</f>
        <v>3</v>
      </c>
      <c r="L148" s="5"/>
    </row>
    <row r="149" spans="1:12" x14ac:dyDescent="0.3">
      <c r="A149" t="s">
        <v>43</v>
      </c>
      <c r="B149" t="s">
        <v>8</v>
      </c>
      <c r="C149">
        <v>28</v>
      </c>
      <c r="D149" t="s">
        <v>16</v>
      </c>
      <c r="E149" s="3">
        <v>44486</v>
      </c>
      <c r="F149" t="s">
        <v>9</v>
      </c>
      <c r="G149" s="2">
        <v>104770</v>
      </c>
      <c r="H149" t="s">
        <v>206</v>
      </c>
      <c r="I149" s="5">
        <f ca="1">(TODAY()-Staff[[#This Row],[Date Joined]])/365</f>
        <v>2.8904109589041096</v>
      </c>
      <c r="J149" s="20">
        <f ca="1">ROUNDUP(IF(Staff[[#This Row],[Tenure]]&gt;2,0.03,0.02)*Staff[[#This Row],[Salary]],0)</f>
        <v>3144</v>
      </c>
      <c r="K149" s="5">
        <f>_xlfn.XLOOKUP(Staff[[#This Row],[Rating]],'Female Vs Male Comp.'!$I$8:$I$12,'Female Vs Male Comp.'!$J$8:$J$12)</f>
        <v>3</v>
      </c>
      <c r="L149" s="5"/>
    </row>
    <row r="150" spans="1:12" x14ac:dyDescent="0.3">
      <c r="A150" t="s">
        <v>160</v>
      </c>
      <c r="B150" t="s">
        <v>15</v>
      </c>
      <c r="C150">
        <v>23</v>
      </c>
      <c r="D150" t="s">
        <v>16</v>
      </c>
      <c r="E150" s="3">
        <v>44378</v>
      </c>
      <c r="F150" t="s">
        <v>9</v>
      </c>
      <c r="G150" s="2">
        <v>106460</v>
      </c>
      <c r="H150" t="s">
        <v>204</v>
      </c>
      <c r="I150" s="5">
        <f ca="1">(TODAY()-Staff[[#This Row],[Date Joined]])/365</f>
        <v>3.1863013698630138</v>
      </c>
      <c r="J150" s="20">
        <f ca="1">ROUNDUP(IF(Staff[[#This Row],[Tenure]]&gt;2,0.03,0.02)*Staff[[#This Row],[Salary]],0)</f>
        <v>3194</v>
      </c>
      <c r="K150" s="5">
        <f>_xlfn.XLOOKUP(Staff[[#This Row],[Rating]],'Female Vs Male Comp.'!$I$8:$I$12,'Female Vs Male Comp.'!$J$8:$J$12)</f>
        <v>3</v>
      </c>
      <c r="L150" s="5"/>
    </row>
    <row r="151" spans="1:12" x14ac:dyDescent="0.3">
      <c r="A151" t="s">
        <v>69</v>
      </c>
      <c r="B151" t="s">
        <v>15</v>
      </c>
      <c r="C151">
        <v>23</v>
      </c>
      <c r="D151" t="s">
        <v>16</v>
      </c>
      <c r="E151" s="3">
        <v>44440</v>
      </c>
      <c r="F151" t="s">
        <v>9</v>
      </c>
      <c r="G151" s="2">
        <v>106460</v>
      </c>
      <c r="H151" t="s">
        <v>206</v>
      </c>
      <c r="I151" s="5">
        <f ca="1">(TODAY()-Staff[[#This Row],[Date Joined]])/365</f>
        <v>3.0164383561643837</v>
      </c>
      <c r="J151" s="20">
        <f ca="1">ROUNDUP(IF(Staff[[#This Row],[Tenure]]&gt;2,0.03,0.02)*Staff[[#This Row],[Salary]],0)</f>
        <v>3194</v>
      </c>
      <c r="K151" s="5">
        <f>_xlfn.XLOOKUP(Staff[[#This Row],[Rating]],'Female Vs Male Comp.'!$I$8:$I$12,'Female Vs Male Comp.'!$J$8:$J$12)</f>
        <v>3</v>
      </c>
      <c r="L151" s="5"/>
    </row>
    <row r="152" spans="1:12" x14ac:dyDescent="0.3">
      <c r="A152" t="s">
        <v>116</v>
      </c>
      <c r="B152" t="s">
        <v>15</v>
      </c>
      <c r="C152">
        <v>20</v>
      </c>
      <c r="D152" t="s">
        <v>16</v>
      </c>
      <c r="E152" s="3">
        <v>44397</v>
      </c>
      <c r="F152" t="s">
        <v>12</v>
      </c>
      <c r="G152" s="2">
        <v>107700</v>
      </c>
      <c r="H152" t="s">
        <v>204</v>
      </c>
      <c r="I152" s="5">
        <f ca="1">(TODAY()-Staff[[#This Row],[Date Joined]])/365</f>
        <v>3.1342465753424658</v>
      </c>
      <c r="J152" s="20">
        <f ca="1">ROUNDUP(IF(Staff[[#This Row],[Tenure]]&gt;2,0.03,0.02)*Staff[[#This Row],[Salary]],0)</f>
        <v>3231</v>
      </c>
      <c r="K152" s="5">
        <f>_xlfn.XLOOKUP(Staff[[#This Row],[Rating]],'Female Vs Male Comp.'!$I$8:$I$12,'Female Vs Male Comp.'!$J$8:$J$12)</f>
        <v>3</v>
      </c>
      <c r="L152" s="5"/>
    </row>
    <row r="153" spans="1:12" x14ac:dyDescent="0.3">
      <c r="A153" t="s">
        <v>22</v>
      </c>
      <c r="B153" t="s">
        <v>15</v>
      </c>
      <c r="C153">
        <v>20</v>
      </c>
      <c r="D153" t="s">
        <v>16</v>
      </c>
      <c r="E153" s="3">
        <v>44459</v>
      </c>
      <c r="F153" t="s">
        <v>12</v>
      </c>
      <c r="G153" s="2">
        <v>107700</v>
      </c>
      <c r="H153" t="s">
        <v>206</v>
      </c>
      <c r="I153" s="5">
        <f ca="1">(TODAY()-Staff[[#This Row],[Date Joined]])/365</f>
        <v>2.9643835616438357</v>
      </c>
      <c r="J153" s="20">
        <f ca="1">ROUNDUP(IF(Staff[[#This Row],[Tenure]]&gt;2,0.03,0.02)*Staff[[#This Row],[Salary]],0)</f>
        <v>3231</v>
      </c>
      <c r="K153" s="5">
        <f>_xlfn.XLOOKUP(Staff[[#This Row],[Rating]],'Female Vs Male Comp.'!$I$8:$I$12,'Female Vs Male Comp.'!$J$8:$J$12)</f>
        <v>3</v>
      </c>
      <c r="L153" s="5"/>
    </row>
    <row r="154" spans="1:12" x14ac:dyDescent="0.3">
      <c r="A154" t="s">
        <v>126</v>
      </c>
      <c r="B154" t="s">
        <v>8</v>
      </c>
      <c r="C154">
        <v>38</v>
      </c>
      <c r="D154" t="s">
        <v>10</v>
      </c>
      <c r="E154" s="3">
        <v>44316</v>
      </c>
      <c r="F154" t="s">
        <v>19</v>
      </c>
      <c r="G154" s="2">
        <v>109160</v>
      </c>
      <c r="H154" t="s">
        <v>204</v>
      </c>
      <c r="I154" s="5">
        <f ca="1">(TODAY()-Staff[[#This Row],[Date Joined]])/365</f>
        <v>3.3561643835616439</v>
      </c>
      <c r="J154" s="20">
        <f ca="1">ROUNDUP(IF(Staff[[#This Row],[Tenure]]&gt;2,0.03,0.02)*Staff[[#This Row],[Salary]],0)</f>
        <v>3275</v>
      </c>
      <c r="K154" s="5">
        <f>_xlfn.XLOOKUP(Staff[[#This Row],[Rating]],'Female Vs Male Comp.'!$I$8:$I$12,'Female Vs Male Comp.'!$J$8:$J$12)</f>
        <v>5</v>
      </c>
      <c r="L154" s="5"/>
    </row>
    <row r="155" spans="1:12" x14ac:dyDescent="0.3">
      <c r="A155" t="s">
        <v>33</v>
      </c>
      <c r="B155" t="s">
        <v>8</v>
      </c>
      <c r="C155">
        <v>38</v>
      </c>
      <c r="D155" t="s">
        <v>10</v>
      </c>
      <c r="E155" s="3">
        <v>44377</v>
      </c>
      <c r="F155" t="s">
        <v>19</v>
      </c>
      <c r="G155" s="2">
        <v>109160</v>
      </c>
      <c r="H155" t="s">
        <v>206</v>
      </c>
      <c r="I155" s="5">
        <f ca="1">(TODAY()-Staff[[#This Row],[Date Joined]])/365</f>
        <v>3.1890410958904107</v>
      </c>
      <c r="J155" s="20">
        <f ca="1">ROUNDUP(IF(Staff[[#This Row],[Tenure]]&gt;2,0.03,0.02)*Staff[[#This Row],[Salary]],0)</f>
        <v>3275</v>
      </c>
      <c r="K155" s="5">
        <f>_xlfn.XLOOKUP(Staff[[#This Row],[Rating]],'Female Vs Male Comp.'!$I$8:$I$12,'Female Vs Male Comp.'!$J$8:$J$12)</f>
        <v>5</v>
      </c>
      <c r="L155" s="5"/>
    </row>
    <row r="156" spans="1:12" x14ac:dyDescent="0.3">
      <c r="A156" t="s">
        <v>127</v>
      </c>
      <c r="B156" t="s">
        <v>15</v>
      </c>
      <c r="C156">
        <v>25</v>
      </c>
      <c r="D156" t="s">
        <v>13</v>
      </c>
      <c r="E156" s="3">
        <v>44665</v>
      </c>
      <c r="F156" t="s">
        <v>9</v>
      </c>
      <c r="G156" s="2">
        <v>109190</v>
      </c>
      <c r="H156" t="s">
        <v>204</v>
      </c>
      <c r="I156" s="5">
        <f ca="1">(TODAY()-Staff[[#This Row],[Date Joined]])/365</f>
        <v>2.4</v>
      </c>
      <c r="J156" s="20">
        <f ca="1">ROUNDUP(IF(Staff[[#This Row],[Tenure]]&gt;2,0.03,0.02)*Staff[[#This Row],[Salary]],0)</f>
        <v>3276</v>
      </c>
      <c r="K156" s="5">
        <f>_xlfn.XLOOKUP(Staff[[#This Row],[Rating]],'Female Vs Male Comp.'!$I$8:$I$12,'Female Vs Male Comp.'!$J$8:$J$12)</f>
        <v>4</v>
      </c>
      <c r="L156" s="5"/>
    </row>
    <row r="157" spans="1:12" x14ac:dyDescent="0.3">
      <c r="A157" t="s">
        <v>34</v>
      </c>
      <c r="B157" t="s">
        <v>15</v>
      </c>
      <c r="C157">
        <v>25</v>
      </c>
      <c r="D157" t="s">
        <v>13</v>
      </c>
      <c r="E157" s="3">
        <v>44726</v>
      </c>
      <c r="F157" t="s">
        <v>9</v>
      </c>
      <c r="G157" s="2">
        <v>109190</v>
      </c>
      <c r="H157" t="s">
        <v>206</v>
      </c>
      <c r="I157" s="5">
        <f ca="1">(TODAY()-Staff[[#This Row],[Date Joined]])/365</f>
        <v>2.2328767123287672</v>
      </c>
      <c r="J157" s="20">
        <f ca="1">ROUNDUP(IF(Staff[[#This Row],[Tenure]]&gt;2,0.03,0.02)*Staff[[#This Row],[Salary]],0)</f>
        <v>3276</v>
      </c>
      <c r="K157" s="5">
        <f>_xlfn.XLOOKUP(Staff[[#This Row],[Rating]],'Female Vs Male Comp.'!$I$8:$I$12,'Female Vs Male Comp.'!$J$8:$J$12)</f>
        <v>4</v>
      </c>
      <c r="L157" s="5"/>
    </row>
    <row r="158" spans="1:12" x14ac:dyDescent="0.3">
      <c r="A158" t="s">
        <v>179</v>
      </c>
      <c r="B158" t="s">
        <v>15</v>
      </c>
      <c r="C158">
        <v>29</v>
      </c>
      <c r="D158" t="s">
        <v>24</v>
      </c>
      <c r="E158" s="3">
        <v>44119</v>
      </c>
      <c r="F158" t="s">
        <v>12</v>
      </c>
      <c r="G158" s="2">
        <v>112110</v>
      </c>
      <c r="H158" t="s">
        <v>204</v>
      </c>
      <c r="I158" s="5">
        <f ca="1">(TODAY()-Staff[[#This Row],[Date Joined]])/365</f>
        <v>3.8958904109589043</v>
      </c>
      <c r="J158" s="20">
        <f ca="1">ROUNDUP(IF(Staff[[#This Row],[Tenure]]&gt;2,0.03,0.02)*Staff[[#This Row],[Salary]],0)</f>
        <v>3364</v>
      </c>
      <c r="K158" s="5">
        <f>_xlfn.XLOOKUP(Staff[[#This Row],[Rating]],'Female Vs Male Comp.'!$I$8:$I$12,'Female Vs Male Comp.'!$J$8:$J$12)</f>
        <v>2</v>
      </c>
      <c r="L158" s="5"/>
    </row>
    <row r="159" spans="1:12" x14ac:dyDescent="0.3">
      <c r="A159" t="s">
        <v>87</v>
      </c>
      <c r="B159" t="s">
        <v>15</v>
      </c>
      <c r="C159">
        <v>29</v>
      </c>
      <c r="D159" t="s">
        <v>24</v>
      </c>
      <c r="E159" s="3">
        <v>44180</v>
      </c>
      <c r="F159" t="s">
        <v>12</v>
      </c>
      <c r="G159" s="2">
        <v>112110</v>
      </c>
      <c r="H159" t="s">
        <v>206</v>
      </c>
      <c r="I159" s="5">
        <f ca="1">(TODAY()-Staff[[#This Row],[Date Joined]])/365</f>
        <v>3.7287671232876711</v>
      </c>
      <c r="J159" s="20">
        <f ca="1">ROUNDUP(IF(Staff[[#This Row],[Tenure]]&gt;2,0.03,0.02)*Staff[[#This Row],[Salary]],0)</f>
        <v>3364</v>
      </c>
      <c r="K159" s="5">
        <f>_xlfn.XLOOKUP(Staff[[#This Row],[Rating]],'Female Vs Male Comp.'!$I$8:$I$12,'Female Vs Male Comp.'!$J$8:$J$12)</f>
        <v>2</v>
      </c>
      <c r="L159" s="5"/>
    </row>
    <row r="160" spans="1:12" x14ac:dyDescent="0.3">
      <c r="A160" t="s">
        <v>172</v>
      </c>
      <c r="B160" t="s">
        <v>8</v>
      </c>
      <c r="C160">
        <v>30</v>
      </c>
      <c r="D160" t="s">
        <v>16</v>
      </c>
      <c r="E160" s="3">
        <v>44800</v>
      </c>
      <c r="F160" t="s">
        <v>9</v>
      </c>
      <c r="G160" s="2">
        <v>112570</v>
      </c>
      <c r="H160" t="s">
        <v>204</v>
      </c>
      <c r="I160" s="5">
        <f ca="1">(TODAY()-Staff[[#This Row],[Date Joined]])/365</f>
        <v>2.0301369863013701</v>
      </c>
      <c r="J160" s="20">
        <f ca="1">ROUNDUP(IF(Staff[[#This Row],[Tenure]]&gt;2,0.03,0.02)*Staff[[#This Row],[Salary]],0)</f>
        <v>3378</v>
      </c>
      <c r="K160" s="5">
        <f>_xlfn.XLOOKUP(Staff[[#This Row],[Rating]],'Female Vs Male Comp.'!$I$8:$I$12,'Female Vs Male Comp.'!$J$8:$J$12)</f>
        <v>3</v>
      </c>
      <c r="L160" s="5"/>
    </row>
    <row r="161" spans="1:12" x14ac:dyDescent="0.3">
      <c r="A161" t="s">
        <v>81</v>
      </c>
      <c r="B161" t="s">
        <v>8</v>
      </c>
      <c r="C161">
        <v>30</v>
      </c>
      <c r="D161" t="s">
        <v>16</v>
      </c>
      <c r="E161" s="3">
        <v>44861</v>
      </c>
      <c r="F161" t="s">
        <v>9</v>
      </c>
      <c r="G161" s="2">
        <v>112570</v>
      </c>
      <c r="H161" t="s">
        <v>206</v>
      </c>
      <c r="I161" s="5">
        <f ca="1">(TODAY()-Staff[[#This Row],[Date Joined]])/365</f>
        <v>1.8630136986301369</v>
      </c>
      <c r="J161" s="20">
        <f ca="1">ROUNDUP(IF(Staff[[#This Row],[Tenure]]&gt;2,0.03,0.02)*Staff[[#This Row],[Salary]],0)</f>
        <v>2252</v>
      </c>
      <c r="K161" s="5">
        <f>_xlfn.XLOOKUP(Staff[[#This Row],[Rating]],'Female Vs Male Comp.'!$I$8:$I$12,'Female Vs Male Comp.'!$J$8:$J$12)</f>
        <v>3</v>
      </c>
      <c r="L161" s="5"/>
    </row>
    <row r="162" spans="1:12" x14ac:dyDescent="0.3">
      <c r="A162" t="s">
        <v>155</v>
      </c>
      <c r="B162" t="s">
        <v>15</v>
      </c>
      <c r="C162">
        <v>20</v>
      </c>
      <c r="D162" t="s">
        <v>16</v>
      </c>
      <c r="E162" s="3">
        <v>44122</v>
      </c>
      <c r="F162" t="s">
        <v>12</v>
      </c>
      <c r="G162" s="2">
        <v>112650</v>
      </c>
      <c r="H162" t="s">
        <v>204</v>
      </c>
      <c r="I162" s="5">
        <f ca="1">(TODAY()-Staff[[#This Row],[Date Joined]])/365</f>
        <v>3.8876712328767122</v>
      </c>
      <c r="J162" s="20">
        <f ca="1">ROUNDUP(IF(Staff[[#This Row],[Tenure]]&gt;2,0.03,0.02)*Staff[[#This Row],[Salary]],0)</f>
        <v>3380</v>
      </c>
      <c r="K162" s="5">
        <f>_xlfn.XLOOKUP(Staff[[#This Row],[Rating]],'Female Vs Male Comp.'!$I$8:$I$12,'Female Vs Male Comp.'!$J$8:$J$12)</f>
        <v>3</v>
      </c>
      <c r="L162" s="5"/>
    </row>
    <row r="163" spans="1:12" x14ac:dyDescent="0.3">
      <c r="A163" t="s">
        <v>177</v>
      </c>
      <c r="B163" t="s">
        <v>15</v>
      </c>
      <c r="C163">
        <v>34</v>
      </c>
      <c r="D163" t="s">
        <v>16</v>
      </c>
      <c r="E163" s="3">
        <v>44642</v>
      </c>
      <c r="F163" t="s">
        <v>9</v>
      </c>
      <c r="G163" s="2">
        <v>112650</v>
      </c>
      <c r="H163" t="s">
        <v>204</v>
      </c>
      <c r="I163" s="5">
        <f ca="1">(TODAY()-Staff[[#This Row],[Date Joined]])/365</f>
        <v>2.463013698630137</v>
      </c>
      <c r="J163" s="20">
        <f ca="1">ROUNDUP(IF(Staff[[#This Row],[Tenure]]&gt;2,0.03,0.02)*Staff[[#This Row],[Salary]],0)</f>
        <v>3380</v>
      </c>
      <c r="K163" s="5">
        <f>_xlfn.XLOOKUP(Staff[[#This Row],[Rating]],'Female Vs Male Comp.'!$I$8:$I$12,'Female Vs Male Comp.'!$J$8:$J$12)</f>
        <v>3</v>
      </c>
      <c r="L163" s="5"/>
    </row>
    <row r="164" spans="1:12" x14ac:dyDescent="0.3">
      <c r="A164" t="s">
        <v>64</v>
      </c>
      <c r="B164" t="s">
        <v>15</v>
      </c>
      <c r="C164">
        <v>20</v>
      </c>
      <c r="D164" t="s">
        <v>16</v>
      </c>
      <c r="E164" s="3">
        <v>44183</v>
      </c>
      <c r="F164" t="s">
        <v>12</v>
      </c>
      <c r="G164" s="2">
        <v>112650</v>
      </c>
      <c r="H164" t="s">
        <v>206</v>
      </c>
      <c r="I164" s="5">
        <f ca="1">(TODAY()-Staff[[#This Row],[Date Joined]])/365</f>
        <v>3.7205479452054795</v>
      </c>
      <c r="J164" s="20">
        <f ca="1">ROUNDUP(IF(Staff[[#This Row],[Tenure]]&gt;2,0.03,0.02)*Staff[[#This Row],[Salary]],0)</f>
        <v>3380</v>
      </c>
      <c r="K164" s="5">
        <f>_xlfn.XLOOKUP(Staff[[#This Row],[Rating]],'Female Vs Male Comp.'!$I$8:$I$12,'Female Vs Male Comp.'!$J$8:$J$12)</f>
        <v>3</v>
      </c>
      <c r="L164" s="5"/>
    </row>
    <row r="165" spans="1:12" x14ac:dyDescent="0.3">
      <c r="A165" t="s">
        <v>149</v>
      </c>
      <c r="B165" t="s">
        <v>15</v>
      </c>
      <c r="C165">
        <v>22</v>
      </c>
      <c r="D165" t="s">
        <v>13</v>
      </c>
      <c r="E165" s="3">
        <v>44384</v>
      </c>
      <c r="F165" t="s">
        <v>19</v>
      </c>
      <c r="G165" s="2">
        <v>112780</v>
      </c>
      <c r="H165" t="s">
        <v>204</v>
      </c>
      <c r="I165" s="5">
        <f ca="1">(TODAY()-Staff[[#This Row],[Date Joined]])/365</f>
        <v>3.1698630136986301</v>
      </c>
      <c r="J165" s="20">
        <f ca="1">ROUNDUP(IF(Staff[[#This Row],[Tenure]]&gt;2,0.03,0.02)*Staff[[#This Row],[Salary]],0)</f>
        <v>3384</v>
      </c>
      <c r="K165" s="5">
        <f>_xlfn.XLOOKUP(Staff[[#This Row],[Rating]],'Female Vs Male Comp.'!$I$8:$I$12,'Female Vs Male Comp.'!$J$8:$J$12)</f>
        <v>4</v>
      </c>
      <c r="L165" s="5"/>
    </row>
    <row r="166" spans="1:12" x14ac:dyDescent="0.3">
      <c r="A166" t="s">
        <v>58</v>
      </c>
      <c r="B166" t="s">
        <v>15</v>
      </c>
      <c r="C166">
        <v>22</v>
      </c>
      <c r="D166" t="s">
        <v>13</v>
      </c>
      <c r="E166" s="3">
        <v>44446</v>
      </c>
      <c r="F166" t="s">
        <v>19</v>
      </c>
      <c r="G166" s="2">
        <v>112780</v>
      </c>
      <c r="H166" t="s">
        <v>206</v>
      </c>
      <c r="I166" s="5">
        <f ca="1">(TODAY()-Staff[[#This Row],[Date Joined]])/365</f>
        <v>3</v>
      </c>
      <c r="J166" s="20">
        <f ca="1">ROUNDUP(IF(Staff[[#This Row],[Tenure]]&gt;2,0.03,0.02)*Staff[[#This Row],[Salary]],0)</f>
        <v>3384</v>
      </c>
      <c r="K166" s="5">
        <f>_xlfn.XLOOKUP(Staff[[#This Row],[Rating]],'Female Vs Male Comp.'!$I$8:$I$12,'Female Vs Male Comp.'!$J$8:$J$12)</f>
        <v>4</v>
      </c>
      <c r="L166" s="5"/>
    </row>
    <row r="167" spans="1:12" x14ac:dyDescent="0.3">
      <c r="A167" t="s">
        <v>190</v>
      </c>
      <c r="B167" t="s">
        <v>15</v>
      </c>
      <c r="C167">
        <v>27</v>
      </c>
      <c r="D167" t="s">
        <v>42</v>
      </c>
      <c r="E167" s="3">
        <v>44547</v>
      </c>
      <c r="F167" t="s">
        <v>9</v>
      </c>
      <c r="G167" s="2">
        <v>113280</v>
      </c>
      <c r="H167" t="s">
        <v>204</v>
      </c>
      <c r="I167" s="5">
        <f ca="1">(TODAY()-Staff[[#This Row],[Date Joined]])/365</f>
        <v>2.7232876712328768</v>
      </c>
      <c r="J167" s="20">
        <f ca="1">ROUNDUP(IF(Staff[[#This Row],[Tenure]]&gt;2,0.03,0.02)*Staff[[#This Row],[Salary]],0)</f>
        <v>3399</v>
      </c>
      <c r="K167" s="5">
        <f>_xlfn.XLOOKUP(Staff[[#This Row],[Rating]],'Female Vs Male Comp.'!$I$8:$I$12,'Female Vs Male Comp.'!$J$8:$J$12)</f>
        <v>1</v>
      </c>
      <c r="L167" s="5"/>
    </row>
    <row r="168" spans="1:12" x14ac:dyDescent="0.3">
      <c r="A168" t="s">
        <v>98</v>
      </c>
      <c r="B168" t="s">
        <v>15</v>
      </c>
      <c r="C168">
        <v>27</v>
      </c>
      <c r="D168" t="s">
        <v>42</v>
      </c>
      <c r="E168" s="3">
        <v>44609</v>
      </c>
      <c r="F168" t="s">
        <v>9</v>
      </c>
      <c r="G168" s="2">
        <v>113280</v>
      </c>
      <c r="H168" t="s">
        <v>206</v>
      </c>
      <c r="I168" s="5">
        <f ca="1">(TODAY()-Staff[[#This Row],[Date Joined]])/365</f>
        <v>2.5534246575342467</v>
      </c>
      <c r="J168" s="20">
        <f ca="1">ROUNDUP(IF(Staff[[#This Row],[Tenure]]&gt;2,0.03,0.02)*Staff[[#This Row],[Salary]],0)</f>
        <v>3399</v>
      </c>
      <c r="K168" s="5">
        <f>_xlfn.XLOOKUP(Staff[[#This Row],[Rating]],'Female Vs Male Comp.'!$I$8:$I$12,'Female Vs Male Comp.'!$J$8:$J$12)</f>
        <v>1</v>
      </c>
      <c r="L168" s="5"/>
    </row>
    <row r="169" spans="1:12" x14ac:dyDescent="0.3">
      <c r="A169" t="s">
        <v>146</v>
      </c>
      <c r="B169" t="s">
        <v>8</v>
      </c>
      <c r="C169">
        <v>30</v>
      </c>
      <c r="D169" t="s">
        <v>16</v>
      </c>
      <c r="E169" s="3">
        <v>44789</v>
      </c>
      <c r="F169" t="s">
        <v>9</v>
      </c>
      <c r="G169" s="2">
        <v>114180</v>
      </c>
      <c r="H169" t="s">
        <v>204</v>
      </c>
      <c r="I169" s="5">
        <f ca="1">(TODAY()-Staff[[#This Row],[Date Joined]])/365</f>
        <v>2.0602739726027397</v>
      </c>
      <c r="J169" s="20">
        <f ca="1">ROUNDUP(IF(Staff[[#This Row],[Tenure]]&gt;2,0.03,0.02)*Staff[[#This Row],[Salary]],0)</f>
        <v>3426</v>
      </c>
      <c r="K169" s="5">
        <f>_xlfn.XLOOKUP(Staff[[#This Row],[Rating]],'Female Vs Male Comp.'!$I$8:$I$12,'Female Vs Male Comp.'!$J$8:$J$12)</f>
        <v>3</v>
      </c>
      <c r="L169" s="5"/>
    </row>
    <row r="170" spans="1:12" x14ac:dyDescent="0.3">
      <c r="A170" t="s">
        <v>54</v>
      </c>
      <c r="B170" t="s">
        <v>8</v>
      </c>
      <c r="C170">
        <v>30</v>
      </c>
      <c r="D170" t="s">
        <v>16</v>
      </c>
      <c r="E170" s="3">
        <v>44850</v>
      </c>
      <c r="F170" t="s">
        <v>9</v>
      </c>
      <c r="G170" s="2">
        <v>114180</v>
      </c>
      <c r="H170" t="s">
        <v>206</v>
      </c>
      <c r="I170" s="5">
        <f ca="1">(TODAY()-Staff[[#This Row],[Date Joined]])/365</f>
        <v>1.893150684931507</v>
      </c>
      <c r="J170" s="20">
        <f ca="1">ROUNDUP(IF(Staff[[#This Row],[Tenure]]&gt;2,0.03,0.02)*Staff[[#This Row],[Salary]],0)</f>
        <v>2284</v>
      </c>
      <c r="K170" s="5">
        <f>_xlfn.XLOOKUP(Staff[[#This Row],[Rating]],'Female Vs Male Comp.'!$I$8:$I$12,'Female Vs Male Comp.'!$J$8:$J$12)</f>
        <v>3</v>
      </c>
      <c r="L170" s="5"/>
    </row>
    <row r="171" spans="1:12" x14ac:dyDescent="0.3">
      <c r="A171" t="s">
        <v>113</v>
      </c>
      <c r="B171" t="s">
        <v>8</v>
      </c>
      <c r="C171">
        <v>44</v>
      </c>
      <c r="D171" t="s">
        <v>16</v>
      </c>
      <c r="E171" s="3">
        <v>44985</v>
      </c>
      <c r="F171" t="s">
        <v>12</v>
      </c>
      <c r="G171" s="2">
        <v>114870</v>
      </c>
      <c r="H171" t="s">
        <v>204</v>
      </c>
      <c r="I171" s="5">
        <f ca="1">(TODAY()-Staff[[#This Row],[Date Joined]])/365</f>
        <v>1.5232876712328767</v>
      </c>
      <c r="J171" s="20">
        <f ca="1">ROUNDUP(IF(Staff[[#This Row],[Tenure]]&gt;2,0.03,0.02)*Staff[[#This Row],[Salary]],0)</f>
        <v>2298</v>
      </c>
      <c r="K171" s="5">
        <f>_xlfn.XLOOKUP(Staff[[#This Row],[Rating]],'Female Vs Male Comp.'!$I$8:$I$12,'Female Vs Male Comp.'!$J$8:$J$12)</f>
        <v>3</v>
      </c>
      <c r="L171" s="5"/>
    </row>
    <row r="172" spans="1:12" x14ac:dyDescent="0.3">
      <c r="A172" t="s">
        <v>17</v>
      </c>
      <c r="B172" t="s">
        <v>8</v>
      </c>
      <c r="C172">
        <v>43</v>
      </c>
      <c r="D172" t="s">
        <v>16</v>
      </c>
      <c r="E172" s="3">
        <v>45045</v>
      </c>
      <c r="F172" t="s">
        <v>12</v>
      </c>
      <c r="G172" s="2">
        <v>114870</v>
      </c>
      <c r="H172" t="s">
        <v>206</v>
      </c>
      <c r="I172" s="5">
        <f ca="1">(TODAY()-Staff[[#This Row],[Date Joined]])/365</f>
        <v>1.3589041095890411</v>
      </c>
      <c r="J172" s="20">
        <f ca="1">ROUNDUP(IF(Staff[[#This Row],[Tenure]]&gt;2,0.03,0.02)*Staff[[#This Row],[Salary]],0)</f>
        <v>2298</v>
      </c>
      <c r="K172" s="5">
        <f>_xlfn.XLOOKUP(Staff[[#This Row],[Rating]],'Female Vs Male Comp.'!$I$8:$I$12,'Female Vs Male Comp.'!$J$8:$J$12)</f>
        <v>3</v>
      </c>
      <c r="L172" s="5"/>
    </row>
    <row r="173" spans="1:12" x14ac:dyDescent="0.3">
      <c r="A173" t="s">
        <v>174</v>
      </c>
      <c r="B173" t="s">
        <v>8</v>
      </c>
      <c r="C173">
        <v>36</v>
      </c>
      <c r="D173" t="s">
        <v>16</v>
      </c>
      <c r="E173" s="3">
        <v>44023</v>
      </c>
      <c r="F173" t="s">
        <v>9</v>
      </c>
      <c r="G173" s="2">
        <v>114890</v>
      </c>
      <c r="H173" t="s">
        <v>204</v>
      </c>
      <c r="I173" s="5">
        <f ca="1">(TODAY()-Staff[[#This Row],[Date Joined]])/365</f>
        <v>4.1589041095890407</v>
      </c>
      <c r="J173" s="20">
        <f ca="1">ROUNDUP(IF(Staff[[#This Row],[Tenure]]&gt;2,0.03,0.02)*Staff[[#This Row],[Salary]],0)</f>
        <v>3447</v>
      </c>
      <c r="K173" s="5">
        <f>_xlfn.XLOOKUP(Staff[[#This Row],[Rating]],'Female Vs Male Comp.'!$I$8:$I$12,'Female Vs Male Comp.'!$J$8:$J$12)</f>
        <v>3</v>
      </c>
      <c r="L173" s="5"/>
    </row>
    <row r="174" spans="1:12" x14ac:dyDescent="0.3">
      <c r="A174" t="s">
        <v>83</v>
      </c>
      <c r="B174" t="s">
        <v>8</v>
      </c>
      <c r="C174">
        <v>36</v>
      </c>
      <c r="D174" t="s">
        <v>16</v>
      </c>
      <c r="E174" s="3">
        <v>44085</v>
      </c>
      <c r="F174" t="s">
        <v>9</v>
      </c>
      <c r="G174" s="2">
        <v>114890</v>
      </c>
      <c r="H174" t="s">
        <v>206</v>
      </c>
      <c r="I174" s="5">
        <f ca="1">(TODAY()-Staff[[#This Row],[Date Joined]])/365</f>
        <v>3.989041095890411</v>
      </c>
      <c r="J174" s="20">
        <f ca="1">ROUNDUP(IF(Staff[[#This Row],[Tenure]]&gt;2,0.03,0.02)*Staff[[#This Row],[Salary]],0)</f>
        <v>3447</v>
      </c>
      <c r="K174" s="5">
        <f>_xlfn.XLOOKUP(Staff[[#This Row],[Rating]],'Female Vs Male Comp.'!$I$8:$I$12,'Female Vs Male Comp.'!$J$8:$J$12)</f>
        <v>3</v>
      </c>
      <c r="L174" s="5"/>
    </row>
    <row r="175" spans="1:12" x14ac:dyDescent="0.3">
      <c r="A175" t="s">
        <v>141</v>
      </c>
      <c r="B175" t="s">
        <v>205</v>
      </c>
      <c r="C175">
        <v>37</v>
      </c>
      <c r="D175" t="s">
        <v>24</v>
      </c>
      <c r="E175" s="3">
        <v>44085</v>
      </c>
      <c r="F175" t="s">
        <v>21</v>
      </c>
      <c r="G175" s="2">
        <v>115440</v>
      </c>
      <c r="H175" t="s">
        <v>204</v>
      </c>
      <c r="I175" s="5">
        <f ca="1">(TODAY()-Staff[[#This Row],[Date Joined]])/365</f>
        <v>3.989041095890411</v>
      </c>
      <c r="J175" s="20">
        <f ca="1">ROUNDUP(IF(Staff[[#This Row],[Tenure]]&gt;2,0.03,0.02)*Staff[[#This Row],[Salary]],0)</f>
        <v>3464</v>
      </c>
      <c r="K175" s="5">
        <f>_xlfn.XLOOKUP(Staff[[#This Row],[Rating]],'Female Vs Male Comp.'!$I$8:$I$12,'Female Vs Male Comp.'!$J$8:$J$12)</f>
        <v>2</v>
      </c>
      <c r="L175" s="5"/>
    </row>
    <row r="176" spans="1:12" x14ac:dyDescent="0.3">
      <c r="A176" t="s">
        <v>49</v>
      </c>
      <c r="B176" t="s">
        <v>205</v>
      </c>
      <c r="C176">
        <v>37</v>
      </c>
      <c r="D176" t="s">
        <v>24</v>
      </c>
      <c r="E176" s="3">
        <v>44146</v>
      </c>
      <c r="F176" t="s">
        <v>21</v>
      </c>
      <c r="G176" s="2">
        <v>115440</v>
      </c>
      <c r="H176" t="s">
        <v>206</v>
      </c>
      <c r="I176" s="5">
        <f ca="1">(TODAY()-Staff[[#This Row],[Date Joined]])/365</f>
        <v>3.8219178082191783</v>
      </c>
      <c r="J176" s="20">
        <f ca="1">ROUNDUP(IF(Staff[[#This Row],[Tenure]]&gt;2,0.03,0.02)*Staff[[#This Row],[Salary]],0)</f>
        <v>3464</v>
      </c>
      <c r="K176" s="5">
        <f>_xlfn.XLOOKUP(Staff[[#This Row],[Rating]],'Female Vs Male Comp.'!$I$8:$I$12,'Female Vs Male Comp.'!$J$8:$J$12)</f>
        <v>2</v>
      </c>
      <c r="L176" s="5"/>
    </row>
    <row r="177" spans="1:12" x14ac:dyDescent="0.3">
      <c r="A177" t="s">
        <v>133</v>
      </c>
      <c r="B177" t="s">
        <v>15</v>
      </c>
      <c r="C177">
        <v>33</v>
      </c>
      <c r="D177" t="s">
        <v>16</v>
      </c>
      <c r="E177" s="3">
        <v>44103</v>
      </c>
      <c r="F177" t="s">
        <v>9</v>
      </c>
      <c r="G177" s="2">
        <v>115920</v>
      </c>
      <c r="H177" t="s">
        <v>204</v>
      </c>
      <c r="I177" s="5">
        <f ca="1">(TODAY()-Staff[[#This Row],[Date Joined]])/365</f>
        <v>3.9397260273972603</v>
      </c>
      <c r="J177" s="20">
        <f ca="1">ROUNDUP(IF(Staff[[#This Row],[Tenure]]&gt;2,0.03,0.02)*Staff[[#This Row],[Salary]],0)</f>
        <v>3478</v>
      </c>
      <c r="K177" s="5">
        <f>_xlfn.XLOOKUP(Staff[[#This Row],[Rating]],'Female Vs Male Comp.'!$I$8:$I$12,'Female Vs Male Comp.'!$J$8:$J$12)</f>
        <v>3</v>
      </c>
      <c r="L177" s="5"/>
    </row>
    <row r="178" spans="1:12" x14ac:dyDescent="0.3">
      <c r="A178" t="s">
        <v>40</v>
      </c>
      <c r="B178" t="s">
        <v>15</v>
      </c>
      <c r="C178">
        <v>33</v>
      </c>
      <c r="D178" t="s">
        <v>16</v>
      </c>
      <c r="E178" s="3">
        <v>44164</v>
      </c>
      <c r="F178" t="s">
        <v>9</v>
      </c>
      <c r="G178" s="2">
        <v>115920</v>
      </c>
      <c r="H178" t="s">
        <v>206</v>
      </c>
      <c r="I178" s="5">
        <f ca="1">(TODAY()-Staff[[#This Row],[Date Joined]])/365</f>
        <v>3.7726027397260276</v>
      </c>
      <c r="J178" s="20">
        <f ca="1">ROUNDUP(IF(Staff[[#This Row],[Tenure]]&gt;2,0.03,0.02)*Staff[[#This Row],[Salary]],0)</f>
        <v>3478</v>
      </c>
      <c r="K178" s="5">
        <f>_xlfn.XLOOKUP(Staff[[#This Row],[Rating]],'Female Vs Male Comp.'!$I$8:$I$12,'Female Vs Male Comp.'!$J$8:$J$12)</f>
        <v>3</v>
      </c>
      <c r="L178" s="5"/>
    </row>
    <row r="179" spans="1:12" x14ac:dyDescent="0.3">
      <c r="A179" t="s">
        <v>147</v>
      </c>
      <c r="B179" t="s">
        <v>8</v>
      </c>
      <c r="C179">
        <v>37</v>
      </c>
      <c r="D179" t="s">
        <v>16</v>
      </c>
      <c r="E179" s="3">
        <v>44389</v>
      </c>
      <c r="F179" t="s">
        <v>56</v>
      </c>
      <c r="G179" s="2">
        <v>118100</v>
      </c>
      <c r="H179" t="s">
        <v>204</v>
      </c>
      <c r="I179" s="5">
        <f ca="1">(TODAY()-Staff[[#This Row],[Date Joined]])/365</f>
        <v>3.1561643835616437</v>
      </c>
      <c r="J179" s="20">
        <f ca="1">ROUNDUP(IF(Staff[[#This Row],[Tenure]]&gt;2,0.03,0.02)*Staff[[#This Row],[Salary]],0)</f>
        <v>3543</v>
      </c>
      <c r="K179" s="5">
        <f>_xlfn.XLOOKUP(Staff[[#This Row],[Rating]],'Female Vs Male Comp.'!$I$8:$I$12,'Female Vs Male Comp.'!$J$8:$J$12)</f>
        <v>3</v>
      </c>
      <c r="L179" s="5"/>
    </row>
    <row r="180" spans="1:12" x14ac:dyDescent="0.3">
      <c r="A180" t="s">
        <v>55</v>
      </c>
      <c r="B180" t="s">
        <v>8</v>
      </c>
      <c r="C180">
        <v>37</v>
      </c>
      <c r="D180" t="s">
        <v>16</v>
      </c>
      <c r="E180" s="3">
        <v>44451</v>
      </c>
      <c r="F180" t="s">
        <v>56</v>
      </c>
      <c r="G180" s="2">
        <v>118100</v>
      </c>
      <c r="H180" t="s">
        <v>206</v>
      </c>
      <c r="I180" s="5">
        <f ca="1">(TODAY()-Staff[[#This Row],[Date Joined]])/365</f>
        <v>2.9863013698630136</v>
      </c>
      <c r="J180" s="20">
        <f ca="1">ROUNDUP(IF(Staff[[#This Row],[Tenure]]&gt;2,0.03,0.02)*Staff[[#This Row],[Salary]],0)</f>
        <v>3543</v>
      </c>
      <c r="K180" s="5">
        <f>_xlfn.XLOOKUP(Staff[[#This Row],[Rating]],'Female Vs Male Comp.'!$I$8:$I$12,'Female Vs Male Comp.'!$J$8:$J$12)</f>
        <v>3</v>
      </c>
      <c r="L180" s="5"/>
    </row>
    <row r="181" spans="1:12" x14ac:dyDescent="0.3">
      <c r="A181" t="s">
        <v>198</v>
      </c>
      <c r="B181" t="s">
        <v>15</v>
      </c>
      <c r="C181">
        <v>36</v>
      </c>
      <c r="D181" t="s">
        <v>16</v>
      </c>
      <c r="E181" s="3">
        <v>43958</v>
      </c>
      <c r="F181" t="s">
        <v>12</v>
      </c>
      <c r="G181" s="2">
        <v>118840</v>
      </c>
      <c r="H181" t="s">
        <v>204</v>
      </c>
      <c r="I181" s="5">
        <f ca="1">(TODAY()-Staff[[#This Row],[Date Joined]])/365</f>
        <v>4.3369863013698629</v>
      </c>
      <c r="J181" s="20">
        <f ca="1">ROUNDUP(IF(Staff[[#This Row],[Tenure]]&gt;2,0.03,0.02)*Staff[[#This Row],[Salary]],0)</f>
        <v>3566</v>
      </c>
      <c r="K181" s="5">
        <f>_xlfn.XLOOKUP(Staff[[#This Row],[Rating]],'Female Vs Male Comp.'!$I$8:$I$12,'Female Vs Male Comp.'!$J$8:$J$12)</f>
        <v>3</v>
      </c>
      <c r="L181" s="5"/>
    </row>
    <row r="182" spans="1:12" x14ac:dyDescent="0.3">
      <c r="A182" t="s">
        <v>106</v>
      </c>
      <c r="B182" t="s">
        <v>15</v>
      </c>
      <c r="C182">
        <v>36</v>
      </c>
      <c r="D182" t="s">
        <v>16</v>
      </c>
      <c r="E182" s="3">
        <v>44019</v>
      </c>
      <c r="F182" t="s">
        <v>12</v>
      </c>
      <c r="G182" s="2">
        <v>118840</v>
      </c>
      <c r="H182" t="s">
        <v>206</v>
      </c>
      <c r="I182" s="5">
        <f ca="1">(TODAY()-Staff[[#This Row],[Date Joined]])/365</f>
        <v>4.1698630136986301</v>
      </c>
      <c r="J182" s="20">
        <f ca="1">ROUNDUP(IF(Staff[[#This Row],[Tenure]]&gt;2,0.03,0.02)*Staff[[#This Row],[Salary]],0)</f>
        <v>3566</v>
      </c>
      <c r="K182" s="5">
        <f>_xlfn.XLOOKUP(Staff[[#This Row],[Rating]],'Female Vs Male Comp.'!$I$8:$I$12,'Female Vs Male Comp.'!$J$8:$J$12)</f>
        <v>3</v>
      </c>
      <c r="L182" s="5"/>
    </row>
    <row r="183" spans="1:12" x14ac:dyDescent="0.3">
      <c r="A183" t="s">
        <v>151</v>
      </c>
      <c r="B183" t="s">
        <v>8</v>
      </c>
      <c r="C183">
        <v>27</v>
      </c>
      <c r="D183" t="s">
        <v>16</v>
      </c>
      <c r="E183" s="3">
        <v>44061</v>
      </c>
      <c r="F183" t="s">
        <v>56</v>
      </c>
      <c r="G183" s="2">
        <v>119110</v>
      </c>
      <c r="H183" t="s">
        <v>204</v>
      </c>
      <c r="I183" s="5">
        <f ca="1">(TODAY()-Staff[[#This Row],[Date Joined]])/365</f>
        <v>4.0547945205479454</v>
      </c>
      <c r="J183" s="20">
        <f ca="1">ROUNDUP(IF(Staff[[#This Row],[Tenure]]&gt;2,0.03,0.02)*Staff[[#This Row],[Salary]],0)</f>
        <v>3574</v>
      </c>
      <c r="K183" s="5">
        <f>_xlfn.XLOOKUP(Staff[[#This Row],[Rating]],'Female Vs Male Comp.'!$I$8:$I$12,'Female Vs Male Comp.'!$J$8:$J$12)</f>
        <v>3</v>
      </c>
      <c r="L183" s="5"/>
    </row>
    <row r="184" spans="1:12" x14ac:dyDescent="0.3">
      <c r="A184" t="s">
        <v>60</v>
      </c>
      <c r="B184" t="s">
        <v>8</v>
      </c>
      <c r="C184">
        <v>27</v>
      </c>
      <c r="D184" t="s">
        <v>16</v>
      </c>
      <c r="E184" s="3">
        <v>44122</v>
      </c>
      <c r="F184" t="s">
        <v>56</v>
      </c>
      <c r="G184" s="2">
        <v>119110</v>
      </c>
      <c r="H184" t="s">
        <v>206</v>
      </c>
      <c r="I184" s="5">
        <f ca="1">(TODAY()-Staff[[#This Row],[Date Joined]])/365</f>
        <v>3.8876712328767122</v>
      </c>
      <c r="J184" s="20">
        <f ca="1">ROUNDUP(IF(Staff[[#This Row],[Tenure]]&gt;2,0.03,0.02)*Staff[[#This Row],[Salary]],0)</f>
        <v>3574</v>
      </c>
      <c r="K184" s="5">
        <f>_xlfn.XLOOKUP(Staff[[#This Row],[Rating]],'Female Vs Male Comp.'!$I$8:$I$12,'Female Vs Male Comp.'!$J$8:$J$12)</f>
        <v>3</v>
      </c>
      <c r="L184" s="5"/>
    </row>
    <row r="185" spans="1:12" x14ac:dyDescent="0.3">
      <c r="A185" t="s">
        <v>202</v>
      </c>
      <c r="G185" s="2">
        <f>SUBTOTAL(101,Staff[Salary])</f>
        <v>77173.715846994543</v>
      </c>
      <c r="I185" s="22"/>
      <c r="K185" s="5">
        <f>SUBTOTAL(109,Staff[Ratings Num])</f>
        <v>549</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A170-25D8-41C6-8880-0D1431E075B6}">
  <dimension ref="A1:E9"/>
  <sheetViews>
    <sheetView workbookViewId="0">
      <selection activeCell="G9" sqref="G9"/>
    </sheetView>
  </sheetViews>
  <sheetFormatPr defaultRowHeight="14.4" x14ac:dyDescent="0.3"/>
  <cols>
    <col min="1" max="1" width="12.33203125" bestFit="1" customWidth="1"/>
    <col min="2" max="2" width="13.5546875" bestFit="1" customWidth="1"/>
    <col min="4" max="4" width="12.33203125" bestFit="1" customWidth="1"/>
    <col min="5" max="5" width="13.5546875" bestFit="1" customWidth="1"/>
  </cols>
  <sheetData>
    <row r="1" spans="1:5" x14ac:dyDescent="0.3">
      <c r="A1" s="15" t="s">
        <v>203</v>
      </c>
      <c r="B1" t="s" vm="2">
        <v>206</v>
      </c>
      <c r="D1" s="15" t="s">
        <v>203</v>
      </c>
      <c r="E1" t="s" vm="1">
        <v>204</v>
      </c>
    </row>
    <row r="3" spans="1:5" x14ac:dyDescent="0.3">
      <c r="A3" s="15" t="s">
        <v>223</v>
      </c>
      <c r="B3" t="s">
        <v>222</v>
      </c>
      <c r="D3" s="15" t="s">
        <v>223</v>
      </c>
      <c r="E3" t="s">
        <v>222</v>
      </c>
    </row>
    <row r="4" spans="1:5" x14ac:dyDescent="0.3">
      <c r="A4" s="17" t="s">
        <v>12</v>
      </c>
      <c r="B4" s="16">
        <v>27</v>
      </c>
      <c r="D4" s="17" t="s">
        <v>9</v>
      </c>
      <c r="E4" s="16">
        <v>28</v>
      </c>
    </row>
    <row r="5" spans="1:5" x14ac:dyDescent="0.3">
      <c r="A5" s="17" t="s">
        <v>9</v>
      </c>
      <c r="B5" s="16">
        <v>27</v>
      </c>
      <c r="D5" s="17" t="s">
        <v>12</v>
      </c>
      <c r="E5" s="16">
        <v>27</v>
      </c>
    </row>
    <row r="6" spans="1:5" x14ac:dyDescent="0.3">
      <c r="A6" s="17" t="s">
        <v>21</v>
      </c>
      <c r="B6" s="16">
        <v>19</v>
      </c>
      <c r="D6" s="17" t="s">
        <v>21</v>
      </c>
      <c r="E6" s="16">
        <v>19</v>
      </c>
    </row>
    <row r="7" spans="1:5" x14ac:dyDescent="0.3">
      <c r="A7" s="17" t="s">
        <v>19</v>
      </c>
      <c r="B7" s="16">
        <v>14</v>
      </c>
      <c r="D7" s="17" t="s">
        <v>19</v>
      </c>
      <c r="E7" s="16">
        <v>14</v>
      </c>
    </row>
    <row r="8" spans="1:5" x14ac:dyDescent="0.3">
      <c r="A8" s="17" t="s">
        <v>56</v>
      </c>
      <c r="B8" s="16">
        <v>4</v>
      </c>
      <c r="D8" s="17" t="s">
        <v>56</v>
      </c>
      <c r="E8" s="16">
        <v>4</v>
      </c>
    </row>
    <row r="9" spans="1:5" x14ac:dyDescent="0.3">
      <c r="A9" s="17" t="s">
        <v>221</v>
      </c>
      <c r="B9" s="16">
        <v>91</v>
      </c>
      <c r="D9" s="17" t="s">
        <v>221</v>
      </c>
      <c r="E9" s="16">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A422-B525-45F7-8E35-CD29ADE0B1FC}">
  <dimension ref="A2:P40"/>
  <sheetViews>
    <sheetView topLeftCell="A16" workbookViewId="0">
      <selection activeCell="O1" sqref="O1"/>
    </sheetView>
  </sheetViews>
  <sheetFormatPr defaultRowHeight="14.4" x14ac:dyDescent="0.3"/>
  <cols>
    <col min="1" max="1" width="12.33203125" bestFit="1" customWidth="1"/>
    <col min="2" max="2" width="13.5546875" bestFit="1" customWidth="1"/>
    <col min="13" max="13" width="5" style="21" bestFit="1" customWidth="1"/>
    <col min="14" max="14" width="11.109375" style="21" bestFit="1" customWidth="1"/>
    <col min="15" max="15" width="12.109375" style="21" bestFit="1" customWidth="1"/>
    <col min="16" max="16" width="13.77734375" style="21" bestFit="1" customWidth="1"/>
  </cols>
  <sheetData>
    <row r="2" spans="1:16" x14ac:dyDescent="0.3">
      <c r="A2" s="15" t="s">
        <v>223</v>
      </c>
      <c r="B2" t="s">
        <v>222</v>
      </c>
      <c r="G2" s="4" t="s">
        <v>264</v>
      </c>
    </row>
    <row r="3" spans="1:16" x14ac:dyDescent="0.3">
      <c r="A3" s="17" t="s">
        <v>240</v>
      </c>
      <c r="B3" s="16"/>
      <c r="M3" s="52" t="s">
        <v>265</v>
      </c>
      <c r="N3" s="52"/>
      <c r="O3" s="52"/>
      <c r="P3" s="52"/>
    </row>
    <row r="4" spans="1:16" x14ac:dyDescent="0.3">
      <c r="A4" s="19" t="s">
        <v>241</v>
      </c>
      <c r="B4" s="16">
        <v>3</v>
      </c>
      <c r="M4" s="24" t="s">
        <v>262</v>
      </c>
      <c r="N4" s="24" t="s">
        <v>259</v>
      </c>
      <c r="O4" s="24" t="s">
        <v>260</v>
      </c>
      <c r="P4" s="24" t="s">
        <v>261</v>
      </c>
    </row>
    <row r="5" spans="1:16" x14ac:dyDescent="0.3">
      <c r="A5" s="19" t="s">
        <v>242</v>
      </c>
      <c r="B5" s="16">
        <v>4</v>
      </c>
      <c r="M5" s="25" cm="1">
        <f t="array" ref="M5:M40">_xlfn.SEQUENCE(36)</f>
        <v>1</v>
      </c>
      <c r="N5" s="26" cm="1">
        <f t="array" ref="N5:N40">EDATE(DATE(2020,4,1),_xlfn.ANCHORARRAY(M5)+0)</f>
        <v>43952</v>
      </c>
      <c r="O5" s="25">
        <f>COUNTIFS(Staff[Date Joined],"&gt;="&amp;N5,Staff[Date Joined],"&lt;="&amp;EOMONTH(N5,0))</f>
        <v>3</v>
      </c>
      <c r="P5" s="25">
        <f>SUM($O$5:O5)</f>
        <v>3</v>
      </c>
    </row>
    <row r="6" spans="1:16" x14ac:dyDescent="0.3">
      <c r="A6" s="19" t="s">
        <v>243</v>
      </c>
      <c r="B6" s="16">
        <v>9</v>
      </c>
      <c r="M6" s="27">
        <v>2</v>
      </c>
      <c r="N6" s="28">
        <v>43983</v>
      </c>
      <c r="O6" s="27">
        <f>COUNTIFS(Staff[Date Joined],"&gt;="&amp;N6,Staff[Date Joined],"&lt;="&amp;EOMONTH(N6,0))</f>
        <v>1</v>
      </c>
      <c r="P6" s="27">
        <f>SUM($O$5:O6)</f>
        <v>4</v>
      </c>
    </row>
    <row r="7" spans="1:16" x14ac:dyDescent="0.3">
      <c r="A7" s="19" t="s">
        <v>244</v>
      </c>
      <c r="B7" s="16">
        <v>12</v>
      </c>
      <c r="M7" s="25">
        <v>3</v>
      </c>
      <c r="N7" s="26">
        <v>44013</v>
      </c>
      <c r="O7" s="25">
        <f>COUNTIFS(Staff[Date Joined],"&gt;="&amp;N7,Staff[Date Joined],"&lt;="&amp;EOMONTH(N7,0))</f>
        <v>5</v>
      </c>
      <c r="P7" s="25">
        <f>SUM($O$5:O7)</f>
        <v>9</v>
      </c>
    </row>
    <row r="8" spans="1:16" x14ac:dyDescent="0.3">
      <c r="A8" s="19" t="s">
        <v>245</v>
      </c>
      <c r="B8" s="16">
        <v>18</v>
      </c>
      <c r="M8" s="27">
        <v>4</v>
      </c>
      <c r="N8" s="28">
        <v>44044</v>
      </c>
      <c r="O8" s="27">
        <f>COUNTIFS(Staff[Date Joined],"&gt;="&amp;N8,Staff[Date Joined],"&lt;="&amp;EOMONTH(N8,0))</f>
        <v>3</v>
      </c>
      <c r="P8" s="27">
        <f>SUM($O$5:O8)</f>
        <v>12</v>
      </c>
    </row>
    <row r="9" spans="1:16" x14ac:dyDescent="0.3">
      <c r="A9" s="19" t="s">
        <v>246</v>
      </c>
      <c r="B9" s="16">
        <v>24</v>
      </c>
      <c r="M9" s="25">
        <v>5</v>
      </c>
      <c r="N9" s="26">
        <v>44075</v>
      </c>
      <c r="O9" s="25">
        <f>COUNTIFS(Staff[Date Joined],"&gt;="&amp;N9,Staff[Date Joined],"&lt;="&amp;EOMONTH(N9,0))</f>
        <v>6</v>
      </c>
      <c r="P9" s="25">
        <f>SUM($O$5:O9)</f>
        <v>18</v>
      </c>
    </row>
    <row r="10" spans="1:16" x14ac:dyDescent="0.3">
      <c r="A10" s="19" t="s">
        <v>247</v>
      </c>
      <c r="B10" s="16">
        <v>30</v>
      </c>
      <c r="M10" s="27">
        <v>6</v>
      </c>
      <c r="N10" s="28">
        <v>44105</v>
      </c>
      <c r="O10" s="27">
        <f>COUNTIFS(Staff[Date Joined],"&gt;="&amp;N10,Staff[Date Joined],"&lt;="&amp;EOMONTH(N10,0))</f>
        <v>6</v>
      </c>
      <c r="P10" s="27">
        <f>SUM($O$5:O10)</f>
        <v>24</v>
      </c>
    </row>
    <row r="11" spans="1:16" x14ac:dyDescent="0.3">
      <c r="A11" s="19" t="s">
        <v>248</v>
      </c>
      <c r="B11" s="16">
        <v>37</v>
      </c>
      <c r="M11" s="25">
        <v>7</v>
      </c>
      <c r="N11" s="26">
        <v>44136</v>
      </c>
      <c r="O11" s="25">
        <f>COUNTIFS(Staff[Date Joined],"&gt;="&amp;N11,Staff[Date Joined],"&lt;="&amp;EOMONTH(N11,0))</f>
        <v>6</v>
      </c>
      <c r="P11" s="25">
        <f>SUM($O$5:O11)</f>
        <v>30</v>
      </c>
    </row>
    <row r="12" spans="1:16" x14ac:dyDescent="0.3">
      <c r="A12" s="17" t="s">
        <v>249</v>
      </c>
      <c r="B12" s="16"/>
      <c r="M12" s="27">
        <v>8</v>
      </c>
      <c r="N12" s="28">
        <v>44166</v>
      </c>
      <c r="O12" s="27">
        <f>COUNTIFS(Staff[Date Joined],"&gt;="&amp;N12,Staff[Date Joined],"&lt;="&amp;EOMONTH(N12,0))</f>
        <v>7</v>
      </c>
      <c r="P12" s="27">
        <f>SUM($O$5:O12)</f>
        <v>37</v>
      </c>
    </row>
    <row r="13" spans="1:16" x14ac:dyDescent="0.3">
      <c r="A13" s="19" t="s">
        <v>250</v>
      </c>
      <c r="B13" s="16">
        <v>6</v>
      </c>
      <c r="M13" s="25">
        <v>9</v>
      </c>
      <c r="N13" s="26">
        <v>44197</v>
      </c>
      <c r="O13" s="25">
        <f>COUNTIFS(Staff[Date Joined],"&gt;="&amp;N13,Staff[Date Joined],"&lt;="&amp;EOMONTH(N13,0))</f>
        <v>6</v>
      </c>
      <c r="P13" s="25">
        <f>SUM($O$5:O13)</f>
        <v>43</v>
      </c>
    </row>
    <row r="14" spans="1:16" x14ac:dyDescent="0.3">
      <c r="A14" s="19" t="s">
        <v>251</v>
      </c>
      <c r="B14" s="16">
        <v>10</v>
      </c>
      <c r="M14" s="27">
        <v>10</v>
      </c>
      <c r="N14" s="28">
        <v>44228</v>
      </c>
      <c r="O14" s="27">
        <f>COUNTIFS(Staff[Date Joined],"&gt;="&amp;N14,Staff[Date Joined],"&lt;="&amp;EOMONTH(N14,0))</f>
        <v>4</v>
      </c>
      <c r="P14" s="27">
        <f>SUM($O$5:O14)</f>
        <v>47</v>
      </c>
    </row>
    <row r="15" spans="1:16" x14ac:dyDescent="0.3">
      <c r="A15" s="19" t="s">
        <v>252</v>
      </c>
      <c r="B15" s="16">
        <v>19</v>
      </c>
      <c r="M15" s="25">
        <v>11</v>
      </c>
      <c r="N15" s="26">
        <v>44256</v>
      </c>
      <c r="O15" s="25">
        <f>COUNTIFS(Staff[Date Joined],"&gt;="&amp;N15,Staff[Date Joined],"&lt;="&amp;EOMONTH(N15,0))</f>
        <v>9</v>
      </c>
      <c r="P15" s="25">
        <f>SUM($O$5:O15)</f>
        <v>56</v>
      </c>
    </row>
    <row r="16" spans="1:16" x14ac:dyDescent="0.3">
      <c r="A16" s="19" t="s">
        <v>253</v>
      </c>
      <c r="B16" s="16">
        <v>24</v>
      </c>
      <c r="M16" s="27">
        <v>12</v>
      </c>
      <c r="N16" s="28">
        <v>44287</v>
      </c>
      <c r="O16" s="27">
        <f>COUNTIFS(Staff[Date Joined],"&gt;="&amp;N16,Staff[Date Joined],"&lt;="&amp;EOMONTH(N16,0))</f>
        <v>5</v>
      </c>
      <c r="P16" s="27">
        <f>SUM($O$5:O16)</f>
        <v>61</v>
      </c>
    </row>
    <row r="17" spans="1:16" x14ac:dyDescent="0.3">
      <c r="A17" s="19" t="s">
        <v>241</v>
      </c>
      <c r="B17" s="16">
        <v>34</v>
      </c>
      <c r="M17" s="25">
        <v>13</v>
      </c>
      <c r="N17" s="26">
        <v>44317</v>
      </c>
      <c r="O17" s="25">
        <f>COUNTIFS(Staff[Date Joined],"&gt;="&amp;N17,Staff[Date Joined],"&lt;="&amp;EOMONTH(N17,0))</f>
        <v>10</v>
      </c>
      <c r="P17" s="25">
        <f>SUM($O$5:O17)</f>
        <v>71</v>
      </c>
    </row>
    <row r="18" spans="1:16" x14ac:dyDescent="0.3">
      <c r="A18" s="19" t="s">
        <v>242</v>
      </c>
      <c r="B18" s="16">
        <v>40</v>
      </c>
      <c r="M18" s="27">
        <v>14</v>
      </c>
      <c r="N18" s="28">
        <v>44348</v>
      </c>
      <c r="O18" s="27">
        <f>COUNTIFS(Staff[Date Joined],"&gt;="&amp;N18,Staff[Date Joined],"&lt;="&amp;EOMONTH(N18,0))</f>
        <v>6</v>
      </c>
      <c r="P18" s="27">
        <f>SUM($O$5:O18)</f>
        <v>77</v>
      </c>
    </row>
    <row r="19" spans="1:16" x14ac:dyDescent="0.3">
      <c r="A19" s="19" t="s">
        <v>243</v>
      </c>
      <c r="B19" s="16">
        <v>53</v>
      </c>
      <c r="D19" t="s">
        <v>256</v>
      </c>
      <c r="M19" s="25">
        <v>15</v>
      </c>
      <c r="N19" s="26">
        <v>44378</v>
      </c>
      <c r="O19" s="25">
        <f>COUNTIFS(Staff[Date Joined],"&gt;="&amp;N19,Staff[Date Joined],"&lt;="&amp;EOMONTH(N19,0))</f>
        <v>13</v>
      </c>
      <c r="P19" s="25">
        <f>SUM($O$5:O19)</f>
        <v>90</v>
      </c>
    </row>
    <row r="20" spans="1:16" x14ac:dyDescent="0.3">
      <c r="A20" s="19" t="s">
        <v>244</v>
      </c>
      <c r="B20" s="16">
        <v>57</v>
      </c>
      <c r="D20" t="s">
        <v>257</v>
      </c>
      <c r="M20" s="27">
        <v>16</v>
      </c>
      <c r="N20" s="28">
        <v>44409</v>
      </c>
      <c r="O20" s="27">
        <f>COUNTIFS(Staff[Date Joined],"&gt;="&amp;N20,Staff[Date Joined],"&lt;="&amp;EOMONTH(N20,0))</f>
        <v>4</v>
      </c>
      <c r="P20" s="27">
        <f>SUM($O$5:O20)</f>
        <v>94</v>
      </c>
    </row>
    <row r="21" spans="1:16" x14ac:dyDescent="0.3">
      <c r="A21" s="19" t="s">
        <v>245</v>
      </c>
      <c r="B21" s="16">
        <v>68</v>
      </c>
      <c r="M21" s="25">
        <v>17</v>
      </c>
      <c r="N21" s="26">
        <v>44440</v>
      </c>
      <c r="O21" s="25">
        <f>COUNTIFS(Staff[Date Joined],"&gt;="&amp;N21,Staff[Date Joined],"&lt;="&amp;EOMONTH(N21,0))</f>
        <v>11</v>
      </c>
      <c r="P21" s="25">
        <f>SUM($O$5:O21)</f>
        <v>105</v>
      </c>
    </row>
    <row r="22" spans="1:16" x14ac:dyDescent="0.3">
      <c r="A22" s="19" t="s">
        <v>246</v>
      </c>
      <c r="B22" s="16">
        <v>71</v>
      </c>
      <c r="D22" t="s">
        <v>258</v>
      </c>
      <c r="M22" s="27">
        <v>18</v>
      </c>
      <c r="N22" s="28">
        <v>44470</v>
      </c>
      <c r="O22" s="27">
        <f>COUNTIFS(Staff[Date Joined],"&gt;="&amp;N22,Staff[Date Joined],"&lt;="&amp;EOMONTH(N22,0))</f>
        <v>3</v>
      </c>
      <c r="P22" s="27">
        <f>SUM($O$5:O22)</f>
        <v>108</v>
      </c>
    </row>
    <row r="23" spans="1:16" x14ac:dyDescent="0.3">
      <c r="A23" s="19" t="s">
        <v>247</v>
      </c>
      <c r="B23" s="16">
        <v>75</v>
      </c>
      <c r="M23" s="25">
        <v>19</v>
      </c>
      <c r="N23" s="26">
        <v>44501</v>
      </c>
      <c r="O23" s="25">
        <f>COUNTIFS(Staff[Date Joined],"&gt;="&amp;N23,Staff[Date Joined],"&lt;="&amp;EOMONTH(N23,0))</f>
        <v>4</v>
      </c>
      <c r="P23" s="25">
        <f>SUM($O$5:O23)</f>
        <v>112</v>
      </c>
    </row>
    <row r="24" spans="1:16" x14ac:dyDescent="0.3">
      <c r="A24" s="19" t="s">
        <v>248</v>
      </c>
      <c r="B24" s="16">
        <v>82</v>
      </c>
      <c r="M24" s="27">
        <v>20</v>
      </c>
      <c r="N24" s="28">
        <v>44531</v>
      </c>
      <c r="O24" s="27">
        <f>COUNTIFS(Staff[Date Joined],"&gt;="&amp;N24,Staff[Date Joined],"&lt;="&amp;EOMONTH(N24,0))</f>
        <v>7</v>
      </c>
      <c r="P24" s="27">
        <f>SUM($O$5:O24)</f>
        <v>119</v>
      </c>
    </row>
    <row r="25" spans="1:16" x14ac:dyDescent="0.3">
      <c r="A25" s="17" t="s">
        <v>254</v>
      </c>
      <c r="B25" s="16"/>
      <c r="M25" s="25">
        <v>21</v>
      </c>
      <c r="N25" s="26">
        <v>44562</v>
      </c>
      <c r="O25" s="25">
        <f>COUNTIFS(Staff[Date Joined],"&gt;="&amp;N25,Staff[Date Joined],"&lt;="&amp;EOMONTH(N25,0))</f>
        <v>3</v>
      </c>
      <c r="P25" s="25">
        <f>SUM($O$5:O25)</f>
        <v>122</v>
      </c>
    </row>
    <row r="26" spans="1:16" x14ac:dyDescent="0.3">
      <c r="A26" s="19" t="s">
        <v>250</v>
      </c>
      <c r="B26" s="16">
        <v>3</v>
      </c>
      <c r="M26" s="27">
        <v>22</v>
      </c>
      <c r="N26" s="28">
        <v>44593</v>
      </c>
      <c r="O26" s="27">
        <f>COUNTIFS(Staff[Date Joined],"&gt;="&amp;N26,Staff[Date Joined],"&lt;="&amp;EOMONTH(N26,0))</f>
        <v>10</v>
      </c>
      <c r="P26" s="27">
        <f>SUM($O$5:O26)</f>
        <v>132</v>
      </c>
    </row>
    <row r="27" spans="1:16" x14ac:dyDescent="0.3">
      <c r="A27" s="19" t="s">
        <v>251</v>
      </c>
      <c r="B27" s="16">
        <v>13</v>
      </c>
      <c r="M27" s="25">
        <v>23</v>
      </c>
      <c r="N27" s="26">
        <v>44621</v>
      </c>
      <c r="O27" s="25">
        <f>COUNTIFS(Staff[Date Joined],"&gt;="&amp;N27,Staff[Date Joined],"&lt;="&amp;EOMONTH(N27,0))</f>
        <v>9</v>
      </c>
      <c r="P27" s="25">
        <f>SUM($O$5:O27)</f>
        <v>141</v>
      </c>
    </row>
    <row r="28" spans="1:16" x14ac:dyDescent="0.3">
      <c r="A28" s="19" t="s">
        <v>252</v>
      </c>
      <c r="B28" s="16">
        <v>22</v>
      </c>
      <c r="M28" s="27">
        <v>24</v>
      </c>
      <c r="N28" s="28">
        <v>44652</v>
      </c>
      <c r="O28" s="27">
        <f>COUNTIFS(Staff[Date Joined],"&gt;="&amp;N28,Staff[Date Joined],"&lt;="&amp;EOMONTH(N28,0))</f>
        <v>9</v>
      </c>
      <c r="P28" s="27">
        <f>SUM($O$5:O28)</f>
        <v>150</v>
      </c>
    </row>
    <row r="29" spans="1:16" x14ac:dyDescent="0.3">
      <c r="A29" s="19" t="s">
        <v>253</v>
      </c>
      <c r="B29" s="16">
        <v>31</v>
      </c>
      <c r="M29" s="25">
        <v>25</v>
      </c>
      <c r="N29" s="26">
        <v>44682</v>
      </c>
      <c r="O29" s="25">
        <f>COUNTIFS(Staff[Date Joined],"&gt;="&amp;N29,Staff[Date Joined],"&lt;="&amp;EOMONTH(N29,0))</f>
        <v>9</v>
      </c>
      <c r="P29" s="25">
        <f>SUM($O$5:O29)</f>
        <v>159</v>
      </c>
    </row>
    <row r="30" spans="1:16" x14ac:dyDescent="0.3">
      <c r="A30" s="19" t="s">
        <v>241</v>
      </c>
      <c r="B30" s="16">
        <v>40</v>
      </c>
      <c r="M30" s="27">
        <v>26</v>
      </c>
      <c r="N30" s="28">
        <v>44713</v>
      </c>
      <c r="O30" s="27">
        <f>COUNTIFS(Staff[Date Joined],"&gt;="&amp;N30,Staff[Date Joined],"&lt;="&amp;EOMONTH(N30,0))</f>
        <v>7</v>
      </c>
      <c r="P30" s="27">
        <f>SUM($O$5:O30)</f>
        <v>166</v>
      </c>
    </row>
    <row r="31" spans="1:16" x14ac:dyDescent="0.3">
      <c r="A31" s="19" t="s">
        <v>242</v>
      </c>
      <c r="B31" s="16">
        <v>47</v>
      </c>
      <c r="M31" s="25">
        <v>27</v>
      </c>
      <c r="N31" s="26">
        <v>44743</v>
      </c>
      <c r="O31" s="25">
        <f>COUNTIFS(Staff[Date Joined],"&gt;="&amp;N31,Staff[Date Joined],"&lt;="&amp;EOMONTH(N31,0))</f>
        <v>5</v>
      </c>
      <c r="P31" s="25">
        <f>SUM($O$5:O31)</f>
        <v>171</v>
      </c>
    </row>
    <row r="32" spans="1:16" x14ac:dyDescent="0.3">
      <c r="A32" s="19" t="s">
        <v>243</v>
      </c>
      <c r="B32" s="16">
        <v>52</v>
      </c>
      <c r="M32" s="27">
        <v>28</v>
      </c>
      <c r="N32" s="28">
        <v>44774</v>
      </c>
      <c r="O32" s="27">
        <f>COUNTIFS(Staff[Date Joined],"&gt;="&amp;N32,Staff[Date Joined],"&lt;="&amp;EOMONTH(N32,0))</f>
        <v>5</v>
      </c>
      <c r="P32" s="27">
        <f>SUM($O$5:O32)</f>
        <v>176</v>
      </c>
    </row>
    <row r="33" spans="1:16" x14ac:dyDescent="0.3">
      <c r="A33" s="19" t="s">
        <v>244</v>
      </c>
      <c r="B33" s="16">
        <v>57</v>
      </c>
      <c r="M33" s="25">
        <v>29</v>
      </c>
      <c r="N33" s="26">
        <v>44805</v>
      </c>
      <c r="O33" s="25">
        <f>COUNTIFS(Staff[Date Joined],"&gt;="&amp;N33,Staff[Date Joined],"&lt;="&amp;EOMONTH(N33,0))</f>
        <v>2</v>
      </c>
      <c r="P33" s="25">
        <f>SUM($O$5:O33)</f>
        <v>178</v>
      </c>
    </row>
    <row r="34" spans="1:16" x14ac:dyDescent="0.3">
      <c r="A34" s="19" t="s">
        <v>245</v>
      </c>
      <c r="B34" s="16">
        <v>59</v>
      </c>
      <c r="M34" s="27">
        <v>30</v>
      </c>
      <c r="N34" s="28">
        <v>44835</v>
      </c>
      <c r="O34" s="27">
        <f>COUNTIFS(Staff[Date Joined],"&gt;="&amp;N34,Staff[Date Joined],"&lt;="&amp;EOMONTH(N34,0))</f>
        <v>3</v>
      </c>
      <c r="P34" s="27">
        <f>SUM($O$5:O34)</f>
        <v>181</v>
      </c>
    </row>
    <row r="35" spans="1:16" x14ac:dyDescent="0.3">
      <c r="A35" s="19" t="s">
        <v>246</v>
      </c>
      <c r="B35" s="16">
        <v>62</v>
      </c>
      <c r="M35" s="25">
        <v>31</v>
      </c>
      <c r="N35" s="26">
        <v>44866</v>
      </c>
      <c r="O35" s="25">
        <f>COUNTIFS(Staff[Date Joined],"&gt;="&amp;N35,Staff[Date Joined],"&lt;="&amp;EOMONTH(N35,0))</f>
        <v>0</v>
      </c>
      <c r="P35" s="25">
        <f>SUM($O$5:O35)</f>
        <v>181</v>
      </c>
    </row>
    <row r="36" spans="1:16" x14ac:dyDescent="0.3">
      <c r="A36" s="17" t="s">
        <v>255</v>
      </c>
      <c r="B36" s="16"/>
      <c r="M36" s="27">
        <v>32</v>
      </c>
      <c r="N36" s="28">
        <v>44896</v>
      </c>
      <c r="O36" s="27">
        <f>COUNTIFS(Staff[Date Joined],"&gt;="&amp;N36,Staff[Date Joined],"&lt;="&amp;EOMONTH(N36,0))</f>
        <v>0</v>
      </c>
      <c r="P36" s="27">
        <f>SUM($O$5:O36)</f>
        <v>181</v>
      </c>
    </row>
    <row r="37" spans="1:16" x14ac:dyDescent="0.3">
      <c r="A37" s="19" t="s">
        <v>251</v>
      </c>
      <c r="B37" s="16">
        <v>1</v>
      </c>
      <c r="M37" s="25">
        <v>33</v>
      </c>
      <c r="N37" s="26">
        <v>44927</v>
      </c>
      <c r="O37" s="25">
        <f>COUNTIFS(Staff[Date Joined],"&gt;="&amp;N37,Staff[Date Joined],"&lt;="&amp;EOMONTH(N37,0))</f>
        <v>0</v>
      </c>
      <c r="P37" s="25">
        <f>SUM($O$5:O37)</f>
        <v>181</v>
      </c>
    </row>
    <row r="38" spans="1:16" x14ac:dyDescent="0.3">
      <c r="A38" s="19" t="s">
        <v>253</v>
      </c>
      <c r="B38" s="16">
        <v>2</v>
      </c>
      <c r="M38" s="27">
        <v>34</v>
      </c>
      <c r="N38" s="28">
        <v>44958</v>
      </c>
      <c r="O38" s="27">
        <f>COUNTIFS(Staff[Date Joined],"&gt;="&amp;N38,Staff[Date Joined],"&lt;="&amp;EOMONTH(N38,0))</f>
        <v>1</v>
      </c>
      <c r="P38" s="27">
        <f>SUM($O$5:O38)</f>
        <v>182</v>
      </c>
    </row>
    <row r="39" spans="1:16" x14ac:dyDescent="0.3">
      <c r="A39" s="17" t="s">
        <v>221</v>
      </c>
      <c r="B39" s="16"/>
      <c r="M39" s="25">
        <v>35</v>
      </c>
      <c r="N39" s="26">
        <v>44986</v>
      </c>
      <c r="O39" s="25">
        <f>COUNTIFS(Staff[Date Joined],"&gt;="&amp;N39,Staff[Date Joined],"&lt;="&amp;EOMONTH(N39,0))</f>
        <v>0</v>
      </c>
      <c r="P39" s="25">
        <f>SUM($O$5:O39)</f>
        <v>182</v>
      </c>
    </row>
    <row r="40" spans="1:16" x14ac:dyDescent="0.3">
      <c r="M40" s="27">
        <v>36</v>
      </c>
      <c r="N40" s="28">
        <v>45017</v>
      </c>
      <c r="O40" s="27">
        <f>COUNTIFS(Staff[Date Joined],"&gt;="&amp;N40,Staff[Date Joined],"&lt;="&amp;EOMONTH(N40,0))</f>
        <v>1</v>
      </c>
      <c r="P40" s="27">
        <f>SUM($O$5:O40)</f>
        <v>183</v>
      </c>
    </row>
  </sheetData>
  <mergeCells count="1">
    <mergeCell ref="M3:P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287-EAF8-4313-9FA9-B5B82EF76118}">
  <dimension ref="B3:L28"/>
  <sheetViews>
    <sheetView workbookViewId="0">
      <selection activeCell="D17" sqref="D17"/>
    </sheetView>
  </sheetViews>
  <sheetFormatPr defaultRowHeight="14.4" x14ac:dyDescent="0.3"/>
  <cols>
    <col min="2" max="2" width="13.21875" bestFit="1" customWidth="1"/>
    <col min="3" max="3" width="13.5546875" bestFit="1" customWidth="1"/>
    <col min="4" max="4" width="15.21875" bestFit="1" customWidth="1"/>
    <col min="5" max="5" width="5.77734375" bestFit="1" customWidth="1"/>
    <col min="6" max="6" width="10.77734375" bestFit="1" customWidth="1"/>
  </cols>
  <sheetData>
    <row r="3" spans="2:4" x14ac:dyDescent="0.3">
      <c r="B3" s="51" t="s">
        <v>232</v>
      </c>
      <c r="C3" s="51" t="s">
        <v>222</v>
      </c>
      <c r="D3" s="51" t="s">
        <v>226</v>
      </c>
    </row>
    <row r="4" spans="2:4" x14ac:dyDescent="0.3">
      <c r="B4" s="17" t="s">
        <v>10</v>
      </c>
      <c r="C4" s="16">
        <v>4</v>
      </c>
      <c r="D4" s="20">
        <v>92080</v>
      </c>
    </row>
    <row r="5" spans="2:4" x14ac:dyDescent="0.3">
      <c r="B5" s="17" t="s">
        <v>13</v>
      </c>
      <c r="C5" s="16">
        <v>20</v>
      </c>
      <c r="D5" s="20">
        <v>75933</v>
      </c>
    </row>
    <row r="6" spans="2:4" x14ac:dyDescent="0.3">
      <c r="B6" s="17" t="s">
        <v>16</v>
      </c>
      <c r="C6" s="16">
        <v>137</v>
      </c>
      <c r="D6" s="20">
        <v>76798.759124087592</v>
      </c>
    </row>
    <row r="7" spans="2:4" x14ac:dyDescent="0.3">
      <c r="B7" s="17" t="s">
        <v>24</v>
      </c>
      <c r="C7" s="16">
        <v>16</v>
      </c>
      <c r="D7" s="20">
        <v>78115</v>
      </c>
    </row>
    <row r="8" spans="2:4" x14ac:dyDescent="0.3">
      <c r="B8" s="17" t="s">
        <v>42</v>
      </c>
      <c r="C8" s="16">
        <v>6</v>
      </c>
      <c r="D8" s="20">
        <v>77423.333333333328</v>
      </c>
    </row>
    <row r="9" spans="2:4" x14ac:dyDescent="0.3">
      <c r="B9" s="49" t="s">
        <v>221</v>
      </c>
      <c r="C9" s="50">
        <v>183</v>
      </c>
      <c r="D9" s="48">
        <v>77173.715846994543</v>
      </c>
    </row>
    <row r="11" spans="2:4" x14ac:dyDescent="0.3">
      <c r="B11" s="17" t="s">
        <v>230</v>
      </c>
    </row>
    <row r="12" spans="2:4" x14ac:dyDescent="0.3">
      <c r="B12" s="17" t="s">
        <v>231</v>
      </c>
    </row>
    <row r="22" spans="2:12" x14ac:dyDescent="0.3">
      <c r="B22" s="39" t="s">
        <v>233</v>
      </c>
      <c r="C22" s="40"/>
      <c r="D22" s="40"/>
      <c r="E22" s="40"/>
      <c r="F22" s="40"/>
      <c r="G22" s="40"/>
      <c r="H22" s="40"/>
      <c r="I22" s="40"/>
      <c r="J22" s="40"/>
      <c r="K22" s="40"/>
      <c r="L22" s="41"/>
    </row>
    <row r="23" spans="2:12" x14ac:dyDescent="0.3">
      <c r="B23" s="42" t="s">
        <v>234</v>
      </c>
      <c r="C23" s="43"/>
      <c r="D23" s="43"/>
      <c r="E23" s="43"/>
      <c r="F23" s="43"/>
      <c r="G23" s="43"/>
      <c r="H23" s="43"/>
      <c r="I23" s="43"/>
      <c r="J23" s="43"/>
      <c r="K23" s="43"/>
      <c r="L23" s="44"/>
    </row>
    <row r="24" spans="2:12" x14ac:dyDescent="0.3">
      <c r="B24" s="42" t="s">
        <v>235</v>
      </c>
      <c r="C24" s="43"/>
      <c r="D24" s="43"/>
      <c r="E24" s="43"/>
      <c r="F24" s="43"/>
      <c r="G24" s="43"/>
      <c r="H24" s="43"/>
      <c r="I24" s="43"/>
      <c r="J24" s="43"/>
      <c r="K24" s="43"/>
      <c r="L24" s="44"/>
    </row>
    <row r="25" spans="2:12" x14ac:dyDescent="0.3">
      <c r="B25" s="42" t="s">
        <v>236</v>
      </c>
      <c r="C25" s="43"/>
      <c r="D25" s="43"/>
      <c r="E25" s="43"/>
      <c r="F25" s="43"/>
      <c r="G25" s="43"/>
      <c r="H25" s="43"/>
      <c r="I25" s="43"/>
      <c r="J25" s="43"/>
      <c r="K25" s="43"/>
      <c r="L25" s="44"/>
    </row>
    <row r="26" spans="2:12" x14ac:dyDescent="0.3">
      <c r="B26" s="42" t="s">
        <v>237</v>
      </c>
      <c r="C26" s="43"/>
      <c r="D26" s="43"/>
      <c r="E26" s="43"/>
      <c r="F26" s="43"/>
      <c r="G26" s="43"/>
      <c r="H26" s="43"/>
      <c r="I26" s="43"/>
      <c r="J26" s="43"/>
      <c r="K26" s="43"/>
      <c r="L26" s="44"/>
    </row>
    <row r="27" spans="2:12" x14ac:dyDescent="0.3">
      <c r="B27" s="42" t="s">
        <v>238</v>
      </c>
      <c r="C27" s="43"/>
      <c r="D27" s="43"/>
      <c r="E27" s="43"/>
      <c r="F27" s="43"/>
      <c r="G27" s="43"/>
      <c r="H27" s="43"/>
      <c r="I27" s="43"/>
      <c r="J27" s="43"/>
      <c r="K27" s="43"/>
      <c r="L27" s="44"/>
    </row>
    <row r="28" spans="2:12" x14ac:dyDescent="0.3">
      <c r="B28" s="45" t="s">
        <v>239</v>
      </c>
      <c r="C28" s="46"/>
      <c r="D28" s="46"/>
      <c r="E28" s="46"/>
      <c r="F28" s="46"/>
      <c r="G28" s="46"/>
      <c r="H28" s="46"/>
      <c r="I28" s="46"/>
      <c r="J28" s="46"/>
      <c r="K28" s="46"/>
      <c r="L28" s="47"/>
    </row>
  </sheetData>
  <conditionalFormatting pivot="1" sqref="D4:D8">
    <cfRule type="dataBar" priority="1">
      <dataBar>
        <cfvo type="min"/>
        <cfvo type="max"/>
        <color rgb="FF638EC6"/>
      </dataBar>
      <extLst>
        <ext xmlns:x14="http://schemas.microsoft.com/office/spreadsheetml/2009/9/main" uri="{B025F937-C7B1-47D3-B67F-A62EFF666E3E}">
          <x14:id>{5D080B9C-AB08-49C0-957C-7A400448A7E2}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080B9C-AB08-49C0-957C-7A400448A7E2}">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CA16-68C6-4740-9563-ED6298204EE1}">
  <dimension ref="A1:H184"/>
  <sheetViews>
    <sheetView workbookViewId="0">
      <selection activeCell="P15" sqref="P15"/>
    </sheetView>
  </sheetViews>
  <sheetFormatPr defaultRowHeight="14.4" x14ac:dyDescent="0.3"/>
  <cols>
    <col min="1" max="1" width="13.44140625" customWidth="1"/>
    <col min="2" max="3" width="12.44140625" customWidth="1"/>
    <col min="4" max="4" width="11.33203125" customWidth="1"/>
    <col min="5" max="5" width="14.6640625" customWidth="1"/>
    <col min="6" max="6" width="11.6640625" customWidth="1"/>
    <col min="7" max="7" width="15.21875" customWidth="1"/>
    <col min="8" max="8" width="11.5546875" customWidth="1"/>
  </cols>
  <sheetData>
    <row r="1" spans="1:8" x14ac:dyDescent="0.3">
      <c r="A1" s="29" t="s">
        <v>0</v>
      </c>
      <c r="B1" s="30" t="s">
        <v>1</v>
      </c>
      <c r="C1" s="30" t="s">
        <v>3</v>
      </c>
      <c r="D1" s="30" t="s">
        <v>6</v>
      </c>
      <c r="E1" s="30" t="s">
        <v>4</v>
      </c>
      <c r="F1" s="30" t="s">
        <v>2</v>
      </c>
      <c r="G1" s="30" t="s">
        <v>5</v>
      </c>
      <c r="H1" s="30" t="s">
        <v>203</v>
      </c>
    </row>
    <row r="2" spans="1:8" x14ac:dyDescent="0.3">
      <c r="A2" s="31" t="s">
        <v>178</v>
      </c>
      <c r="B2" s="32" t="s">
        <v>8</v>
      </c>
      <c r="C2" s="32">
        <v>21</v>
      </c>
      <c r="D2" s="32" t="s">
        <v>16</v>
      </c>
      <c r="E2" s="33">
        <v>44619</v>
      </c>
      <c r="F2" s="32" t="s">
        <v>12</v>
      </c>
      <c r="G2" s="34">
        <v>33920</v>
      </c>
      <c r="H2" s="32" t="s">
        <v>204</v>
      </c>
    </row>
    <row r="3" spans="1:8" x14ac:dyDescent="0.3">
      <c r="A3" s="35" t="s">
        <v>86</v>
      </c>
      <c r="B3" s="36" t="s">
        <v>8</v>
      </c>
      <c r="C3" s="36">
        <v>21</v>
      </c>
      <c r="D3" s="36" t="s">
        <v>16</v>
      </c>
      <c r="E3" s="37">
        <v>44678</v>
      </c>
      <c r="F3" s="36" t="s">
        <v>12</v>
      </c>
      <c r="G3" s="38">
        <v>33920</v>
      </c>
      <c r="H3" s="36" t="s">
        <v>206</v>
      </c>
    </row>
    <row r="4" spans="1:8" x14ac:dyDescent="0.3">
      <c r="A4" s="31" t="s">
        <v>136</v>
      </c>
      <c r="B4" s="32" t="s">
        <v>8</v>
      </c>
      <c r="C4" s="32">
        <v>29</v>
      </c>
      <c r="D4" s="32" t="s">
        <v>16</v>
      </c>
      <c r="E4" s="33">
        <v>43962</v>
      </c>
      <c r="F4" s="32" t="s">
        <v>12</v>
      </c>
      <c r="G4" s="34">
        <v>34980</v>
      </c>
      <c r="H4" s="32" t="s">
        <v>204</v>
      </c>
    </row>
    <row r="5" spans="1:8" x14ac:dyDescent="0.3">
      <c r="A5" s="35" t="s">
        <v>44</v>
      </c>
      <c r="B5" s="36" t="s">
        <v>8</v>
      </c>
      <c r="C5" s="36">
        <v>29</v>
      </c>
      <c r="D5" s="36" t="s">
        <v>16</v>
      </c>
      <c r="E5" s="37">
        <v>44023</v>
      </c>
      <c r="F5" s="36" t="s">
        <v>12</v>
      </c>
      <c r="G5" s="38">
        <v>34980</v>
      </c>
      <c r="H5" s="36" t="s">
        <v>206</v>
      </c>
    </row>
    <row r="6" spans="1:8" x14ac:dyDescent="0.3">
      <c r="A6" s="31" t="s">
        <v>191</v>
      </c>
      <c r="B6" s="32" t="s">
        <v>15</v>
      </c>
      <c r="C6" s="32">
        <v>43</v>
      </c>
      <c r="D6" s="32" t="s">
        <v>16</v>
      </c>
      <c r="E6" s="33">
        <v>44558</v>
      </c>
      <c r="F6" s="32" t="s">
        <v>19</v>
      </c>
      <c r="G6" s="34">
        <v>36040</v>
      </c>
      <c r="H6" s="32" t="s">
        <v>204</v>
      </c>
    </row>
    <row r="7" spans="1:8" x14ac:dyDescent="0.3">
      <c r="A7" s="35" t="s">
        <v>99</v>
      </c>
      <c r="B7" s="36" t="s">
        <v>15</v>
      </c>
      <c r="C7" s="36">
        <v>43</v>
      </c>
      <c r="D7" s="36" t="s">
        <v>16</v>
      </c>
      <c r="E7" s="37">
        <v>44620</v>
      </c>
      <c r="F7" s="36" t="s">
        <v>19</v>
      </c>
      <c r="G7" s="38">
        <v>36040</v>
      </c>
      <c r="H7" s="36" t="s">
        <v>206</v>
      </c>
    </row>
    <row r="8" spans="1:8" x14ac:dyDescent="0.3">
      <c r="A8" s="31" t="s">
        <v>139</v>
      </c>
      <c r="B8" s="32" t="s">
        <v>15</v>
      </c>
      <c r="C8" s="32">
        <v>21</v>
      </c>
      <c r="D8" s="32" t="s">
        <v>16</v>
      </c>
      <c r="E8" s="33">
        <v>44042</v>
      </c>
      <c r="F8" s="32" t="s">
        <v>9</v>
      </c>
      <c r="G8" s="34">
        <v>37920</v>
      </c>
      <c r="H8" s="32" t="s">
        <v>204</v>
      </c>
    </row>
    <row r="9" spans="1:8" x14ac:dyDescent="0.3">
      <c r="A9" s="35" t="s">
        <v>47</v>
      </c>
      <c r="B9" s="36" t="s">
        <v>15</v>
      </c>
      <c r="C9" s="36">
        <v>21</v>
      </c>
      <c r="D9" s="36" t="s">
        <v>16</v>
      </c>
      <c r="E9" s="37">
        <v>44104</v>
      </c>
      <c r="F9" s="36" t="s">
        <v>9</v>
      </c>
      <c r="G9" s="38">
        <v>37920</v>
      </c>
      <c r="H9" s="36" t="s">
        <v>206</v>
      </c>
    </row>
    <row r="10" spans="1:8" x14ac:dyDescent="0.3">
      <c r="A10" s="31" t="s">
        <v>148</v>
      </c>
      <c r="B10" s="32" t="s">
        <v>15</v>
      </c>
      <c r="C10" s="32">
        <v>35</v>
      </c>
      <c r="D10" s="32" t="s">
        <v>16</v>
      </c>
      <c r="E10" s="33">
        <v>44666</v>
      </c>
      <c r="F10" s="32" t="s">
        <v>9</v>
      </c>
      <c r="G10" s="34">
        <v>40400</v>
      </c>
      <c r="H10" s="32" t="s">
        <v>204</v>
      </c>
    </row>
    <row r="11" spans="1:8" x14ac:dyDescent="0.3">
      <c r="A11" s="35" t="s">
        <v>57</v>
      </c>
      <c r="B11" s="36" t="s">
        <v>15</v>
      </c>
      <c r="C11" s="36">
        <v>35</v>
      </c>
      <c r="D11" s="36" t="s">
        <v>16</v>
      </c>
      <c r="E11" s="37">
        <v>44727</v>
      </c>
      <c r="F11" s="36" t="s">
        <v>9</v>
      </c>
      <c r="G11" s="38">
        <v>40400</v>
      </c>
      <c r="H11" s="36" t="s">
        <v>206</v>
      </c>
    </row>
    <row r="12" spans="1:8" x14ac:dyDescent="0.3">
      <c r="A12" s="31" t="s">
        <v>157</v>
      </c>
      <c r="B12" s="32" t="s">
        <v>8</v>
      </c>
      <c r="C12" s="32">
        <v>32</v>
      </c>
      <c r="D12" s="32" t="s">
        <v>16</v>
      </c>
      <c r="E12" s="33">
        <v>44549</v>
      </c>
      <c r="F12" s="32" t="s">
        <v>9</v>
      </c>
      <c r="G12" s="34">
        <v>41570</v>
      </c>
      <c r="H12" s="32" t="s">
        <v>204</v>
      </c>
    </row>
    <row r="13" spans="1:8" x14ac:dyDescent="0.3">
      <c r="A13" s="35" t="s">
        <v>66</v>
      </c>
      <c r="B13" s="36" t="s">
        <v>8</v>
      </c>
      <c r="C13" s="36">
        <v>32</v>
      </c>
      <c r="D13" s="36" t="s">
        <v>16</v>
      </c>
      <c r="E13" s="37">
        <v>44611</v>
      </c>
      <c r="F13" s="36" t="s">
        <v>9</v>
      </c>
      <c r="G13" s="38">
        <v>41570</v>
      </c>
      <c r="H13" s="36" t="s">
        <v>206</v>
      </c>
    </row>
    <row r="14" spans="1:8" x14ac:dyDescent="0.3">
      <c r="A14" s="31" t="s">
        <v>123</v>
      </c>
      <c r="B14" s="32" t="s">
        <v>8</v>
      </c>
      <c r="C14" s="32">
        <v>31</v>
      </c>
      <c r="D14" s="32" t="s">
        <v>16</v>
      </c>
      <c r="E14" s="33">
        <v>44084</v>
      </c>
      <c r="F14" s="32" t="s">
        <v>12</v>
      </c>
      <c r="G14" s="34">
        <v>41980</v>
      </c>
      <c r="H14" s="32" t="s">
        <v>204</v>
      </c>
    </row>
    <row r="15" spans="1:8" x14ac:dyDescent="0.3">
      <c r="A15" s="35" t="s">
        <v>30</v>
      </c>
      <c r="B15" s="36" t="s">
        <v>8</v>
      </c>
      <c r="C15" s="36">
        <v>31</v>
      </c>
      <c r="D15" s="36" t="s">
        <v>16</v>
      </c>
      <c r="E15" s="37">
        <v>44145</v>
      </c>
      <c r="F15" s="36" t="s">
        <v>12</v>
      </c>
      <c r="G15" s="38">
        <v>41980</v>
      </c>
      <c r="H15" s="36" t="s">
        <v>206</v>
      </c>
    </row>
    <row r="16" spans="1:8" x14ac:dyDescent="0.3">
      <c r="A16" s="31" t="s">
        <v>171</v>
      </c>
      <c r="B16" s="32" t="s">
        <v>15</v>
      </c>
      <c r="C16" s="32">
        <v>28</v>
      </c>
      <c r="D16" s="32" t="s">
        <v>42</v>
      </c>
      <c r="E16" s="33">
        <v>44758</v>
      </c>
      <c r="F16" s="32" t="s">
        <v>19</v>
      </c>
      <c r="G16" s="34">
        <v>43510</v>
      </c>
      <c r="H16" s="32" t="s">
        <v>204</v>
      </c>
    </row>
    <row r="17" spans="1:8" x14ac:dyDescent="0.3">
      <c r="A17" s="35" t="s">
        <v>80</v>
      </c>
      <c r="B17" s="36" t="s">
        <v>15</v>
      </c>
      <c r="C17" s="36">
        <v>28</v>
      </c>
      <c r="D17" s="36" t="s">
        <v>42</v>
      </c>
      <c r="E17" s="37">
        <v>44820</v>
      </c>
      <c r="F17" s="36" t="s">
        <v>19</v>
      </c>
      <c r="G17" s="38">
        <v>43510</v>
      </c>
      <c r="H17" s="36" t="s">
        <v>206</v>
      </c>
    </row>
    <row r="18" spans="1:8" x14ac:dyDescent="0.3">
      <c r="A18" s="31" t="s">
        <v>175</v>
      </c>
      <c r="B18" s="32" t="s">
        <v>8</v>
      </c>
      <c r="C18" s="32">
        <v>32</v>
      </c>
      <c r="D18" s="32" t="s">
        <v>13</v>
      </c>
      <c r="E18" s="33">
        <v>44293</v>
      </c>
      <c r="F18" s="32" t="s">
        <v>12</v>
      </c>
      <c r="G18" s="34">
        <v>43840</v>
      </c>
      <c r="H18" s="32" t="s">
        <v>204</v>
      </c>
    </row>
    <row r="19" spans="1:8" x14ac:dyDescent="0.3">
      <c r="A19" s="35" t="s">
        <v>84</v>
      </c>
      <c r="B19" s="36" t="s">
        <v>8</v>
      </c>
      <c r="C19" s="36">
        <v>32</v>
      </c>
      <c r="D19" s="36" t="s">
        <v>13</v>
      </c>
      <c r="E19" s="37">
        <v>44354</v>
      </c>
      <c r="F19" s="36" t="s">
        <v>12</v>
      </c>
      <c r="G19" s="38">
        <v>43840</v>
      </c>
      <c r="H19" s="36" t="s">
        <v>206</v>
      </c>
    </row>
    <row r="20" spans="1:8" x14ac:dyDescent="0.3">
      <c r="A20" s="31" t="s">
        <v>200</v>
      </c>
      <c r="B20" s="32" t="s">
        <v>8</v>
      </c>
      <c r="C20" s="32">
        <v>32</v>
      </c>
      <c r="D20" s="32" t="s">
        <v>16</v>
      </c>
      <c r="E20" s="33">
        <v>44339</v>
      </c>
      <c r="F20" s="32" t="s">
        <v>56</v>
      </c>
      <c r="G20" s="34">
        <v>45510</v>
      </c>
      <c r="H20" s="32" t="s">
        <v>204</v>
      </c>
    </row>
    <row r="21" spans="1:8" x14ac:dyDescent="0.3">
      <c r="A21" s="35" t="s">
        <v>108</v>
      </c>
      <c r="B21" s="36" t="s">
        <v>8</v>
      </c>
      <c r="C21" s="36">
        <v>32</v>
      </c>
      <c r="D21" s="36" t="s">
        <v>16</v>
      </c>
      <c r="E21" s="37">
        <v>44400</v>
      </c>
      <c r="F21" s="36" t="s">
        <v>56</v>
      </c>
      <c r="G21" s="38">
        <v>45510</v>
      </c>
      <c r="H21" s="36" t="s">
        <v>206</v>
      </c>
    </row>
    <row r="22" spans="1:8" x14ac:dyDescent="0.3">
      <c r="A22" s="31" t="s">
        <v>150</v>
      </c>
      <c r="B22" s="32" t="s">
        <v>15</v>
      </c>
      <c r="C22" s="32">
        <v>26</v>
      </c>
      <c r="D22" s="32" t="s">
        <v>16</v>
      </c>
      <c r="E22" s="33">
        <v>44164</v>
      </c>
      <c r="F22" s="32" t="s">
        <v>9</v>
      </c>
      <c r="G22" s="34">
        <v>47360</v>
      </c>
      <c r="H22" s="32" t="s">
        <v>204</v>
      </c>
    </row>
    <row r="23" spans="1:8" x14ac:dyDescent="0.3">
      <c r="A23" s="35" t="s">
        <v>59</v>
      </c>
      <c r="B23" s="36" t="s">
        <v>15</v>
      </c>
      <c r="C23" s="36">
        <v>26</v>
      </c>
      <c r="D23" s="36" t="s">
        <v>16</v>
      </c>
      <c r="E23" s="37">
        <v>44225</v>
      </c>
      <c r="F23" s="36" t="s">
        <v>9</v>
      </c>
      <c r="G23" s="38">
        <v>47360</v>
      </c>
      <c r="H23" s="36" t="s">
        <v>206</v>
      </c>
    </row>
    <row r="24" spans="1:8" x14ac:dyDescent="0.3">
      <c r="A24" s="31" t="s">
        <v>122</v>
      </c>
      <c r="B24" s="32" t="s">
        <v>15</v>
      </c>
      <c r="C24" s="32">
        <v>28</v>
      </c>
      <c r="D24" s="32" t="s">
        <v>13</v>
      </c>
      <c r="E24" s="33">
        <v>43980</v>
      </c>
      <c r="F24" s="32" t="s">
        <v>21</v>
      </c>
      <c r="G24" s="34">
        <v>48170</v>
      </c>
      <c r="H24" s="32" t="s">
        <v>204</v>
      </c>
    </row>
    <row r="25" spans="1:8" x14ac:dyDescent="0.3">
      <c r="A25" s="35" t="s">
        <v>29</v>
      </c>
      <c r="B25" s="36" t="s">
        <v>15</v>
      </c>
      <c r="C25" s="36">
        <v>28</v>
      </c>
      <c r="D25" s="36" t="s">
        <v>13</v>
      </c>
      <c r="E25" s="37">
        <v>44041</v>
      </c>
      <c r="F25" s="36" t="s">
        <v>21</v>
      </c>
      <c r="G25" s="38">
        <v>48170</v>
      </c>
      <c r="H25" s="36" t="s">
        <v>206</v>
      </c>
    </row>
    <row r="26" spans="1:8" x14ac:dyDescent="0.3">
      <c r="A26" s="31" t="s">
        <v>143</v>
      </c>
      <c r="B26" s="32" t="s">
        <v>15</v>
      </c>
      <c r="C26" s="32">
        <v>33</v>
      </c>
      <c r="D26" s="32" t="s">
        <v>13</v>
      </c>
      <c r="E26" s="33">
        <v>44640</v>
      </c>
      <c r="F26" s="32" t="s">
        <v>9</v>
      </c>
      <c r="G26" s="34">
        <v>48530</v>
      </c>
      <c r="H26" s="32" t="s">
        <v>204</v>
      </c>
    </row>
    <row r="27" spans="1:8" x14ac:dyDescent="0.3">
      <c r="A27" s="35" t="s">
        <v>51</v>
      </c>
      <c r="B27" s="36" t="s">
        <v>15</v>
      </c>
      <c r="C27" s="36">
        <v>33</v>
      </c>
      <c r="D27" s="36" t="s">
        <v>13</v>
      </c>
      <c r="E27" s="37">
        <v>44701</v>
      </c>
      <c r="F27" s="36" t="s">
        <v>9</v>
      </c>
      <c r="G27" s="38">
        <v>48530</v>
      </c>
      <c r="H27" s="36" t="s">
        <v>206</v>
      </c>
    </row>
    <row r="28" spans="1:8" x14ac:dyDescent="0.3">
      <c r="A28" s="31" t="s">
        <v>112</v>
      </c>
      <c r="B28" s="32" t="s">
        <v>15</v>
      </c>
      <c r="C28" s="32">
        <v>31</v>
      </c>
      <c r="D28" s="32" t="s">
        <v>16</v>
      </c>
      <c r="E28" s="33">
        <v>44450</v>
      </c>
      <c r="F28" s="32" t="s">
        <v>12</v>
      </c>
      <c r="G28" s="34">
        <v>48950</v>
      </c>
      <c r="H28" s="32" t="s">
        <v>204</v>
      </c>
    </row>
    <row r="29" spans="1:8" x14ac:dyDescent="0.3">
      <c r="A29" s="35" t="s">
        <v>14</v>
      </c>
      <c r="B29" s="36" t="s">
        <v>15</v>
      </c>
      <c r="C29" s="36">
        <v>31</v>
      </c>
      <c r="D29" s="36" t="s">
        <v>16</v>
      </c>
      <c r="E29" s="37">
        <v>44511</v>
      </c>
      <c r="F29" s="36" t="s">
        <v>12</v>
      </c>
      <c r="G29" s="38">
        <v>48950</v>
      </c>
      <c r="H29" s="36" t="s">
        <v>206</v>
      </c>
    </row>
    <row r="30" spans="1:8" x14ac:dyDescent="0.3">
      <c r="A30" s="31" t="s">
        <v>145</v>
      </c>
      <c r="B30" s="32" t="s">
        <v>15</v>
      </c>
      <c r="C30" s="32">
        <v>27</v>
      </c>
      <c r="D30" s="32" t="s">
        <v>16</v>
      </c>
      <c r="E30" s="33">
        <v>44506</v>
      </c>
      <c r="F30" s="32" t="s">
        <v>21</v>
      </c>
      <c r="G30" s="34">
        <v>48980</v>
      </c>
      <c r="H30" s="32" t="s">
        <v>204</v>
      </c>
    </row>
    <row r="31" spans="1:8" x14ac:dyDescent="0.3">
      <c r="A31" s="35" t="s">
        <v>53</v>
      </c>
      <c r="B31" s="36" t="s">
        <v>15</v>
      </c>
      <c r="C31" s="36">
        <v>27</v>
      </c>
      <c r="D31" s="36" t="s">
        <v>16</v>
      </c>
      <c r="E31" s="37">
        <v>44567</v>
      </c>
      <c r="F31" s="36" t="s">
        <v>21</v>
      </c>
      <c r="G31" s="38">
        <v>48980</v>
      </c>
      <c r="H31" s="36" t="s">
        <v>206</v>
      </c>
    </row>
    <row r="32" spans="1:8" x14ac:dyDescent="0.3">
      <c r="A32" s="31" t="s">
        <v>164</v>
      </c>
      <c r="B32" s="32" t="s">
        <v>8</v>
      </c>
      <c r="C32" s="32">
        <v>34</v>
      </c>
      <c r="D32" s="32" t="s">
        <v>24</v>
      </c>
      <c r="E32" s="33">
        <v>44660</v>
      </c>
      <c r="F32" s="32" t="s">
        <v>19</v>
      </c>
      <c r="G32" s="34">
        <v>49630</v>
      </c>
      <c r="H32" s="32" t="s">
        <v>204</v>
      </c>
    </row>
    <row r="33" spans="1:8" x14ac:dyDescent="0.3">
      <c r="A33" s="35" t="s">
        <v>73</v>
      </c>
      <c r="B33" s="36" t="s">
        <v>8</v>
      </c>
      <c r="C33" s="36">
        <v>34</v>
      </c>
      <c r="D33" s="36" t="s">
        <v>24</v>
      </c>
      <c r="E33" s="37">
        <v>44721</v>
      </c>
      <c r="F33" s="36" t="s">
        <v>19</v>
      </c>
      <c r="G33" s="38">
        <v>49630</v>
      </c>
      <c r="H33" s="36" t="s">
        <v>206</v>
      </c>
    </row>
    <row r="34" spans="1:8" x14ac:dyDescent="0.3">
      <c r="A34" s="31" t="s">
        <v>154</v>
      </c>
      <c r="B34" s="32" t="s">
        <v>15</v>
      </c>
      <c r="C34" s="32">
        <v>24</v>
      </c>
      <c r="D34" s="32" t="s">
        <v>24</v>
      </c>
      <c r="E34" s="33">
        <v>44375</v>
      </c>
      <c r="F34" s="32" t="s">
        <v>21</v>
      </c>
      <c r="G34" s="34">
        <v>52610</v>
      </c>
      <c r="H34" s="32" t="s">
        <v>204</v>
      </c>
    </row>
    <row r="35" spans="1:8" x14ac:dyDescent="0.3">
      <c r="A35" s="35" t="s">
        <v>63</v>
      </c>
      <c r="B35" s="36" t="s">
        <v>15</v>
      </c>
      <c r="C35" s="36">
        <v>24</v>
      </c>
      <c r="D35" s="36" t="s">
        <v>24</v>
      </c>
      <c r="E35" s="37">
        <v>44436</v>
      </c>
      <c r="F35" s="36" t="s">
        <v>21</v>
      </c>
      <c r="G35" s="38">
        <v>52610</v>
      </c>
      <c r="H35" s="36" t="s">
        <v>206</v>
      </c>
    </row>
    <row r="36" spans="1:8" x14ac:dyDescent="0.3">
      <c r="A36" s="31" t="s">
        <v>166</v>
      </c>
      <c r="B36" s="32" t="s">
        <v>8</v>
      </c>
      <c r="C36" s="32">
        <v>28</v>
      </c>
      <c r="D36" s="32" t="s">
        <v>16</v>
      </c>
      <c r="E36" s="33">
        <v>44296</v>
      </c>
      <c r="F36" s="32" t="s">
        <v>19</v>
      </c>
      <c r="G36" s="34">
        <v>53240</v>
      </c>
      <c r="H36" s="32" t="s">
        <v>204</v>
      </c>
    </row>
    <row r="37" spans="1:8" x14ac:dyDescent="0.3">
      <c r="A37" s="35" t="s">
        <v>75</v>
      </c>
      <c r="B37" s="36" t="s">
        <v>8</v>
      </c>
      <c r="C37" s="36">
        <v>28</v>
      </c>
      <c r="D37" s="36" t="s">
        <v>16</v>
      </c>
      <c r="E37" s="37">
        <v>44357</v>
      </c>
      <c r="F37" s="36" t="s">
        <v>19</v>
      </c>
      <c r="G37" s="38">
        <v>53240</v>
      </c>
      <c r="H37" s="36" t="s">
        <v>206</v>
      </c>
    </row>
    <row r="38" spans="1:8" x14ac:dyDescent="0.3">
      <c r="A38" s="31" t="s">
        <v>156</v>
      </c>
      <c r="B38" s="32" t="s">
        <v>15</v>
      </c>
      <c r="C38" s="32">
        <v>32</v>
      </c>
      <c r="D38" s="32" t="s">
        <v>16</v>
      </c>
      <c r="E38" s="33">
        <v>44403</v>
      </c>
      <c r="F38" s="32" t="s">
        <v>19</v>
      </c>
      <c r="G38" s="34">
        <v>53540</v>
      </c>
      <c r="H38" s="32" t="s">
        <v>204</v>
      </c>
    </row>
    <row r="39" spans="1:8" x14ac:dyDescent="0.3">
      <c r="A39" s="35" t="s">
        <v>138</v>
      </c>
      <c r="B39" s="36" t="s">
        <v>15</v>
      </c>
      <c r="C39" s="36">
        <v>26</v>
      </c>
      <c r="D39" s="36" t="s">
        <v>16</v>
      </c>
      <c r="E39" s="37">
        <v>44350</v>
      </c>
      <c r="F39" s="36" t="s">
        <v>9</v>
      </c>
      <c r="G39" s="38">
        <v>53540</v>
      </c>
      <c r="H39" s="36" t="s">
        <v>204</v>
      </c>
    </row>
    <row r="40" spans="1:8" x14ac:dyDescent="0.3">
      <c r="A40" s="31" t="s">
        <v>65</v>
      </c>
      <c r="B40" s="32" t="s">
        <v>15</v>
      </c>
      <c r="C40" s="32">
        <v>32</v>
      </c>
      <c r="D40" s="32" t="s">
        <v>16</v>
      </c>
      <c r="E40" s="33">
        <v>44465</v>
      </c>
      <c r="F40" s="32" t="s">
        <v>19</v>
      </c>
      <c r="G40" s="34">
        <v>53540</v>
      </c>
      <c r="H40" s="32" t="s">
        <v>206</v>
      </c>
    </row>
    <row r="41" spans="1:8" x14ac:dyDescent="0.3">
      <c r="A41" s="35" t="s">
        <v>46</v>
      </c>
      <c r="B41" s="36" t="s">
        <v>15</v>
      </c>
      <c r="C41" s="36">
        <v>26</v>
      </c>
      <c r="D41" s="36" t="s">
        <v>16</v>
      </c>
      <c r="E41" s="37">
        <v>44411</v>
      </c>
      <c r="F41" s="36" t="s">
        <v>9</v>
      </c>
      <c r="G41" s="38">
        <v>53540</v>
      </c>
      <c r="H41" s="36" t="s">
        <v>206</v>
      </c>
    </row>
    <row r="42" spans="1:8" x14ac:dyDescent="0.3">
      <c r="A42" s="31" t="s">
        <v>173</v>
      </c>
      <c r="B42" s="32" t="s">
        <v>15</v>
      </c>
      <c r="C42" s="32">
        <v>33</v>
      </c>
      <c r="D42" s="32" t="s">
        <v>16</v>
      </c>
      <c r="E42" s="33">
        <v>44448</v>
      </c>
      <c r="F42" s="32" t="s">
        <v>12</v>
      </c>
      <c r="G42" s="34">
        <v>53870</v>
      </c>
      <c r="H42" s="32" t="s">
        <v>204</v>
      </c>
    </row>
    <row r="43" spans="1:8" x14ac:dyDescent="0.3">
      <c r="A43" s="35" t="s">
        <v>82</v>
      </c>
      <c r="B43" s="36" t="s">
        <v>15</v>
      </c>
      <c r="C43" s="36">
        <v>33</v>
      </c>
      <c r="D43" s="36" t="s">
        <v>16</v>
      </c>
      <c r="E43" s="37">
        <v>44509</v>
      </c>
      <c r="F43" s="36" t="s">
        <v>12</v>
      </c>
      <c r="G43" s="38">
        <v>53870</v>
      </c>
      <c r="H43" s="36" t="s">
        <v>206</v>
      </c>
    </row>
    <row r="44" spans="1:8" x14ac:dyDescent="0.3">
      <c r="A44" s="31" t="s">
        <v>181</v>
      </c>
      <c r="B44" s="32" t="s">
        <v>15</v>
      </c>
      <c r="C44" s="32">
        <v>27</v>
      </c>
      <c r="D44" s="32" t="s">
        <v>16</v>
      </c>
      <c r="E44" s="33">
        <v>44073</v>
      </c>
      <c r="F44" s="32" t="s">
        <v>19</v>
      </c>
      <c r="G44" s="34">
        <v>54970</v>
      </c>
      <c r="H44" s="32" t="s">
        <v>204</v>
      </c>
    </row>
    <row r="45" spans="1:8" x14ac:dyDescent="0.3">
      <c r="A45" s="35" t="s">
        <v>89</v>
      </c>
      <c r="B45" s="36" t="s">
        <v>15</v>
      </c>
      <c r="C45" s="36">
        <v>27</v>
      </c>
      <c r="D45" s="36" t="s">
        <v>16</v>
      </c>
      <c r="E45" s="37">
        <v>44134</v>
      </c>
      <c r="F45" s="36" t="s">
        <v>19</v>
      </c>
      <c r="G45" s="38">
        <v>54970</v>
      </c>
      <c r="H45" s="36" t="s">
        <v>206</v>
      </c>
    </row>
    <row r="46" spans="1:8" x14ac:dyDescent="0.3">
      <c r="A46" s="31" t="s">
        <v>201</v>
      </c>
      <c r="B46" s="32" t="s">
        <v>8</v>
      </c>
      <c r="C46" s="32">
        <v>38</v>
      </c>
      <c r="D46" s="32" t="s">
        <v>13</v>
      </c>
      <c r="E46" s="33">
        <v>44268</v>
      </c>
      <c r="F46" s="32" t="s">
        <v>19</v>
      </c>
      <c r="G46" s="34">
        <v>56870</v>
      </c>
      <c r="H46" s="32" t="s">
        <v>204</v>
      </c>
    </row>
    <row r="47" spans="1:8" x14ac:dyDescent="0.3">
      <c r="A47" s="35" t="s">
        <v>109</v>
      </c>
      <c r="B47" s="36" t="s">
        <v>8</v>
      </c>
      <c r="C47" s="36">
        <v>38</v>
      </c>
      <c r="D47" s="36" t="s">
        <v>13</v>
      </c>
      <c r="E47" s="37">
        <v>44329</v>
      </c>
      <c r="F47" s="36" t="s">
        <v>19</v>
      </c>
      <c r="G47" s="38">
        <v>56870</v>
      </c>
      <c r="H47" s="36" t="s">
        <v>206</v>
      </c>
    </row>
    <row r="48" spans="1:8" x14ac:dyDescent="0.3">
      <c r="A48" s="31" t="s">
        <v>124</v>
      </c>
      <c r="B48" s="32" t="s">
        <v>15</v>
      </c>
      <c r="C48" s="32">
        <v>21</v>
      </c>
      <c r="D48" s="32" t="s">
        <v>16</v>
      </c>
      <c r="E48" s="33">
        <v>44701</v>
      </c>
      <c r="F48" s="32" t="s">
        <v>9</v>
      </c>
      <c r="G48" s="34">
        <v>57090</v>
      </c>
      <c r="H48" s="32" t="s">
        <v>204</v>
      </c>
    </row>
    <row r="49" spans="1:8" x14ac:dyDescent="0.3">
      <c r="A49" s="35" t="s">
        <v>31</v>
      </c>
      <c r="B49" s="36" t="s">
        <v>15</v>
      </c>
      <c r="C49" s="36">
        <v>21</v>
      </c>
      <c r="D49" s="36" t="s">
        <v>16</v>
      </c>
      <c r="E49" s="37">
        <v>44762</v>
      </c>
      <c r="F49" s="36" t="s">
        <v>9</v>
      </c>
      <c r="G49" s="38">
        <v>57090</v>
      </c>
      <c r="H49" s="36" t="s">
        <v>206</v>
      </c>
    </row>
    <row r="50" spans="1:8" x14ac:dyDescent="0.3">
      <c r="A50" s="31" t="s">
        <v>119</v>
      </c>
      <c r="B50" s="32" t="s">
        <v>8</v>
      </c>
      <c r="C50" s="32">
        <v>31</v>
      </c>
      <c r="D50" s="32" t="s">
        <v>16</v>
      </c>
      <c r="E50" s="33">
        <v>44604</v>
      </c>
      <c r="F50" s="32" t="s">
        <v>12</v>
      </c>
      <c r="G50" s="34">
        <v>58100</v>
      </c>
      <c r="H50" s="32" t="s">
        <v>204</v>
      </c>
    </row>
    <row r="51" spans="1:8" x14ac:dyDescent="0.3">
      <c r="A51" s="35" t="s">
        <v>26</v>
      </c>
      <c r="B51" s="36" t="s">
        <v>8</v>
      </c>
      <c r="C51" s="36">
        <v>31</v>
      </c>
      <c r="D51" s="36" t="s">
        <v>16</v>
      </c>
      <c r="E51" s="37">
        <v>44663</v>
      </c>
      <c r="F51" s="36" t="s">
        <v>12</v>
      </c>
      <c r="G51" s="38">
        <v>58100</v>
      </c>
      <c r="H51" s="36" t="s">
        <v>206</v>
      </c>
    </row>
    <row r="52" spans="1:8" x14ac:dyDescent="0.3">
      <c r="A52" s="31" t="s">
        <v>129</v>
      </c>
      <c r="B52" s="32" t="s">
        <v>8</v>
      </c>
      <c r="C52" s="32">
        <v>34</v>
      </c>
      <c r="D52" s="32" t="s">
        <v>16</v>
      </c>
      <c r="E52" s="33">
        <v>44594</v>
      </c>
      <c r="F52" s="32" t="s">
        <v>21</v>
      </c>
      <c r="G52" s="34">
        <v>58940</v>
      </c>
      <c r="H52" s="32" t="s">
        <v>204</v>
      </c>
    </row>
    <row r="53" spans="1:8" x14ac:dyDescent="0.3">
      <c r="A53" s="35" t="s">
        <v>36</v>
      </c>
      <c r="B53" s="36" t="s">
        <v>8</v>
      </c>
      <c r="C53" s="36">
        <v>34</v>
      </c>
      <c r="D53" s="36" t="s">
        <v>16</v>
      </c>
      <c r="E53" s="37">
        <v>44653</v>
      </c>
      <c r="F53" s="36" t="s">
        <v>21</v>
      </c>
      <c r="G53" s="38">
        <v>58940</v>
      </c>
      <c r="H53" s="36" t="s">
        <v>206</v>
      </c>
    </row>
    <row r="54" spans="1:8" x14ac:dyDescent="0.3">
      <c r="A54" s="31" t="s">
        <v>192</v>
      </c>
      <c r="B54" s="32" t="s">
        <v>15</v>
      </c>
      <c r="C54" s="32">
        <v>19</v>
      </c>
      <c r="D54" s="32" t="s">
        <v>16</v>
      </c>
      <c r="E54" s="33">
        <v>44218</v>
      </c>
      <c r="F54" s="32" t="s">
        <v>9</v>
      </c>
      <c r="G54" s="34">
        <v>58960</v>
      </c>
      <c r="H54" s="32" t="s">
        <v>204</v>
      </c>
    </row>
    <row r="55" spans="1:8" x14ac:dyDescent="0.3">
      <c r="A55" s="35" t="s">
        <v>100</v>
      </c>
      <c r="B55" s="36" t="s">
        <v>15</v>
      </c>
      <c r="C55" s="36">
        <v>19</v>
      </c>
      <c r="D55" s="36" t="s">
        <v>16</v>
      </c>
      <c r="E55" s="37">
        <v>44277</v>
      </c>
      <c r="F55" s="36" t="s">
        <v>9</v>
      </c>
      <c r="G55" s="38">
        <v>58960</v>
      </c>
      <c r="H55" s="36" t="s">
        <v>206</v>
      </c>
    </row>
    <row r="56" spans="1:8" x14ac:dyDescent="0.3">
      <c r="A56" s="31" t="s">
        <v>170</v>
      </c>
      <c r="B56" s="32" t="s">
        <v>15</v>
      </c>
      <c r="C56" s="32">
        <v>33</v>
      </c>
      <c r="D56" s="32" t="s">
        <v>16</v>
      </c>
      <c r="E56" s="33">
        <v>44181</v>
      </c>
      <c r="F56" s="32" t="s">
        <v>21</v>
      </c>
      <c r="G56" s="34">
        <v>59430</v>
      </c>
      <c r="H56" s="32" t="s">
        <v>204</v>
      </c>
    </row>
    <row r="57" spans="1:8" x14ac:dyDescent="0.3">
      <c r="A57" s="35" t="s">
        <v>79</v>
      </c>
      <c r="B57" s="36" t="s">
        <v>15</v>
      </c>
      <c r="C57" s="36">
        <v>33</v>
      </c>
      <c r="D57" s="36" t="s">
        <v>16</v>
      </c>
      <c r="E57" s="37">
        <v>44243</v>
      </c>
      <c r="F57" s="36" t="s">
        <v>21</v>
      </c>
      <c r="G57" s="38">
        <v>59430</v>
      </c>
      <c r="H57" s="36" t="s">
        <v>206</v>
      </c>
    </row>
    <row r="58" spans="1:8" x14ac:dyDescent="0.3">
      <c r="A58" s="31" t="s">
        <v>131</v>
      </c>
      <c r="B58" s="32" t="s">
        <v>8</v>
      </c>
      <c r="C58" s="32">
        <v>34</v>
      </c>
      <c r="D58" s="32" t="s">
        <v>16</v>
      </c>
      <c r="E58" s="33">
        <v>44550</v>
      </c>
      <c r="F58" s="32" t="s">
        <v>21</v>
      </c>
      <c r="G58" s="34">
        <v>60130</v>
      </c>
      <c r="H58" s="32" t="s">
        <v>204</v>
      </c>
    </row>
    <row r="59" spans="1:8" x14ac:dyDescent="0.3">
      <c r="A59" s="35" t="s">
        <v>38</v>
      </c>
      <c r="B59" s="36" t="s">
        <v>8</v>
      </c>
      <c r="C59" s="36">
        <v>34</v>
      </c>
      <c r="D59" s="36" t="s">
        <v>16</v>
      </c>
      <c r="E59" s="37">
        <v>44612</v>
      </c>
      <c r="F59" s="36" t="s">
        <v>21</v>
      </c>
      <c r="G59" s="38">
        <v>60130</v>
      </c>
      <c r="H59" s="36" t="s">
        <v>206</v>
      </c>
    </row>
    <row r="60" spans="1:8" x14ac:dyDescent="0.3">
      <c r="A60" s="31" t="s">
        <v>130</v>
      </c>
      <c r="B60" s="32" t="s">
        <v>15</v>
      </c>
      <c r="C60" s="32">
        <v>30</v>
      </c>
      <c r="D60" s="32" t="s">
        <v>16</v>
      </c>
      <c r="E60" s="33">
        <v>44607</v>
      </c>
      <c r="F60" s="32" t="s">
        <v>9</v>
      </c>
      <c r="G60" s="34">
        <v>60570</v>
      </c>
      <c r="H60" s="32" t="s">
        <v>204</v>
      </c>
    </row>
    <row r="61" spans="1:8" x14ac:dyDescent="0.3">
      <c r="A61" s="35" t="s">
        <v>37</v>
      </c>
      <c r="B61" s="36" t="s">
        <v>15</v>
      </c>
      <c r="C61" s="36">
        <v>30</v>
      </c>
      <c r="D61" s="36" t="s">
        <v>16</v>
      </c>
      <c r="E61" s="37">
        <v>44666</v>
      </c>
      <c r="F61" s="36" t="s">
        <v>9</v>
      </c>
      <c r="G61" s="38">
        <v>60570</v>
      </c>
      <c r="H61" s="36" t="s">
        <v>206</v>
      </c>
    </row>
    <row r="62" spans="1:8" x14ac:dyDescent="0.3">
      <c r="A62" s="31" t="s">
        <v>152</v>
      </c>
      <c r="B62" s="32" t="s">
        <v>8</v>
      </c>
      <c r="C62" s="32">
        <v>24</v>
      </c>
      <c r="D62" s="32" t="s">
        <v>16</v>
      </c>
      <c r="E62" s="33">
        <v>44087</v>
      </c>
      <c r="F62" s="32" t="s">
        <v>12</v>
      </c>
      <c r="G62" s="34">
        <v>62780</v>
      </c>
      <c r="H62" s="32" t="s">
        <v>204</v>
      </c>
    </row>
    <row r="63" spans="1:8" x14ac:dyDescent="0.3">
      <c r="A63" s="35" t="s">
        <v>61</v>
      </c>
      <c r="B63" s="36" t="s">
        <v>8</v>
      </c>
      <c r="C63" s="36">
        <v>24</v>
      </c>
      <c r="D63" s="36" t="s">
        <v>16</v>
      </c>
      <c r="E63" s="37">
        <v>44148</v>
      </c>
      <c r="F63" s="36" t="s">
        <v>12</v>
      </c>
      <c r="G63" s="38">
        <v>62780</v>
      </c>
      <c r="H63" s="36" t="s">
        <v>206</v>
      </c>
    </row>
    <row r="64" spans="1:8" x14ac:dyDescent="0.3">
      <c r="A64" s="31" t="s">
        <v>115</v>
      </c>
      <c r="B64" s="32" t="s">
        <v>205</v>
      </c>
      <c r="C64" s="32">
        <v>30</v>
      </c>
      <c r="D64" s="32" t="s">
        <v>16</v>
      </c>
      <c r="E64" s="33">
        <v>44535</v>
      </c>
      <c r="F64" s="32" t="s">
        <v>21</v>
      </c>
      <c r="G64" s="34">
        <v>64000</v>
      </c>
      <c r="H64" s="32" t="s">
        <v>204</v>
      </c>
    </row>
    <row r="65" spans="1:8" x14ac:dyDescent="0.3">
      <c r="A65" s="35" t="s">
        <v>20</v>
      </c>
      <c r="B65" s="36" t="s">
        <v>205</v>
      </c>
      <c r="C65" s="36">
        <v>30</v>
      </c>
      <c r="D65" s="36" t="s">
        <v>16</v>
      </c>
      <c r="E65" s="37">
        <v>44597</v>
      </c>
      <c r="F65" s="36" t="s">
        <v>21</v>
      </c>
      <c r="G65" s="38">
        <v>64000</v>
      </c>
      <c r="H65" s="36" t="s">
        <v>206</v>
      </c>
    </row>
    <row r="66" spans="1:8" x14ac:dyDescent="0.3">
      <c r="A66" s="31" t="s">
        <v>185</v>
      </c>
      <c r="B66" s="32" t="s">
        <v>8</v>
      </c>
      <c r="C66" s="32">
        <v>33</v>
      </c>
      <c r="D66" s="32" t="s">
        <v>16</v>
      </c>
      <c r="E66" s="33">
        <v>44006</v>
      </c>
      <c r="F66" s="32" t="s">
        <v>21</v>
      </c>
      <c r="G66" s="34">
        <v>65360</v>
      </c>
      <c r="H66" s="32" t="s">
        <v>204</v>
      </c>
    </row>
    <row r="67" spans="1:8" x14ac:dyDescent="0.3">
      <c r="A67" s="35" t="s">
        <v>93</v>
      </c>
      <c r="B67" s="36" t="s">
        <v>8</v>
      </c>
      <c r="C67" s="36">
        <v>33</v>
      </c>
      <c r="D67" s="36" t="s">
        <v>16</v>
      </c>
      <c r="E67" s="37">
        <v>44067</v>
      </c>
      <c r="F67" s="36" t="s">
        <v>21</v>
      </c>
      <c r="G67" s="38">
        <v>65360</v>
      </c>
      <c r="H67" s="36" t="s">
        <v>206</v>
      </c>
    </row>
    <row r="68" spans="1:8" x14ac:dyDescent="0.3">
      <c r="A68" s="31" t="s">
        <v>167</v>
      </c>
      <c r="B68" s="32" t="s">
        <v>15</v>
      </c>
      <c r="C68" s="32">
        <v>25</v>
      </c>
      <c r="D68" s="32" t="s">
        <v>16</v>
      </c>
      <c r="E68" s="33">
        <v>44322</v>
      </c>
      <c r="F68" s="32" t="s">
        <v>19</v>
      </c>
      <c r="G68" s="34">
        <v>65700</v>
      </c>
      <c r="H68" s="32" t="s">
        <v>204</v>
      </c>
    </row>
    <row r="69" spans="1:8" x14ac:dyDescent="0.3">
      <c r="A69" s="35" t="s">
        <v>76</v>
      </c>
      <c r="B69" s="36" t="s">
        <v>15</v>
      </c>
      <c r="C69" s="36">
        <v>25</v>
      </c>
      <c r="D69" s="36" t="s">
        <v>16</v>
      </c>
      <c r="E69" s="37">
        <v>44383</v>
      </c>
      <c r="F69" s="36" t="s">
        <v>19</v>
      </c>
      <c r="G69" s="38">
        <v>65700</v>
      </c>
      <c r="H69" s="36" t="s">
        <v>206</v>
      </c>
    </row>
    <row r="70" spans="1:8" x14ac:dyDescent="0.3">
      <c r="A70" s="31" t="s">
        <v>125</v>
      </c>
      <c r="B70" s="32" t="s">
        <v>8</v>
      </c>
      <c r="C70" s="32">
        <v>21</v>
      </c>
      <c r="D70" s="32" t="s">
        <v>16</v>
      </c>
      <c r="E70" s="33">
        <v>44256</v>
      </c>
      <c r="F70" s="32" t="s">
        <v>21</v>
      </c>
      <c r="G70" s="34">
        <v>65920</v>
      </c>
      <c r="H70" s="32" t="s">
        <v>204</v>
      </c>
    </row>
    <row r="71" spans="1:8" x14ac:dyDescent="0.3">
      <c r="A71" s="35" t="s">
        <v>32</v>
      </c>
      <c r="B71" s="36" t="s">
        <v>8</v>
      </c>
      <c r="C71" s="36">
        <v>21</v>
      </c>
      <c r="D71" s="36" t="s">
        <v>16</v>
      </c>
      <c r="E71" s="37">
        <v>44317</v>
      </c>
      <c r="F71" s="36" t="s">
        <v>21</v>
      </c>
      <c r="G71" s="38">
        <v>65920</v>
      </c>
      <c r="H71" s="36" t="s">
        <v>206</v>
      </c>
    </row>
    <row r="72" spans="1:8" x14ac:dyDescent="0.3">
      <c r="A72" s="31" t="s">
        <v>120</v>
      </c>
      <c r="B72" s="32" t="s">
        <v>8</v>
      </c>
      <c r="C72" s="32">
        <v>30</v>
      </c>
      <c r="D72" s="32" t="s">
        <v>24</v>
      </c>
      <c r="E72" s="33">
        <v>44328</v>
      </c>
      <c r="F72" s="32" t="s">
        <v>21</v>
      </c>
      <c r="G72" s="34">
        <v>67910</v>
      </c>
      <c r="H72" s="32" t="s">
        <v>204</v>
      </c>
    </row>
    <row r="73" spans="1:8" x14ac:dyDescent="0.3">
      <c r="A73" s="35" t="s">
        <v>27</v>
      </c>
      <c r="B73" s="36" t="s">
        <v>8</v>
      </c>
      <c r="C73" s="36">
        <v>30</v>
      </c>
      <c r="D73" s="36" t="s">
        <v>24</v>
      </c>
      <c r="E73" s="37">
        <v>44389</v>
      </c>
      <c r="F73" s="36" t="s">
        <v>21</v>
      </c>
      <c r="G73" s="38">
        <v>67910</v>
      </c>
      <c r="H73" s="36" t="s">
        <v>206</v>
      </c>
    </row>
    <row r="74" spans="1:8" x14ac:dyDescent="0.3">
      <c r="A74" s="31" t="s">
        <v>137</v>
      </c>
      <c r="B74" s="32" t="s">
        <v>15</v>
      </c>
      <c r="C74" s="32">
        <v>30</v>
      </c>
      <c r="D74" s="32" t="s">
        <v>16</v>
      </c>
      <c r="E74" s="33">
        <v>44640</v>
      </c>
      <c r="F74" s="32" t="s">
        <v>9</v>
      </c>
      <c r="G74" s="34">
        <v>67950</v>
      </c>
      <c r="H74" s="32" t="s">
        <v>204</v>
      </c>
    </row>
    <row r="75" spans="1:8" x14ac:dyDescent="0.3">
      <c r="A75" s="35" t="s">
        <v>45</v>
      </c>
      <c r="B75" s="36" t="s">
        <v>15</v>
      </c>
      <c r="C75" s="36">
        <v>30</v>
      </c>
      <c r="D75" s="36" t="s">
        <v>16</v>
      </c>
      <c r="E75" s="37">
        <v>44701</v>
      </c>
      <c r="F75" s="36" t="s">
        <v>9</v>
      </c>
      <c r="G75" s="38">
        <v>67950</v>
      </c>
      <c r="H75" s="36" t="s">
        <v>206</v>
      </c>
    </row>
    <row r="76" spans="1:8" x14ac:dyDescent="0.3">
      <c r="A76" s="31" t="s">
        <v>183</v>
      </c>
      <c r="B76" s="32" t="s">
        <v>8</v>
      </c>
      <c r="C76" s="32">
        <v>20</v>
      </c>
      <c r="D76" s="32" t="s">
        <v>24</v>
      </c>
      <c r="E76" s="33">
        <v>44476</v>
      </c>
      <c r="F76" s="32" t="s">
        <v>19</v>
      </c>
      <c r="G76" s="34">
        <v>68900</v>
      </c>
      <c r="H76" s="32" t="s">
        <v>204</v>
      </c>
    </row>
    <row r="77" spans="1:8" x14ac:dyDescent="0.3">
      <c r="A77" s="35" t="s">
        <v>91</v>
      </c>
      <c r="B77" s="36" t="s">
        <v>8</v>
      </c>
      <c r="C77" s="36">
        <v>20</v>
      </c>
      <c r="D77" s="36" t="s">
        <v>24</v>
      </c>
      <c r="E77" s="37">
        <v>44537</v>
      </c>
      <c r="F77" s="36" t="s">
        <v>19</v>
      </c>
      <c r="G77" s="38">
        <v>68900</v>
      </c>
      <c r="H77" s="36" t="s">
        <v>206</v>
      </c>
    </row>
    <row r="78" spans="1:8" x14ac:dyDescent="0.3">
      <c r="A78" s="31" t="s">
        <v>189</v>
      </c>
      <c r="B78" s="32" t="s">
        <v>15</v>
      </c>
      <c r="C78" s="32">
        <v>37</v>
      </c>
      <c r="D78" s="32" t="s">
        <v>16</v>
      </c>
      <c r="E78" s="33">
        <v>44640</v>
      </c>
      <c r="F78" s="32" t="s">
        <v>12</v>
      </c>
      <c r="G78" s="34">
        <v>69070</v>
      </c>
      <c r="H78" s="32" t="s">
        <v>204</v>
      </c>
    </row>
    <row r="79" spans="1:8" x14ac:dyDescent="0.3">
      <c r="A79" s="35" t="s">
        <v>97</v>
      </c>
      <c r="B79" s="36" t="s">
        <v>15</v>
      </c>
      <c r="C79" s="36">
        <v>37</v>
      </c>
      <c r="D79" s="36" t="s">
        <v>16</v>
      </c>
      <c r="E79" s="37">
        <v>44701</v>
      </c>
      <c r="F79" s="36" t="s">
        <v>12</v>
      </c>
      <c r="G79" s="38">
        <v>69070</v>
      </c>
      <c r="H79" s="36" t="s">
        <v>206</v>
      </c>
    </row>
    <row r="80" spans="1:8" x14ac:dyDescent="0.3">
      <c r="A80" s="31" t="s">
        <v>118</v>
      </c>
      <c r="B80" s="32" t="s">
        <v>15</v>
      </c>
      <c r="C80" s="32">
        <v>30</v>
      </c>
      <c r="D80" s="32" t="s">
        <v>16</v>
      </c>
      <c r="E80" s="33">
        <v>44214</v>
      </c>
      <c r="F80" s="32" t="s">
        <v>12</v>
      </c>
      <c r="G80" s="34">
        <v>69120</v>
      </c>
      <c r="H80" s="32" t="s">
        <v>204</v>
      </c>
    </row>
    <row r="81" spans="1:8" x14ac:dyDescent="0.3">
      <c r="A81" s="35" t="s">
        <v>25</v>
      </c>
      <c r="B81" s="36" t="s">
        <v>15</v>
      </c>
      <c r="C81" s="36">
        <v>30</v>
      </c>
      <c r="D81" s="36" t="s">
        <v>16</v>
      </c>
      <c r="E81" s="37">
        <v>44273</v>
      </c>
      <c r="F81" s="36" t="s">
        <v>12</v>
      </c>
      <c r="G81" s="38">
        <v>69120</v>
      </c>
      <c r="H81" s="36" t="s">
        <v>206</v>
      </c>
    </row>
    <row r="82" spans="1:8" x14ac:dyDescent="0.3">
      <c r="A82" s="31" t="s">
        <v>158</v>
      </c>
      <c r="B82" s="32" t="s">
        <v>15</v>
      </c>
      <c r="C82" s="32">
        <v>30</v>
      </c>
      <c r="D82" s="32" t="s">
        <v>16</v>
      </c>
      <c r="E82" s="33">
        <v>44789</v>
      </c>
      <c r="F82" s="32" t="s">
        <v>12</v>
      </c>
      <c r="G82" s="34">
        <v>69710</v>
      </c>
      <c r="H82" s="32" t="s">
        <v>204</v>
      </c>
    </row>
    <row r="83" spans="1:8" x14ac:dyDescent="0.3">
      <c r="A83" s="35" t="s">
        <v>67</v>
      </c>
      <c r="B83" s="36" t="s">
        <v>15</v>
      </c>
      <c r="C83" s="36">
        <v>30</v>
      </c>
      <c r="D83" s="36" t="s">
        <v>16</v>
      </c>
      <c r="E83" s="37">
        <v>44850</v>
      </c>
      <c r="F83" s="36" t="s">
        <v>12</v>
      </c>
      <c r="G83" s="38">
        <v>69710</v>
      </c>
      <c r="H83" s="36" t="s">
        <v>206</v>
      </c>
    </row>
    <row r="84" spans="1:8" x14ac:dyDescent="0.3">
      <c r="A84" s="31" t="s">
        <v>182</v>
      </c>
      <c r="B84" s="32" t="s">
        <v>15</v>
      </c>
      <c r="C84" s="32">
        <v>42</v>
      </c>
      <c r="D84" s="32" t="s">
        <v>24</v>
      </c>
      <c r="E84" s="33">
        <v>44670</v>
      </c>
      <c r="F84" s="32" t="s">
        <v>21</v>
      </c>
      <c r="G84" s="34">
        <v>70270</v>
      </c>
      <c r="H84" s="32" t="s">
        <v>204</v>
      </c>
    </row>
    <row r="85" spans="1:8" x14ac:dyDescent="0.3">
      <c r="A85" s="35" t="s">
        <v>90</v>
      </c>
      <c r="B85" s="36" t="s">
        <v>15</v>
      </c>
      <c r="C85" s="36">
        <v>42</v>
      </c>
      <c r="D85" s="36" t="s">
        <v>24</v>
      </c>
      <c r="E85" s="37">
        <v>44731</v>
      </c>
      <c r="F85" s="36" t="s">
        <v>21</v>
      </c>
      <c r="G85" s="38">
        <v>70270</v>
      </c>
      <c r="H85" s="36" t="s">
        <v>206</v>
      </c>
    </row>
    <row r="86" spans="1:8" x14ac:dyDescent="0.3">
      <c r="A86" s="31" t="s">
        <v>161</v>
      </c>
      <c r="B86" s="32" t="s">
        <v>15</v>
      </c>
      <c r="C86" s="32">
        <v>46</v>
      </c>
      <c r="D86" s="32" t="s">
        <v>16</v>
      </c>
      <c r="E86" s="33">
        <v>44697</v>
      </c>
      <c r="F86" s="32" t="s">
        <v>9</v>
      </c>
      <c r="G86" s="34">
        <v>70610</v>
      </c>
      <c r="H86" s="32" t="s">
        <v>204</v>
      </c>
    </row>
    <row r="87" spans="1:8" x14ac:dyDescent="0.3">
      <c r="A87" s="35" t="s">
        <v>70</v>
      </c>
      <c r="B87" s="36" t="s">
        <v>15</v>
      </c>
      <c r="C87" s="36">
        <v>46</v>
      </c>
      <c r="D87" s="36" t="s">
        <v>16</v>
      </c>
      <c r="E87" s="37">
        <v>44758</v>
      </c>
      <c r="F87" s="36" t="s">
        <v>9</v>
      </c>
      <c r="G87" s="38">
        <v>70610</v>
      </c>
      <c r="H87" s="36" t="s">
        <v>206</v>
      </c>
    </row>
    <row r="88" spans="1:8" x14ac:dyDescent="0.3">
      <c r="A88" s="31" t="s">
        <v>186</v>
      </c>
      <c r="B88" s="32" t="s">
        <v>15</v>
      </c>
      <c r="C88" s="32">
        <v>36</v>
      </c>
      <c r="D88" s="32" t="s">
        <v>16</v>
      </c>
      <c r="E88" s="33">
        <v>44272</v>
      </c>
      <c r="F88" s="32" t="s">
        <v>21</v>
      </c>
      <c r="G88" s="34">
        <v>71380</v>
      </c>
      <c r="H88" s="32" t="s">
        <v>204</v>
      </c>
    </row>
    <row r="89" spans="1:8" x14ac:dyDescent="0.3">
      <c r="A89" s="35" t="s">
        <v>94</v>
      </c>
      <c r="B89" s="36" t="s">
        <v>15</v>
      </c>
      <c r="C89" s="36">
        <v>36</v>
      </c>
      <c r="D89" s="36" t="s">
        <v>16</v>
      </c>
      <c r="E89" s="37">
        <v>44333</v>
      </c>
      <c r="F89" s="36" t="s">
        <v>21</v>
      </c>
      <c r="G89" s="38">
        <v>71380</v>
      </c>
      <c r="H89" s="36" t="s">
        <v>206</v>
      </c>
    </row>
    <row r="90" spans="1:8" x14ac:dyDescent="0.3">
      <c r="A90" s="31" t="s">
        <v>114</v>
      </c>
      <c r="B90" s="32" t="s">
        <v>15</v>
      </c>
      <c r="C90" s="32">
        <v>33</v>
      </c>
      <c r="D90" s="32" t="s">
        <v>16</v>
      </c>
      <c r="E90" s="33">
        <v>44324</v>
      </c>
      <c r="F90" s="32" t="s">
        <v>19</v>
      </c>
      <c r="G90" s="34">
        <v>74550</v>
      </c>
      <c r="H90" s="32" t="s">
        <v>204</v>
      </c>
    </row>
    <row r="91" spans="1:8" x14ac:dyDescent="0.3">
      <c r="A91" s="35" t="s">
        <v>18</v>
      </c>
      <c r="B91" s="36" t="s">
        <v>15</v>
      </c>
      <c r="C91" s="36">
        <v>33</v>
      </c>
      <c r="D91" s="36" t="s">
        <v>16</v>
      </c>
      <c r="E91" s="37">
        <v>44385</v>
      </c>
      <c r="F91" s="36" t="s">
        <v>19</v>
      </c>
      <c r="G91" s="38">
        <v>74550</v>
      </c>
      <c r="H91" s="36" t="s">
        <v>206</v>
      </c>
    </row>
    <row r="92" spans="1:8" x14ac:dyDescent="0.3">
      <c r="A92" s="31" t="s">
        <v>110</v>
      </c>
      <c r="B92" s="32" t="s">
        <v>8</v>
      </c>
      <c r="C92" s="32">
        <v>42</v>
      </c>
      <c r="D92" s="32" t="s">
        <v>10</v>
      </c>
      <c r="E92" s="33">
        <v>44718</v>
      </c>
      <c r="F92" s="32" t="s">
        <v>9</v>
      </c>
      <c r="G92" s="34">
        <v>75000</v>
      </c>
      <c r="H92" s="32" t="s">
        <v>204</v>
      </c>
    </row>
    <row r="93" spans="1:8" x14ac:dyDescent="0.3">
      <c r="A93" s="35" t="s">
        <v>7</v>
      </c>
      <c r="B93" s="36" t="s">
        <v>8</v>
      </c>
      <c r="C93" s="36">
        <v>42</v>
      </c>
      <c r="D93" s="36" t="s">
        <v>10</v>
      </c>
      <c r="E93" s="37">
        <v>44779</v>
      </c>
      <c r="F93" s="36" t="s">
        <v>9</v>
      </c>
      <c r="G93" s="38">
        <v>75000</v>
      </c>
      <c r="H93" s="36" t="s">
        <v>206</v>
      </c>
    </row>
    <row r="94" spans="1:8" x14ac:dyDescent="0.3">
      <c r="A94" s="31" t="s">
        <v>187</v>
      </c>
      <c r="B94" s="32" t="s">
        <v>8</v>
      </c>
      <c r="C94" s="32">
        <v>33</v>
      </c>
      <c r="D94" s="32" t="s">
        <v>16</v>
      </c>
      <c r="E94" s="33">
        <v>44253</v>
      </c>
      <c r="F94" s="32" t="s">
        <v>12</v>
      </c>
      <c r="G94" s="34">
        <v>75280</v>
      </c>
      <c r="H94" s="32" t="s">
        <v>204</v>
      </c>
    </row>
    <row r="95" spans="1:8" x14ac:dyDescent="0.3">
      <c r="A95" s="35" t="s">
        <v>95</v>
      </c>
      <c r="B95" s="36" t="s">
        <v>8</v>
      </c>
      <c r="C95" s="36">
        <v>33</v>
      </c>
      <c r="D95" s="36" t="s">
        <v>16</v>
      </c>
      <c r="E95" s="37">
        <v>44312</v>
      </c>
      <c r="F95" s="36" t="s">
        <v>12</v>
      </c>
      <c r="G95" s="38">
        <v>75280</v>
      </c>
      <c r="H95" s="36" t="s">
        <v>206</v>
      </c>
    </row>
    <row r="96" spans="1:8" x14ac:dyDescent="0.3">
      <c r="A96" s="31" t="s">
        <v>134</v>
      </c>
      <c r="B96" s="32" t="s">
        <v>8</v>
      </c>
      <c r="C96" s="32">
        <v>33</v>
      </c>
      <c r="D96" s="32" t="s">
        <v>42</v>
      </c>
      <c r="E96" s="33">
        <v>44313</v>
      </c>
      <c r="F96" s="32" t="s">
        <v>12</v>
      </c>
      <c r="G96" s="34">
        <v>75480</v>
      </c>
      <c r="H96" s="32" t="s">
        <v>204</v>
      </c>
    </row>
    <row r="97" spans="1:8" x14ac:dyDescent="0.3">
      <c r="A97" s="35" t="s">
        <v>41</v>
      </c>
      <c r="B97" s="36" t="s">
        <v>8</v>
      </c>
      <c r="C97" s="36">
        <v>33</v>
      </c>
      <c r="D97" s="36" t="s">
        <v>42</v>
      </c>
      <c r="E97" s="37">
        <v>44374</v>
      </c>
      <c r="F97" s="36" t="s">
        <v>12</v>
      </c>
      <c r="G97" s="38">
        <v>75480</v>
      </c>
      <c r="H97" s="36" t="s">
        <v>206</v>
      </c>
    </row>
    <row r="98" spans="1:8" x14ac:dyDescent="0.3">
      <c r="A98" s="31" t="s">
        <v>169</v>
      </c>
      <c r="B98" s="32" t="s">
        <v>15</v>
      </c>
      <c r="C98" s="32">
        <v>21</v>
      </c>
      <c r="D98" s="32" t="s">
        <v>16</v>
      </c>
      <c r="E98" s="33">
        <v>44180</v>
      </c>
      <c r="F98" s="32" t="s">
        <v>56</v>
      </c>
      <c r="G98" s="34">
        <v>75880</v>
      </c>
      <c r="H98" s="32" t="s">
        <v>204</v>
      </c>
    </row>
    <row r="99" spans="1:8" x14ac:dyDescent="0.3">
      <c r="A99" s="35" t="s">
        <v>78</v>
      </c>
      <c r="B99" s="36" t="s">
        <v>15</v>
      </c>
      <c r="C99" s="36">
        <v>21</v>
      </c>
      <c r="D99" s="36" t="s">
        <v>16</v>
      </c>
      <c r="E99" s="37">
        <v>44242</v>
      </c>
      <c r="F99" s="36" t="s">
        <v>56</v>
      </c>
      <c r="G99" s="38">
        <v>75880</v>
      </c>
      <c r="H99" s="36" t="s">
        <v>206</v>
      </c>
    </row>
    <row r="100" spans="1:8" x14ac:dyDescent="0.3">
      <c r="A100" s="31" t="s">
        <v>128</v>
      </c>
      <c r="B100" s="32" t="s">
        <v>8</v>
      </c>
      <c r="C100" s="32">
        <v>28</v>
      </c>
      <c r="D100" s="32" t="s">
        <v>16</v>
      </c>
      <c r="E100" s="33">
        <v>44124</v>
      </c>
      <c r="F100" s="32" t="s">
        <v>21</v>
      </c>
      <c r="G100" s="34">
        <v>75970</v>
      </c>
      <c r="H100" s="32" t="s">
        <v>204</v>
      </c>
    </row>
    <row r="101" spans="1:8" x14ac:dyDescent="0.3">
      <c r="A101" s="35" t="s">
        <v>35</v>
      </c>
      <c r="B101" s="36" t="s">
        <v>8</v>
      </c>
      <c r="C101" s="36">
        <v>28</v>
      </c>
      <c r="D101" s="36" t="s">
        <v>16</v>
      </c>
      <c r="E101" s="37">
        <v>44185</v>
      </c>
      <c r="F101" s="36" t="s">
        <v>21</v>
      </c>
      <c r="G101" s="38">
        <v>75970</v>
      </c>
      <c r="H101" s="36" t="s">
        <v>206</v>
      </c>
    </row>
    <row r="102" spans="1:8" x14ac:dyDescent="0.3">
      <c r="A102" s="31" t="s">
        <v>153</v>
      </c>
      <c r="B102" s="32" t="s">
        <v>8</v>
      </c>
      <c r="C102" s="32">
        <v>22</v>
      </c>
      <c r="D102" s="32" t="s">
        <v>13</v>
      </c>
      <c r="E102" s="33">
        <v>44388</v>
      </c>
      <c r="F102" s="32" t="s">
        <v>9</v>
      </c>
      <c r="G102" s="34">
        <v>76900</v>
      </c>
      <c r="H102" s="32" t="s">
        <v>204</v>
      </c>
    </row>
    <row r="103" spans="1:8" x14ac:dyDescent="0.3">
      <c r="A103" s="35" t="s">
        <v>62</v>
      </c>
      <c r="B103" s="36" t="s">
        <v>8</v>
      </c>
      <c r="C103" s="36">
        <v>22</v>
      </c>
      <c r="D103" s="36" t="s">
        <v>13</v>
      </c>
      <c r="E103" s="37">
        <v>44450</v>
      </c>
      <c r="F103" s="36" t="s">
        <v>9</v>
      </c>
      <c r="G103" s="38">
        <v>76900</v>
      </c>
      <c r="H103" s="36" t="s">
        <v>206</v>
      </c>
    </row>
    <row r="104" spans="1:8" x14ac:dyDescent="0.3">
      <c r="A104" s="31" t="s">
        <v>163</v>
      </c>
      <c r="B104" s="32" t="s">
        <v>8</v>
      </c>
      <c r="C104" s="32">
        <v>36</v>
      </c>
      <c r="D104" s="32" t="s">
        <v>16</v>
      </c>
      <c r="E104" s="33">
        <v>44468</v>
      </c>
      <c r="F104" s="32" t="s">
        <v>9</v>
      </c>
      <c r="G104" s="34">
        <v>78390</v>
      </c>
      <c r="H104" s="32" t="s">
        <v>204</v>
      </c>
    </row>
    <row r="105" spans="1:8" x14ac:dyDescent="0.3">
      <c r="A105" s="35" t="s">
        <v>72</v>
      </c>
      <c r="B105" s="36" t="s">
        <v>8</v>
      </c>
      <c r="C105" s="36">
        <v>36</v>
      </c>
      <c r="D105" s="36" t="s">
        <v>16</v>
      </c>
      <c r="E105" s="37">
        <v>44529</v>
      </c>
      <c r="F105" s="36" t="s">
        <v>9</v>
      </c>
      <c r="G105" s="38">
        <v>78390</v>
      </c>
      <c r="H105" s="36" t="s">
        <v>206</v>
      </c>
    </row>
    <row r="106" spans="1:8" x14ac:dyDescent="0.3">
      <c r="A106" s="31" t="s">
        <v>140</v>
      </c>
      <c r="B106" s="32" t="s">
        <v>8</v>
      </c>
      <c r="C106" s="32">
        <v>36</v>
      </c>
      <c r="D106" s="32" t="s">
        <v>16</v>
      </c>
      <c r="E106" s="33">
        <v>44433</v>
      </c>
      <c r="F106" s="32" t="s">
        <v>19</v>
      </c>
      <c r="G106" s="34">
        <v>78540</v>
      </c>
      <c r="H106" s="32" t="s">
        <v>204</v>
      </c>
    </row>
    <row r="107" spans="1:8" x14ac:dyDescent="0.3">
      <c r="A107" s="35" t="s">
        <v>48</v>
      </c>
      <c r="B107" s="36" t="s">
        <v>8</v>
      </c>
      <c r="C107" s="36">
        <v>36</v>
      </c>
      <c r="D107" s="36" t="s">
        <v>16</v>
      </c>
      <c r="E107" s="37">
        <v>44494</v>
      </c>
      <c r="F107" s="36" t="s">
        <v>19</v>
      </c>
      <c r="G107" s="38">
        <v>78540</v>
      </c>
      <c r="H107" s="36" t="s">
        <v>206</v>
      </c>
    </row>
    <row r="108" spans="1:8" x14ac:dyDescent="0.3">
      <c r="A108" s="31" t="s">
        <v>196</v>
      </c>
      <c r="B108" s="32" t="s">
        <v>15</v>
      </c>
      <c r="C108" s="32">
        <v>20</v>
      </c>
      <c r="D108" s="32" t="s">
        <v>16</v>
      </c>
      <c r="E108" s="33">
        <v>44683</v>
      </c>
      <c r="F108" s="32" t="s">
        <v>9</v>
      </c>
      <c r="G108" s="34">
        <v>79570</v>
      </c>
      <c r="H108" s="32" t="s">
        <v>204</v>
      </c>
    </row>
    <row r="109" spans="1:8" x14ac:dyDescent="0.3">
      <c r="A109" s="35" t="s">
        <v>104</v>
      </c>
      <c r="B109" s="36" t="s">
        <v>15</v>
      </c>
      <c r="C109" s="36">
        <v>20</v>
      </c>
      <c r="D109" s="36" t="s">
        <v>16</v>
      </c>
      <c r="E109" s="37">
        <v>44744</v>
      </c>
      <c r="F109" s="36" t="s">
        <v>9</v>
      </c>
      <c r="G109" s="38">
        <v>79570</v>
      </c>
      <c r="H109" s="36" t="s">
        <v>206</v>
      </c>
    </row>
    <row r="110" spans="1:8" x14ac:dyDescent="0.3">
      <c r="A110" s="31" t="s">
        <v>132</v>
      </c>
      <c r="B110" s="32" t="s">
        <v>8</v>
      </c>
      <c r="C110" s="32">
        <v>25</v>
      </c>
      <c r="D110" s="32" t="s">
        <v>13</v>
      </c>
      <c r="E110" s="33">
        <v>44633</v>
      </c>
      <c r="F110" s="32" t="s">
        <v>12</v>
      </c>
      <c r="G110" s="34">
        <v>80700</v>
      </c>
      <c r="H110" s="32" t="s">
        <v>204</v>
      </c>
    </row>
    <row r="111" spans="1:8" x14ac:dyDescent="0.3">
      <c r="A111" s="35" t="s">
        <v>39</v>
      </c>
      <c r="B111" s="36" t="s">
        <v>8</v>
      </c>
      <c r="C111" s="36">
        <v>25</v>
      </c>
      <c r="D111" s="36" t="s">
        <v>13</v>
      </c>
      <c r="E111" s="37">
        <v>44694</v>
      </c>
      <c r="F111" s="36" t="s">
        <v>12</v>
      </c>
      <c r="G111" s="38">
        <v>80700</v>
      </c>
      <c r="H111" s="36" t="s">
        <v>206</v>
      </c>
    </row>
    <row r="112" spans="1:8" x14ac:dyDescent="0.3">
      <c r="A112" s="31" t="s">
        <v>184</v>
      </c>
      <c r="B112" s="32" t="s">
        <v>8</v>
      </c>
      <c r="C112" s="32">
        <v>27</v>
      </c>
      <c r="D112" s="32" t="s">
        <v>16</v>
      </c>
      <c r="E112" s="33">
        <v>44625</v>
      </c>
      <c r="F112" s="32" t="s">
        <v>12</v>
      </c>
      <c r="G112" s="34">
        <v>83750</v>
      </c>
      <c r="H112" s="32" t="s">
        <v>204</v>
      </c>
    </row>
    <row r="113" spans="1:8" x14ac:dyDescent="0.3">
      <c r="A113" s="35" t="s">
        <v>92</v>
      </c>
      <c r="B113" s="36" t="s">
        <v>8</v>
      </c>
      <c r="C113" s="36">
        <v>27</v>
      </c>
      <c r="D113" s="36" t="s">
        <v>16</v>
      </c>
      <c r="E113" s="37">
        <v>44686</v>
      </c>
      <c r="F113" s="36" t="s">
        <v>12</v>
      </c>
      <c r="G113" s="38">
        <v>83750</v>
      </c>
      <c r="H113" s="36" t="s">
        <v>206</v>
      </c>
    </row>
    <row r="114" spans="1:8" x14ac:dyDescent="0.3">
      <c r="A114" s="31" t="s">
        <v>121</v>
      </c>
      <c r="B114" s="32" t="s">
        <v>8</v>
      </c>
      <c r="C114" s="32">
        <v>34</v>
      </c>
      <c r="D114" s="32" t="s">
        <v>16</v>
      </c>
      <c r="E114" s="33">
        <v>44397</v>
      </c>
      <c r="F114" s="32" t="s">
        <v>21</v>
      </c>
      <c r="G114" s="34">
        <v>85000</v>
      </c>
      <c r="H114" s="32" t="s">
        <v>204</v>
      </c>
    </row>
    <row r="115" spans="1:8" x14ac:dyDescent="0.3">
      <c r="A115" s="35" t="s">
        <v>28</v>
      </c>
      <c r="B115" s="36" t="s">
        <v>8</v>
      </c>
      <c r="C115" s="36">
        <v>34</v>
      </c>
      <c r="D115" s="36" t="s">
        <v>16</v>
      </c>
      <c r="E115" s="37">
        <v>44459</v>
      </c>
      <c r="F115" s="36" t="s">
        <v>21</v>
      </c>
      <c r="G115" s="38">
        <v>85000</v>
      </c>
      <c r="H115" s="36" t="s">
        <v>206</v>
      </c>
    </row>
    <row r="116" spans="1:8" x14ac:dyDescent="0.3">
      <c r="A116" s="31" t="s">
        <v>180</v>
      </c>
      <c r="B116" s="32" t="s">
        <v>8</v>
      </c>
      <c r="C116" s="32">
        <v>33</v>
      </c>
      <c r="D116" s="32" t="s">
        <v>16</v>
      </c>
      <c r="E116" s="33">
        <v>44747</v>
      </c>
      <c r="F116" s="32" t="s">
        <v>21</v>
      </c>
      <c r="G116" s="34">
        <v>86570</v>
      </c>
      <c r="H116" s="32" t="s">
        <v>204</v>
      </c>
    </row>
    <row r="117" spans="1:8" x14ac:dyDescent="0.3">
      <c r="A117" s="35" t="s">
        <v>88</v>
      </c>
      <c r="B117" s="36" t="s">
        <v>8</v>
      </c>
      <c r="C117" s="36">
        <v>33</v>
      </c>
      <c r="D117" s="36" t="s">
        <v>16</v>
      </c>
      <c r="E117" s="37">
        <v>44809</v>
      </c>
      <c r="F117" s="36" t="s">
        <v>21</v>
      </c>
      <c r="G117" s="38">
        <v>86570</v>
      </c>
      <c r="H117" s="36" t="s">
        <v>206</v>
      </c>
    </row>
    <row r="118" spans="1:8" x14ac:dyDescent="0.3">
      <c r="A118" s="31" t="s">
        <v>165</v>
      </c>
      <c r="B118" s="32" t="s">
        <v>8</v>
      </c>
      <c r="C118" s="32">
        <v>40</v>
      </c>
      <c r="D118" s="32" t="s">
        <v>16</v>
      </c>
      <c r="E118" s="33">
        <v>44276</v>
      </c>
      <c r="F118" s="32" t="s">
        <v>12</v>
      </c>
      <c r="G118" s="34">
        <v>87620</v>
      </c>
      <c r="H118" s="32" t="s">
        <v>204</v>
      </c>
    </row>
    <row r="119" spans="1:8" x14ac:dyDescent="0.3">
      <c r="A119" s="35" t="s">
        <v>74</v>
      </c>
      <c r="B119" s="36" t="s">
        <v>8</v>
      </c>
      <c r="C119" s="36">
        <v>40</v>
      </c>
      <c r="D119" s="36" t="s">
        <v>16</v>
      </c>
      <c r="E119" s="37">
        <v>44337</v>
      </c>
      <c r="F119" s="36" t="s">
        <v>12</v>
      </c>
      <c r="G119" s="38">
        <v>87620</v>
      </c>
      <c r="H119" s="36" t="s">
        <v>206</v>
      </c>
    </row>
    <row r="120" spans="1:8" x14ac:dyDescent="0.3">
      <c r="A120" s="31" t="s">
        <v>117</v>
      </c>
      <c r="B120" s="32" t="s">
        <v>15</v>
      </c>
      <c r="C120" s="32">
        <v>37</v>
      </c>
      <c r="D120" s="32" t="s">
        <v>24</v>
      </c>
      <c r="E120" s="33">
        <v>44277</v>
      </c>
      <c r="F120" s="32" t="s">
        <v>12</v>
      </c>
      <c r="G120" s="34">
        <v>88050</v>
      </c>
      <c r="H120" s="32" t="s">
        <v>204</v>
      </c>
    </row>
    <row r="121" spans="1:8" x14ac:dyDescent="0.3">
      <c r="A121" s="35" t="s">
        <v>23</v>
      </c>
      <c r="B121" s="36" t="s">
        <v>15</v>
      </c>
      <c r="C121" s="36">
        <v>37</v>
      </c>
      <c r="D121" s="36" t="s">
        <v>24</v>
      </c>
      <c r="E121" s="37">
        <v>44338</v>
      </c>
      <c r="F121" s="36" t="s">
        <v>12</v>
      </c>
      <c r="G121" s="38">
        <v>88050</v>
      </c>
      <c r="H121" s="36" t="s">
        <v>206</v>
      </c>
    </row>
    <row r="122" spans="1:8" x14ac:dyDescent="0.3">
      <c r="A122" s="31" t="s">
        <v>111</v>
      </c>
      <c r="B122" s="32" t="s">
        <v>205</v>
      </c>
      <c r="C122" s="32">
        <v>27</v>
      </c>
      <c r="D122" s="32" t="s">
        <v>13</v>
      </c>
      <c r="E122" s="33">
        <v>44212</v>
      </c>
      <c r="F122" s="32" t="s">
        <v>12</v>
      </c>
      <c r="G122" s="34">
        <v>90700</v>
      </c>
      <c r="H122" s="32" t="s">
        <v>204</v>
      </c>
    </row>
    <row r="123" spans="1:8" x14ac:dyDescent="0.3">
      <c r="A123" s="35" t="s">
        <v>11</v>
      </c>
      <c r="B123" s="36" t="s">
        <v>205</v>
      </c>
      <c r="C123" s="36">
        <v>26</v>
      </c>
      <c r="D123" s="36" t="s">
        <v>13</v>
      </c>
      <c r="E123" s="37">
        <v>44271</v>
      </c>
      <c r="F123" s="36" t="s">
        <v>12</v>
      </c>
      <c r="G123" s="38">
        <v>90700</v>
      </c>
      <c r="H123" s="36" t="s">
        <v>206</v>
      </c>
    </row>
    <row r="124" spans="1:8" x14ac:dyDescent="0.3">
      <c r="A124" s="31" t="s">
        <v>144</v>
      </c>
      <c r="B124" s="32" t="s">
        <v>205</v>
      </c>
      <c r="C124" s="32">
        <v>32</v>
      </c>
      <c r="D124" s="32" t="s">
        <v>16</v>
      </c>
      <c r="E124" s="33">
        <v>44713</v>
      </c>
      <c r="F124" s="32" t="s">
        <v>12</v>
      </c>
      <c r="G124" s="34">
        <v>91310</v>
      </c>
      <c r="H124" s="32" t="s">
        <v>204</v>
      </c>
    </row>
    <row r="125" spans="1:8" x14ac:dyDescent="0.3">
      <c r="A125" s="35" t="s">
        <v>52</v>
      </c>
      <c r="B125" s="36" t="s">
        <v>205</v>
      </c>
      <c r="C125" s="36">
        <v>32</v>
      </c>
      <c r="D125" s="36" t="s">
        <v>16</v>
      </c>
      <c r="E125" s="37">
        <v>44774</v>
      </c>
      <c r="F125" s="36" t="s">
        <v>12</v>
      </c>
      <c r="G125" s="38">
        <v>91310</v>
      </c>
      <c r="H125" s="36" t="s">
        <v>206</v>
      </c>
    </row>
    <row r="126" spans="1:8" x14ac:dyDescent="0.3">
      <c r="A126" s="31" t="s">
        <v>159</v>
      </c>
      <c r="B126" s="32" t="s">
        <v>15</v>
      </c>
      <c r="C126" s="32">
        <v>27</v>
      </c>
      <c r="D126" s="32" t="s">
        <v>13</v>
      </c>
      <c r="E126" s="33">
        <v>44174</v>
      </c>
      <c r="F126" s="32" t="s">
        <v>21</v>
      </c>
      <c r="G126" s="34">
        <v>91650</v>
      </c>
      <c r="H126" s="32" t="s">
        <v>204</v>
      </c>
    </row>
    <row r="127" spans="1:8" x14ac:dyDescent="0.3">
      <c r="A127" s="35" t="s">
        <v>68</v>
      </c>
      <c r="B127" s="36" t="s">
        <v>15</v>
      </c>
      <c r="C127" s="36">
        <v>27</v>
      </c>
      <c r="D127" s="36" t="s">
        <v>13</v>
      </c>
      <c r="E127" s="37">
        <v>44236</v>
      </c>
      <c r="F127" s="36" t="s">
        <v>21</v>
      </c>
      <c r="G127" s="38">
        <v>91650</v>
      </c>
      <c r="H127" s="36" t="s">
        <v>206</v>
      </c>
    </row>
    <row r="128" spans="1:8" x14ac:dyDescent="0.3">
      <c r="A128" s="31" t="s">
        <v>194</v>
      </c>
      <c r="B128" s="32" t="s">
        <v>8</v>
      </c>
      <c r="C128" s="32">
        <v>34</v>
      </c>
      <c r="D128" s="32" t="s">
        <v>16</v>
      </c>
      <c r="E128" s="33">
        <v>44383</v>
      </c>
      <c r="F128" s="32" t="s">
        <v>21</v>
      </c>
      <c r="G128" s="34">
        <v>92450</v>
      </c>
      <c r="H128" s="32" t="s">
        <v>204</v>
      </c>
    </row>
    <row r="129" spans="1:8" x14ac:dyDescent="0.3">
      <c r="A129" s="35" t="s">
        <v>102</v>
      </c>
      <c r="B129" s="36" t="s">
        <v>8</v>
      </c>
      <c r="C129" s="36">
        <v>34</v>
      </c>
      <c r="D129" s="36" t="s">
        <v>16</v>
      </c>
      <c r="E129" s="37">
        <v>44445</v>
      </c>
      <c r="F129" s="36" t="s">
        <v>21</v>
      </c>
      <c r="G129" s="38">
        <v>92450</v>
      </c>
      <c r="H129" s="36" t="s">
        <v>206</v>
      </c>
    </row>
    <row r="130" spans="1:8" x14ac:dyDescent="0.3">
      <c r="A130" s="31" t="s">
        <v>168</v>
      </c>
      <c r="B130" s="32" t="s">
        <v>8</v>
      </c>
      <c r="C130" s="32">
        <v>25</v>
      </c>
      <c r="D130" s="32" t="s">
        <v>16</v>
      </c>
      <c r="E130" s="33">
        <v>44144</v>
      </c>
      <c r="F130" s="32" t="s">
        <v>19</v>
      </c>
      <c r="G130" s="34">
        <v>92700</v>
      </c>
      <c r="H130" s="32" t="s">
        <v>204</v>
      </c>
    </row>
    <row r="131" spans="1:8" x14ac:dyDescent="0.3">
      <c r="A131" s="35" t="s">
        <v>77</v>
      </c>
      <c r="B131" s="36" t="s">
        <v>8</v>
      </c>
      <c r="C131" s="36">
        <v>25</v>
      </c>
      <c r="D131" s="36" t="s">
        <v>16</v>
      </c>
      <c r="E131" s="37">
        <v>44205</v>
      </c>
      <c r="F131" s="36" t="s">
        <v>19</v>
      </c>
      <c r="G131" s="38">
        <v>92700</v>
      </c>
      <c r="H131" s="36" t="s">
        <v>206</v>
      </c>
    </row>
    <row r="132" spans="1:8" x14ac:dyDescent="0.3">
      <c r="A132" s="31" t="s">
        <v>162</v>
      </c>
      <c r="B132" s="32" t="s">
        <v>8</v>
      </c>
      <c r="C132" s="32">
        <v>33</v>
      </c>
      <c r="D132" s="32" t="s">
        <v>16</v>
      </c>
      <c r="E132" s="33">
        <v>44129</v>
      </c>
      <c r="F132" s="32" t="s">
        <v>12</v>
      </c>
      <c r="G132" s="34">
        <v>96140</v>
      </c>
      <c r="H132" s="32" t="s">
        <v>204</v>
      </c>
    </row>
    <row r="133" spans="1:8" x14ac:dyDescent="0.3">
      <c r="A133" s="35" t="s">
        <v>71</v>
      </c>
      <c r="B133" s="36" t="s">
        <v>8</v>
      </c>
      <c r="C133" s="36">
        <v>33</v>
      </c>
      <c r="D133" s="36" t="s">
        <v>16</v>
      </c>
      <c r="E133" s="37">
        <v>44190</v>
      </c>
      <c r="F133" s="36" t="s">
        <v>12</v>
      </c>
      <c r="G133" s="38">
        <v>96140</v>
      </c>
      <c r="H133" s="36" t="s">
        <v>206</v>
      </c>
    </row>
    <row r="134" spans="1:8" x14ac:dyDescent="0.3">
      <c r="A134" s="31" t="s">
        <v>176</v>
      </c>
      <c r="B134" s="32" t="s">
        <v>15</v>
      </c>
      <c r="C134" s="32">
        <v>30</v>
      </c>
      <c r="D134" s="32" t="s">
        <v>16</v>
      </c>
      <c r="E134" s="33">
        <v>44544</v>
      </c>
      <c r="F134" s="32" t="s">
        <v>21</v>
      </c>
      <c r="G134" s="34">
        <v>96800</v>
      </c>
      <c r="H134" s="32" t="s">
        <v>204</v>
      </c>
    </row>
    <row r="135" spans="1:8" x14ac:dyDescent="0.3">
      <c r="A135" s="35" t="s">
        <v>85</v>
      </c>
      <c r="B135" s="36" t="s">
        <v>15</v>
      </c>
      <c r="C135" s="36">
        <v>30</v>
      </c>
      <c r="D135" s="36" t="s">
        <v>16</v>
      </c>
      <c r="E135" s="37">
        <v>44606</v>
      </c>
      <c r="F135" s="36" t="s">
        <v>21</v>
      </c>
      <c r="G135" s="38">
        <v>96800</v>
      </c>
      <c r="H135" s="36" t="s">
        <v>206</v>
      </c>
    </row>
    <row r="136" spans="1:8" x14ac:dyDescent="0.3">
      <c r="A136" s="31" t="s">
        <v>197</v>
      </c>
      <c r="B136" s="32" t="s">
        <v>15</v>
      </c>
      <c r="C136" s="32">
        <v>40</v>
      </c>
      <c r="D136" s="32" t="s">
        <v>16</v>
      </c>
      <c r="E136" s="33">
        <v>44204</v>
      </c>
      <c r="F136" s="32" t="s">
        <v>9</v>
      </c>
      <c r="G136" s="34">
        <v>99750</v>
      </c>
      <c r="H136" s="32" t="s">
        <v>204</v>
      </c>
    </row>
    <row r="137" spans="1:8" x14ac:dyDescent="0.3">
      <c r="A137" s="35" t="s">
        <v>105</v>
      </c>
      <c r="B137" s="36" t="s">
        <v>15</v>
      </c>
      <c r="C137" s="36">
        <v>40</v>
      </c>
      <c r="D137" s="36" t="s">
        <v>16</v>
      </c>
      <c r="E137" s="37">
        <v>44263</v>
      </c>
      <c r="F137" s="36" t="s">
        <v>9</v>
      </c>
      <c r="G137" s="38">
        <v>99750</v>
      </c>
      <c r="H137" s="36" t="s">
        <v>206</v>
      </c>
    </row>
    <row r="138" spans="1:8" x14ac:dyDescent="0.3">
      <c r="A138" s="31" t="s">
        <v>199</v>
      </c>
      <c r="B138" s="32" t="s">
        <v>8</v>
      </c>
      <c r="C138" s="32">
        <v>28</v>
      </c>
      <c r="D138" s="32" t="s">
        <v>16</v>
      </c>
      <c r="E138" s="33">
        <v>44571</v>
      </c>
      <c r="F138" s="32" t="s">
        <v>9</v>
      </c>
      <c r="G138" s="34">
        <v>99970</v>
      </c>
      <c r="H138" s="32" t="s">
        <v>204</v>
      </c>
    </row>
    <row r="139" spans="1:8" x14ac:dyDescent="0.3">
      <c r="A139" s="35" t="s">
        <v>107</v>
      </c>
      <c r="B139" s="36" t="s">
        <v>8</v>
      </c>
      <c r="C139" s="36">
        <v>28</v>
      </c>
      <c r="D139" s="36" t="s">
        <v>16</v>
      </c>
      <c r="E139" s="37">
        <v>44630</v>
      </c>
      <c r="F139" s="36" t="s">
        <v>9</v>
      </c>
      <c r="G139" s="38">
        <v>99970</v>
      </c>
      <c r="H139" s="36" t="s">
        <v>206</v>
      </c>
    </row>
    <row r="140" spans="1:8" x14ac:dyDescent="0.3">
      <c r="A140" s="31" t="s">
        <v>195</v>
      </c>
      <c r="B140" s="32" t="s">
        <v>15</v>
      </c>
      <c r="C140" s="32">
        <v>24</v>
      </c>
      <c r="D140" s="32" t="s">
        <v>16</v>
      </c>
      <c r="E140" s="33">
        <v>44625</v>
      </c>
      <c r="F140" s="32" t="s">
        <v>12</v>
      </c>
      <c r="G140" s="34">
        <v>100420</v>
      </c>
      <c r="H140" s="32" t="s">
        <v>204</v>
      </c>
    </row>
    <row r="141" spans="1:8" x14ac:dyDescent="0.3">
      <c r="A141" s="35" t="s">
        <v>103</v>
      </c>
      <c r="B141" s="36" t="s">
        <v>15</v>
      </c>
      <c r="C141" s="36">
        <v>24</v>
      </c>
      <c r="D141" s="36" t="s">
        <v>16</v>
      </c>
      <c r="E141" s="37">
        <v>44686</v>
      </c>
      <c r="F141" s="36" t="s">
        <v>12</v>
      </c>
      <c r="G141" s="38">
        <v>100420</v>
      </c>
      <c r="H141" s="36" t="s">
        <v>206</v>
      </c>
    </row>
    <row r="142" spans="1:8" x14ac:dyDescent="0.3">
      <c r="A142" s="31" t="s">
        <v>142</v>
      </c>
      <c r="B142" s="32" t="s">
        <v>15</v>
      </c>
      <c r="C142" s="32">
        <v>31</v>
      </c>
      <c r="D142" s="32" t="s">
        <v>16</v>
      </c>
      <c r="E142" s="33">
        <v>44663</v>
      </c>
      <c r="F142" s="32" t="s">
        <v>9</v>
      </c>
      <c r="G142" s="34">
        <v>103550</v>
      </c>
      <c r="H142" s="32" t="s">
        <v>204</v>
      </c>
    </row>
    <row r="143" spans="1:8" x14ac:dyDescent="0.3">
      <c r="A143" s="35" t="s">
        <v>50</v>
      </c>
      <c r="B143" s="36" t="s">
        <v>15</v>
      </c>
      <c r="C143" s="36">
        <v>31</v>
      </c>
      <c r="D143" s="36" t="s">
        <v>16</v>
      </c>
      <c r="E143" s="37">
        <v>44724</v>
      </c>
      <c r="F143" s="36" t="s">
        <v>9</v>
      </c>
      <c r="G143" s="38">
        <v>103550</v>
      </c>
      <c r="H143" s="36" t="s">
        <v>206</v>
      </c>
    </row>
    <row r="144" spans="1:8" x14ac:dyDescent="0.3">
      <c r="A144" s="31" t="s">
        <v>188</v>
      </c>
      <c r="B144" s="32" t="s">
        <v>8</v>
      </c>
      <c r="C144" s="32">
        <v>28</v>
      </c>
      <c r="D144" s="32" t="s">
        <v>16</v>
      </c>
      <c r="E144" s="33">
        <v>44590</v>
      </c>
      <c r="F144" s="32" t="s">
        <v>9</v>
      </c>
      <c r="G144" s="34">
        <v>104120</v>
      </c>
      <c r="H144" s="32" t="s">
        <v>204</v>
      </c>
    </row>
    <row r="145" spans="1:8" x14ac:dyDescent="0.3">
      <c r="A145" s="35" t="s">
        <v>96</v>
      </c>
      <c r="B145" s="36" t="s">
        <v>8</v>
      </c>
      <c r="C145" s="36">
        <v>28</v>
      </c>
      <c r="D145" s="36" t="s">
        <v>16</v>
      </c>
      <c r="E145" s="37">
        <v>44649</v>
      </c>
      <c r="F145" s="36" t="s">
        <v>9</v>
      </c>
      <c r="G145" s="38">
        <v>104120</v>
      </c>
      <c r="H145" s="36" t="s">
        <v>206</v>
      </c>
    </row>
    <row r="146" spans="1:8" x14ac:dyDescent="0.3">
      <c r="A146" s="31" t="s">
        <v>193</v>
      </c>
      <c r="B146" s="32" t="s">
        <v>8</v>
      </c>
      <c r="C146" s="32">
        <v>40</v>
      </c>
      <c r="D146" s="32" t="s">
        <v>16</v>
      </c>
      <c r="E146" s="33">
        <v>44320</v>
      </c>
      <c r="F146" s="32" t="s">
        <v>12</v>
      </c>
      <c r="G146" s="34">
        <v>104410</v>
      </c>
      <c r="H146" s="32" t="s">
        <v>204</v>
      </c>
    </row>
    <row r="147" spans="1:8" x14ac:dyDescent="0.3">
      <c r="A147" s="35" t="s">
        <v>101</v>
      </c>
      <c r="B147" s="36" t="s">
        <v>8</v>
      </c>
      <c r="C147" s="36">
        <v>40</v>
      </c>
      <c r="D147" s="36" t="s">
        <v>16</v>
      </c>
      <c r="E147" s="37">
        <v>44381</v>
      </c>
      <c r="F147" s="36" t="s">
        <v>12</v>
      </c>
      <c r="G147" s="38">
        <v>104410</v>
      </c>
      <c r="H147" s="36" t="s">
        <v>206</v>
      </c>
    </row>
    <row r="148" spans="1:8" x14ac:dyDescent="0.3">
      <c r="A148" s="31" t="s">
        <v>135</v>
      </c>
      <c r="B148" s="32" t="s">
        <v>8</v>
      </c>
      <c r="C148" s="32">
        <v>28</v>
      </c>
      <c r="D148" s="32" t="s">
        <v>16</v>
      </c>
      <c r="E148" s="33">
        <v>44425</v>
      </c>
      <c r="F148" s="32" t="s">
        <v>9</v>
      </c>
      <c r="G148" s="34">
        <v>104770</v>
      </c>
      <c r="H148" s="32" t="s">
        <v>204</v>
      </c>
    </row>
    <row r="149" spans="1:8" x14ac:dyDescent="0.3">
      <c r="A149" s="35" t="s">
        <v>43</v>
      </c>
      <c r="B149" s="36" t="s">
        <v>8</v>
      </c>
      <c r="C149" s="36">
        <v>28</v>
      </c>
      <c r="D149" s="36" t="s">
        <v>16</v>
      </c>
      <c r="E149" s="37">
        <v>44486</v>
      </c>
      <c r="F149" s="36" t="s">
        <v>9</v>
      </c>
      <c r="G149" s="38">
        <v>104770</v>
      </c>
      <c r="H149" s="36" t="s">
        <v>206</v>
      </c>
    </row>
    <row r="150" spans="1:8" x14ac:dyDescent="0.3">
      <c r="A150" s="31" t="s">
        <v>160</v>
      </c>
      <c r="B150" s="32" t="s">
        <v>15</v>
      </c>
      <c r="C150" s="32">
        <v>23</v>
      </c>
      <c r="D150" s="32" t="s">
        <v>16</v>
      </c>
      <c r="E150" s="33">
        <v>44378</v>
      </c>
      <c r="F150" s="32" t="s">
        <v>9</v>
      </c>
      <c r="G150" s="34">
        <v>106460</v>
      </c>
      <c r="H150" s="32" t="s">
        <v>204</v>
      </c>
    </row>
    <row r="151" spans="1:8" x14ac:dyDescent="0.3">
      <c r="A151" s="35" t="s">
        <v>69</v>
      </c>
      <c r="B151" s="36" t="s">
        <v>15</v>
      </c>
      <c r="C151" s="36">
        <v>23</v>
      </c>
      <c r="D151" s="36" t="s">
        <v>16</v>
      </c>
      <c r="E151" s="37">
        <v>44440</v>
      </c>
      <c r="F151" s="36" t="s">
        <v>9</v>
      </c>
      <c r="G151" s="38">
        <v>106460</v>
      </c>
      <c r="H151" s="36" t="s">
        <v>206</v>
      </c>
    </row>
    <row r="152" spans="1:8" x14ac:dyDescent="0.3">
      <c r="A152" s="31" t="s">
        <v>116</v>
      </c>
      <c r="B152" s="32" t="s">
        <v>15</v>
      </c>
      <c r="C152" s="32">
        <v>20</v>
      </c>
      <c r="D152" s="32" t="s">
        <v>16</v>
      </c>
      <c r="E152" s="33">
        <v>44397</v>
      </c>
      <c r="F152" s="32" t="s">
        <v>12</v>
      </c>
      <c r="G152" s="34">
        <v>107700</v>
      </c>
      <c r="H152" s="32" t="s">
        <v>204</v>
      </c>
    </row>
    <row r="153" spans="1:8" x14ac:dyDescent="0.3">
      <c r="A153" s="35" t="s">
        <v>22</v>
      </c>
      <c r="B153" s="36" t="s">
        <v>15</v>
      </c>
      <c r="C153" s="36">
        <v>20</v>
      </c>
      <c r="D153" s="36" t="s">
        <v>16</v>
      </c>
      <c r="E153" s="37">
        <v>44459</v>
      </c>
      <c r="F153" s="36" t="s">
        <v>12</v>
      </c>
      <c r="G153" s="38">
        <v>107700</v>
      </c>
      <c r="H153" s="36" t="s">
        <v>206</v>
      </c>
    </row>
    <row r="154" spans="1:8" x14ac:dyDescent="0.3">
      <c r="A154" s="31" t="s">
        <v>126</v>
      </c>
      <c r="B154" s="32" t="s">
        <v>8</v>
      </c>
      <c r="C154" s="32">
        <v>38</v>
      </c>
      <c r="D154" s="32" t="s">
        <v>10</v>
      </c>
      <c r="E154" s="33">
        <v>44316</v>
      </c>
      <c r="F154" s="32" t="s">
        <v>19</v>
      </c>
      <c r="G154" s="34">
        <v>109160</v>
      </c>
      <c r="H154" s="32" t="s">
        <v>204</v>
      </c>
    </row>
    <row r="155" spans="1:8" x14ac:dyDescent="0.3">
      <c r="A155" s="35" t="s">
        <v>33</v>
      </c>
      <c r="B155" s="36" t="s">
        <v>8</v>
      </c>
      <c r="C155" s="36">
        <v>38</v>
      </c>
      <c r="D155" s="36" t="s">
        <v>10</v>
      </c>
      <c r="E155" s="37">
        <v>44377</v>
      </c>
      <c r="F155" s="36" t="s">
        <v>19</v>
      </c>
      <c r="G155" s="38">
        <v>109160</v>
      </c>
      <c r="H155" s="36" t="s">
        <v>206</v>
      </c>
    </row>
    <row r="156" spans="1:8" x14ac:dyDescent="0.3">
      <c r="A156" s="31" t="s">
        <v>127</v>
      </c>
      <c r="B156" s="32" t="s">
        <v>15</v>
      </c>
      <c r="C156" s="32">
        <v>25</v>
      </c>
      <c r="D156" s="32" t="s">
        <v>13</v>
      </c>
      <c r="E156" s="33">
        <v>44665</v>
      </c>
      <c r="F156" s="32" t="s">
        <v>9</v>
      </c>
      <c r="G156" s="34">
        <v>109190</v>
      </c>
      <c r="H156" s="32" t="s">
        <v>204</v>
      </c>
    </row>
    <row r="157" spans="1:8" x14ac:dyDescent="0.3">
      <c r="A157" s="35" t="s">
        <v>34</v>
      </c>
      <c r="B157" s="36" t="s">
        <v>15</v>
      </c>
      <c r="C157" s="36">
        <v>25</v>
      </c>
      <c r="D157" s="36" t="s">
        <v>13</v>
      </c>
      <c r="E157" s="37">
        <v>44726</v>
      </c>
      <c r="F157" s="36" t="s">
        <v>9</v>
      </c>
      <c r="G157" s="38">
        <v>109190</v>
      </c>
      <c r="H157" s="36" t="s">
        <v>206</v>
      </c>
    </row>
    <row r="158" spans="1:8" x14ac:dyDescent="0.3">
      <c r="A158" s="31" t="s">
        <v>179</v>
      </c>
      <c r="B158" s="32" t="s">
        <v>15</v>
      </c>
      <c r="C158" s="32">
        <v>29</v>
      </c>
      <c r="D158" s="32" t="s">
        <v>24</v>
      </c>
      <c r="E158" s="33">
        <v>44119</v>
      </c>
      <c r="F158" s="32" t="s">
        <v>12</v>
      </c>
      <c r="G158" s="34">
        <v>112110</v>
      </c>
      <c r="H158" s="32" t="s">
        <v>204</v>
      </c>
    </row>
    <row r="159" spans="1:8" x14ac:dyDescent="0.3">
      <c r="A159" s="35" t="s">
        <v>87</v>
      </c>
      <c r="B159" s="36" t="s">
        <v>15</v>
      </c>
      <c r="C159" s="36">
        <v>29</v>
      </c>
      <c r="D159" s="36" t="s">
        <v>24</v>
      </c>
      <c r="E159" s="37">
        <v>44180</v>
      </c>
      <c r="F159" s="36" t="s">
        <v>12</v>
      </c>
      <c r="G159" s="38">
        <v>112110</v>
      </c>
      <c r="H159" s="36" t="s">
        <v>206</v>
      </c>
    </row>
    <row r="160" spans="1:8" x14ac:dyDescent="0.3">
      <c r="A160" s="31" t="s">
        <v>172</v>
      </c>
      <c r="B160" s="32" t="s">
        <v>8</v>
      </c>
      <c r="C160" s="32">
        <v>30</v>
      </c>
      <c r="D160" s="32" t="s">
        <v>16</v>
      </c>
      <c r="E160" s="33">
        <v>44800</v>
      </c>
      <c r="F160" s="32" t="s">
        <v>9</v>
      </c>
      <c r="G160" s="34">
        <v>112570</v>
      </c>
      <c r="H160" s="32" t="s">
        <v>204</v>
      </c>
    </row>
    <row r="161" spans="1:8" x14ac:dyDescent="0.3">
      <c r="A161" s="35" t="s">
        <v>81</v>
      </c>
      <c r="B161" s="36" t="s">
        <v>8</v>
      </c>
      <c r="C161" s="36">
        <v>30</v>
      </c>
      <c r="D161" s="36" t="s">
        <v>16</v>
      </c>
      <c r="E161" s="37">
        <v>44861</v>
      </c>
      <c r="F161" s="36" t="s">
        <v>9</v>
      </c>
      <c r="G161" s="38">
        <v>112570</v>
      </c>
      <c r="H161" s="36" t="s">
        <v>206</v>
      </c>
    </row>
    <row r="162" spans="1:8" x14ac:dyDescent="0.3">
      <c r="A162" s="31" t="s">
        <v>155</v>
      </c>
      <c r="B162" s="32" t="s">
        <v>15</v>
      </c>
      <c r="C162" s="32">
        <v>20</v>
      </c>
      <c r="D162" s="32" t="s">
        <v>16</v>
      </c>
      <c r="E162" s="33">
        <v>44122</v>
      </c>
      <c r="F162" s="32" t="s">
        <v>12</v>
      </c>
      <c r="G162" s="34">
        <v>112650</v>
      </c>
      <c r="H162" s="32" t="s">
        <v>204</v>
      </c>
    </row>
    <row r="163" spans="1:8" x14ac:dyDescent="0.3">
      <c r="A163" s="35" t="s">
        <v>177</v>
      </c>
      <c r="B163" s="36" t="s">
        <v>15</v>
      </c>
      <c r="C163" s="36">
        <v>34</v>
      </c>
      <c r="D163" s="36" t="s">
        <v>16</v>
      </c>
      <c r="E163" s="37">
        <v>44642</v>
      </c>
      <c r="F163" s="36" t="s">
        <v>9</v>
      </c>
      <c r="G163" s="38">
        <v>112650</v>
      </c>
      <c r="H163" s="36" t="s">
        <v>204</v>
      </c>
    </row>
    <row r="164" spans="1:8" x14ac:dyDescent="0.3">
      <c r="A164" s="31" t="s">
        <v>64</v>
      </c>
      <c r="B164" s="32" t="s">
        <v>15</v>
      </c>
      <c r="C164" s="32">
        <v>20</v>
      </c>
      <c r="D164" s="32" t="s">
        <v>16</v>
      </c>
      <c r="E164" s="33">
        <v>44183</v>
      </c>
      <c r="F164" s="32" t="s">
        <v>12</v>
      </c>
      <c r="G164" s="34">
        <v>112650</v>
      </c>
      <c r="H164" s="32" t="s">
        <v>206</v>
      </c>
    </row>
    <row r="165" spans="1:8" x14ac:dyDescent="0.3">
      <c r="A165" s="35" t="s">
        <v>149</v>
      </c>
      <c r="B165" s="36" t="s">
        <v>15</v>
      </c>
      <c r="C165" s="36">
        <v>22</v>
      </c>
      <c r="D165" s="36" t="s">
        <v>13</v>
      </c>
      <c r="E165" s="37">
        <v>44384</v>
      </c>
      <c r="F165" s="36" t="s">
        <v>19</v>
      </c>
      <c r="G165" s="38">
        <v>112780</v>
      </c>
      <c r="H165" s="36" t="s">
        <v>204</v>
      </c>
    </row>
    <row r="166" spans="1:8" x14ac:dyDescent="0.3">
      <c r="A166" s="31" t="s">
        <v>58</v>
      </c>
      <c r="B166" s="32" t="s">
        <v>15</v>
      </c>
      <c r="C166" s="32">
        <v>22</v>
      </c>
      <c r="D166" s="32" t="s">
        <v>13</v>
      </c>
      <c r="E166" s="33">
        <v>44446</v>
      </c>
      <c r="F166" s="32" t="s">
        <v>19</v>
      </c>
      <c r="G166" s="34">
        <v>112780</v>
      </c>
      <c r="H166" s="32" t="s">
        <v>206</v>
      </c>
    </row>
    <row r="167" spans="1:8" x14ac:dyDescent="0.3">
      <c r="A167" s="35" t="s">
        <v>190</v>
      </c>
      <c r="B167" s="36" t="s">
        <v>15</v>
      </c>
      <c r="C167" s="36">
        <v>27</v>
      </c>
      <c r="D167" s="36" t="s">
        <v>42</v>
      </c>
      <c r="E167" s="37">
        <v>44547</v>
      </c>
      <c r="F167" s="36" t="s">
        <v>9</v>
      </c>
      <c r="G167" s="38">
        <v>113280</v>
      </c>
      <c r="H167" s="36" t="s">
        <v>204</v>
      </c>
    </row>
    <row r="168" spans="1:8" x14ac:dyDescent="0.3">
      <c r="A168" s="31" t="s">
        <v>98</v>
      </c>
      <c r="B168" s="32" t="s">
        <v>15</v>
      </c>
      <c r="C168" s="32">
        <v>27</v>
      </c>
      <c r="D168" s="32" t="s">
        <v>42</v>
      </c>
      <c r="E168" s="33">
        <v>44609</v>
      </c>
      <c r="F168" s="32" t="s">
        <v>9</v>
      </c>
      <c r="G168" s="34">
        <v>113280</v>
      </c>
      <c r="H168" s="32" t="s">
        <v>206</v>
      </c>
    </row>
    <row r="169" spans="1:8" x14ac:dyDescent="0.3">
      <c r="A169" s="35" t="s">
        <v>146</v>
      </c>
      <c r="B169" s="36" t="s">
        <v>8</v>
      </c>
      <c r="C169" s="36">
        <v>30</v>
      </c>
      <c r="D169" s="36" t="s">
        <v>16</v>
      </c>
      <c r="E169" s="37">
        <v>44789</v>
      </c>
      <c r="F169" s="36" t="s">
        <v>9</v>
      </c>
      <c r="G169" s="38">
        <v>114180</v>
      </c>
      <c r="H169" s="36" t="s">
        <v>204</v>
      </c>
    </row>
    <row r="170" spans="1:8" x14ac:dyDescent="0.3">
      <c r="A170" s="31" t="s">
        <v>54</v>
      </c>
      <c r="B170" s="32" t="s">
        <v>8</v>
      </c>
      <c r="C170" s="32">
        <v>30</v>
      </c>
      <c r="D170" s="32" t="s">
        <v>16</v>
      </c>
      <c r="E170" s="33">
        <v>44850</v>
      </c>
      <c r="F170" s="32" t="s">
        <v>9</v>
      </c>
      <c r="G170" s="34">
        <v>114180</v>
      </c>
      <c r="H170" s="32" t="s">
        <v>206</v>
      </c>
    </row>
    <row r="171" spans="1:8" x14ac:dyDescent="0.3">
      <c r="A171" s="35" t="s">
        <v>113</v>
      </c>
      <c r="B171" s="36" t="s">
        <v>8</v>
      </c>
      <c r="C171" s="36">
        <v>44</v>
      </c>
      <c r="D171" s="36" t="s">
        <v>16</v>
      </c>
      <c r="E171" s="37">
        <v>44985</v>
      </c>
      <c r="F171" s="36" t="s">
        <v>12</v>
      </c>
      <c r="G171" s="38">
        <v>114870</v>
      </c>
      <c r="H171" s="36" t="s">
        <v>204</v>
      </c>
    </row>
    <row r="172" spans="1:8" x14ac:dyDescent="0.3">
      <c r="A172" s="31" t="s">
        <v>17</v>
      </c>
      <c r="B172" s="32" t="s">
        <v>8</v>
      </c>
      <c r="C172" s="32">
        <v>43</v>
      </c>
      <c r="D172" s="32" t="s">
        <v>16</v>
      </c>
      <c r="E172" s="33">
        <v>45045</v>
      </c>
      <c r="F172" s="32" t="s">
        <v>12</v>
      </c>
      <c r="G172" s="34">
        <v>114870</v>
      </c>
      <c r="H172" s="32" t="s">
        <v>206</v>
      </c>
    </row>
    <row r="173" spans="1:8" x14ac:dyDescent="0.3">
      <c r="A173" s="35" t="s">
        <v>174</v>
      </c>
      <c r="B173" s="36" t="s">
        <v>8</v>
      </c>
      <c r="C173" s="36">
        <v>36</v>
      </c>
      <c r="D173" s="36" t="s">
        <v>16</v>
      </c>
      <c r="E173" s="37">
        <v>44023</v>
      </c>
      <c r="F173" s="36" t="s">
        <v>9</v>
      </c>
      <c r="G173" s="38">
        <v>114890</v>
      </c>
      <c r="H173" s="36" t="s">
        <v>204</v>
      </c>
    </row>
    <row r="174" spans="1:8" x14ac:dyDescent="0.3">
      <c r="A174" s="31" t="s">
        <v>83</v>
      </c>
      <c r="B174" s="32" t="s">
        <v>8</v>
      </c>
      <c r="C174" s="32">
        <v>36</v>
      </c>
      <c r="D174" s="32" t="s">
        <v>16</v>
      </c>
      <c r="E174" s="33">
        <v>44085</v>
      </c>
      <c r="F174" s="32" t="s">
        <v>9</v>
      </c>
      <c r="G174" s="34">
        <v>114890</v>
      </c>
      <c r="H174" s="32" t="s">
        <v>206</v>
      </c>
    </row>
    <row r="175" spans="1:8" x14ac:dyDescent="0.3">
      <c r="A175" s="35" t="s">
        <v>141</v>
      </c>
      <c r="B175" s="36" t="s">
        <v>205</v>
      </c>
      <c r="C175" s="36">
        <v>37</v>
      </c>
      <c r="D175" s="36" t="s">
        <v>24</v>
      </c>
      <c r="E175" s="37">
        <v>44085</v>
      </c>
      <c r="F175" s="36" t="s">
        <v>21</v>
      </c>
      <c r="G175" s="38">
        <v>115440</v>
      </c>
      <c r="H175" s="36" t="s">
        <v>204</v>
      </c>
    </row>
    <row r="176" spans="1:8" x14ac:dyDescent="0.3">
      <c r="A176" s="31" t="s">
        <v>49</v>
      </c>
      <c r="B176" s="32" t="s">
        <v>205</v>
      </c>
      <c r="C176" s="32">
        <v>37</v>
      </c>
      <c r="D176" s="32" t="s">
        <v>24</v>
      </c>
      <c r="E176" s="33">
        <v>44146</v>
      </c>
      <c r="F176" s="32" t="s">
        <v>21</v>
      </c>
      <c r="G176" s="34">
        <v>115440</v>
      </c>
      <c r="H176" s="32" t="s">
        <v>206</v>
      </c>
    </row>
    <row r="177" spans="1:8" x14ac:dyDescent="0.3">
      <c r="A177" s="35" t="s">
        <v>133</v>
      </c>
      <c r="B177" s="36" t="s">
        <v>15</v>
      </c>
      <c r="C177" s="36">
        <v>33</v>
      </c>
      <c r="D177" s="36" t="s">
        <v>16</v>
      </c>
      <c r="E177" s="37">
        <v>44103</v>
      </c>
      <c r="F177" s="36" t="s">
        <v>9</v>
      </c>
      <c r="G177" s="38">
        <v>115920</v>
      </c>
      <c r="H177" s="36" t="s">
        <v>204</v>
      </c>
    </row>
    <row r="178" spans="1:8" x14ac:dyDescent="0.3">
      <c r="A178" s="31" t="s">
        <v>40</v>
      </c>
      <c r="B178" s="32" t="s">
        <v>15</v>
      </c>
      <c r="C178" s="32">
        <v>33</v>
      </c>
      <c r="D178" s="32" t="s">
        <v>16</v>
      </c>
      <c r="E178" s="33">
        <v>44164</v>
      </c>
      <c r="F178" s="32" t="s">
        <v>9</v>
      </c>
      <c r="G178" s="34">
        <v>115920</v>
      </c>
      <c r="H178" s="32" t="s">
        <v>206</v>
      </c>
    </row>
    <row r="179" spans="1:8" x14ac:dyDescent="0.3">
      <c r="A179" s="35" t="s">
        <v>147</v>
      </c>
      <c r="B179" s="36" t="s">
        <v>8</v>
      </c>
      <c r="C179" s="36">
        <v>37</v>
      </c>
      <c r="D179" s="36" t="s">
        <v>16</v>
      </c>
      <c r="E179" s="37">
        <v>44389</v>
      </c>
      <c r="F179" s="36" t="s">
        <v>56</v>
      </c>
      <c r="G179" s="38">
        <v>118100</v>
      </c>
      <c r="H179" s="36" t="s">
        <v>204</v>
      </c>
    </row>
    <row r="180" spans="1:8" x14ac:dyDescent="0.3">
      <c r="A180" s="31" t="s">
        <v>55</v>
      </c>
      <c r="B180" s="32" t="s">
        <v>8</v>
      </c>
      <c r="C180" s="32">
        <v>37</v>
      </c>
      <c r="D180" s="32" t="s">
        <v>16</v>
      </c>
      <c r="E180" s="33">
        <v>44451</v>
      </c>
      <c r="F180" s="32" t="s">
        <v>56</v>
      </c>
      <c r="G180" s="34">
        <v>118100</v>
      </c>
      <c r="H180" s="32" t="s">
        <v>206</v>
      </c>
    </row>
    <row r="181" spans="1:8" x14ac:dyDescent="0.3">
      <c r="A181" s="35" t="s">
        <v>198</v>
      </c>
      <c r="B181" s="36" t="s">
        <v>15</v>
      </c>
      <c r="C181" s="36">
        <v>36</v>
      </c>
      <c r="D181" s="36" t="s">
        <v>16</v>
      </c>
      <c r="E181" s="37">
        <v>43958</v>
      </c>
      <c r="F181" s="36" t="s">
        <v>12</v>
      </c>
      <c r="G181" s="38">
        <v>118840</v>
      </c>
      <c r="H181" s="36" t="s">
        <v>204</v>
      </c>
    </row>
    <row r="182" spans="1:8" x14ac:dyDescent="0.3">
      <c r="A182" s="31" t="s">
        <v>106</v>
      </c>
      <c r="B182" s="32" t="s">
        <v>15</v>
      </c>
      <c r="C182" s="32">
        <v>36</v>
      </c>
      <c r="D182" s="32" t="s">
        <v>16</v>
      </c>
      <c r="E182" s="33">
        <v>44019</v>
      </c>
      <c r="F182" s="32" t="s">
        <v>12</v>
      </c>
      <c r="G182" s="34">
        <v>118840</v>
      </c>
      <c r="H182" s="32" t="s">
        <v>206</v>
      </c>
    </row>
    <row r="183" spans="1:8" x14ac:dyDescent="0.3">
      <c r="A183" s="35" t="s">
        <v>151</v>
      </c>
      <c r="B183" s="36" t="s">
        <v>8</v>
      </c>
      <c r="C183" s="36">
        <v>27</v>
      </c>
      <c r="D183" s="36" t="s">
        <v>16</v>
      </c>
      <c r="E183" s="37">
        <v>44061</v>
      </c>
      <c r="F183" s="36" t="s">
        <v>56</v>
      </c>
      <c r="G183" s="38">
        <v>119110</v>
      </c>
      <c r="H183" s="36" t="s">
        <v>204</v>
      </c>
    </row>
    <row r="184" spans="1:8" x14ac:dyDescent="0.3">
      <c r="A184" s="31" t="s">
        <v>60</v>
      </c>
      <c r="B184" s="32" t="s">
        <v>8</v>
      </c>
      <c r="C184" s="32">
        <v>27</v>
      </c>
      <c r="D184" s="32" t="s">
        <v>16</v>
      </c>
      <c r="E184" s="33">
        <v>44122</v>
      </c>
      <c r="F184" s="32" t="s">
        <v>56</v>
      </c>
      <c r="G184" s="34">
        <v>119110</v>
      </c>
      <c r="H184" s="32" t="s">
        <v>206</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C60-594D-4A4A-B04C-22DF42037CFB}">
  <dimension ref="A1:F60"/>
  <sheetViews>
    <sheetView tabSelected="1" workbookViewId="0">
      <selection activeCell="K15" sqref="K15"/>
    </sheetView>
  </sheetViews>
  <sheetFormatPr defaultRowHeight="14.4" x14ac:dyDescent="0.3"/>
  <cols>
    <col min="2" max="2" width="28.21875" bestFit="1" customWidth="1"/>
    <col min="3" max="3" width="7.77734375" bestFit="1" customWidth="1"/>
    <col min="4" max="4" width="7.21875" bestFit="1" customWidth="1"/>
    <col min="5" max="5" width="6.77734375" bestFit="1" customWidth="1"/>
    <col min="6" max="6" width="11.77734375" bestFit="1" customWidth="1"/>
    <col min="7" max="7" width="7.6640625" bestFit="1" customWidth="1"/>
    <col min="8" max="8" width="6.77734375" bestFit="1" customWidth="1"/>
    <col min="9" max="9" width="3.88671875" bestFit="1" customWidth="1"/>
    <col min="10" max="10" width="11.77734375" bestFit="1" customWidth="1"/>
  </cols>
  <sheetData>
    <row r="1" spans="1:6" x14ac:dyDescent="0.3">
      <c r="A1" s="23">
        <v>3</v>
      </c>
    </row>
    <row r="2" spans="1:6" x14ac:dyDescent="0.3">
      <c r="A2" s="7"/>
      <c r="B2" s="53" t="s">
        <v>219</v>
      </c>
      <c r="C2" s="53"/>
      <c r="D2" s="53"/>
      <c r="E2" s="53"/>
      <c r="F2" s="53"/>
    </row>
    <row r="3" spans="1:6" x14ac:dyDescent="0.3">
      <c r="A3" s="7"/>
      <c r="B3" s="54"/>
      <c r="C3" s="55"/>
      <c r="D3" s="55"/>
      <c r="E3" s="55"/>
      <c r="F3" s="56"/>
    </row>
    <row r="4" spans="1:6" x14ac:dyDescent="0.3">
      <c r="B4" s="58" t="s">
        <v>2</v>
      </c>
      <c r="C4" s="57" t="s">
        <v>12</v>
      </c>
      <c r="D4" s="57"/>
      <c r="E4" s="57"/>
      <c r="F4" s="57"/>
    </row>
    <row r="5" spans="1:6" x14ac:dyDescent="0.3">
      <c r="B5" s="58" t="s">
        <v>217</v>
      </c>
      <c r="C5" s="59">
        <f>COUNTIFS(Staff[Department],C4)</f>
        <v>54</v>
      </c>
      <c r="D5" s="59"/>
      <c r="E5" s="59"/>
      <c r="F5" s="59"/>
    </row>
    <row r="6" spans="1:6" x14ac:dyDescent="0.3">
      <c r="B6" s="60"/>
      <c r="C6" s="60"/>
      <c r="D6" s="60"/>
      <c r="E6" s="60"/>
      <c r="F6" s="60"/>
    </row>
    <row r="7" spans="1:6" x14ac:dyDescent="0.3">
      <c r="B7" s="60" t="str" cm="1">
        <f t="array" aca="1" ref="B7:F60" ca="1">_xlfn._xlws.SORT(_xlfn.CHOOSECOLS(_xlfn._xlws.FILTER(Staff[],Staff[Department]=C4),1,2,4,7,8),4,-1)</f>
        <v>Heer Pennathur</v>
      </c>
      <c r="C7" s="60" t="str">
        <f ca="1"/>
        <v>Male</v>
      </c>
      <c r="D7" s="60" t="str">
        <f ca="1"/>
        <v>Average</v>
      </c>
      <c r="E7" s="60">
        <f ca="1"/>
        <v>118840</v>
      </c>
      <c r="F7" s="60" t="str">
        <f ca="1"/>
        <v>IND</v>
      </c>
    </row>
    <row r="8" spans="1:6" x14ac:dyDescent="0.3">
      <c r="B8" s="60" t="str">
        <f ca="1"/>
        <v>Tawnya Tickel</v>
      </c>
      <c r="C8" s="60" t="str">
        <f ca="1"/>
        <v>Male</v>
      </c>
      <c r="D8" s="60" t="str">
        <f ca="1"/>
        <v>Average</v>
      </c>
      <c r="E8" s="60">
        <f ca="1"/>
        <v>118840</v>
      </c>
      <c r="F8" s="60" t="str">
        <f ca="1"/>
        <v>NZ</v>
      </c>
    </row>
    <row r="9" spans="1:6" x14ac:dyDescent="0.3">
      <c r="B9" s="60" t="str">
        <f ca="1"/>
        <v>Ramnath Ravuri</v>
      </c>
      <c r="C9" s="60" t="str">
        <f ca="1"/>
        <v>Female</v>
      </c>
      <c r="D9" s="60" t="str">
        <f ca="1"/>
        <v>Average</v>
      </c>
      <c r="E9" s="60">
        <f ca="1"/>
        <v>114870</v>
      </c>
      <c r="F9" s="60" t="str">
        <f ca="1"/>
        <v>IND</v>
      </c>
    </row>
    <row r="10" spans="1:6" x14ac:dyDescent="0.3">
      <c r="B10" s="60" t="str">
        <f ca="1"/>
        <v>Wilone O'Kielt</v>
      </c>
      <c r="C10" s="60" t="str">
        <f ca="1"/>
        <v>Female</v>
      </c>
      <c r="D10" s="60" t="str">
        <f ca="1"/>
        <v>Average</v>
      </c>
      <c r="E10" s="60">
        <f ca="1"/>
        <v>114870</v>
      </c>
      <c r="F10" s="60" t="str">
        <f ca="1"/>
        <v>NZ</v>
      </c>
    </row>
    <row r="11" spans="1:6" x14ac:dyDescent="0.3">
      <c r="B11" s="60" t="str">
        <f ca="1"/>
        <v>Deepali Charan</v>
      </c>
      <c r="C11" s="60" t="str">
        <f ca="1"/>
        <v>Male</v>
      </c>
      <c r="D11" s="60" t="str">
        <f ca="1"/>
        <v>Average</v>
      </c>
      <c r="E11" s="60">
        <f ca="1"/>
        <v>112650</v>
      </c>
      <c r="F11" s="60" t="str">
        <f ca="1"/>
        <v>IND</v>
      </c>
    </row>
    <row r="12" spans="1:6" x14ac:dyDescent="0.3">
      <c r="B12" s="60" t="str">
        <f ca="1"/>
        <v>Mollie Hanway</v>
      </c>
      <c r="C12" s="60" t="str">
        <f ca="1"/>
        <v>Male</v>
      </c>
      <c r="D12" s="60" t="str">
        <f ca="1"/>
        <v>Average</v>
      </c>
      <c r="E12" s="60">
        <f ca="1"/>
        <v>112650</v>
      </c>
      <c r="F12" s="60" t="str">
        <f ca="1"/>
        <v>NZ</v>
      </c>
    </row>
    <row r="13" spans="1:6" x14ac:dyDescent="0.3">
      <c r="B13" s="60" t="str">
        <f ca="1"/>
        <v>Narois Motiwala</v>
      </c>
      <c r="C13" s="60" t="str">
        <f ca="1"/>
        <v>Male</v>
      </c>
      <c r="D13" s="60" t="str">
        <f ca="1"/>
        <v>Poor</v>
      </c>
      <c r="E13" s="60">
        <f ca="1"/>
        <v>112110</v>
      </c>
      <c r="F13" s="60" t="str">
        <f ca="1"/>
        <v>IND</v>
      </c>
    </row>
    <row r="14" spans="1:6" x14ac:dyDescent="0.3">
      <c r="B14" s="60" t="str">
        <f ca="1"/>
        <v>Bev Lashley</v>
      </c>
      <c r="C14" s="60" t="str">
        <f ca="1"/>
        <v>Male</v>
      </c>
      <c r="D14" s="60" t="str">
        <f ca="1"/>
        <v>Poor</v>
      </c>
      <c r="E14" s="60">
        <f ca="1"/>
        <v>112110</v>
      </c>
      <c r="F14" s="60" t="str">
        <f ca="1"/>
        <v>NZ</v>
      </c>
    </row>
    <row r="15" spans="1:6" x14ac:dyDescent="0.3">
      <c r="B15" s="60" t="str">
        <f ca="1"/>
        <v>Hridaynath Tendulkar</v>
      </c>
      <c r="C15" s="60" t="str">
        <f ca="1"/>
        <v>Male</v>
      </c>
      <c r="D15" s="60" t="str">
        <f ca="1"/>
        <v>Average</v>
      </c>
      <c r="E15" s="60">
        <f ca="1"/>
        <v>107700</v>
      </c>
      <c r="F15" s="60" t="str">
        <f ca="1"/>
        <v>IND</v>
      </c>
    </row>
    <row r="16" spans="1:6" x14ac:dyDescent="0.3">
      <c r="B16" s="60" t="str">
        <f ca="1"/>
        <v>Kaine Padly</v>
      </c>
      <c r="C16" s="60" t="str">
        <f ca="1"/>
        <v>Male</v>
      </c>
      <c r="D16" s="60" t="str">
        <f ca="1"/>
        <v>Average</v>
      </c>
      <c r="E16" s="60">
        <f ca="1"/>
        <v>107700</v>
      </c>
      <c r="F16" s="60" t="str">
        <f ca="1"/>
        <v>NZ</v>
      </c>
    </row>
    <row r="17" spans="2:6" x14ac:dyDescent="0.3">
      <c r="B17" s="60" t="str">
        <f ca="1"/>
        <v>Manjusri Ruchi</v>
      </c>
      <c r="C17" s="60" t="str">
        <f ca="1"/>
        <v>Female</v>
      </c>
      <c r="D17" s="60" t="str">
        <f ca="1"/>
        <v>Average</v>
      </c>
      <c r="E17" s="60">
        <f ca="1"/>
        <v>104410</v>
      </c>
      <c r="F17" s="60" t="str">
        <f ca="1"/>
        <v>IND</v>
      </c>
    </row>
    <row r="18" spans="2:6" x14ac:dyDescent="0.3">
      <c r="B18" s="60" t="str">
        <f ca="1"/>
        <v>Caro Chappel</v>
      </c>
      <c r="C18" s="60" t="str">
        <f ca="1"/>
        <v>Female</v>
      </c>
      <c r="D18" s="60" t="str">
        <f ca="1"/>
        <v>Average</v>
      </c>
      <c r="E18" s="60">
        <f ca="1"/>
        <v>104410</v>
      </c>
      <c r="F18" s="60" t="str">
        <f ca="1"/>
        <v>NZ</v>
      </c>
    </row>
    <row r="19" spans="2:6" x14ac:dyDescent="0.3">
      <c r="B19" s="60" t="str">
        <f ca="1"/>
        <v>Amlankusum Rajabhushan</v>
      </c>
      <c r="C19" s="60" t="str">
        <f ca="1"/>
        <v>Male</v>
      </c>
      <c r="D19" s="60" t="str">
        <f ca="1"/>
        <v>Average</v>
      </c>
      <c r="E19" s="60">
        <f ca="1"/>
        <v>100420</v>
      </c>
      <c r="F19" s="60" t="str">
        <f ca="1"/>
        <v>IND</v>
      </c>
    </row>
    <row r="20" spans="2:6" x14ac:dyDescent="0.3">
      <c r="B20" s="60" t="str">
        <f ca="1"/>
        <v>Collin Jagson</v>
      </c>
      <c r="C20" s="60" t="str">
        <f ca="1"/>
        <v>Male</v>
      </c>
      <c r="D20" s="60" t="str">
        <f ca="1"/>
        <v>Average</v>
      </c>
      <c r="E20" s="60">
        <f ca="1"/>
        <v>100420</v>
      </c>
      <c r="F20" s="60" t="str">
        <f ca="1"/>
        <v>NZ</v>
      </c>
    </row>
    <row r="21" spans="2:6" x14ac:dyDescent="0.3">
      <c r="B21" s="60" t="str">
        <f ca="1"/>
        <v>Sukhdev Nageshwar</v>
      </c>
      <c r="C21" s="60" t="str">
        <f ca="1"/>
        <v>Female</v>
      </c>
      <c r="D21" s="60" t="str">
        <f ca="1"/>
        <v>Average</v>
      </c>
      <c r="E21" s="60">
        <f ca="1"/>
        <v>96140</v>
      </c>
      <c r="F21" s="60" t="str">
        <f ca="1"/>
        <v>IND</v>
      </c>
    </row>
    <row r="22" spans="2:6" x14ac:dyDescent="0.3">
      <c r="B22" s="60" t="str">
        <f ca="1"/>
        <v>Torrance Collier</v>
      </c>
      <c r="C22" s="60" t="str">
        <f ca="1"/>
        <v>Female</v>
      </c>
      <c r="D22" s="60" t="str">
        <f ca="1"/>
        <v>Average</v>
      </c>
      <c r="E22" s="60">
        <f ca="1"/>
        <v>96140</v>
      </c>
      <c r="F22" s="60" t="str">
        <f ca="1"/>
        <v>NZ</v>
      </c>
    </row>
    <row r="23" spans="2:6" x14ac:dyDescent="0.3">
      <c r="B23" s="60" t="str">
        <f ca="1"/>
        <v>Rukma Vinita</v>
      </c>
      <c r="C23" s="60" t="str">
        <f ca="1"/>
        <v>Other</v>
      </c>
      <c r="D23" s="60" t="str">
        <f ca="1"/>
        <v>Average</v>
      </c>
      <c r="E23" s="60">
        <f ca="1"/>
        <v>91310</v>
      </c>
      <c r="F23" s="60" t="str">
        <f ca="1"/>
        <v>IND</v>
      </c>
    </row>
    <row r="24" spans="2:6" x14ac:dyDescent="0.3">
      <c r="B24" s="60" t="str">
        <f ca="1"/>
        <v>Madge McCloughen</v>
      </c>
      <c r="C24" s="60" t="str">
        <f ca="1"/>
        <v>Other</v>
      </c>
      <c r="D24" s="60" t="str">
        <f ca="1"/>
        <v>Average</v>
      </c>
      <c r="E24" s="60">
        <f ca="1"/>
        <v>91310</v>
      </c>
      <c r="F24" s="60" t="str">
        <f ca="1"/>
        <v>NZ</v>
      </c>
    </row>
    <row r="25" spans="2:6" x14ac:dyDescent="0.3">
      <c r="B25" s="60" t="str">
        <f ca="1"/>
        <v>Karuna Pashupathy</v>
      </c>
      <c r="C25" s="60" t="str">
        <f ca="1"/>
        <v>Other</v>
      </c>
      <c r="D25" s="60" t="str">
        <f ca="1"/>
        <v>Above average</v>
      </c>
      <c r="E25" s="60">
        <f ca="1"/>
        <v>90700</v>
      </c>
      <c r="F25" s="60" t="str">
        <f ca="1"/>
        <v>IND</v>
      </c>
    </row>
    <row r="26" spans="2:6" x14ac:dyDescent="0.3">
      <c r="B26" s="60" t="str">
        <f ca="1"/>
        <v>Dennison Crosswaite</v>
      </c>
      <c r="C26" s="60" t="str">
        <f ca="1"/>
        <v>Other</v>
      </c>
      <c r="D26" s="60" t="str">
        <f ca="1"/>
        <v>Above average</v>
      </c>
      <c r="E26" s="60">
        <f ca="1"/>
        <v>90700</v>
      </c>
      <c r="F26" s="60" t="str">
        <f ca="1"/>
        <v>NZ</v>
      </c>
    </row>
    <row r="27" spans="2:6" x14ac:dyDescent="0.3">
      <c r="B27" s="60" t="str">
        <f ca="1"/>
        <v>Gangadutt Ragha</v>
      </c>
      <c r="C27" s="60" t="str">
        <f ca="1"/>
        <v>Male</v>
      </c>
      <c r="D27" s="60" t="str">
        <f ca="1"/>
        <v>Poor</v>
      </c>
      <c r="E27" s="60">
        <f ca="1"/>
        <v>88050</v>
      </c>
      <c r="F27" s="60" t="str">
        <f ca="1"/>
        <v>IND</v>
      </c>
    </row>
    <row r="28" spans="2:6" x14ac:dyDescent="0.3">
      <c r="B28" s="60" t="str">
        <f ca="1"/>
        <v>Ches Bonnell</v>
      </c>
      <c r="C28" s="60" t="str">
        <f ca="1"/>
        <v>Male</v>
      </c>
      <c r="D28" s="60" t="str">
        <f ca="1"/>
        <v>Poor</v>
      </c>
      <c r="E28" s="60">
        <f ca="1"/>
        <v>88050</v>
      </c>
      <c r="F28" s="60" t="str">
        <f ca="1"/>
        <v>NZ</v>
      </c>
    </row>
    <row r="29" spans="2:6" x14ac:dyDescent="0.3">
      <c r="B29" s="60" t="str">
        <f ca="1"/>
        <v>Godavari Veena</v>
      </c>
      <c r="C29" s="60" t="str">
        <f ca="1"/>
        <v>Female</v>
      </c>
      <c r="D29" s="60" t="str">
        <f ca="1"/>
        <v>Average</v>
      </c>
      <c r="E29" s="60">
        <f ca="1"/>
        <v>87620</v>
      </c>
      <c r="F29" s="60" t="str">
        <f ca="1"/>
        <v>IND</v>
      </c>
    </row>
    <row r="30" spans="2:6" x14ac:dyDescent="0.3">
      <c r="B30" s="60" t="str">
        <f ca="1"/>
        <v>Merrilee Plenty</v>
      </c>
      <c r="C30" s="60" t="str">
        <f ca="1"/>
        <v>Female</v>
      </c>
      <c r="D30" s="60" t="str">
        <f ca="1"/>
        <v>Average</v>
      </c>
      <c r="E30" s="60">
        <f ca="1"/>
        <v>87620</v>
      </c>
      <c r="F30" s="60" t="str">
        <f ca="1"/>
        <v>NZ</v>
      </c>
    </row>
    <row r="31" spans="2:6" x14ac:dyDescent="0.3">
      <c r="B31" s="60" t="str">
        <f ca="1"/>
        <v>Kunja Prashanta Vibha</v>
      </c>
      <c r="C31" s="60" t="str">
        <f ca="1"/>
        <v>Female</v>
      </c>
      <c r="D31" s="60" t="str">
        <f ca="1"/>
        <v>Average</v>
      </c>
      <c r="E31" s="60">
        <f ca="1"/>
        <v>83750</v>
      </c>
      <c r="F31" s="60" t="str">
        <f ca="1"/>
        <v>IND</v>
      </c>
    </row>
    <row r="32" spans="2:6" x14ac:dyDescent="0.3">
      <c r="B32" s="60" t="str">
        <f ca="1"/>
        <v>Agnes Collicott</v>
      </c>
      <c r="C32" s="60" t="str">
        <f ca="1"/>
        <v>Female</v>
      </c>
      <c r="D32" s="60" t="str">
        <f ca="1"/>
        <v>Average</v>
      </c>
      <c r="E32" s="60">
        <f ca="1"/>
        <v>83750</v>
      </c>
      <c r="F32" s="60" t="str">
        <f ca="1"/>
        <v>NZ</v>
      </c>
    </row>
    <row r="33" spans="2:6" x14ac:dyDescent="0.3">
      <c r="B33" s="60" t="str">
        <f ca="1"/>
        <v>Bhuvan Pals</v>
      </c>
      <c r="C33" s="60" t="str">
        <f ca="1"/>
        <v>Female</v>
      </c>
      <c r="D33" s="60" t="str">
        <f ca="1"/>
        <v>Above average</v>
      </c>
      <c r="E33" s="60">
        <f ca="1"/>
        <v>80700</v>
      </c>
      <c r="F33" s="60" t="str">
        <f ca="1"/>
        <v>IND</v>
      </c>
    </row>
    <row r="34" spans="2:6" x14ac:dyDescent="0.3">
      <c r="B34" s="60" t="str">
        <f ca="1"/>
        <v>Van Tuxwell</v>
      </c>
      <c r="C34" s="60" t="str">
        <f ca="1"/>
        <v>Female</v>
      </c>
      <c r="D34" s="60" t="str">
        <f ca="1"/>
        <v>Above average</v>
      </c>
      <c r="E34" s="60">
        <f ca="1"/>
        <v>80700</v>
      </c>
      <c r="F34" s="60" t="str">
        <f ca="1"/>
        <v>NZ</v>
      </c>
    </row>
    <row r="35" spans="2:6" x14ac:dyDescent="0.3">
      <c r="B35" s="60" t="str">
        <f ca="1"/>
        <v>Ayog Chakrabarti</v>
      </c>
      <c r="C35" s="60" t="str">
        <f ca="1"/>
        <v>Female</v>
      </c>
      <c r="D35" s="60" t="str">
        <f ca="1"/>
        <v>Very poor</v>
      </c>
      <c r="E35" s="60">
        <f ca="1"/>
        <v>75480</v>
      </c>
      <c r="F35" s="60" t="str">
        <f ca="1"/>
        <v>IND</v>
      </c>
    </row>
    <row r="36" spans="2:6" x14ac:dyDescent="0.3">
      <c r="B36" s="60" t="str">
        <f ca="1"/>
        <v>Camilla Castle</v>
      </c>
      <c r="C36" s="60" t="str">
        <f ca="1"/>
        <v>Female</v>
      </c>
      <c r="D36" s="60" t="str">
        <f ca="1"/>
        <v>Very poor</v>
      </c>
      <c r="E36" s="60">
        <f ca="1"/>
        <v>75480</v>
      </c>
      <c r="F36" s="60" t="str">
        <f ca="1"/>
        <v>NZ</v>
      </c>
    </row>
    <row r="37" spans="2:6" x14ac:dyDescent="0.3">
      <c r="B37" s="60" t="str">
        <f ca="1"/>
        <v>Hemavati Muthiah</v>
      </c>
      <c r="C37" s="60" t="str">
        <f ca="1"/>
        <v>Female</v>
      </c>
      <c r="D37" s="60" t="str">
        <f ca="1"/>
        <v>Average</v>
      </c>
      <c r="E37" s="60">
        <f ca="1"/>
        <v>75280</v>
      </c>
      <c r="F37" s="60" t="str">
        <f ca="1"/>
        <v>IND</v>
      </c>
    </row>
    <row r="38" spans="2:6" x14ac:dyDescent="0.3">
      <c r="B38" s="60" t="str">
        <f ca="1"/>
        <v>Elia Cockton</v>
      </c>
      <c r="C38" s="60" t="str">
        <f ca="1"/>
        <v>Female</v>
      </c>
      <c r="D38" s="60" t="str">
        <f ca="1"/>
        <v>Average</v>
      </c>
      <c r="E38" s="60">
        <f ca="1"/>
        <v>75280</v>
      </c>
      <c r="F38" s="60" t="str">
        <f ca="1"/>
        <v>NZ</v>
      </c>
    </row>
    <row r="39" spans="2:6" x14ac:dyDescent="0.3">
      <c r="B39" s="60" t="str">
        <f ca="1"/>
        <v>Shekhar Eswara</v>
      </c>
      <c r="C39" s="60" t="str">
        <f ca="1"/>
        <v>Male</v>
      </c>
      <c r="D39" s="60" t="str">
        <f ca="1"/>
        <v>Average</v>
      </c>
      <c r="E39" s="60">
        <f ca="1"/>
        <v>69710</v>
      </c>
      <c r="F39" s="60" t="str">
        <f ca="1"/>
        <v>IND</v>
      </c>
    </row>
    <row r="40" spans="2:6" x14ac:dyDescent="0.3">
      <c r="B40" s="60" t="str">
        <f ca="1"/>
        <v>Myer McCory</v>
      </c>
      <c r="C40" s="60" t="str">
        <f ca="1"/>
        <v>Male</v>
      </c>
      <c r="D40" s="60" t="str">
        <f ca="1"/>
        <v>Average</v>
      </c>
      <c r="E40" s="60">
        <f ca="1"/>
        <v>69710</v>
      </c>
      <c r="F40" s="60" t="str">
        <f ca="1"/>
        <v>NZ</v>
      </c>
    </row>
    <row r="41" spans="2:6" x14ac:dyDescent="0.3">
      <c r="B41" s="60" t="str">
        <f ca="1"/>
        <v>Rameshwari Chikodi</v>
      </c>
      <c r="C41" s="60" t="str">
        <f ca="1"/>
        <v>Male</v>
      </c>
      <c r="D41" s="60" t="str">
        <f ca="1"/>
        <v>Average</v>
      </c>
      <c r="E41" s="60">
        <f ca="1"/>
        <v>69120</v>
      </c>
      <c r="F41" s="60" t="str">
        <f ca="1"/>
        <v>IND</v>
      </c>
    </row>
    <row r="42" spans="2:6" x14ac:dyDescent="0.3">
      <c r="B42" s="60" t="str">
        <f ca="1"/>
        <v>Andria Kimpton</v>
      </c>
      <c r="C42" s="60" t="str">
        <f ca="1"/>
        <v>Male</v>
      </c>
      <c r="D42" s="60" t="str">
        <f ca="1"/>
        <v>Average</v>
      </c>
      <c r="E42" s="60">
        <f ca="1"/>
        <v>69120</v>
      </c>
      <c r="F42" s="60" t="str">
        <f ca="1"/>
        <v>NZ</v>
      </c>
    </row>
    <row r="43" spans="2:6" x14ac:dyDescent="0.3">
      <c r="B43" s="60" t="str">
        <f ca="1"/>
        <v>Jaishree Atasi Yavatkar</v>
      </c>
      <c r="C43" s="60" t="str">
        <f ca="1"/>
        <v>Male</v>
      </c>
      <c r="D43" s="60" t="str">
        <f ca="1"/>
        <v>Average</v>
      </c>
      <c r="E43" s="60">
        <f ca="1"/>
        <v>69070</v>
      </c>
      <c r="F43" s="60" t="str">
        <f ca="1"/>
        <v>IND</v>
      </c>
    </row>
    <row r="44" spans="2:6" x14ac:dyDescent="0.3">
      <c r="B44" s="60" t="str">
        <f ca="1"/>
        <v>Murry Dryburgh</v>
      </c>
      <c r="C44" s="60" t="str">
        <f ca="1"/>
        <v>Male</v>
      </c>
      <c r="D44" s="60" t="str">
        <f ca="1"/>
        <v>Average</v>
      </c>
      <c r="E44" s="60">
        <f ca="1"/>
        <v>69070</v>
      </c>
      <c r="F44" s="60" t="str">
        <f ca="1"/>
        <v>NZ</v>
      </c>
    </row>
    <row r="45" spans="2:6" x14ac:dyDescent="0.3">
      <c r="B45" s="60" t="str">
        <f ca="1"/>
        <v>Fullara Sushanti Mokate</v>
      </c>
      <c r="C45" s="60" t="str">
        <f ca="1"/>
        <v>Female</v>
      </c>
      <c r="D45" s="60" t="str">
        <f ca="1"/>
        <v>Average</v>
      </c>
      <c r="E45" s="60">
        <f ca="1"/>
        <v>62780</v>
      </c>
      <c r="F45" s="60" t="str">
        <f ca="1"/>
        <v>IND</v>
      </c>
    </row>
    <row r="46" spans="2:6" x14ac:dyDescent="0.3">
      <c r="B46" s="60" t="str">
        <f ca="1"/>
        <v>Vic Radolf</v>
      </c>
      <c r="C46" s="60" t="str">
        <f ca="1"/>
        <v>Female</v>
      </c>
      <c r="D46" s="60" t="str">
        <f ca="1"/>
        <v>Average</v>
      </c>
      <c r="E46" s="60">
        <f ca="1"/>
        <v>62780</v>
      </c>
      <c r="F46" s="60" t="str">
        <f ca="1"/>
        <v>NZ</v>
      </c>
    </row>
    <row r="47" spans="2:6" x14ac:dyDescent="0.3">
      <c r="B47" s="60" t="str">
        <f ca="1"/>
        <v>Pratigya Rema</v>
      </c>
      <c r="C47" s="60" t="str">
        <f ca="1"/>
        <v>Female</v>
      </c>
      <c r="D47" s="60" t="str">
        <f ca="1"/>
        <v>Average</v>
      </c>
      <c r="E47" s="60">
        <f ca="1"/>
        <v>58100</v>
      </c>
      <c r="F47" s="60" t="str">
        <f ca="1"/>
        <v>IND</v>
      </c>
    </row>
    <row r="48" spans="2:6" x14ac:dyDescent="0.3">
      <c r="B48" s="60" t="str">
        <f ca="1"/>
        <v>Brien Boise</v>
      </c>
      <c r="C48" s="60" t="str">
        <f ca="1"/>
        <v>Female</v>
      </c>
      <c r="D48" s="60" t="str">
        <f ca="1"/>
        <v>Average</v>
      </c>
      <c r="E48" s="60">
        <f ca="1"/>
        <v>58100</v>
      </c>
      <c r="F48" s="60" t="str">
        <f ca="1"/>
        <v>NZ</v>
      </c>
    </row>
    <row r="49" spans="2:6" x14ac:dyDescent="0.3">
      <c r="B49" s="60" t="str">
        <f ca="1"/>
        <v>Pragya Nilufar</v>
      </c>
      <c r="C49" s="60" t="str">
        <f ca="1"/>
        <v>Male</v>
      </c>
      <c r="D49" s="60" t="str">
        <f ca="1"/>
        <v>Average</v>
      </c>
      <c r="E49" s="60">
        <f ca="1"/>
        <v>53870</v>
      </c>
      <c r="F49" s="60" t="str">
        <f ca="1"/>
        <v>IND</v>
      </c>
    </row>
    <row r="50" spans="2:6" x14ac:dyDescent="0.3">
      <c r="B50" s="60" t="str">
        <f ca="1"/>
        <v>William Reeveley</v>
      </c>
      <c r="C50" s="60" t="str">
        <f ca="1"/>
        <v>Male</v>
      </c>
      <c r="D50" s="60" t="str">
        <f ca="1"/>
        <v>Average</v>
      </c>
      <c r="E50" s="60">
        <f ca="1"/>
        <v>53870</v>
      </c>
      <c r="F50" s="60" t="str">
        <f ca="1"/>
        <v>NZ</v>
      </c>
    </row>
    <row r="51" spans="2:6" x14ac:dyDescent="0.3">
      <c r="B51" s="60" t="str">
        <f ca="1"/>
        <v>Amal Nimesh</v>
      </c>
      <c r="C51" s="60" t="str">
        <f ca="1"/>
        <v>Male</v>
      </c>
      <c r="D51" s="60" t="str">
        <f ca="1"/>
        <v>Average</v>
      </c>
      <c r="E51" s="60">
        <f ca="1"/>
        <v>48950</v>
      </c>
      <c r="F51" s="60" t="str">
        <f ca="1"/>
        <v>IND</v>
      </c>
    </row>
    <row r="52" spans="2:6" x14ac:dyDescent="0.3">
      <c r="B52" s="60" t="str">
        <f ca="1"/>
        <v>Gunar Cockshoot</v>
      </c>
      <c r="C52" s="60" t="str">
        <f ca="1"/>
        <v>Male</v>
      </c>
      <c r="D52" s="60" t="str">
        <f ca="1"/>
        <v>Average</v>
      </c>
      <c r="E52" s="60">
        <f ca="1"/>
        <v>48950</v>
      </c>
      <c r="F52" s="60" t="str">
        <f ca="1"/>
        <v>NZ</v>
      </c>
    </row>
    <row r="53" spans="2:6" x14ac:dyDescent="0.3">
      <c r="B53" s="60" t="str">
        <f ca="1"/>
        <v>Yagna Sujeev</v>
      </c>
      <c r="C53" s="60" t="str">
        <f ca="1"/>
        <v>Female</v>
      </c>
      <c r="D53" s="60" t="str">
        <f ca="1"/>
        <v>Above average</v>
      </c>
      <c r="E53" s="60">
        <f ca="1"/>
        <v>43840</v>
      </c>
      <c r="F53" s="60" t="str">
        <f ca="1"/>
        <v>IND</v>
      </c>
    </row>
    <row r="54" spans="2:6" x14ac:dyDescent="0.3">
      <c r="B54" s="60" t="str">
        <f ca="1"/>
        <v>Kassi Jonson</v>
      </c>
      <c r="C54" s="60" t="str">
        <f ca="1"/>
        <v>Female</v>
      </c>
      <c r="D54" s="60" t="str">
        <f ca="1"/>
        <v>Above average</v>
      </c>
      <c r="E54" s="60">
        <f ca="1"/>
        <v>43840</v>
      </c>
      <c r="F54" s="60" t="str">
        <f ca="1"/>
        <v>NZ</v>
      </c>
    </row>
    <row r="55" spans="2:6" x14ac:dyDescent="0.3">
      <c r="B55" s="60" t="str">
        <f ca="1"/>
        <v>Jagajeet Viraj</v>
      </c>
      <c r="C55" s="60" t="str">
        <f ca="1"/>
        <v>Female</v>
      </c>
      <c r="D55" s="60" t="str">
        <f ca="1"/>
        <v>Average</v>
      </c>
      <c r="E55" s="60">
        <f ca="1"/>
        <v>41980</v>
      </c>
      <c r="F55" s="60" t="str">
        <f ca="1"/>
        <v>IND</v>
      </c>
    </row>
    <row r="56" spans="2:6" x14ac:dyDescent="0.3">
      <c r="B56" s="60" t="str">
        <f ca="1"/>
        <v>Dotty Strutley</v>
      </c>
      <c r="C56" s="60" t="str">
        <f ca="1"/>
        <v>Female</v>
      </c>
      <c r="D56" s="60" t="str">
        <f ca="1"/>
        <v>Average</v>
      </c>
      <c r="E56" s="60">
        <f ca="1"/>
        <v>41980</v>
      </c>
      <c r="F56" s="60" t="str">
        <f ca="1"/>
        <v>NZ</v>
      </c>
    </row>
    <row r="57" spans="2:6" x14ac:dyDescent="0.3">
      <c r="B57" s="60" t="str">
        <f ca="1"/>
        <v>Suchira Bhanupriya Tapti</v>
      </c>
      <c r="C57" s="60" t="str">
        <f ca="1"/>
        <v>Female</v>
      </c>
      <c r="D57" s="60" t="str">
        <f ca="1"/>
        <v>Average</v>
      </c>
      <c r="E57" s="60">
        <f ca="1"/>
        <v>34980</v>
      </c>
      <c r="F57" s="60" t="str">
        <f ca="1"/>
        <v>IND</v>
      </c>
    </row>
    <row r="58" spans="2:6" x14ac:dyDescent="0.3">
      <c r="B58" s="60" t="str">
        <f ca="1"/>
        <v>Niall Selesnick</v>
      </c>
      <c r="C58" s="60" t="str">
        <f ca="1"/>
        <v>Female</v>
      </c>
      <c r="D58" s="60" t="str">
        <f ca="1"/>
        <v>Average</v>
      </c>
      <c r="E58" s="60">
        <f ca="1"/>
        <v>34980</v>
      </c>
      <c r="F58" s="60" t="str">
        <f ca="1"/>
        <v>NZ</v>
      </c>
    </row>
    <row r="59" spans="2:6" x14ac:dyDescent="0.3">
      <c r="B59" s="60" t="str">
        <f ca="1"/>
        <v>Shubhra Potla</v>
      </c>
      <c r="C59" s="60" t="str">
        <f ca="1"/>
        <v>Female</v>
      </c>
      <c r="D59" s="60" t="str">
        <f ca="1"/>
        <v>Average</v>
      </c>
      <c r="E59" s="60">
        <f ca="1"/>
        <v>33920</v>
      </c>
      <c r="F59" s="60" t="str">
        <f ca="1"/>
        <v>IND</v>
      </c>
    </row>
    <row r="60" spans="2:6" x14ac:dyDescent="0.3">
      <c r="B60" s="60" t="str">
        <f ca="1"/>
        <v>Gretchen Callow</v>
      </c>
      <c r="C60" s="60" t="str">
        <f ca="1"/>
        <v>Female</v>
      </c>
      <c r="D60" s="60" t="str">
        <f ca="1"/>
        <v>Average</v>
      </c>
      <c r="E60" s="60">
        <f ca="1"/>
        <v>33920</v>
      </c>
      <c r="F60" s="60" t="str">
        <f ca="1"/>
        <v>NZ</v>
      </c>
    </row>
  </sheetData>
  <mergeCells count="4">
    <mergeCell ref="B2:F2"/>
    <mergeCell ref="C4:F4"/>
    <mergeCell ref="C5:F5"/>
    <mergeCell ref="B3:F3"/>
  </mergeCells>
  <conditionalFormatting sqref="B7">
    <cfRule type="expression" dxfId="1" priority="4">
      <formula>$C$4</formula>
    </cfRule>
  </conditionalFormatting>
  <conditionalFormatting sqref="C4">
    <cfRule type="expression" dxfId="0" priority="2">
      <formula>C4="X"</formula>
    </cfRule>
  </conditionalFormatting>
  <conditionalFormatting sqref="C5">
    <cfRule type="expression" priority="3">
      <formula>C4="X"</formula>
    </cfRule>
  </conditionalFormatting>
  <conditionalFormatting sqref="E7:E60">
    <cfRule type="colorScale" priority="1">
      <colorScale>
        <cfvo type="min"/>
        <cfvo type="max"/>
        <color rgb="FF9868E6"/>
        <color rgb="FF4C91D0"/>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83E5-A9C1-42D5-84EC-E2A89B24FFB9}">
  <dimension ref="B3:J12"/>
  <sheetViews>
    <sheetView workbookViewId="0">
      <selection activeCell="D3" sqref="D3"/>
      <pivotSelection pane="bottomRight" activeRow="2" activeCol="3" previousRow="2" previousCol="3" click="1" r:id="rId1">
        <pivotArea type="topRight" dataOnly="0" labelOnly="1" outline="0" fieldPosition="0"/>
      </pivotSelection>
    </sheetView>
  </sheetViews>
  <sheetFormatPr defaultRowHeight="14.4" x14ac:dyDescent="0.3"/>
  <cols>
    <col min="2" max="2" width="16.21875" bestFit="1" customWidth="1"/>
    <col min="3" max="3" width="15.21875" bestFit="1" customWidth="1"/>
    <col min="4" max="6" width="11.77734375" bestFit="1" customWidth="1"/>
    <col min="7" max="7" width="15.21875" bestFit="1" customWidth="1"/>
    <col min="8" max="8" width="18.33203125" bestFit="1" customWidth="1"/>
    <col min="9" max="9" width="18.21875" bestFit="1" customWidth="1"/>
  </cols>
  <sheetData>
    <row r="3" spans="2:10" x14ac:dyDescent="0.3">
      <c r="C3" s="15" t="s">
        <v>220</v>
      </c>
    </row>
    <row r="4" spans="2:10" x14ac:dyDescent="0.3">
      <c r="B4" s="15" t="s">
        <v>225</v>
      </c>
      <c r="C4" t="s">
        <v>8</v>
      </c>
      <c r="D4" t="s">
        <v>15</v>
      </c>
    </row>
    <row r="5" spans="2:10" x14ac:dyDescent="0.3">
      <c r="B5" s="17" t="s">
        <v>222</v>
      </c>
      <c r="C5" s="16">
        <v>43</v>
      </c>
      <c r="D5" s="16">
        <v>44</v>
      </c>
    </row>
    <row r="6" spans="2:10" x14ac:dyDescent="0.3">
      <c r="B6" s="17" t="s">
        <v>224</v>
      </c>
      <c r="C6" s="18">
        <v>31.395348837209301</v>
      </c>
      <c r="D6" s="18">
        <v>29.34090909090909</v>
      </c>
    </row>
    <row r="7" spans="2:10" x14ac:dyDescent="0.3">
      <c r="B7" s="17" t="s">
        <v>226</v>
      </c>
      <c r="C7" s="16">
        <v>78284.186046511633</v>
      </c>
      <c r="D7" s="16">
        <v>74486.363636363632</v>
      </c>
      <c r="I7" t="s">
        <v>263</v>
      </c>
      <c r="J7" t="s">
        <v>232</v>
      </c>
    </row>
    <row r="8" spans="2:10" x14ac:dyDescent="0.3">
      <c r="B8" s="17" t="s">
        <v>227</v>
      </c>
      <c r="C8" s="16">
        <v>2.4807263459700546</v>
      </c>
      <c r="D8" s="16">
        <v>2.4777708592777077</v>
      </c>
      <c r="I8" s="17" t="s">
        <v>10</v>
      </c>
      <c r="J8">
        <v>5</v>
      </c>
    </row>
    <row r="9" spans="2:10" x14ac:dyDescent="0.3">
      <c r="I9" s="17" t="s">
        <v>13</v>
      </c>
      <c r="J9">
        <v>4</v>
      </c>
    </row>
    <row r="10" spans="2:10" x14ac:dyDescent="0.3">
      <c r="I10" s="17" t="s">
        <v>16</v>
      </c>
      <c r="J10">
        <v>3</v>
      </c>
    </row>
    <row r="11" spans="2:10" x14ac:dyDescent="0.3">
      <c r="I11" s="17" t="s">
        <v>24</v>
      </c>
      <c r="J11">
        <v>2</v>
      </c>
    </row>
    <row r="12" spans="2:10" x14ac:dyDescent="0.3">
      <c r="I12" s="17" t="s">
        <v>42</v>
      </c>
      <c r="J12">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02972-9AAC-4415-994A-735238AED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 Staff</vt:lpstr>
      <vt:lpstr>India Staff</vt:lpstr>
      <vt:lpstr>All_Staff</vt:lpstr>
      <vt:lpstr>PivotChart</vt:lpstr>
      <vt:lpstr>Employee Trend</vt:lpstr>
      <vt:lpstr>Salary Vs Ratings</vt:lpstr>
      <vt:lpstr>Sheet1</vt:lpstr>
      <vt:lpstr>InfoFinder2.0</vt:lpstr>
      <vt:lpstr>Female Vs Male 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Nithish Kumar</cp:lastModifiedBy>
  <dcterms:created xsi:type="dcterms:W3CDTF">2021-03-14T20:21:32Z</dcterms:created>
  <dcterms:modified xsi:type="dcterms:W3CDTF">2024-09-06T08:40:48Z</dcterms:modified>
</cp:coreProperties>
</file>