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ae0482fec9cc6/Documents/Project_trial/"/>
    </mc:Choice>
  </mc:AlternateContent>
  <xr:revisionPtr revIDLastSave="247" documentId="13_ncr:1_{FE3789B3-BFBD-4CC6-ABB8-23E83B0A7864}" xr6:coauthVersionLast="47" xr6:coauthVersionMax="47" xr10:uidLastSave="{8F09519D-7C54-4418-95A4-F21A74D14EA9}"/>
  <bookViews>
    <workbookView xWindow="-110" yWindow="-110" windowWidth="19420" windowHeight="10420" tabRatio="960" activeTab="1" xr2:uid="{58064223-CFC9-49F8-ABAF-067E57C4BAAB}"/>
  </bookViews>
  <sheets>
    <sheet name="Database" sheetId="1" r:id="rId1"/>
    <sheet name="KKM Farm" sheetId="21" r:id="rId2"/>
    <sheet name="Sanch Farm" sheetId="20" r:id="rId3"/>
    <sheet name="RR Farm" sheetId="19" r:id="rId4"/>
    <sheet name="Prt Ltd Farm" sheetId="18" r:id="rId5"/>
    <sheet name="Rani Farm" sheetId="17" r:id="rId6"/>
    <sheet name="Bindu Farm" sheetId="14" r:id="rId7"/>
    <sheet name="Vasundra Farm" sheetId="15" r:id="rId8"/>
    <sheet name="Rama Farm" sheetId="16" r:id="rId9"/>
    <sheet name="Hemalatha Farm" sheetId="13" r:id="rId10"/>
    <sheet name="Lakshmi Farm" sheetId="12" r:id="rId11"/>
    <sheet name="Devaki Farm" sheetId="11" r:id="rId12"/>
    <sheet name="Raju Farm" sheetId="10" r:id="rId13"/>
    <sheet name="Krishna Farm" sheetId="8" r:id="rId14"/>
    <sheet name="DhanaRaj Farm" sheetId="9" r:id="rId15"/>
    <sheet name="Rao Farm" sheetId="7" r:id="rId16"/>
    <sheet name="Surya Farm" sheetId="6" r:id="rId17"/>
    <sheet name="VSF Farm" sheetId="5" r:id="rId18"/>
    <sheet name="Uma Farm" sheetId="4" r:id="rId19"/>
    <sheet name="Siri Farm" sheetId="2" r:id="rId20"/>
    <sheet name="Vasant Farm" sheetId="3" r:id="rId21"/>
  </sheets>
  <definedNames>
    <definedName name="_xlnm._FilterDatabase" localSheetId="0" hidden="1">Database!$A$1:$M$21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1" l="1"/>
  <c r="M10" i="21"/>
  <c r="M9" i="21"/>
  <c r="L6" i="21"/>
  <c r="L7" i="21"/>
  <c r="L5" i="21"/>
  <c r="L4" i="21"/>
  <c r="L3" i="21"/>
  <c r="L2" i="21"/>
  <c r="M11" i="20"/>
  <c r="M10" i="20"/>
  <c r="M9" i="20"/>
  <c r="M11" i="15"/>
  <c r="M10" i="15"/>
  <c r="M9" i="15"/>
  <c r="M11" i="16"/>
  <c r="M10" i="16"/>
  <c r="M9" i="16"/>
  <c r="M11" i="17"/>
  <c r="M10" i="17"/>
  <c r="M9" i="17"/>
  <c r="M11" i="18"/>
  <c r="M10" i="18"/>
  <c r="M9" i="18"/>
  <c r="M11" i="19"/>
  <c r="M10" i="19"/>
  <c r="M9" i="19"/>
  <c r="L7" i="20"/>
  <c r="L6" i="20"/>
  <c r="L5" i="20"/>
  <c r="L4" i="20"/>
  <c r="L3" i="20"/>
  <c r="L2" i="20"/>
  <c r="L7" i="19"/>
  <c r="L6" i="19"/>
  <c r="L5" i="19"/>
  <c r="L4" i="19"/>
  <c r="L3" i="19"/>
  <c r="L2" i="19"/>
  <c r="L7" i="18"/>
  <c r="L6" i="18"/>
  <c r="L5" i="18"/>
  <c r="L4" i="18"/>
  <c r="L3" i="18"/>
  <c r="L2" i="18"/>
  <c r="L7" i="17"/>
  <c r="L6" i="17"/>
  <c r="L5" i="17"/>
  <c r="L4" i="17"/>
  <c r="L3" i="17"/>
  <c r="L2" i="17"/>
  <c r="L7" i="16"/>
  <c r="L6" i="16"/>
  <c r="L5" i="16"/>
  <c r="L4" i="16"/>
  <c r="L3" i="16"/>
  <c r="L2" i="16"/>
  <c r="M11" i="14"/>
  <c r="M10" i="14"/>
  <c r="M9" i="14"/>
  <c r="M11" i="13"/>
  <c r="M10" i="13"/>
  <c r="M9" i="13"/>
  <c r="M11" i="12"/>
  <c r="M10" i="12"/>
  <c r="M9" i="12"/>
  <c r="M11" i="11"/>
  <c r="M10" i="11"/>
  <c r="M9" i="11"/>
  <c r="M10" i="10"/>
  <c r="M9" i="10"/>
  <c r="L8" i="10"/>
  <c r="L8" i="7"/>
  <c r="L8" i="6"/>
  <c r="M11" i="9"/>
  <c r="M10" i="9"/>
  <c r="M9" i="9"/>
  <c r="M11" i="6"/>
  <c r="M10" i="6"/>
  <c r="M9" i="6"/>
  <c r="L8" i="8"/>
  <c r="M9" i="7"/>
  <c r="M11" i="8"/>
  <c r="M10" i="8"/>
  <c r="M9" i="8"/>
  <c r="M8" i="7"/>
  <c r="L8" i="5"/>
  <c r="M11" i="7"/>
  <c r="M10" i="7"/>
  <c r="M8" i="5"/>
  <c r="M9" i="5"/>
  <c r="M11" i="5"/>
  <c r="M10" i="5"/>
  <c r="M8" i="4"/>
  <c r="L8" i="4"/>
  <c r="L8" i="3"/>
  <c r="L8" i="2"/>
  <c r="M10" i="4"/>
  <c r="M11" i="4"/>
  <c r="M9" i="4"/>
  <c r="M11" i="3"/>
  <c r="M10" i="3"/>
  <c r="M9" i="3"/>
  <c r="L2" i="2"/>
  <c r="L2" i="3"/>
  <c r="M11" i="2"/>
  <c r="M10" i="2"/>
  <c r="M9" i="2"/>
  <c r="L7" i="15"/>
  <c r="L6" i="15"/>
  <c r="L5" i="15"/>
  <c r="L4" i="15"/>
  <c r="L3" i="15"/>
  <c r="L2" i="15"/>
  <c r="L2" i="14"/>
  <c r="L3" i="14"/>
  <c r="L4" i="14"/>
  <c r="L5" i="14"/>
  <c r="L6" i="14"/>
  <c r="L7" i="14"/>
  <c r="L7" i="13"/>
  <c r="L6" i="13"/>
  <c r="L5" i="13"/>
  <c r="L4" i="13"/>
  <c r="L3" i="13"/>
  <c r="L2" i="13"/>
  <c r="L7" i="12"/>
  <c r="L6" i="12"/>
  <c r="L5" i="12"/>
  <c r="L4" i="12"/>
  <c r="L3" i="12"/>
  <c r="L2" i="12"/>
  <c r="L7" i="11"/>
  <c r="L6" i="11"/>
  <c r="L5" i="11"/>
  <c r="L4" i="11"/>
  <c r="L3" i="11"/>
  <c r="L2" i="11"/>
  <c r="L7" i="10"/>
  <c r="L6" i="10"/>
  <c r="L5" i="10"/>
  <c r="L4" i="10"/>
  <c r="L3" i="10"/>
  <c r="L2" i="10"/>
  <c r="L7" i="9"/>
  <c r="L6" i="9"/>
  <c r="L5" i="9"/>
  <c r="L4" i="9"/>
  <c r="L3" i="9"/>
  <c r="L2" i="9"/>
  <c r="L7" i="8"/>
  <c r="L6" i="8"/>
  <c r="L5" i="8"/>
  <c r="L4" i="8"/>
  <c r="L3" i="8"/>
  <c r="L2" i="8"/>
  <c r="L4" i="3"/>
  <c r="L3" i="3"/>
  <c r="L5" i="3"/>
  <c r="L6" i="3"/>
  <c r="L7" i="3"/>
  <c r="L7" i="7"/>
  <c r="L6" i="7"/>
  <c r="L5" i="7"/>
  <c r="L4" i="7"/>
  <c r="L3" i="7"/>
  <c r="L2" i="7"/>
  <c r="L7" i="6"/>
  <c r="L6" i="6"/>
  <c r="L5" i="6"/>
  <c r="L4" i="6"/>
  <c r="L3" i="6"/>
  <c r="L2" i="6"/>
  <c r="L2" i="5"/>
  <c r="L3" i="5"/>
  <c r="L4" i="5"/>
  <c r="L5" i="5"/>
  <c r="L6" i="5"/>
  <c r="L7" i="5"/>
  <c r="L7" i="4"/>
  <c r="L6" i="4"/>
  <c r="L5" i="4"/>
  <c r="L4" i="4"/>
  <c r="L3" i="4"/>
  <c r="L2" i="4"/>
  <c r="L7" i="2"/>
  <c r="L6" i="2"/>
  <c r="L5" i="2"/>
  <c r="L4" i="2"/>
  <c r="L3" i="2"/>
  <c r="J7" i="1"/>
  <c r="K21" i="1"/>
  <c r="K16" i="1"/>
  <c r="K11" i="1"/>
  <c r="K6" i="1"/>
  <c r="K20" i="1"/>
  <c r="K15" i="1"/>
  <c r="K10" i="1"/>
  <c r="K5" i="1"/>
  <c r="K19" i="1"/>
  <c r="K14" i="1"/>
  <c r="K9" i="1"/>
  <c r="K4" i="1"/>
  <c r="K18" i="1"/>
  <c r="K13" i="1"/>
  <c r="K8" i="1"/>
  <c r="K3" i="1"/>
  <c r="K17" i="1"/>
  <c r="K12" i="1"/>
  <c r="K7" i="1"/>
  <c r="K2" i="1"/>
  <c r="J21" i="1"/>
  <c r="I21" i="1"/>
  <c r="J16" i="1"/>
  <c r="I16" i="1"/>
  <c r="J11" i="1"/>
  <c r="I11" i="1"/>
  <c r="J6" i="1"/>
  <c r="I6" i="1"/>
  <c r="J20" i="1"/>
  <c r="I20" i="1"/>
  <c r="J10" i="1"/>
  <c r="I10" i="1"/>
  <c r="J15" i="1"/>
  <c r="I15" i="1"/>
  <c r="J5" i="1"/>
  <c r="I5" i="1"/>
  <c r="J19" i="1"/>
  <c r="I19" i="1"/>
  <c r="J14" i="1"/>
  <c r="I14" i="1"/>
  <c r="J9" i="1"/>
  <c r="I9" i="1"/>
  <c r="J4" i="1"/>
  <c r="I4" i="1"/>
  <c r="J18" i="1"/>
  <c r="J17" i="1"/>
  <c r="J13" i="1"/>
  <c r="J12" i="1"/>
  <c r="J8" i="1"/>
  <c r="J3" i="1"/>
  <c r="J2" i="1"/>
  <c r="I18" i="1"/>
  <c r="I13" i="1"/>
  <c r="I8" i="1"/>
  <c r="I3" i="1"/>
  <c r="I17" i="1"/>
  <c r="I12" i="1"/>
  <c r="I7" i="1"/>
  <c r="I2" i="1"/>
  <c r="H21" i="1"/>
  <c r="H16" i="1"/>
  <c r="H11" i="1"/>
  <c r="H6" i="1"/>
  <c r="H20" i="1"/>
  <c r="H15" i="1"/>
  <c r="L15" i="1" s="1"/>
  <c r="H10" i="1"/>
  <c r="H5" i="1"/>
  <c r="H19" i="1"/>
  <c r="H14" i="1"/>
  <c r="H9" i="1"/>
  <c r="H4" i="1"/>
  <c r="H18" i="1"/>
  <c r="H13" i="1"/>
  <c r="H8" i="1"/>
  <c r="L8" i="1" s="1"/>
  <c r="H3" i="1"/>
  <c r="L3" i="1" s="1"/>
  <c r="H17" i="1"/>
  <c r="L17" i="1" s="1"/>
  <c r="H12" i="1"/>
  <c r="L12" i="1" s="1"/>
  <c r="H7" i="1"/>
  <c r="H2" i="1"/>
  <c r="G4" i="1"/>
  <c r="G21" i="1"/>
  <c r="G16" i="1"/>
  <c r="L16" i="1" s="1"/>
  <c r="G11" i="1"/>
  <c r="L11" i="1" s="1"/>
  <c r="G6" i="1"/>
  <c r="G20" i="1"/>
  <c r="L20" i="1" s="1"/>
  <c r="G15" i="1"/>
  <c r="G10" i="1"/>
  <c r="G5" i="1"/>
  <c r="G19" i="1"/>
  <c r="G14" i="1"/>
  <c r="L14" i="1" s="1"/>
  <c r="G9" i="1"/>
  <c r="L9" i="1" s="1"/>
  <c r="G18" i="1"/>
  <c r="G13" i="1"/>
  <c r="L13" i="1" s="1"/>
  <c r="G8" i="1"/>
  <c r="M11" i="10" l="1"/>
  <c r="L18" i="1"/>
  <c r="L21" i="1"/>
  <c r="L5" i="1"/>
  <c r="L4" i="1"/>
  <c r="L7" i="1"/>
  <c r="L19" i="1"/>
  <c r="L2" i="1"/>
  <c r="L6" i="1"/>
  <c r="L10" i="1"/>
</calcChain>
</file>

<file path=xl/sharedStrings.xml><?xml version="1.0" encoding="utf-8"?>
<sst xmlns="http://schemas.openxmlformats.org/spreadsheetml/2006/main" count="332" uniqueCount="56">
  <si>
    <t>Farm Name</t>
  </si>
  <si>
    <t>Size(hectares)</t>
  </si>
  <si>
    <t>Soil</t>
  </si>
  <si>
    <t>NBS</t>
  </si>
  <si>
    <t>CBS</t>
  </si>
  <si>
    <t>SBS</t>
  </si>
  <si>
    <t>NLS</t>
  </si>
  <si>
    <t>SLS</t>
  </si>
  <si>
    <t>Vasant farms</t>
  </si>
  <si>
    <t>Siri farms</t>
  </si>
  <si>
    <t>Uma farms</t>
  </si>
  <si>
    <t>VSF farms</t>
  </si>
  <si>
    <t>Surya farms</t>
  </si>
  <si>
    <t>Rao farms</t>
  </si>
  <si>
    <t>Krishna farms</t>
  </si>
  <si>
    <t>DhanaRaj farms</t>
  </si>
  <si>
    <t>Raju farms</t>
  </si>
  <si>
    <t>Devaki farms</t>
  </si>
  <si>
    <t>Lakshmi farms</t>
  </si>
  <si>
    <t>Hemalatha farms</t>
  </si>
  <si>
    <t>Bindu farms</t>
  </si>
  <si>
    <t>Vasundra farms</t>
  </si>
  <si>
    <t>Rama farms</t>
  </si>
  <si>
    <t>Size</t>
  </si>
  <si>
    <t>small</t>
  </si>
  <si>
    <t>med</t>
  </si>
  <si>
    <t>large</t>
  </si>
  <si>
    <t>semi-med</t>
  </si>
  <si>
    <t>Rani Farms</t>
  </si>
  <si>
    <t>Prt Ltd farms</t>
  </si>
  <si>
    <t>RR farms</t>
  </si>
  <si>
    <t>Sanch farms</t>
  </si>
  <si>
    <t>KKM farms</t>
  </si>
  <si>
    <t>Year</t>
  </si>
  <si>
    <t>production</t>
  </si>
  <si>
    <t>Labour cost</t>
  </si>
  <si>
    <t>Seed Cost</t>
  </si>
  <si>
    <t>Fertiliser Cost</t>
  </si>
  <si>
    <t>Fixed Cost</t>
  </si>
  <si>
    <t xml:space="preserve">Total cost </t>
  </si>
  <si>
    <t>fprod</t>
  </si>
  <si>
    <t>flab</t>
  </si>
  <si>
    <t>fseed</t>
  </si>
  <si>
    <t>ffixed</t>
  </si>
  <si>
    <t>ffert</t>
  </si>
  <si>
    <t>ftotal</t>
  </si>
  <si>
    <t>ftot</t>
  </si>
  <si>
    <t>2013(in kgs)</t>
  </si>
  <si>
    <t>2014(in kgs)</t>
  </si>
  <si>
    <t>2015(in kgs)</t>
  </si>
  <si>
    <t>2016(in kgs)</t>
  </si>
  <si>
    <t>2017(in kgs)</t>
  </si>
  <si>
    <t>2018(in kgs)</t>
  </si>
  <si>
    <t>2019(in kgs)</t>
  </si>
  <si>
    <t>Avg production(in kgs)</t>
  </si>
  <si>
    <t>Avg CostofCultivation(in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</si>
</sst>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/>
    <xf numFmtId="0" fontId="2" fillId="0" borderId="0" xfId="1"/>
    <xf numFmtId="14" fontId="0" fillId="0" borderId="0" xfId="0" applyNumberFormat="1" applyAlignment="1">
      <alignment horizontal="center"/>
    </xf>
    <xf numFmtId="3" fontId="0" fillId="0" borderId="0" xfId="0" applyNumberFormat="1" applyProtection="1">
      <protection hidden="1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317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rgb="FFFFE1FF"/>
        </patternFill>
      </fill>
    </dxf>
    <dxf>
      <fill>
        <patternFill patternType="solid">
          <fgColor rgb="FFFFE1FF"/>
          <bgColor rgb="FFFFCC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theme="0"/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theme="9" tint="0.79998168889431442"/>
          <bgColor theme="9" tint="0.79998168889431442"/>
        </patternFill>
      </fill>
    </dxf>
    <dxf>
      <fill>
        <patternFill>
          <bgColor rgb="FFFFFFC1"/>
        </patternFill>
      </fill>
    </dxf>
    <dxf>
      <fill>
        <patternFill>
          <bgColor rgb="FFFFE1FF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FFE1FF"/>
      <color rgb="FFFFFFC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9239-C4F7-45EF-BBD0-738C5FE2E52F}">
  <sheetPr codeName="Sheet1"/>
  <dimension ref="A1:M21"/>
  <sheetViews>
    <sheetView zoomScale="84" zoomScaleNormal="84" workbookViewId="0">
      <selection activeCell="M21" sqref="M21"/>
    </sheetView>
  </sheetViews>
  <sheetFormatPr defaultRowHeight="14.5" x14ac:dyDescent="0.35"/>
  <cols>
    <col min="1" max="1" width="15.36328125" customWidth="1"/>
    <col min="2" max="2" width="14.1796875" customWidth="1"/>
    <col min="3" max="3" width="9.6328125" customWidth="1"/>
    <col min="4" max="4" width="10.54296875" customWidth="1"/>
    <col min="5" max="5" width="13.453125" customWidth="1"/>
    <col min="6" max="6" width="12.26953125" customWidth="1"/>
    <col min="7" max="7" width="11.7265625" customWidth="1"/>
    <col min="8" max="8" width="13.26953125" customWidth="1"/>
    <col min="9" max="9" width="12.36328125" style="1" customWidth="1"/>
    <col min="10" max="10" width="12.08984375" style="1" customWidth="1"/>
    <col min="11" max="11" width="12.453125" style="1" customWidth="1"/>
    <col min="12" max="12" width="21.54296875" style="1" customWidth="1"/>
    <col min="13" max="13" width="25.6328125" style="1" customWidth="1"/>
  </cols>
  <sheetData>
    <row r="1" spans="1:13" x14ac:dyDescent="0.35">
      <c r="A1" s="2" t="s">
        <v>0</v>
      </c>
      <c r="B1" s="2" t="s">
        <v>1</v>
      </c>
      <c r="C1" s="3" t="s">
        <v>2</v>
      </c>
      <c r="D1" s="3" t="s">
        <v>23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</row>
    <row r="2" spans="1:13" x14ac:dyDescent="0.35">
      <c r="A2" s="9" t="s">
        <v>9</v>
      </c>
      <c r="B2" s="4">
        <v>0.94</v>
      </c>
      <c r="C2" s="4" t="s">
        <v>3</v>
      </c>
      <c r="D2" s="4" t="s">
        <v>24</v>
      </c>
      <c r="E2" s="7">
        <v>1410</v>
      </c>
      <c r="F2" s="7">
        <v>1457</v>
      </c>
      <c r="G2" s="7">
        <v>1504</v>
      </c>
      <c r="H2" s="4">
        <f>1400*0.94</f>
        <v>1316</v>
      </c>
      <c r="I2" s="4">
        <f>1640*0.94</f>
        <v>1541.6</v>
      </c>
      <c r="J2" s="4">
        <f>1350*0.94</f>
        <v>1269</v>
      </c>
      <c r="K2" s="4">
        <f>1550*0.94</f>
        <v>1457</v>
      </c>
      <c r="L2" s="6">
        <f t="shared" ref="L2:L21" si="0">AVERAGE(E2:K2)</f>
        <v>1422.0857142857144</v>
      </c>
      <c r="M2" s="6">
        <v>44457</v>
      </c>
    </row>
    <row r="3" spans="1:13" x14ac:dyDescent="0.35">
      <c r="A3" s="9" t="s">
        <v>8</v>
      </c>
      <c r="B3" s="1">
        <v>1.2</v>
      </c>
      <c r="C3" s="1" t="s">
        <v>4</v>
      </c>
      <c r="D3" s="1" t="s">
        <v>24</v>
      </c>
      <c r="E3" s="6">
        <v>1800</v>
      </c>
      <c r="F3" s="6">
        <v>1890</v>
      </c>
      <c r="G3" s="5">
        <v>1922.4</v>
      </c>
      <c r="H3" s="1">
        <f>1525*1.2</f>
        <v>1830</v>
      </c>
      <c r="I3" s="1">
        <f>1550*1.2</f>
        <v>1860</v>
      </c>
      <c r="J3" s="1">
        <f>1450*1.2</f>
        <v>1740</v>
      </c>
      <c r="K3" s="1">
        <f>1625*1.2</f>
        <v>1950</v>
      </c>
      <c r="L3" s="6">
        <f t="shared" si="0"/>
        <v>1856.0571428571427</v>
      </c>
      <c r="M3" s="6">
        <v>54461</v>
      </c>
    </row>
    <row r="4" spans="1:13" x14ac:dyDescent="0.35">
      <c r="A4" s="9" t="s">
        <v>10</v>
      </c>
      <c r="B4" s="1">
        <v>1.6</v>
      </c>
      <c r="C4" s="1" t="s">
        <v>5</v>
      </c>
      <c r="D4" s="1" t="s">
        <v>24</v>
      </c>
      <c r="E4" s="6">
        <v>2360</v>
      </c>
      <c r="F4" s="6">
        <v>2240</v>
      </c>
      <c r="G4" s="1">
        <f>1450*1.6</f>
        <v>2320</v>
      </c>
      <c r="H4" s="1">
        <f>1490*1.6</f>
        <v>2384</v>
      </c>
      <c r="I4" s="1">
        <f>1475*1.6</f>
        <v>2360</v>
      </c>
      <c r="J4" s="1">
        <f>1300*1.6</f>
        <v>2080</v>
      </c>
      <c r="K4" s="1">
        <f>1450*1.6</f>
        <v>2320</v>
      </c>
      <c r="L4" s="6">
        <f t="shared" si="0"/>
        <v>2294.8571428571427</v>
      </c>
      <c r="M4" s="6">
        <v>59747</v>
      </c>
    </row>
    <row r="5" spans="1:13" x14ac:dyDescent="0.35">
      <c r="A5" s="9" t="s">
        <v>11</v>
      </c>
      <c r="B5" s="1">
        <v>1.1000000000000001</v>
      </c>
      <c r="C5" s="1" t="s">
        <v>6</v>
      </c>
      <c r="D5" s="1" t="s">
        <v>24</v>
      </c>
      <c r="E5" s="5">
        <v>1941.5</v>
      </c>
      <c r="F5" s="6">
        <v>2002</v>
      </c>
      <c r="G5" s="1">
        <f>1870*1.1</f>
        <v>2057</v>
      </c>
      <c r="H5" s="1">
        <f>1925*1.1</f>
        <v>2117.5</v>
      </c>
      <c r="I5" s="1">
        <f>1890*1.1</f>
        <v>2079</v>
      </c>
      <c r="J5" s="1">
        <f>1700*1.1</f>
        <v>1870.0000000000002</v>
      </c>
      <c r="K5" s="1">
        <f>1900*1.1</f>
        <v>2090</v>
      </c>
      <c r="L5" s="5">
        <f t="shared" si="0"/>
        <v>2022.4285714285713</v>
      </c>
      <c r="M5" s="6">
        <v>59905</v>
      </c>
    </row>
    <row r="6" spans="1:13" x14ac:dyDescent="0.35">
      <c r="A6" s="9" t="s">
        <v>12</v>
      </c>
      <c r="B6" s="1">
        <v>0.8</v>
      </c>
      <c r="C6" s="1" t="s">
        <v>7</v>
      </c>
      <c r="D6" s="1" t="s">
        <v>24</v>
      </c>
      <c r="E6" s="1">
        <v>784</v>
      </c>
      <c r="F6" s="6">
        <v>680</v>
      </c>
      <c r="G6" s="1">
        <f>950*0.8</f>
        <v>760</v>
      </c>
      <c r="H6" s="1">
        <f>975*0.8</f>
        <v>780</v>
      </c>
      <c r="I6" s="1">
        <f>990*0.8</f>
        <v>792</v>
      </c>
      <c r="J6" s="1">
        <f>800*0.8</f>
        <v>640</v>
      </c>
      <c r="K6" s="1">
        <f>880*0.8</f>
        <v>704</v>
      </c>
      <c r="L6" s="6">
        <f t="shared" si="0"/>
        <v>734.28571428571433</v>
      </c>
      <c r="M6" s="6">
        <v>34984</v>
      </c>
    </row>
    <row r="7" spans="1:13" x14ac:dyDescent="0.35">
      <c r="A7" s="9" t="s">
        <v>13</v>
      </c>
      <c r="B7" s="1">
        <v>2.5</v>
      </c>
      <c r="C7" s="1" t="s">
        <v>3</v>
      </c>
      <c r="D7" s="1" t="s">
        <v>27</v>
      </c>
      <c r="E7" s="6">
        <v>3750</v>
      </c>
      <c r="F7" s="6">
        <v>3857</v>
      </c>
      <c r="G7" s="6">
        <v>4000</v>
      </c>
      <c r="H7" s="1">
        <f>1400*2.5</f>
        <v>3500</v>
      </c>
      <c r="I7" s="1">
        <f>1650*2.5</f>
        <v>4125</v>
      </c>
      <c r="J7" s="1">
        <f>1350*2.5</f>
        <v>3375</v>
      </c>
      <c r="K7" s="1">
        <f>1550*2.5</f>
        <v>3875</v>
      </c>
      <c r="L7" s="6">
        <f t="shared" si="0"/>
        <v>3783.1428571428573</v>
      </c>
      <c r="M7" s="6">
        <v>70661</v>
      </c>
    </row>
    <row r="8" spans="1:13" x14ac:dyDescent="0.35">
      <c r="A8" s="9" t="s">
        <v>14</v>
      </c>
      <c r="B8" s="1">
        <v>2.8</v>
      </c>
      <c r="C8" s="1" t="s">
        <v>4</v>
      </c>
      <c r="D8" s="1" t="s">
        <v>27</v>
      </c>
      <c r="E8" s="6">
        <v>4340</v>
      </c>
      <c r="F8" s="6">
        <v>4410</v>
      </c>
      <c r="G8" s="1">
        <f>1603*2.8</f>
        <v>4488.3999999999996</v>
      </c>
      <c r="H8" s="1">
        <f>1525*2.8</f>
        <v>4270</v>
      </c>
      <c r="I8" s="1">
        <f>1550*2.5</f>
        <v>3875</v>
      </c>
      <c r="J8" s="1">
        <f>1450*2.8</f>
        <v>4059.9999999999995</v>
      </c>
      <c r="K8" s="1">
        <f>1625*2.8</f>
        <v>4550</v>
      </c>
      <c r="L8" s="6">
        <f t="shared" si="0"/>
        <v>4284.7714285714292</v>
      </c>
      <c r="M8" s="6">
        <v>77429</v>
      </c>
    </row>
    <row r="9" spans="1:13" x14ac:dyDescent="0.35">
      <c r="A9" s="9" t="s">
        <v>15</v>
      </c>
      <c r="B9" s="1">
        <v>3.5</v>
      </c>
      <c r="C9" s="1" t="s">
        <v>5</v>
      </c>
      <c r="D9" s="1" t="s">
        <v>27</v>
      </c>
      <c r="E9" s="5">
        <v>5162.6000000000004</v>
      </c>
      <c r="F9" s="6">
        <v>4900</v>
      </c>
      <c r="G9" s="1">
        <f>1450*3.5</f>
        <v>5075</v>
      </c>
      <c r="H9" s="1">
        <f>1490*3.5</f>
        <v>5215</v>
      </c>
      <c r="I9" s="1">
        <f>1475*3.5</f>
        <v>5162.5</v>
      </c>
      <c r="J9" s="1">
        <f>1300*3.5</f>
        <v>4550</v>
      </c>
      <c r="K9" s="1">
        <f>1450*3.5</f>
        <v>5075</v>
      </c>
      <c r="L9" s="5">
        <f t="shared" si="0"/>
        <v>5020.0142857142855</v>
      </c>
      <c r="M9" s="6">
        <v>81341</v>
      </c>
    </row>
    <row r="10" spans="1:13" x14ac:dyDescent="0.35">
      <c r="A10" s="9" t="s">
        <v>16</v>
      </c>
      <c r="B10" s="1">
        <v>3.2</v>
      </c>
      <c r="C10" s="1" t="s">
        <v>6</v>
      </c>
      <c r="D10" s="1" t="s">
        <v>27</v>
      </c>
      <c r="E10" s="6">
        <v>5648</v>
      </c>
      <c r="F10" s="6">
        <v>5842</v>
      </c>
      <c r="G10" s="1">
        <f>1870*3.2</f>
        <v>5984</v>
      </c>
      <c r="H10" s="1">
        <f>1925*3.2</f>
        <v>6160</v>
      </c>
      <c r="I10" s="1">
        <f>1890*3.2</f>
        <v>6048</v>
      </c>
      <c r="J10" s="1">
        <f>1700*3.2</f>
        <v>5440</v>
      </c>
      <c r="K10" s="1">
        <f>1900*3.2</f>
        <v>6080</v>
      </c>
      <c r="L10" s="6">
        <f t="shared" si="0"/>
        <v>5886</v>
      </c>
      <c r="M10" s="6">
        <v>84345</v>
      </c>
    </row>
    <row r="11" spans="1:13" x14ac:dyDescent="0.35">
      <c r="A11" s="9" t="s">
        <v>17</v>
      </c>
      <c r="B11" s="1">
        <v>3.7</v>
      </c>
      <c r="C11" s="1" t="s">
        <v>7</v>
      </c>
      <c r="D11" s="1" t="s">
        <v>27</v>
      </c>
      <c r="E11" s="6">
        <v>3626</v>
      </c>
      <c r="F11" s="6">
        <v>3145</v>
      </c>
      <c r="G11" s="1">
        <f>950*3.7</f>
        <v>3515</v>
      </c>
      <c r="H11" s="1">
        <f>975*3.7</f>
        <v>3607.5</v>
      </c>
      <c r="I11" s="1">
        <f>990*3.7</f>
        <v>3663</v>
      </c>
      <c r="J11" s="1">
        <f>800*3.7</f>
        <v>2960</v>
      </c>
      <c r="K11" s="1">
        <f>880*3.7</f>
        <v>3256</v>
      </c>
      <c r="L11" s="6">
        <f t="shared" si="0"/>
        <v>3396.0714285714284</v>
      </c>
      <c r="M11" s="6">
        <v>72837</v>
      </c>
    </row>
    <row r="12" spans="1:13" x14ac:dyDescent="0.35">
      <c r="A12" s="9" t="s">
        <v>18</v>
      </c>
      <c r="B12" s="1">
        <v>4.2</v>
      </c>
      <c r="C12" s="1" t="s">
        <v>3</v>
      </c>
      <c r="D12" s="1" t="s">
        <v>25</v>
      </c>
      <c r="E12" s="6">
        <v>6300</v>
      </c>
      <c r="F12" s="6">
        <v>6510</v>
      </c>
      <c r="G12" s="6">
        <v>6720</v>
      </c>
      <c r="H12" s="1">
        <f>1400*4.2</f>
        <v>5880</v>
      </c>
      <c r="I12" s="1">
        <f>1650*4.2</f>
        <v>6930</v>
      </c>
      <c r="J12" s="1">
        <f>1350*4.2</f>
        <v>5670</v>
      </c>
      <c r="K12" s="1">
        <f>1550*4.2</f>
        <v>6510</v>
      </c>
      <c r="L12" s="6">
        <f t="shared" si="0"/>
        <v>6360</v>
      </c>
      <c r="M12" s="6">
        <v>85502</v>
      </c>
    </row>
    <row r="13" spans="1:13" x14ac:dyDescent="0.35">
      <c r="A13" s="9" t="s">
        <v>19</v>
      </c>
      <c r="B13" s="1">
        <v>4.7</v>
      </c>
      <c r="C13" s="1" t="s">
        <v>4</v>
      </c>
      <c r="D13" s="1" t="s">
        <v>25</v>
      </c>
      <c r="E13" s="1">
        <v>7285</v>
      </c>
      <c r="F13" s="5">
        <v>7402.5</v>
      </c>
      <c r="G13" s="1">
        <f>1602*4.7</f>
        <v>7529.4000000000005</v>
      </c>
      <c r="H13" s="1">
        <f>1525*4.7</f>
        <v>7167.5</v>
      </c>
      <c r="I13" s="1">
        <f>1550*4.7</f>
        <v>7285</v>
      </c>
      <c r="J13" s="1">
        <f>1450*4.7</f>
        <v>6815</v>
      </c>
      <c r="K13" s="1">
        <f>1625*4.7</f>
        <v>7637.5</v>
      </c>
      <c r="L13" s="6">
        <f t="shared" si="0"/>
        <v>7303.1285714285714</v>
      </c>
      <c r="M13" s="6">
        <v>96860</v>
      </c>
    </row>
    <row r="14" spans="1:13" x14ac:dyDescent="0.35">
      <c r="A14" s="9" t="s">
        <v>20</v>
      </c>
      <c r="B14" s="1">
        <v>5.6</v>
      </c>
      <c r="C14" s="1" t="s">
        <v>5</v>
      </c>
      <c r="D14" s="1" t="s">
        <v>25</v>
      </c>
      <c r="E14" s="1">
        <v>8260</v>
      </c>
      <c r="F14" s="6">
        <v>7840</v>
      </c>
      <c r="G14" s="1">
        <f>1450*5.6</f>
        <v>8119.9999999999991</v>
      </c>
      <c r="H14" s="1">
        <f>1490*5.6</f>
        <v>8344</v>
      </c>
      <c r="I14" s="1">
        <f>1475*5.6</f>
        <v>8260</v>
      </c>
      <c r="J14" s="1">
        <f>1300*5.6</f>
        <v>7279.9999999999991</v>
      </c>
      <c r="K14" s="1">
        <f>1450*5.6</f>
        <v>8119.9999999999991</v>
      </c>
      <c r="L14" s="6">
        <f t="shared" si="0"/>
        <v>8032</v>
      </c>
      <c r="M14" s="6">
        <v>100550</v>
      </c>
    </row>
    <row r="15" spans="1:13" x14ac:dyDescent="0.35">
      <c r="A15" s="9" t="s">
        <v>21</v>
      </c>
      <c r="B15" s="1">
        <v>5.9</v>
      </c>
      <c r="C15" s="1" t="s">
        <v>6</v>
      </c>
      <c r="D15" s="1" t="s">
        <v>25</v>
      </c>
      <c r="E15" s="5">
        <v>10413.5</v>
      </c>
      <c r="F15" s="6">
        <v>10738</v>
      </c>
      <c r="G15" s="1">
        <f>1870*5.9</f>
        <v>11033</v>
      </c>
      <c r="H15" s="1">
        <f>1925*5.9</f>
        <v>11357.5</v>
      </c>
      <c r="I15" s="1">
        <f>1890*5.9</f>
        <v>11151</v>
      </c>
      <c r="J15" s="1">
        <f>1700*5.9</f>
        <v>10030</v>
      </c>
      <c r="K15" s="1">
        <f>1900*6.3</f>
        <v>11970</v>
      </c>
      <c r="L15" s="5">
        <f t="shared" si="0"/>
        <v>10956.142857142857</v>
      </c>
      <c r="M15" s="6">
        <v>114215</v>
      </c>
    </row>
    <row r="16" spans="1:13" x14ac:dyDescent="0.35">
      <c r="A16" s="9" t="s">
        <v>22</v>
      </c>
      <c r="B16" s="1">
        <v>6.3</v>
      </c>
      <c r="C16" s="1" t="s">
        <v>7</v>
      </c>
      <c r="D16" s="1" t="s">
        <v>25</v>
      </c>
      <c r="E16" s="6">
        <v>6174</v>
      </c>
      <c r="F16" s="6">
        <v>5355</v>
      </c>
      <c r="G16" s="1">
        <f>950*6.3</f>
        <v>5985</v>
      </c>
      <c r="H16" s="1">
        <f>975*6.3</f>
        <v>6142.5</v>
      </c>
      <c r="I16" s="1">
        <f>990*6.3</f>
        <v>6237</v>
      </c>
      <c r="J16" s="1">
        <f>800*6.3</f>
        <v>5040</v>
      </c>
      <c r="K16" s="1">
        <f>880*6.3</f>
        <v>5544</v>
      </c>
      <c r="L16" s="6">
        <f t="shared" si="0"/>
        <v>5782.5</v>
      </c>
      <c r="M16" s="6">
        <v>79722</v>
      </c>
    </row>
    <row r="17" spans="1:13" x14ac:dyDescent="0.35">
      <c r="A17" s="9" t="s">
        <v>28</v>
      </c>
      <c r="B17" s="1">
        <v>10.1</v>
      </c>
      <c r="C17" s="1" t="s">
        <v>3</v>
      </c>
      <c r="D17" s="1" t="s">
        <v>26</v>
      </c>
      <c r="E17" s="6">
        <v>15150</v>
      </c>
      <c r="F17" s="6">
        <v>15655</v>
      </c>
      <c r="G17" s="6">
        <v>16160</v>
      </c>
      <c r="H17" s="1">
        <f>1400*10.1</f>
        <v>14140</v>
      </c>
      <c r="I17" s="1">
        <f>1650*10.1</f>
        <v>16665</v>
      </c>
      <c r="J17" s="1">
        <f>1350*10.1</f>
        <v>13635</v>
      </c>
      <c r="K17" s="1">
        <f>1550*10.2</f>
        <v>15809.999999999998</v>
      </c>
      <c r="L17" s="6">
        <f t="shared" si="0"/>
        <v>15316.428571428571</v>
      </c>
      <c r="M17" s="6">
        <v>117123</v>
      </c>
    </row>
    <row r="18" spans="1:13" x14ac:dyDescent="0.35">
      <c r="A18" s="9" t="s">
        <v>29</v>
      </c>
      <c r="B18" s="1">
        <v>11</v>
      </c>
      <c r="C18" s="1" t="s">
        <v>4</v>
      </c>
      <c r="D18" s="1" t="s">
        <v>26</v>
      </c>
      <c r="E18" s="6">
        <v>17050</v>
      </c>
      <c r="F18" s="6">
        <v>17325</v>
      </c>
      <c r="G18" s="1">
        <f>1602*11</f>
        <v>17622</v>
      </c>
      <c r="H18" s="1">
        <f>1525*11</f>
        <v>16775</v>
      </c>
      <c r="I18" s="1">
        <f>1550*11</f>
        <v>17050</v>
      </c>
      <c r="J18" s="1">
        <f>1450*11</f>
        <v>15950</v>
      </c>
      <c r="K18" s="1">
        <f>1625*11</f>
        <v>17875</v>
      </c>
      <c r="L18" s="6">
        <f t="shared" si="0"/>
        <v>17092.428571428572</v>
      </c>
      <c r="M18" s="6">
        <v>121245</v>
      </c>
    </row>
    <row r="19" spans="1:13" x14ac:dyDescent="0.35">
      <c r="A19" s="9" t="s">
        <v>30</v>
      </c>
      <c r="B19" s="1">
        <v>10.3</v>
      </c>
      <c r="C19" s="1" t="s">
        <v>5</v>
      </c>
      <c r="D19" s="1" t="s">
        <v>26</v>
      </c>
      <c r="E19" s="6">
        <v>15192</v>
      </c>
      <c r="F19" s="6">
        <v>14420</v>
      </c>
      <c r="G19" s="1">
        <f>1450*10.3</f>
        <v>14935.000000000002</v>
      </c>
      <c r="H19" s="1">
        <f>1490*10.3</f>
        <v>15347.000000000002</v>
      </c>
      <c r="I19" s="1">
        <f>1475*10.3</f>
        <v>15192.500000000002</v>
      </c>
      <c r="J19" s="1">
        <f>1300*10.3</f>
        <v>13390.000000000002</v>
      </c>
      <c r="K19" s="1">
        <f>1450*10.3</f>
        <v>14935.000000000002</v>
      </c>
      <c r="L19" s="6">
        <f t="shared" si="0"/>
        <v>14773.071428571429</v>
      </c>
      <c r="M19" s="6">
        <v>110120</v>
      </c>
    </row>
    <row r="20" spans="1:13" x14ac:dyDescent="0.35">
      <c r="A20" s="9" t="s">
        <v>31</v>
      </c>
      <c r="B20" s="1">
        <v>10</v>
      </c>
      <c r="C20" s="1" t="s">
        <v>6</v>
      </c>
      <c r="D20" s="1" t="s">
        <v>26</v>
      </c>
      <c r="E20" s="6">
        <v>17650</v>
      </c>
      <c r="F20" s="6">
        <v>18200</v>
      </c>
      <c r="G20" s="1">
        <f>1870*10</f>
        <v>18700</v>
      </c>
      <c r="H20" s="1">
        <f>1925*10</f>
        <v>19250</v>
      </c>
      <c r="I20" s="1">
        <f>1890*10</f>
        <v>18900</v>
      </c>
      <c r="J20" s="1">
        <f>1700*10</f>
        <v>17000</v>
      </c>
      <c r="K20" s="1">
        <f>1900*10</f>
        <v>19000</v>
      </c>
      <c r="L20" s="6">
        <f t="shared" si="0"/>
        <v>18385.714285714286</v>
      </c>
      <c r="M20" s="6">
        <v>122100</v>
      </c>
    </row>
    <row r="21" spans="1:13" x14ac:dyDescent="0.35">
      <c r="A21" s="9" t="s">
        <v>32</v>
      </c>
      <c r="B21" s="1">
        <v>10.199999999999999</v>
      </c>
      <c r="C21" s="1" t="s">
        <v>7</v>
      </c>
      <c r="D21" s="1" t="s">
        <v>26</v>
      </c>
      <c r="E21" s="6">
        <v>9996</v>
      </c>
      <c r="F21" s="6">
        <v>8670</v>
      </c>
      <c r="G21" s="1">
        <f>950*10.2</f>
        <v>9690</v>
      </c>
      <c r="H21" s="1">
        <f>975*10.2</f>
        <v>9945</v>
      </c>
      <c r="I21" s="1">
        <f>990*10.2</f>
        <v>10098</v>
      </c>
      <c r="J21" s="1">
        <f>800*10.2</f>
        <v>8159.9999999999991</v>
      </c>
      <c r="K21" s="1">
        <f>880*10.2</f>
        <v>8976</v>
      </c>
      <c r="L21" s="6">
        <f t="shared" si="0"/>
        <v>9362.1428571428569</v>
      </c>
      <c r="M21" s="6">
        <v>104875</v>
      </c>
    </row>
  </sheetData>
  <conditionalFormatting sqref="C2">
    <cfRule type="expression" dxfId="316" priority="18">
      <formula>$C2=NBS</formula>
    </cfRule>
  </conditionalFormatting>
  <conditionalFormatting sqref="A2:I21">
    <cfRule type="expression" dxfId="315" priority="17">
      <formula>$C2="NBS"</formula>
    </cfRule>
  </conditionalFormatting>
  <conditionalFormatting sqref="A2:K21">
    <cfRule type="expression" dxfId="314" priority="16">
      <formula>$C3="CBS"</formula>
    </cfRule>
  </conditionalFormatting>
  <conditionalFormatting sqref="A3:K21">
    <cfRule type="expression" dxfId="313" priority="15">
      <formula>$C3="CBS"</formula>
    </cfRule>
  </conditionalFormatting>
  <conditionalFormatting sqref="A4:K21">
    <cfRule type="expression" dxfId="312" priority="14">
      <formula>$C4="SBS"</formula>
    </cfRule>
  </conditionalFormatting>
  <conditionalFormatting sqref="A5:K21">
    <cfRule type="expression" dxfId="311" priority="13">
      <formula>$C5="NLS"</formula>
    </cfRule>
  </conditionalFormatting>
  <conditionalFormatting sqref="A6:K21">
    <cfRule type="expression" dxfId="310" priority="12">
      <formula>$C6="SLS"</formula>
    </cfRule>
  </conditionalFormatting>
  <conditionalFormatting sqref="A2:XFD2">
    <cfRule type="expression" dxfId="309" priority="11">
      <formula>$A2=NBS</formula>
    </cfRule>
  </conditionalFormatting>
  <conditionalFormatting sqref="A2:M21">
    <cfRule type="expression" dxfId="308" priority="6">
      <formula>$C2="NBS"</formula>
    </cfRule>
    <cfRule type="expression" dxfId="307" priority="7">
      <formula>$C2=NBS</formula>
    </cfRule>
    <cfRule type="containsText" dxfId="306" priority="9" operator="containsText" text="NBS">
      <formula>NOT(ISERROR(SEARCH("NBS",A2)))</formula>
    </cfRule>
    <cfRule type="expression" dxfId="305" priority="10">
      <formula>$A2=NBS</formula>
    </cfRule>
  </conditionalFormatting>
  <conditionalFormatting sqref="A3:M21">
    <cfRule type="expression" dxfId="304" priority="5">
      <formula>$C3="CBS"</formula>
    </cfRule>
  </conditionalFormatting>
  <conditionalFormatting sqref="A4:M21">
    <cfRule type="expression" dxfId="303" priority="4">
      <formula>$C4="SBS"</formula>
    </cfRule>
  </conditionalFormatting>
  <conditionalFormatting sqref="A5:M21">
    <cfRule type="expression" dxfId="302" priority="2">
      <formula>$C5="NLS"</formula>
    </cfRule>
    <cfRule type="expression" dxfId="301" priority="3">
      <formula>$C4="SLS"</formula>
    </cfRule>
  </conditionalFormatting>
  <conditionalFormatting sqref="A6:M21">
    <cfRule type="expression" dxfId="300" priority="1">
      <formula>$C6="SLS"</formula>
    </cfRule>
  </conditionalFormatting>
  <hyperlinks>
    <hyperlink ref="A2" location="'Siri Farm'!A1" display="Siri farms" xr:uid="{62C96D15-720E-43D5-8C1C-8294DDC7B90A}"/>
    <hyperlink ref="A3" location="'Vasant Farm'!A1" display="Vasant farms" xr:uid="{B68E481A-65E4-40A1-979C-433563CE3580}"/>
    <hyperlink ref="A4" location="'Uma Farm'!A1" display="Uma farms" xr:uid="{0DF88383-DF76-4C07-8698-4B9CBCA435CC}"/>
    <hyperlink ref="A5" location="'VSF farm'!A1" display="VSF farms" xr:uid="{0ACBD764-D462-4210-AF00-475F3E7CC158}"/>
    <hyperlink ref="A6" location="'Surya Farm'!A1" display="Surya farms" xr:uid="{ED1C0F7A-93EC-4459-9A9F-D8CA23EF953A}"/>
    <hyperlink ref="A7" location="'Rao Farm'!A1" display="Rao farms" xr:uid="{F62D00A3-2081-4B40-91E2-E0BF14035FC3}"/>
    <hyperlink ref="A8" location="'Krishna Farm'!A1" display="Krishna farms" xr:uid="{3AF06A62-7EB2-4001-BCB0-FC5631165530}"/>
    <hyperlink ref="A9" location="'DhanaRaj Farm'!A1" display="DhanaRaj farms" xr:uid="{4E3361D5-4E32-4E11-BA1C-DF3AAF5A3530}"/>
    <hyperlink ref="A10" location="'Raju Farm'!A1" display="Raju farms" xr:uid="{9CD07E50-85A7-428D-834D-1D082CA3C541}"/>
    <hyperlink ref="A11" location="'Devaki Farm'!A1" display="Devaki farms" xr:uid="{96B459EA-235E-4661-9C1E-B43ABF2323A9}"/>
    <hyperlink ref="A12" location="'Lakshmi Farm'!A1" display="Lakshmi farms" xr:uid="{176C6B60-1415-4F8E-B186-2F8A9B5B6D43}"/>
    <hyperlink ref="A13" location="'Hemalatha Farm'!A1" display="Hemalatha farms" xr:uid="{4900A9F5-B2AD-466D-852D-7A859B50E207}"/>
    <hyperlink ref="A14" location="'Bindu Farm'!A1" display="Bindu farms" xr:uid="{EC3CD9A9-2782-4D41-B88D-C000007C1593}"/>
    <hyperlink ref="A15" location="'Vasundra Farm'!A1" display="Vasundra farms" xr:uid="{114CD736-EF45-4F21-96C7-FEE65EC1A4A8}"/>
    <hyperlink ref="A16" location="'Rama Farm'!A1" display="Rama farms" xr:uid="{B35FD54D-3C93-4057-8842-2F6733530295}"/>
    <hyperlink ref="A17" location="'Rani Farm'!A1" display="Rani Farms" xr:uid="{B283BFEE-5940-4465-AF15-FBCB164EC4D0}"/>
    <hyperlink ref="A18" location="'Prt Ltd Farm'!A1" display="Prt Ltd farms" xr:uid="{44845D8C-6798-419C-A25F-8FB8F35BCB01}"/>
    <hyperlink ref="A19" location="'RR Farm'!A1" display="RR farms" xr:uid="{6F3AE0F8-6E43-4C70-9B72-4B545BFAF7C9}"/>
    <hyperlink ref="A20" location="'Sanch Farm'!A1" display="Sanch farms" xr:uid="{5692CDA5-5D51-4221-A926-FD1677EC0ED6}"/>
    <hyperlink ref="A21" location="'KKM Farm'!A1" display="KKM farms" xr:uid="{BD6BC32F-1A96-4383-B71A-663CB7D626D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EC08-C765-441F-A1B5-C31AFFB27305}">
  <sheetPr codeName="Sheet10"/>
  <dimension ref="A1:Q15"/>
  <sheetViews>
    <sheetView topLeftCell="I1" workbookViewId="0">
      <selection activeCell="P11" sqref="P11"/>
    </sheetView>
  </sheetViews>
  <sheetFormatPr defaultRowHeight="14.5" x14ac:dyDescent="0.35"/>
  <cols>
    <col min="1" max="1" width="10.6328125" style="1" customWidth="1"/>
    <col min="2" max="3" width="11.81640625" style="1" customWidth="1"/>
    <col min="4" max="5" width="10.7265625" style="1" customWidth="1"/>
    <col min="6" max="7" width="10" style="1" customWidth="1"/>
    <col min="8" max="9" width="12.90625" style="1" customWidth="1"/>
    <col min="10" max="16384" width="8.7265625" style="1"/>
  </cols>
  <sheetData>
    <row r="1" spans="1:17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7" x14ac:dyDescent="0.35">
      <c r="A2" s="10">
        <v>41487</v>
      </c>
      <c r="B2" s="1">
        <v>7285</v>
      </c>
      <c r="D2" s="7">
        <v>28000</v>
      </c>
      <c r="E2" s="7"/>
      <c r="F2" s="7">
        <v>49000</v>
      </c>
      <c r="G2" s="7"/>
      <c r="H2" s="4">
        <v>7900</v>
      </c>
      <c r="I2" s="4"/>
      <c r="J2" s="7">
        <v>9000</v>
      </c>
      <c r="K2" s="7"/>
      <c r="L2" s="6">
        <f t="shared" ref="L2:L7" si="0">SUM(D2:J2)</f>
        <v>93900</v>
      </c>
    </row>
    <row r="3" spans="1:17" x14ac:dyDescent="0.35">
      <c r="A3" s="10">
        <v>41852</v>
      </c>
      <c r="B3" s="1">
        <v>7402.5</v>
      </c>
      <c r="D3" s="7">
        <v>30100</v>
      </c>
      <c r="E3" s="7"/>
      <c r="F3" s="7">
        <v>48500</v>
      </c>
      <c r="G3" s="7"/>
      <c r="H3" s="4">
        <v>8000</v>
      </c>
      <c r="I3" s="4"/>
      <c r="J3" s="7">
        <v>9500</v>
      </c>
      <c r="K3" s="7"/>
      <c r="L3" s="6">
        <f t="shared" si="0"/>
        <v>96100</v>
      </c>
    </row>
    <row r="4" spans="1:17" x14ac:dyDescent="0.35">
      <c r="A4" s="10">
        <v>42217</v>
      </c>
      <c r="B4" s="1">
        <v>7529.4</v>
      </c>
      <c r="D4" s="7">
        <v>31000</v>
      </c>
      <c r="E4" s="7"/>
      <c r="F4" s="7">
        <v>48200</v>
      </c>
      <c r="G4" s="7"/>
      <c r="H4" s="4">
        <v>8100</v>
      </c>
      <c r="I4" s="4"/>
      <c r="J4" s="7">
        <v>9000</v>
      </c>
      <c r="K4" s="7"/>
      <c r="L4" s="6">
        <f t="shared" si="0"/>
        <v>96300</v>
      </c>
    </row>
    <row r="5" spans="1:17" x14ac:dyDescent="0.35">
      <c r="A5" s="10">
        <v>42583</v>
      </c>
      <c r="B5" s="1">
        <v>7167.5</v>
      </c>
      <c r="D5" s="7">
        <v>30700</v>
      </c>
      <c r="E5" s="7"/>
      <c r="F5" s="7">
        <v>48100</v>
      </c>
      <c r="G5" s="7"/>
      <c r="H5" s="4">
        <v>8900</v>
      </c>
      <c r="I5" s="4"/>
      <c r="J5" s="7">
        <v>9000</v>
      </c>
      <c r="K5" s="7"/>
      <c r="L5" s="6">
        <f t="shared" si="0"/>
        <v>96700</v>
      </c>
    </row>
    <row r="6" spans="1:17" x14ac:dyDescent="0.35">
      <c r="A6" s="10">
        <v>42948</v>
      </c>
      <c r="B6" s="1">
        <v>7285</v>
      </c>
      <c r="D6" s="7">
        <v>31800</v>
      </c>
      <c r="E6" s="7"/>
      <c r="F6" s="7">
        <v>49500</v>
      </c>
      <c r="G6" s="7"/>
      <c r="H6" s="4">
        <v>8600</v>
      </c>
      <c r="I6" s="4"/>
      <c r="J6" s="7">
        <v>9000</v>
      </c>
      <c r="K6" s="7"/>
      <c r="L6" s="6">
        <f t="shared" si="0"/>
        <v>98900</v>
      </c>
    </row>
    <row r="7" spans="1:17" x14ac:dyDescent="0.35">
      <c r="A7" s="10">
        <v>43313</v>
      </c>
      <c r="B7" s="1">
        <v>6815</v>
      </c>
      <c r="D7" s="7">
        <v>29500</v>
      </c>
      <c r="E7" s="7"/>
      <c r="F7" s="7">
        <v>48900</v>
      </c>
      <c r="G7" s="7"/>
      <c r="H7" s="4">
        <v>8700</v>
      </c>
      <c r="I7" s="4"/>
      <c r="J7" s="7">
        <v>9500</v>
      </c>
      <c r="K7" s="7"/>
      <c r="L7" s="6">
        <f t="shared" si="0"/>
        <v>96600</v>
      </c>
    </row>
    <row r="8" spans="1:17" x14ac:dyDescent="0.35">
      <c r="A8" s="10">
        <v>43678</v>
      </c>
      <c r="B8" s="1">
        <v>7637.5</v>
      </c>
      <c r="C8" s="1">
        <v>7637.5</v>
      </c>
      <c r="D8" s="7">
        <v>33000</v>
      </c>
      <c r="E8" s="7">
        <v>33000</v>
      </c>
      <c r="F8" s="6">
        <v>48800</v>
      </c>
      <c r="G8" s="6">
        <v>48800</v>
      </c>
      <c r="H8" s="4">
        <v>8500</v>
      </c>
      <c r="I8" s="4">
        <v>8500</v>
      </c>
      <c r="J8" s="7">
        <v>9000</v>
      </c>
      <c r="K8" s="7">
        <v>9000</v>
      </c>
      <c r="L8" s="6">
        <v>99300</v>
      </c>
      <c r="M8" s="6">
        <v>99300</v>
      </c>
    </row>
    <row r="9" spans="1:17" x14ac:dyDescent="0.35">
      <c r="A9" s="10">
        <v>44044</v>
      </c>
      <c r="C9" s="1">
        <v>7182.2</v>
      </c>
      <c r="E9" s="1">
        <v>31344.38</v>
      </c>
      <c r="G9" s="5">
        <v>48200.85</v>
      </c>
      <c r="I9" s="1">
        <v>8500</v>
      </c>
      <c r="K9" s="1">
        <v>9129</v>
      </c>
      <c r="L9" s="6"/>
      <c r="M9" s="1">
        <f>SUM(E9:K9)</f>
        <v>97174.23</v>
      </c>
    </row>
    <row r="10" spans="1:17" x14ac:dyDescent="0.35">
      <c r="A10" s="10">
        <v>44409</v>
      </c>
      <c r="C10" s="1">
        <v>7129.3</v>
      </c>
      <c r="E10" s="1">
        <v>31602.92</v>
      </c>
      <c r="G10" s="5">
        <v>47554.73</v>
      </c>
      <c r="I10" s="1">
        <v>8300</v>
      </c>
      <c r="K10" s="1">
        <v>9106</v>
      </c>
      <c r="M10" s="1">
        <f>SUM(E10:K10)</f>
        <v>96563.65</v>
      </c>
    </row>
    <row r="11" spans="1:17" x14ac:dyDescent="0.35">
      <c r="A11" s="10">
        <v>44774</v>
      </c>
      <c r="C11" s="1">
        <v>7576.4</v>
      </c>
      <c r="E11" s="1">
        <v>32061.47</v>
      </c>
      <c r="G11" s="5">
        <v>47714.52</v>
      </c>
      <c r="I11" s="1">
        <v>8200</v>
      </c>
      <c r="K11" s="1">
        <v>9083</v>
      </c>
      <c r="M11" s="1">
        <f>SUM(E11:K11)</f>
        <v>97058.989999999991</v>
      </c>
    </row>
    <row r="13" spans="1:17" x14ac:dyDescent="0.35">
      <c r="L13" s="6"/>
    </row>
    <row r="15" spans="1:17" x14ac:dyDescent="0.35">
      <c r="Q15" s="5"/>
    </row>
  </sheetData>
  <conditionalFormatting sqref="P15:T15">
    <cfRule type="expression" dxfId="187" priority="14">
      <formula>$D15="NBS"</formula>
    </cfRule>
  </conditionalFormatting>
  <conditionalFormatting sqref="P15:V15">
    <cfRule type="expression" dxfId="186" priority="13">
      <formula>$D16="CBS"</formula>
    </cfRule>
  </conditionalFormatting>
  <conditionalFormatting sqref="P15:V15">
    <cfRule type="expression" dxfId="185" priority="12">
      <formula>$D15="CBS"</formula>
    </cfRule>
  </conditionalFormatting>
  <conditionalFormatting sqref="P15:V15">
    <cfRule type="expression" dxfId="184" priority="11">
      <formula>$D15="SBS"</formula>
    </cfRule>
  </conditionalFormatting>
  <conditionalFormatting sqref="P15:V15">
    <cfRule type="expression" dxfId="183" priority="10">
      <formula>$D15="NLS"</formula>
    </cfRule>
  </conditionalFormatting>
  <conditionalFormatting sqref="P15:V15">
    <cfRule type="expression" dxfId="182" priority="9">
      <formula>$D15="SLS"</formula>
    </cfRule>
  </conditionalFormatting>
  <conditionalFormatting sqref="D2:E8">
    <cfRule type="expression" dxfId="181" priority="8">
      <formula>#REF!="NBS"</formula>
    </cfRule>
  </conditionalFormatting>
  <conditionalFormatting sqref="D2:E8">
    <cfRule type="expression" dxfId="180" priority="7">
      <formula>#REF!="CBS"</formula>
    </cfRule>
  </conditionalFormatting>
  <conditionalFormatting sqref="F2:G7">
    <cfRule type="expression" dxfId="179" priority="6">
      <formula>#REF!="NBS"</formula>
    </cfRule>
  </conditionalFormatting>
  <conditionalFormatting sqref="F2:G7">
    <cfRule type="expression" dxfId="178" priority="5">
      <formula>#REF!="CBS"</formula>
    </cfRule>
  </conditionalFormatting>
  <conditionalFormatting sqref="H2:I8">
    <cfRule type="expression" dxfId="177" priority="4">
      <formula>#REF!="NBS"</formula>
    </cfRule>
  </conditionalFormatting>
  <conditionalFormatting sqref="H2:I8">
    <cfRule type="expression" dxfId="176" priority="3">
      <formula>#REF!="CBS"</formula>
    </cfRule>
  </conditionalFormatting>
  <conditionalFormatting sqref="J2:K8">
    <cfRule type="expression" dxfId="175" priority="2">
      <formula>#REF!="NBS"</formula>
    </cfRule>
  </conditionalFormatting>
  <conditionalFormatting sqref="J2:K8">
    <cfRule type="expression" dxfId="174" priority="1">
      <formula>#REF!="CBS"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0F4-07CB-407A-8596-70BEF7C9FA44}">
  <sheetPr codeName="Sheet11"/>
  <dimension ref="A1:O13"/>
  <sheetViews>
    <sheetView topLeftCell="H1" workbookViewId="0">
      <selection activeCell="O11" sqref="O11"/>
    </sheetView>
  </sheetViews>
  <sheetFormatPr defaultRowHeight="14.5" x14ac:dyDescent="0.35"/>
  <cols>
    <col min="1" max="1" width="10.453125" style="1" customWidth="1"/>
    <col min="2" max="3" width="10.6328125" style="1" customWidth="1"/>
    <col min="4" max="5" width="10.81640625" style="1" customWidth="1"/>
    <col min="6" max="7" width="9.08984375" style="1" customWidth="1"/>
    <col min="8" max="9" width="12.26953125" style="1" customWidth="1"/>
    <col min="10" max="11" width="8.7265625" style="1" customWidth="1"/>
    <col min="12" max="12" width="8.7265625" style="1"/>
    <col min="13" max="13" width="10.54296875" style="1" customWidth="1"/>
    <col min="14" max="16384" width="8.7265625" style="1"/>
  </cols>
  <sheetData>
    <row r="1" spans="1:15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5" x14ac:dyDescent="0.35">
      <c r="A2" s="10">
        <v>41487</v>
      </c>
      <c r="B2" s="1">
        <v>6300</v>
      </c>
      <c r="D2" s="7">
        <v>20000</v>
      </c>
      <c r="E2" s="7"/>
      <c r="F2" s="7">
        <v>46000</v>
      </c>
      <c r="G2" s="7"/>
      <c r="H2" s="4">
        <v>6900</v>
      </c>
      <c r="I2" s="4"/>
      <c r="J2" s="7">
        <v>8000</v>
      </c>
      <c r="K2" s="7"/>
      <c r="L2" s="6">
        <f t="shared" ref="L2:L7" si="0">SUM(D2:J2)</f>
        <v>80900</v>
      </c>
    </row>
    <row r="3" spans="1:15" x14ac:dyDescent="0.35">
      <c r="A3" s="10">
        <v>41852</v>
      </c>
      <c r="B3" s="1">
        <v>6510</v>
      </c>
      <c r="D3" s="7">
        <v>22100</v>
      </c>
      <c r="E3" s="7"/>
      <c r="F3" s="7">
        <v>46500</v>
      </c>
      <c r="G3" s="7"/>
      <c r="H3" s="4">
        <v>7000</v>
      </c>
      <c r="I3" s="4"/>
      <c r="J3" s="7">
        <v>8500</v>
      </c>
      <c r="K3" s="7"/>
      <c r="L3" s="6">
        <f t="shared" si="0"/>
        <v>84100</v>
      </c>
    </row>
    <row r="4" spans="1:15" x14ac:dyDescent="0.35">
      <c r="A4" s="10">
        <v>42217</v>
      </c>
      <c r="B4" s="1">
        <v>6720</v>
      </c>
      <c r="D4" s="7">
        <v>25500</v>
      </c>
      <c r="E4" s="7"/>
      <c r="F4" s="7">
        <v>46200</v>
      </c>
      <c r="G4" s="7"/>
      <c r="H4" s="4">
        <v>7100</v>
      </c>
      <c r="I4" s="4"/>
      <c r="J4" s="7">
        <v>8000</v>
      </c>
      <c r="K4" s="7"/>
      <c r="L4" s="6">
        <f t="shared" si="0"/>
        <v>86800</v>
      </c>
    </row>
    <row r="5" spans="1:15" x14ac:dyDescent="0.35">
      <c r="A5" s="10">
        <v>42583</v>
      </c>
      <c r="B5" s="1">
        <v>5880</v>
      </c>
      <c r="D5" s="7">
        <v>19700</v>
      </c>
      <c r="E5" s="7"/>
      <c r="F5" s="7">
        <v>47200</v>
      </c>
      <c r="G5" s="7"/>
      <c r="H5" s="4">
        <v>7900</v>
      </c>
      <c r="I5" s="4"/>
      <c r="J5" s="7">
        <v>8000</v>
      </c>
      <c r="K5" s="7"/>
      <c r="L5" s="6">
        <f t="shared" si="0"/>
        <v>82800</v>
      </c>
    </row>
    <row r="6" spans="1:15" x14ac:dyDescent="0.35">
      <c r="A6" s="10">
        <v>42948</v>
      </c>
      <c r="B6" s="1">
        <v>6930</v>
      </c>
      <c r="D6" s="7">
        <v>26000</v>
      </c>
      <c r="E6" s="7"/>
      <c r="F6" s="7">
        <v>47500</v>
      </c>
      <c r="G6" s="7"/>
      <c r="H6" s="4">
        <v>8000</v>
      </c>
      <c r="I6" s="4"/>
      <c r="J6" s="7">
        <v>8000</v>
      </c>
      <c r="K6" s="7"/>
      <c r="L6" s="6">
        <f t="shared" si="0"/>
        <v>89500</v>
      </c>
    </row>
    <row r="7" spans="1:15" x14ac:dyDescent="0.35">
      <c r="A7" s="10">
        <v>43313</v>
      </c>
      <c r="B7" s="1">
        <v>5670</v>
      </c>
      <c r="D7" s="7">
        <v>23000</v>
      </c>
      <c r="E7" s="7"/>
      <c r="F7" s="7">
        <v>46000</v>
      </c>
      <c r="G7" s="7"/>
      <c r="H7" s="4">
        <v>8100</v>
      </c>
      <c r="I7" s="4"/>
      <c r="J7" s="7">
        <v>8500</v>
      </c>
      <c r="K7" s="7"/>
      <c r="L7" s="6">
        <f t="shared" si="0"/>
        <v>85600</v>
      </c>
    </row>
    <row r="8" spans="1:15" x14ac:dyDescent="0.35">
      <c r="A8" s="10">
        <v>43678</v>
      </c>
      <c r="B8" s="1">
        <v>6510</v>
      </c>
      <c r="C8" s="1">
        <v>6510</v>
      </c>
      <c r="D8" s="7">
        <v>25500</v>
      </c>
      <c r="E8" s="7">
        <v>25500</v>
      </c>
      <c r="F8" s="6">
        <v>47800</v>
      </c>
      <c r="G8" s="6">
        <v>47800</v>
      </c>
      <c r="H8" s="4">
        <v>8500</v>
      </c>
      <c r="I8" s="4">
        <v>8500</v>
      </c>
      <c r="J8" s="7">
        <v>8000</v>
      </c>
      <c r="K8" s="7">
        <v>8000</v>
      </c>
      <c r="L8" s="6">
        <v>89800</v>
      </c>
      <c r="M8" s="6">
        <v>89800</v>
      </c>
    </row>
    <row r="9" spans="1:15" x14ac:dyDescent="0.35">
      <c r="A9" s="10">
        <v>44044</v>
      </c>
      <c r="C9" s="1">
        <v>6096.12</v>
      </c>
      <c r="E9" s="5">
        <v>23797.85</v>
      </c>
      <c r="G9" s="5">
        <v>44320.87</v>
      </c>
      <c r="I9" s="1">
        <v>7581.38</v>
      </c>
      <c r="K9" s="1">
        <v>9043.0789999999997</v>
      </c>
      <c r="L9" s="5"/>
      <c r="M9" s="5">
        <f>SUM(E9:K9)</f>
        <v>84743.179000000004</v>
      </c>
    </row>
    <row r="10" spans="1:15" x14ac:dyDescent="0.35">
      <c r="A10" s="10">
        <v>44409</v>
      </c>
      <c r="C10" s="1">
        <v>5950.06</v>
      </c>
      <c r="E10" s="5">
        <v>24868.52</v>
      </c>
      <c r="G10" s="5">
        <v>42378.36</v>
      </c>
      <c r="I10" s="1">
        <v>8897.4599999999991</v>
      </c>
      <c r="K10" s="1">
        <v>9606.66</v>
      </c>
      <c r="L10" s="5"/>
      <c r="M10" s="5">
        <f>SUM(E10:K10)</f>
        <v>85751</v>
      </c>
    </row>
    <row r="11" spans="1:15" x14ac:dyDescent="0.35">
      <c r="A11" s="10">
        <v>44774</v>
      </c>
      <c r="C11" s="1">
        <v>6003.9949999999999</v>
      </c>
      <c r="E11" s="5">
        <v>24939.200000000001</v>
      </c>
      <c r="G11" s="5">
        <v>46435.85</v>
      </c>
      <c r="I11" s="1">
        <v>6213.5540000000001</v>
      </c>
      <c r="K11" s="5">
        <v>7440.7</v>
      </c>
      <c r="L11" s="5"/>
      <c r="M11" s="5">
        <f>SUM(E11:K11)</f>
        <v>85029.304000000004</v>
      </c>
    </row>
    <row r="12" spans="1:15" x14ac:dyDescent="0.35">
      <c r="M12" s="6"/>
      <c r="N12" s="6"/>
      <c r="O12" s="6"/>
    </row>
    <row r="13" spans="1:15" x14ac:dyDescent="0.35">
      <c r="L13" s="6"/>
    </row>
  </sheetData>
  <conditionalFormatting sqref="M12:Q12">
    <cfRule type="expression" dxfId="173" priority="14">
      <formula>$D12="NBS"</formula>
    </cfRule>
  </conditionalFormatting>
  <conditionalFormatting sqref="M12:S12">
    <cfRule type="expression" dxfId="172" priority="13">
      <formula>$D13="CBS"</formula>
    </cfRule>
  </conditionalFormatting>
  <conditionalFormatting sqref="M12:S12">
    <cfRule type="expression" dxfId="171" priority="12">
      <formula>$D12="CBS"</formula>
    </cfRule>
  </conditionalFormatting>
  <conditionalFormatting sqref="M12:S12">
    <cfRule type="expression" dxfId="170" priority="11">
      <formula>$D12="SBS"</formula>
    </cfRule>
  </conditionalFormatting>
  <conditionalFormatting sqref="M12:S12">
    <cfRule type="expression" dxfId="169" priority="10">
      <formula>$D12="NLS"</formula>
    </cfRule>
  </conditionalFormatting>
  <conditionalFormatting sqref="M12:S12">
    <cfRule type="expression" dxfId="168" priority="9">
      <formula>$D12="SLS"</formula>
    </cfRule>
  </conditionalFormatting>
  <conditionalFormatting sqref="D2:E8">
    <cfRule type="expression" dxfId="167" priority="8">
      <formula>#REF!="NBS"</formula>
    </cfRule>
  </conditionalFormatting>
  <conditionalFormatting sqref="D2:E8">
    <cfRule type="expression" dxfId="166" priority="7">
      <formula>#REF!="CBS"</formula>
    </cfRule>
  </conditionalFormatting>
  <conditionalFormatting sqref="F2:G7">
    <cfRule type="expression" dxfId="165" priority="6">
      <formula>#REF!="NBS"</formula>
    </cfRule>
  </conditionalFormatting>
  <conditionalFormatting sqref="F2:G7">
    <cfRule type="expression" dxfId="164" priority="5">
      <formula>#REF!="CBS"</formula>
    </cfRule>
  </conditionalFormatting>
  <conditionalFormatting sqref="H2:I8">
    <cfRule type="expression" dxfId="163" priority="4">
      <formula>#REF!="NBS"</formula>
    </cfRule>
  </conditionalFormatting>
  <conditionalFormatting sqref="H2:I8">
    <cfRule type="expression" dxfId="162" priority="3">
      <formula>#REF!="CBS"</formula>
    </cfRule>
  </conditionalFormatting>
  <conditionalFormatting sqref="J2:K8">
    <cfRule type="expression" dxfId="161" priority="2">
      <formula>#REF!="NBS"</formula>
    </cfRule>
  </conditionalFormatting>
  <conditionalFormatting sqref="J2:K8">
    <cfRule type="expression" dxfId="160" priority="1">
      <formula>#REF!="CBS"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6DE9-7044-4412-A2A6-279BFA8599CE}">
  <sheetPr codeName="Sheet12"/>
  <dimension ref="A1:M13"/>
  <sheetViews>
    <sheetView topLeftCell="C1" zoomScale="64" workbookViewId="0">
      <selection activeCell="M11" sqref="M11"/>
    </sheetView>
  </sheetViews>
  <sheetFormatPr defaultRowHeight="14.5" x14ac:dyDescent="0.35"/>
  <cols>
    <col min="1" max="1" width="13.36328125" style="1" customWidth="1"/>
    <col min="2" max="3" width="11.08984375" style="1" customWidth="1"/>
    <col min="4" max="5" width="11.1796875" style="1" customWidth="1"/>
    <col min="6" max="7" width="10.6328125" style="1" customWidth="1"/>
    <col min="8" max="9" width="12.81640625" style="1" customWidth="1"/>
    <col min="10" max="12" width="10.7265625" style="1" customWidth="1"/>
    <col min="13" max="13" width="10.90625" style="1" customWidth="1"/>
    <col min="14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3626</v>
      </c>
      <c r="D2" s="7">
        <v>14700</v>
      </c>
      <c r="E2" s="7"/>
      <c r="F2" s="7">
        <v>43000</v>
      </c>
      <c r="G2" s="7"/>
      <c r="H2" s="4">
        <v>6900</v>
      </c>
      <c r="I2" s="4"/>
      <c r="J2" s="7">
        <v>8000</v>
      </c>
      <c r="K2" s="7"/>
      <c r="L2" s="6">
        <f t="shared" ref="L2:L7" si="0">SUM(D2:J2)</f>
        <v>72600</v>
      </c>
    </row>
    <row r="3" spans="1:13" x14ac:dyDescent="0.35">
      <c r="A3" s="10">
        <v>41852</v>
      </c>
      <c r="B3" s="1">
        <v>3145</v>
      </c>
      <c r="D3" s="7">
        <v>14000</v>
      </c>
      <c r="E3" s="7"/>
      <c r="F3" s="7">
        <v>40500</v>
      </c>
      <c r="G3" s="7"/>
      <c r="H3" s="4">
        <v>7000</v>
      </c>
      <c r="I3" s="4"/>
      <c r="J3" s="7">
        <v>8500</v>
      </c>
      <c r="K3" s="7"/>
      <c r="L3" s="6">
        <f t="shared" si="0"/>
        <v>70000</v>
      </c>
    </row>
    <row r="4" spans="1:13" x14ac:dyDescent="0.35">
      <c r="A4" s="10">
        <v>42217</v>
      </c>
      <c r="B4" s="1">
        <v>3515</v>
      </c>
      <c r="D4" s="7">
        <v>15100</v>
      </c>
      <c r="E4" s="7"/>
      <c r="F4" s="7">
        <v>42200</v>
      </c>
      <c r="G4" s="7"/>
      <c r="H4" s="4">
        <v>7100</v>
      </c>
      <c r="I4" s="4"/>
      <c r="J4" s="7">
        <v>8000</v>
      </c>
      <c r="K4" s="7"/>
      <c r="L4" s="6">
        <f t="shared" si="0"/>
        <v>72400</v>
      </c>
    </row>
    <row r="5" spans="1:13" x14ac:dyDescent="0.35">
      <c r="A5" s="10">
        <v>42583</v>
      </c>
      <c r="B5" s="1">
        <v>3607.5</v>
      </c>
      <c r="D5" s="7">
        <v>15400</v>
      </c>
      <c r="E5" s="7"/>
      <c r="F5" s="7">
        <v>43200</v>
      </c>
      <c r="G5" s="7"/>
      <c r="H5" s="4">
        <v>7900</v>
      </c>
      <c r="I5" s="4"/>
      <c r="J5" s="7">
        <v>8000</v>
      </c>
      <c r="K5" s="7"/>
      <c r="L5" s="6">
        <f t="shared" si="0"/>
        <v>74500</v>
      </c>
    </row>
    <row r="6" spans="1:13" x14ac:dyDescent="0.35">
      <c r="A6" s="10">
        <v>42948</v>
      </c>
      <c r="B6" s="1">
        <v>3663</v>
      </c>
      <c r="D6" s="7">
        <v>14900</v>
      </c>
      <c r="E6" s="7"/>
      <c r="F6" s="7">
        <v>45500</v>
      </c>
      <c r="G6" s="7"/>
      <c r="H6" s="4">
        <v>8000</v>
      </c>
      <c r="I6" s="4"/>
      <c r="J6" s="7">
        <v>8000</v>
      </c>
      <c r="K6" s="7"/>
      <c r="L6" s="6">
        <f t="shared" si="0"/>
        <v>76400</v>
      </c>
    </row>
    <row r="7" spans="1:13" x14ac:dyDescent="0.35">
      <c r="A7" s="10">
        <v>43313</v>
      </c>
      <c r="B7" s="1">
        <v>2960</v>
      </c>
      <c r="D7" s="7">
        <v>14100</v>
      </c>
      <c r="E7" s="7"/>
      <c r="F7" s="7">
        <v>45000</v>
      </c>
      <c r="G7" s="7"/>
      <c r="H7" s="4">
        <v>8100</v>
      </c>
      <c r="I7" s="4"/>
      <c r="J7" s="7">
        <v>8500</v>
      </c>
      <c r="K7" s="7"/>
      <c r="L7" s="6">
        <f t="shared" si="0"/>
        <v>75700</v>
      </c>
    </row>
    <row r="8" spans="1:13" x14ac:dyDescent="0.35">
      <c r="A8" s="10">
        <v>43678</v>
      </c>
      <c r="B8" s="1">
        <v>3256</v>
      </c>
      <c r="C8" s="1">
        <v>3256</v>
      </c>
      <c r="D8" s="7">
        <v>15500</v>
      </c>
      <c r="E8" s="7">
        <v>15500</v>
      </c>
      <c r="F8" s="6">
        <v>41800</v>
      </c>
      <c r="G8" s="6">
        <v>41800</v>
      </c>
      <c r="H8" s="4">
        <v>8500</v>
      </c>
      <c r="I8" s="4">
        <v>8500</v>
      </c>
      <c r="J8" s="7">
        <v>8000</v>
      </c>
      <c r="K8" s="7">
        <v>8000</v>
      </c>
      <c r="L8" s="6">
        <v>73800</v>
      </c>
      <c r="M8" s="6">
        <v>73800</v>
      </c>
    </row>
    <row r="9" spans="1:13" x14ac:dyDescent="0.35">
      <c r="A9" s="10">
        <v>44044</v>
      </c>
      <c r="C9" s="1">
        <v>3095.87</v>
      </c>
      <c r="E9" s="5">
        <v>15209.25</v>
      </c>
      <c r="G9" s="5">
        <v>39278.480000000003</v>
      </c>
      <c r="I9" s="1">
        <v>9241.51</v>
      </c>
      <c r="K9" s="6">
        <v>9053</v>
      </c>
      <c r="L9" s="5"/>
      <c r="M9" s="5">
        <f>SUM(E9:K9)</f>
        <v>72782.240000000005</v>
      </c>
    </row>
    <row r="10" spans="1:13" x14ac:dyDescent="0.35">
      <c r="A10" s="10">
        <v>44409</v>
      </c>
      <c r="C10" s="1">
        <v>3009.98</v>
      </c>
      <c r="E10" s="5">
        <v>15368.44</v>
      </c>
      <c r="G10" s="5">
        <v>36227.160000000003</v>
      </c>
      <c r="I10" s="1">
        <v>9693.26</v>
      </c>
      <c r="K10" s="6">
        <v>9606</v>
      </c>
      <c r="L10" s="5"/>
      <c r="M10" s="5">
        <f>SUM(E10:K10)</f>
        <v>70894.860000000015</v>
      </c>
    </row>
    <row r="11" spans="1:13" x14ac:dyDescent="0.35">
      <c r="A11" s="10">
        <v>44774</v>
      </c>
      <c r="C11" s="1">
        <v>3224.09</v>
      </c>
      <c r="E11" s="5">
        <v>15527.63</v>
      </c>
      <c r="G11" s="5">
        <v>33175.82</v>
      </c>
      <c r="I11" s="6">
        <v>10153</v>
      </c>
      <c r="K11" s="5">
        <v>10440.27</v>
      </c>
      <c r="L11" s="5"/>
      <c r="M11" s="5">
        <f>SUM(E11:K11)</f>
        <v>69296.72</v>
      </c>
    </row>
    <row r="13" spans="1:13" x14ac:dyDescent="0.35">
      <c r="L13" s="6"/>
      <c r="M13" s="6"/>
    </row>
  </sheetData>
  <conditionalFormatting sqref="L13:P13">
    <cfRule type="expression" dxfId="159" priority="14">
      <formula>$D13="NBS"</formula>
    </cfRule>
  </conditionalFormatting>
  <conditionalFormatting sqref="L13:R13">
    <cfRule type="expression" dxfId="158" priority="13">
      <formula>$D14="CBS"</formula>
    </cfRule>
  </conditionalFormatting>
  <conditionalFormatting sqref="L13:R13">
    <cfRule type="expression" dxfId="157" priority="12">
      <formula>$D13="CBS"</formula>
    </cfRule>
  </conditionalFormatting>
  <conditionalFormatting sqref="L13:R13">
    <cfRule type="expression" dxfId="156" priority="11">
      <formula>$D13="SBS"</formula>
    </cfRule>
  </conditionalFormatting>
  <conditionalFormatting sqref="L13:R13">
    <cfRule type="expression" dxfId="155" priority="10">
      <formula>$D13="NLS"</formula>
    </cfRule>
  </conditionalFormatting>
  <conditionalFormatting sqref="L13:R13">
    <cfRule type="expression" dxfId="154" priority="9">
      <formula>$D13="SLS"</formula>
    </cfRule>
  </conditionalFormatting>
  <conditionalFormatting sqref="D2:E8">
    <cfRule type="expression" dxfId="153" priority="8">
      <formula>#REF!="NBS"</formula>
    </cfRule>
  </conditionalFormatting>
  <conditionalFormatting sqref="D2:E8">
    <cfRule type="expression" dxfId="152" priority="7">
      <formula>#REF!="CBS"</formula>
    </cfRule>
  </conditionalFormatting>
  <conditionalFormatting sqref="F2:G7">
    <cfRule type="expression" dxfId="151" priority="6">
      <formula>#REF!="NBS"</formula>
    </cfRule>
  </conditionalFormatting>
  <conditionalFormatting sqref="F2:G7">
    <cfRule type="expression" dxfId="150" priority="5">
      <formula>#REF!="CBS"</formula>
    </cfRule>
  </conditionalFormatting>
  <conditionalFormatting sqref="H2:I8">
    <cfRule type="expression" dxfId="149" priority="4">
      <formula>#REF!="NBS"</formula>
    </cfRule>
  </conditionalFormatting>
  <conditionalFormatting sqref="H2:I8">
    <cfRule type="expression" dxfId="148" priority="3">
      <formula>#REF!="CBS"</formula>
    </cfRule>
  </conditionalFormatting>
  <conditionalFormatting sqref="J2:K8">
    <cfRule type="expression" dxfId="147" priority="2">
      <formula>#REF!="NBS"</formula>
    </cfRule>
  </conditionalFormatting>
  <conditionalFormatting sqref="J2:K8">
    <cfRule type="expression" dxfId="146" priority="1">
      <formula>#REF!="CBS"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9FA8-1ACD-4651-B992-5FFB189F5519}">
  <sheetPr codeName="Sheet13"/>
  <dimension ref="A1:P16"/>
  <sheetViews>
    <sheetView topLeftCell="I1" workbookViewId="0">
      <selection activeCell="P11" sqref="P11"/>
    </sheetView>
  </sheetViews>
  <sheetFormatPr defaultRowHeight="14.5" x14ac:dyDescent="0.35"/>
  <cols>
    <col min="1" max="1" width="11.36328125" customWidth="1"/>
    <col min="2" max="3" width="11.453125" customWidth="1"/>
    <col min="4" max="5" width="11.6328125" customWidth="1"/>
    <col min="6" max="6" width="12.6328125" bestFit="1" customWidth="1"/>
    <col min="7" max="7" width="12.6328125" customWidth="1"/>
    <col min="8" max="9" width="11.81640625" customWidth="1"/>
    <col min="10" max="11" width="10.90625" customWidth="1"/>
  </cols>
  <sheetData>
    <row r="1" spans="1:16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6" x14ac:dyDescent="0.35">
      <c r="A2" s="10">
        <v>41487</v>
      </c>
      <c r="B2" s="1">
        <v>5648</v>
      </c>
      <c r="C2" s="1"/>
      <c r="D2" s="7">
        <v>19000</v>
      </c>
      <c r="E2" s="7"/>
      <c r="F2" s="7">
        <v>47000</v>
      </c>
      <c r="G2" s="7"/>
      <c r="H2" s="4">
        <v>6900</v>
      </c>
      <c r="I2" s="4"/>
      <c r="J2" s="7">
        <v>7000</v>
      </c>
      <c r="K2" s="7"/>
      <c r="L2" s="6">
        <f t="shared" ref="L2:L7" si="0">SUM(D2:J2)</f>
        <v>79900</v>
      </c>
      <c r="M2" s="1"/>
    </row>
    <row r="3" spans="1:16" x14ac:dyDescent="0.35">
      <c r="A3" s="10">
        <v>41852</v>
      </c>
      <c r="B3" s="1">
        <v>5842</v>
      </c>
      <c r="C3" s="1"/>
      <c r="D3" s="7">
        <v>19300</v>
      </c>
      <c r="E3" s="7"/>
      <c r="F3" s="7">
        <v>47500</v>
      </c>
      <c r="G3" s="7"/>
      <c r="H3" s="4">
        <v>7000</v>
      </c>
      <c r="I3" s="4"/>
      <c r="J3" s="7">
        <v>7500</v>
      </c>
      <c r="K3" s="7"/>
      <c r="L3" s="6">
        <f t="shared" si="0"/>
        <v>81300</v>
      </c>
      <c r="M3" s="1"/>
    </row>
    <row r="4" spans="1:16" x14ac:dyDescent="0.35">
      <c r="A4" s="10">
        <v>42217</v>
      </c>
      <c r="B4" s="1">
        <v>5984</v>
      </c>
      <c r="C4" s="1"/>
      <c r="D4" s="7">
        <v>20000</v>
      </c>
      <c r="E4" s="7"/>
      <c r="F4" s="7">
        <v>48000</v>
      </c>
      <c r="G4" s="7"/>
      <c r="H4" s="4">
        <v>7100</v>
      </c>
      <c r="I4" s="4"/>
      <c r="J4" s="7">
        <v>7000</v>
      </c>
      <c r="K4" s="7"/>
      <c r="L4" s="6">
        <f t="shared" si="0"/>
        <v>82100</v>
      </c>
      <c r="M4" s="1"/>
    </row>
    <row r="5" spans="1:16" x14ac:dyDescent="0.35">
      <c r="A5" s="10">
        <v>42583</v>
      </c>
      <c r="B5" s="1">
        <v>6160</v>
      </c>
      <c r="C5" s="1"/>
      <c r="D5" s="7">
        <v>20400</v>
      </c>
      <c r="E5" s="7"/>
      <c r="F5" s="7">
        <v>48200</v>
      </c>
      <c r="G5" s="7"/>
      <c r="H5" s="4">
        <v>7900</v>
      </c>
      <c r="I5" s="4"/>
      <c r="J5" s="7">
        <v>7000</v>
      </c>
      <c r="K5" s="7"/>
      <c r="L5" s="6">
        <f t="shared" si="0"/>
        <v>83500</v>
      </c>
      <c r="M5" s="1"/>
    </row>
    <row r="6" spans="1:16" x14ac:dyDescent="0.35">
      <c r="A6" s="10">
        <v>42948</v>
      </c>
      <c r="B6" s="1">
        <v>6048</v>
      </c>
      <c r="C6" s="1"/>
      <c r="D6" s="7">
        <v>21500</v>
      </c>
      <c r="E6" s="7"/>
      <c r="F6" s="7">
        <v>49500</v>
      </c>
      <c r="G6" s="7"/>
      <c r="H6" s="4">
        <v>8000</v>
      </c>
      <c r="I6" s="4"/>
      <c r="J6" s="7">
        <v>7000</v>
      </c>
      <c r="K6" s="7"/>
      <c r="L6" s="6">
        <f t="shared" si="0"/>
        <v>86000</v>
      </c>
      <c r="M6" s="1"/>
    </row>
    <row r="7" spans="1:16" x14ac:dyDescent="0.35">
      <c r="A7" s="10">
        <v>43313</v>
      </c>
      <c r="B7" s="1">
        <v>5440</v>
      </c>
      <c r="C7" s="1"/>
      <c r="D7" s="7">
        <v>20100</v>
      </c>
      <c r="E7" s="7"/>
      <c r="F7" s="7">
        <v>50000</v>
      </c>
      <c r="G7" s="7"/>
      <c r="H7" s="4">
        <v>8100</v>
      </c>
      <c r="I7" s="4"/>
      <c r="J7" s="7">
        <v>7500</v>
      </c>
      <c r="K7" s="7"/>
      <c r="L7" s="6">
        <f t="shared" si="0"/>
        <v>85700</v>
      </c>
      <c r="M7" s="1"/>
    </row>
    <row r="8" spans="1:16" x14ac:dyDescent="0.35">
      <c r="A8" s="10">
        <v>43678</v>
      </c>
      <c r="B8" s="1">
        <v>6080</v>
      </c>
      <c r="C8" s="1">
        <v>6080</v>
      </c>
      <c r="D8" s="7">
        <v>23500</v>
      </c>
      <c r="E8" s="7">
        <v>23500</v>
      </c>
      <c r="F8" s="6">
        <v>50800</v>
      </c>
      <c r="G8" s="6">
        <v>50800</v>
      </c>
      <c r="H8" s="4">
        <v>8500</v>
      </c>
      <c r="I8" s="4">
        <v>8500</v>
      </c>
      <c r="J8" s="7">
        <v>7000</v>
      </c>
      <c r="K8" s="7">
        <v>7000</v>
      </c>
      <c r="L8" s="6">
        <f>SUM(E8,G8,I8,K8)</f>
        <v>89800</v>
      </c>
      <c r="M8" s="6">
        <v>89800</v>
      </c>
    </row>
    <row r="9" spans="1:16" x14ac:dyDescent="0.35">
      <c r="A9" s="10">
        <v>44044</v>
      </c>
      <c r="B9" s="1"/>
      <c r="C9" s="1">
        <v>5825.0919999999996</v>
      </c>
      <c r="D9" s="1"/>
      <c r="E9" s="6">
        <v>21400</v>
      </c>
      <c r="F9" s="1"/>
      <c r="G9" s="5">
        <v>50003.53</v>
      </c>
      <c r="H9" s="1"/>
      <c r="I9" s="1">
        <v>7920.38</v>
      </c>
      <c r="J9" s="1"/>
      <c r="K9" s="1">
        <v>7080</v>
      </c>
      <c r="L9" s="6"/>
      <c r="M9" s="6">
        <f>SUM(E9:K9)</f>
        <v>86403.91</v>
      </c>
      <c r="N9" s="8"/>
    </row>
    <row r="10" spans="1:16" x14ac:dyDescent="0.35">
      <c r="A10" s="10">
        <v>44409</v>
      </c>
      <c r="B10" s="1"/>
      <c r="C10" s="1">
        <v>5721.665</v>
      </c>
      <c r="D10" s="1"/>
      <c r="E10" s="6">
        <v>20700</v>
      </c>
      <c r="F10" s="1"/>
      <c r="G10" s="5">
        <v>49000.53</v>
      </c>
      <c r="H10" s="1"/>
      <c r="I10" s="1">
        <v>7900</v>
      </c>
      <c r="J10" s="1"/>
      <c r="K10" s="1">
        <v>7045.5</v>
      </c>
      <c r="L10" s="6"/>
      <c r="M10" s="6">
        <f>SUM(E10:K10)</f>
        <v>84646.03</v>
      </c>
      <c r="N10" s="8"/>
    </row>
    <row r="11" spans="1:16" x14ac:dyDescent="0.35">
      <c r="A11" s="10">
        <v>44774</v>
      </c>
      <c r="B11" s="1"/>
      <c r="C11" s="1">
        <v>5618.2370000000001</v>
      </c>
      <c r="D11" s="1"/>
      <c r="E11" s="6">
        <v>20000</v>
      </c>
      <c r="F11" s="1"/>
      <c r="G11" s="5">
        <v>49300.53</v>
      </c>
      <c r="H11" s="1"/>
      <c r="I11" s="1">
        <v>7800.5540000000001</v>
      </c>
      <c r="J11" s="1"/>
      <c r="K11" s="1">
        <v>7000.6</v>
      </c>
      <c r="L11" s="6"/>
      <c r="M11" s="6">
        <f>SUM(E11:L11)</f>
        <v>84101.684000000008</v>
      </c>
      <c r="N11" s="8"/>
    </row>
    <row r="12" spans="1:16" x14ac:dyDescent="0.35">
      <c r="I12" s="1"/>
    </row>
    <row r="14" spans="1:16" x14ac:dyDescent="0.35">
      <c r="L14" s="8"/>
      <c r="M14" s="6"/>
      <c r="N14" s="6"/>
      <c r="O14" s="1"/>
      <c r="P14" s="1"/>
    </row>
    <row r="16" spans="1:16" x14ac:dyDescent="0.35">
      <c r="K16" s="8"/>
    </row>
  </sheetData>
  <conditionalFormatting sqref="M14:Q14">
    <cfRule type="expression" dxfId="145" priority="14">
      <formula>$D14="NBS"</formula>
    </cfRule>
  </conditionalFormatting>
  <conditionalFormatting sqref="M14:S14">
    <cfRule type="expression" dxfId="144" priority="13">
      <formula>$D15="CBS"</formula>
    </cfRule>
  </conditionalFormatting>
  <conditionalFormatting sqref="M14:S14">
    <cfRule type="expression" dxfId="143" priority="12">
      <formula>$D14="CBS"</formula>
    </cfRule>
  </conditionalFormatting>
  <conditionalFormatting sqref="M14:S14">
    <cfRule type="expression" dxfId="142" priority="11">
      <formula>$D14="SBS"</formula>
    </cfRule>
  </conditionalFormatting>
  <conditionalFormatting sqref="M14:S14">
    <cfRule type="expression" dxfId="141" priority="10">
      <formula>$D14="NLS"</formula>
    </cfRule>
  </conditionalFormatting>
  <conditionalFormatting sqref="M14:S14">
    <cfRule type="expression" dxfId="140" priority="9">
      <formula>$D14="SLS"</formula>
    </cfRule>
  </conditionalFormatting>
  <conditionalFormatting sqref="D2:E8">
    <cfRule type="expression" dxfId="139" priority="8">
      <formula>#REF!="NBS"</formula>
    </cfRule>
  </conditionalFormatting>
  <conditionalFormatting sqref="D2:E8">
    <cfRule type="expression" dxfId="138" priority="7">
      <formula>#REF!="CBS"</formula>
    </cfRule>
  </conditionalFormatting>
  <conditionalFormatting sqref="F2:G7">
    <cfRule type="expression" dxfId="137" priority="6">
      <formula>#REF!="NBS"</formula>
    </cfRule>
  </conditionalFormatting>
  <conditionalFormatting sqref="F2:G7">
    <cfRule type="expression" dxfId="136" priority="5">
      <formula>#REF!="CBS"</formula>
    </cfRule>
  </conditionalFormatting>
  <conditionalFormatting sqref="H2:I8">
    <cfRule type="expression" dxfId="135" priority="4">
      <formula>#REF!="NBS"</formula>
    </cfRule>
  </conditionalFormatting>
  <conditionalFormatting sqref="H2:I8">
    <cfRule type="expression" dxfId="134" priority="3">
      <formula>#REF!="CBS"</formula>
    </cfRule>
  </conditionalFormatting>
  <conditionalFormatting sqref="J2:K8">
    <cfRule type="expression" dxfId="133" priority="2">
      <formula>#REF!="NBS"</formula>
    </cfRule>
  </conditionalFormatting>
  <conditionalFormatting sqref="J2:K8">
    <cfRule type="expression" dxfId="132" priority="1">
      <formula>#REF!="CBS"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5403-E51C-4FBE-877C-124AD2F1613C}">
  <sheetPr codeName="Sheet14"/>
  <dimension ref="A1:R16"/>
  <sheetViews>
    <sheetView topLeftCell="I1" workbookViewId="0">
      <selection activeCell="O15" sqref="O15"/>
    </sheetView>
  </sheetViews>
  <sheetFormatPr defaultRowHeight="14.5" x14ac:dyDescent="0.35"/>
  <cols>
    <col min="1" max="1" width="11" style="1" customWidth="1"/>
    <col min="2" max="3" width="11.81640625" style="1" customWidth="1"/>
    <col min="4" max="5" width="11.90625" style="1" customWidth="1"/>
    <col min="6" max="7" width="11.08984375" style="1" customWidth="1"/>
    <col min="8" max="9" width="13.08984375" style="1" customWidth="1"/>
    <col min="10" max="11" width="10.1796875" style="1" customWidth="1"/>
    <col min="12" max="12" width="9.7265625" style="1" customWidth="1"/>
    <col min="13" max="16384" width="8.7265625" style="1"/>
  </cols>
  <sheetData>
    <row r="1" spans="1:18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/>
      <c r="J1" s="3" t="s">
        <v>38</v>
      </c>
      <c r="K1" s="3" t="s">
        <v>43</v>
      </c>
      <c r="L1" s="3" t="s">
        <v>39</v>
      </c>
      <c r="M1" s="3" t="s">
        <v>46</v>
      </c>
    </row>
    <row r="2" spans="1:18" x14ac:dyDescent="0.35">
      <c r="A2" s="10">
        <v>41487</v>
      </c>
      <c r="B2" s="1">
        <v>4340</v>
      </c>
      <c r="D2" s="7">
        <v>17500</v>
      </c>
      <c r="E2" s="7"/>
      <c r="F2" s="7">
        <v>44000</v>
      </c>
      <c r="G2" s="7"/>
      <c r="H2" s="4">
        <v>7000</v>
      </c>
      <c r="I2" s="4"/>
      <c r="J2" s="7">
        <v>7000</v>
      </c>
      <c r="K2" s="7"/>
      <c r="L2" s="6">
        <f t="shared" ref="L2:L7" si="0">SUM(D2:J2)</f>
        <v>75500</v>
      </c>
    </row>
    <row r="3" spans="1:18" x14ac:dyDescent="0.35">
      <c r="A3" s="10">
        <v>41852</v>
      </c>
      <c r="B3" s="1">
        <v>4410</v>
      </c>
      <c r="D3" s="7">
        <v>17700</v>
      </c>
      <c r="E3" s="7"/>
      <c r="F3" s="7">
        <v>44800</v>
      </c>
      <c r="G3" s="7"/>
      <c r="H3" s="4">
        <v>7200</v>
      </c>
      <c r="I3" s="4"/>
      <c r="J3" s="7">
        <v>7500</v>
      </c>
      <c r="K3" s="7"/>
      <c r="L3" s="6">
        <f t="shared" si="0"/>
        <v>77200</v>
      </c>
    </row>
    <row r="4" spans="1:18" x14ac:dyDescent="0.35">
      <c r="A4" s="10">
        <v>42217</v>
      </c>
      <c r="B4" s="1">
        <v>4488.3999999999996</v>
      </c>
      <c r="D4" s="7">
        <v>17000</v>
      </c>
      <c r="E4" s="7"/>
      <c r="F4" s="7">
        <v>45000</v>
      </c>
      <c r="G4" s="7"/>
      <c r="H4" s="4">
        <v>7700</v>
      </c>
      <c r="I4" s="4"/>
      <c r="J4" s="7">
        <v>7000</v>
      </c>
      <c r="K4" s="7"/>
      <c r="L4" s="6">
        <f t="shared" si="0"/>
        <v>76700</v>
      </c>
    </row>
    <row r="5" spans="1:18" x14ac:dyDescent="0.35">
      <c r="A5" s="10">
        <v>42583</v>
      </c>
      <c r="B5" s="1">
        <v>4270</v>
      </c>
      <c r="D5" s="7">
        <v>17500</v>
      </c>
      <c r="E5" s="7"/>
      <c r="F5" s="7">
        <v>43700</v>
      </c>
      <c r="G5" s="7"/>
      <c r="H5" s="4">
        <v>8000</v>
      </c>
      <c r="I5" s="4"/>
      <c r="J5" s="7">
        <v>7000</v>
      </c>
      <c r="K5" s="7"/>
      <c r="L5" s="6">
        <f t="shared" si="0"/>
        <v>76200</v>
      </c>
    </row>
    <row r="6" spans="1:18" x14ac:dyDescent="0.35">
      <c r="A6" s="10">
        <v>42948</v>
      </c>
      <c r="B6" s="1">
        <v>3875</v>
      </c>
      <c r="D6" s="7">
        <v>18500</v>
      </c>
      <c r="E6" s="7"/>
      <c r="F6" s="7">
        <v>43100</v>
      </c>
      <c r="G6" s="7"/>
      <c r="H6" s="4">
        <v>8100</v>
      </c>
      <c r="I6" s="4"/>
      <c r="J6" s="7">
        <v>7000</v>
      </c>
      <c r="K6" s="7"/>
      <c r="L6" s="6">
        <f t="shared" si="0"/>
        <v>76700</v>
      </c>
    </row>
    <row r="7" spans="1:18" x14ac:dyDescent="0.35">
      <c r="A7" s="10">
        <v>43313</v>
      </c>
      <c r="B7" s="1">
        <v>4060</v>
      </c>
      <c r="D7" s="7">
        <v>17200</v>
      </c>
      <c r="E7" s="7"/>
      <c r="F7" s="7">
        <v>44000</v>
      </c>
      <c r="G7" s="7"/>
      <c r="H7" s="4">
        <v>8000</v>
      </c>
      <c r="I7" s="4"/>
      <c r="J7" s="7">
        <v>7500</v>
      </c>
      <c r="K7" s="7"/>
      <c r="L7" s="6">
        <f t="shared" si="0"/>
        <v>76700</v>
      </c>
    </row>
    <row r="8" spans="1:18" x14ac:dyDescent="0.35">
      <c r="A8" s="10">
        <v>43678</v>
      </c>
      <c r="B8" s="1">
        <v>4550</v>
      </c>
      <c r="C8" s="1">
        <v>4550</v>
      </c>
      <c r="D8" s="7">
        <v>18500</v>
      </c>
      <c r="E8" s="7">
        <v>18500</v>
      </c>
      <c r="F8" s="6">
        <v>45000</v>
      </c>
      <c r="G8" s="6">
        <v>45000</v>
      </c>
      <c r="H8" s="4">
        <v>8400</v>
      </c>
      <c r="I8" s="4">
        <v>8400</v>
      </c>
      <c r="J8" s="7">
        <v>7000</v>
      </c>
      <c r="K8" s="7">
        <v>7000</v>
      </c>
      <c r="L8" s="6">
        <f>SUM(E8,G8,I8,K8)</f>
        <v>78900</v>
      </c>
      <c r="M8" s="6">
        <v>78900</v>
      </c>
    </row>
    <row r="9" spans="1:18" x14ac:dyDescent="0.35">
      <c r="A9" s="10">
        <v>44044</v>
      </c>
      <c r="C9" s="1">
        <v>5040</v>
      </c>
      <c r="E9" s="1">
        <v>19037</v>
      </c>
      <c r="G9" s="1">
        <v>44365.760000000002</v>
      </c>
      <c r="I9" s="1">
        <v>8470</v>
      </c>
      <c r="K9" s="1">
        <v>7000.0119999999997</v>
      </c>
      <c r="M9" s="1">
        <f>SUM(E9:K9)</f>
        <v>78872.772000000012</v>
      </c>
    </row>
    <row r="10" spans="1:18" x14ac:dyDescent="0.35">
      <c r="A10" s="10">
        <v>44409</v>
      </c>
      <c r="C10" s="1">
        <v>5530</v>
      </c>
      <c r="E10" s="1">
        <v>18007</v>
      </c>
      <c r="G10" s="1">
        <v>45300.51</v>
      </c>
      <c r="I10" s="1">
        <v>8500</v>
      </c>
      <c r="K10" s="1">
        <v>7006.2039999999997</v>
      </c>
      <c r="M10" s="1">
        <f>SUM(E10:K10)</f>
        <v>78813.714000000007</v>
      </c>
    </row>
    <row r="11" spans="1:18" x14ac:dyDescent="0.35">
      <c r="A11" s="10">
        <v>44774</v>
      </c>
      <c r="C11" s="1">
        <v>6020</v>
      </c>
      <c r="E11" s="1">
        <v>18117.96</v>
      </c>
      <c r="G11" s="1">
        <v>45097.27</v>
      </c>
      <c r="I11" s="1">
        <v>8400</v>
      </c>
      <c r="K11" s="1">
        <v>7083.3950000000004</v>
      </c>
      <c r="M11" s="1">
        <f>SUM(E11:K11)</f>
        <v>78698.625</v>
      </c>
    </row>
    <row r="15" spans="1:18" x14ac:dyDescent="0.35">
      <c r="L15" s="6"/>
      <c r="Q15" s="6"/>
      <c r="R15" s="6"/>
    </row>
    <row r="16" spans="1:18" x14ac:dyDescent="0.35">
      <c r="L16" s="6"/>
    </row>
  </sheetData>
  <conditionalFormatting sqref="Q15:U15">
    <cfRule type="expression" dxfId="131" priority="22">
      <formula>$D15="NBS"</formula>
    </cfRule>
  </conditionalFormatting>
  <conditionalFormatting sqref="Q15:W15 D2:E7 H2:K7">
    <cfRule type="expression" dxfId="130" priority="21">
      <formula>$D3="CBS"</formula>
    </cfRule>
  </conditionalFormatting>
  <conditionalFormatting sqref="Q15:W15">
    <cfRule type="expression" dxfId="129" priority="20">
      <formula>$D15="CBS"</formula>
    </cfRule>
  </conditionalFormatting>
  <conditionalFormatting sqref="Q15:W15">
    <cfRule type="expression" dxfId="128" priority="19">
      <formula>$D15="SBS"</formula>
    </cfRule>
  </conditionalFormatting>
  <conditionalFormatting sqref="Q15:W15">
    <cfRule type="expression" dxfId="127" priority="18">
      <formula>$D15="NLS"</formula>
    </cfRule>
  </conditionalFormatting>
  <conditionalFormatting sqref="Q15:W15">
    <cfRule type="expression" dxfId="126" priority="17">
      <formula>$D15="SLS"</formula>
    </cfRule>
  </conditionalFormatting>
  <conditionalFormatting sqref="D2:E8">
    <cfRule type="expression" dxfId="125" priority="8">
      <formula>$D2="NBS"</formula>
    </cfRule>
  </conditionalFormatting>
  <conditionalFormatting sqref="F2:G7">
    <cfRule type="expression" dxfId="124" priority="6">
      <formula>$D2="NBS"</formula>
    </cfRule>
  </conditionalFormatting>
  <conditionalFormatting sqref="F2:G7">
    <cfRule type="expression" dxfId="123" priority="5">
      <formula>$D3="CBS"</formula>
    </cfRule>
  </conditionalFormatting>
  <conditionalFormatting sqref="H2:I8">
    <cfRule type="expression" dxfId="122" priority="4">
      <formula>$D2="NBS"</formula>
    </cfRule>
  </conditionalFormatting>
  <conditionalFormatting sqref="J2:K8">
    <cfRule type="expression" dxfId="121" priority="2">
      <formula>$D2="NBS"</formula>
    </cfRule>
  </conditionalFormatting>
  <conditionalFormatting sqref="D8:E8 H8:K8">
    <cfRule type="expression" dxfId="120" priority="24">
      <formula>$E9="CBS"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7831-CC87-45D7-9A83-579C1FBD851A}">
  <sheetPr codeName="Sheet15"/>
  <dimension ref="A1:O17"/>
  <sheetViews>
    <sheetView topLeftCell="H1" workbookViewId="0">
      <selection activeCell="N11" sqref="N11"/>
    </sheetView>
  </sheetViews>
  <sheetFormatPr defaultRowHeight="14.5" x14ac:dyDescent="0.35"/>
  <cols>
    <col min="1" max="1" width="11.7265625" customWidth="1"/>
    <col min="2" max="3" width="11.54296875" customWidth="1"/>
    <col min="4" max="5" width="11.26953125" customWidth="1"/>
    <col min="6" max="7" width="10.453125" customWidth="1"/>
    <col min="8" max="9" width="13.54296875" customWidth="1"/>
    <col min="10" max="11" width="10.90625" customWidth="1"/>
  </cols>
  <sheetData>
    <row r="1" spans="1:15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5" x14ac:dyDescent="0.35">
      <c r="A2" s="10">
        <v>41487</v>
      </c>
      <c r="B2" s="1">
        <v>5162.6000000000004</v>
      </c>
      <c r="C2" s="1"/>
      <c r="D2" s="7">
        <v>19500</v>
      </c>
      <c r="E2" s="7"/>
      <c r="F2" s="7">
        <v>46000</v>
      </c>
      <c r="G2" s="7"/>
      <c r="H2" s="4">
        <v>7000</v>
      </c>
      <c r="I2" s="4"/>
      <c r="J2" s="7">
        <v>7000</v>
      </c>
      <c r="K2" s="7"/>
      <c r="L2" s="6">
        <f t="shared" ref="L2:L7" si="0">SUM(D2:J2)</f>
        <v>79500</v>
      </c>
      <c r="M2" s="1"/>
    </row>
    <row r="3" spans="1:15" x14ac:dyDescent="0.35">
      <c r="A3" s="10">
        <v>41852</v>
      </c>
      <c r="B3" s="1">
        <v>4900</v>
      </c>
      <c r="C3" s="1"/>
      <c r="D3" s="7">
        <v>18700</v>
      </c>
      <c r="E3" s="7"/>
      <c r="F3" s="7">
        <v>43000</v>
      </c>
      <c r="G3" s="7"/>
      <c r="H3" s="4">
        <v>7200</v>
      </c>
      <c r="I3" s="4"/>
      <c r="J3" s="7">
        <v>7500</v>
      </c>
      <c r="K3" s="7"/>
      <c r="L3" s="6">
        <f t="shared" si="0"/>
        <v>76400</v>
      </c>
      <c r="M3" s="1"/>
    </row>
    <row r="4" spans="1:15" x14ac:dyDescent="0.35">
      <c r="A4" s="10">
        <v>42217</v>
      </c>
      <c r="B4" s="1">
        <v>5075</v>
      </c>
      <c r="C4" s="1"/>
      <c r="D4" s="7">
        <v>18900</v>
      </c>
      <c r="E4" s="7"/>
      <c r="F4" s="7">
        <v>48000</v>
      </c>
      <c r="G4" s="7"/>
      <c r="H4" s="4">
        <v>7700</v>
      </c>
      <c r="I4" s="4"/>
      <c r="J4" s="7">
        <v>7000</v>
      </c>
      <c r="K4" s="7"/>
      <c r="L4" s="6">
        <f t="shared" si="0"/>
        <v>81600</v>
      </c>
      <c r="M4" s="1"/>
    </row>
    <row r="5" spans="1:15" x14ac:dyDescent="0.35">
      <c r="A5" s="10">
        <v>42583</v>
      </c>
      <c r="B5" s="1">
        <v>5215</v>
      </c>
      <c r="C5" s="1"/>
      <c r="D5" s="7">
        <v>19500</v>
      </c>
      <c r="E5" s="7"/>
      <c r="F5" s="7">
        <v>48900</v>
      </c>
      <c r="G5" s="7"/>
      <c r="H5" s="4">
        <v>8000</v>
      </c>
      <c r="I5" s="4"/>
      <c r="J5" s="7">
        <v>7000</v>
      </c>
      <c r="K5" s="7"/>
      <c r="L5" s="6">
        <f t="shared" si="0"/>
        <v>83400</v>
      </c>
      <c r="M5" s="1"/>
    </row>
    <row r="6" spans="1:15" x14ac:dyDescent="0.35">
      <c r="A6" s="10">
        <v>42948</v>
      </c>
      <c r="B6" s="1">
        <v>5162.5</v>
      </c>
      <c r="C6" s="1"/>
      <c r="D6" s="7">
        <v>19500</v>
      </c>
      <c r="E6" s="7"/>
      <c r="F6" s="7">
        <v>47500</v>
      </c>
      <c r="G6" s="7"/>
      <c r="H6" s="4">
        <v>8100</v>
      </c>
      <c r="I6" s="4"/>
      <c r="J6" s="7">
        <v>7000</v>
      </c>
      <c r="K6" s="7"/>
      <c r="L6" s="6">
        <f t="shared" si="0"/>
        <v>82100</v>
      </c>
      <c r="M6" s="1"/>
    </row>
    <row r="7" spans="1:15" x14ac:dyDescent="0.35">
      <c r="A7" s="10">
        <v>43313</v>
      </c>
      <c r="B7" s="1">
        <v>4550</v>
      </c>
      <c r="C7" s="1"/>
      <c r="D7" s="7">
        <v>19100</v>
      </c>
      <c r="E7" s="7"/>
      <c r="F7" s="7">
        <v>47000</v>
      </c>
      <c r="G7" s="7"/>
      <c r="H7" s="4">
        <v>8000</v>
      </c>
      <c r="I7" s="4"/>
      <c r="J7" s="7">
        <v>7500</v>
      </c>
      <c r="K7" s="7"/>
      <c r="L7" s="6">
        <f t="shared" si="0"/>
        <v>81600</v>
      </c>
      <c r="M7" s="1"/>
    </row>
    <row r="8" spans="1:15" x14ac:dyDescent="0.35">
      <c r="A8" s="10">
        <v>43678</v>
      </c>
      <c r="B8" s="1">
        <v>5075</v>
      </c>
      <c r="C8" s="1">
        <v>5075</v>
      </c>
      <c r="D8" s="7">
        <v>19500</v>
      </c>
      <c r="E8" s="7">
        <v>19500</v>
      </c>
      <c r="F8" s="6">
        <v>47800</v>
      </c>
      <c r="G8" s="6">
        <v>47800</v>
      </c>
      <c r="H8" s="4">
        <v>8400</v>
      </c>
      <c r="I8" s="4">
        <v>8400</v>
      </c>
      <c r="J8" s="7">
        <v>7000</v>
      </c>
      <c r="K8" s="7">
        <v>7000</v>
      </c>
      <c r="L8" s="6">
        <v>82700</v>
      </c>
      <c r="M8" s="6">
        <v>82700</v>
      </c>
    </row>
    <row r="9" spans="1:15" x14ac:dyDescent="0.35">
      <c r="A9" s="10">
        <v>44044</v>
      </c>
      <c r="B9" s="1"/>
      <c r="C9" s="1">
        <v>4911.0290000000005</v>
      </c>
      <c r="D9" s="1"/>
      <c r="E9" s="5">
        <v>19466.7</v>
      </c>
      <c r="F9" s="1"/>
      <c r="G9" s="6">
        <v>47817</v>
      </c>
      <c r="H9" s="1"/>
      <c r="I9" s="1">
        <v>8600</v>
      </c>
      <c r="J9" s="1"/>
      <c r="K9" s="6">
        <v>7130</v>
      </c>
      <c r="L9" s="5"/>
      <c r="M9" s="5">
        <f>SUM(E9:K9)</f>
        <v>83013.7</v>
      </c>
    </row>
    <row r="10" spans="1:15" x14ac:dyDescent="0.35">
      <c r="A10" s="10">
        <v>44409</v>
      </c>
      <c r="B10" s="1"/>
      <c r="C10" s="1">
        <v>4898.3</v>
      </c>
      <c r="D10" s="1"/>
      <c r="E10" s="5">
        <v>17504.669999999998</v>
      </c>
      <c r="F10" s="1"/>
      <c r="G10" s="5">
        <v>47951.89</v>
      </c>
      <c r="H10" s="1"/>
      <c r="I10" s="1">
        <v>8800</v>
      </c>
      <c r="J10" s="1"/>
      <c r="K10" s="1">
        <v>7110</v>
      </c>
      <c r="L10" s="5"/>
      <c r="M10" s="5">
        <f>SUM(E10:K10)</f>
        <v>81366.559999999998</v>
      </c>
    </row>
    <row r="11" spans="1:15" x14ac:dyDescent="0.35">
      <c r="A11" s="10">
        <v>44774</v>
      </c>
      <c r="B11" s="1"/>
      <c r="C11" s="1">
        <v>5385.5720000000001</v>
      </c>
      <c r="D11" s="1"/>
      <c r="E11" s="5">
        <v>19542.63</v>
      </c>
      <c r="F11" s="1"/>
      <c r="G11" s="6">
        <v>48085</v>
      </c>
      <c r="H11" s="1"/>
      <c r="I11" s="1">
        <v>7000</v>
      </c>
      <c r="J11" s="1"/>
      <c r="K11" s="1">
        <v>7100</v>
      </c>
      <c r="L11" s="5"/>
      <c r="M11" s="5">
        <f>SUM(E11:K11)</f>
        <v>81727.63</v>
      </c>
    </row>
    <row r="12" spans="1:15" x14ac:dyDescent="0.35">
      <c r="L12" s="5"/>
      <c r="M12" s="6"/>
      <c r="N12" s="1"/>
      <c r="O12" s="1"/>
    </row>
    <row r="13" spans="1:15" x14ac:dyDescent="0.35">
      <c r="L13" s="8"/>
    </row>
    <row r="17" spans="11:11" x14ac:dyDescent="0.35">
      <c r="K17" s="8"/>
    </row>
  </sheetData>
  <conditionalFormatting sqref="L12:P12">
    <cfRule type="expression" dxfId="119" priority="14">
      <formula>$D12="NBS"</formula>
    </cfRule>
  </conditionalFormatting>
  <conditionalFormatting sqref="L12:R12">
    <cfRule type="expression" dxfId="118" priority="13">
      <formula>$D13="CBS"</formula>
    </cfRule>
  </conditionalFormatting>
  <conditionalFormatting sqref="L12:R12">
    <cfRule type="expression" dxfId="117" priority="12">
      <formula>$D12="CBS"</formula>
    </cfRule>
  </conditionalFormatting>
  <conditionalFormatting sqref="L12:R12">
    <cfRule type="expression" dxfId="116" priority="11">
      <formula>$D12="SBS"</formula>
    </cfRule>
  </conditionalFormatting>
  <conditionalFormatting sqref="L12:R12">
    <cfRule type="expression" dxfId="115" priority="10">
      <formula>$D12="NLS"</formula>
    </cfRule>
  </conditionalFormatting>
  <conditionalFormatting sqref="L12:R12">
    <cfRule type="expression" dxfId="114" priority="9">
      <formula>$D12="SLS"</formula>
    </cfRule>
  </conditionalFormatting>
  <conditionalFormatting sqref="D2:E8">
    <cfRule type="expression" dxfId="113" priority="8">
      <formula>$D2="NBS"</formula>
    </cfRule>
  </conditionalFormatting>
  <conditionalFormatting sqref="D2:E8">
    <cfRule type="expression" dxfId="112" priority="7">
      <formula>$D3="CBS"</formula>
    </cfRule>
  </conditionalFormatting>
  <conditionalFormatting sqref="F2:G7">
    <cfRule type="expression" dxfId="111" priority="6">
      <formula>$D2="NBS"</formula>
    </cfRule>
  </conditionalFormatting>
  <conditionalFormatting sqref="F2:G7">
    <cfRule type="expression" dxfId="110" priority="5">
      <formula>$D3="CBS"</formula>
    </cfRule>
  </conditionalFormatting>
  <conditionalFormatting sqref="H2:I8">
    <cfRule type="expression" dxfId="109" priority="4">
      <formula>$D2="NBS"</formula>
    </cfRule>
  </conditionalFormatting>
  <conditionalFormatting sqref="H2:I8">
    <cfRule type="expression" dxfId="108" priority="3">
      <formula>$D3="CBS"</formula>
    </cfRule>
  </conditionalFormatting>
  <conditionalFormatting sqref="J2:K8">
    <cfRule type="expression" dxfId="107" priority="2">
      <formula>$D2="NBS"</formula>
    </cfRule>
  </conditionalFormatting>
  <conditionalFormatting sqref="J2:K8">
    <cfRule type="expression" dxfId="106" priority="1">
      <formula>$D3="CBS"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A134-75F3-4A6D-9270-11BA4194AFBC}">
  <sheetPr codeName="Sheet16"/>
  <dimension ref="A1:N15"/>
  <sheetViews>
    <sheetView topLeftCell="I1" workbookViewId="0">
      <selection activeCell="O6" sqref="O6"/>
    </sheetView>
  </sheetViews>
  <sheetFormatPr defaultRowHeight="14.5" x14ac:dyDescent="0.35"/>
  <cols>
    <col min="1" max="1" width="13.6328125" style="1" customWidth="1"/>
    <col min="2" max="3" width="10.453125" style="1" customWidth="1"/>
    <col min="4" max="5" width="10.6328125" style="1" customWidth="1"/>
    <col min="6" max="7" width="9.6328125" style="1" customWidth="1"/>
    <col min="8" max="9" width="12.7265625" style="1" customWidth="1"/>
    <col min="10" max="11" width="10.26953125" style="1" customWidth="1"/>
    <col min="12" max="16384" width="8.7265625" style="1"/>
  </cols>
  <sheetData>
    <row r="1" spans="1:14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4" x14ac:dyDescent="0.35">
      <c r="A2" s="10">
        <v>41487</v>
      </c>
      <c r="B2" s="1">
        <v>3750</v>
      </c>
      <c r="D2" s="7">
        <v>16500</v>
      </c>
      <c r="E2" s="7"/>
      <c r="F2" s="7">
        <v>38000</v>
      </c>
      <c r="G2" s="7"/>
      <c r="H2" s="4">
        <v>7000</v>
      </c>
      <c r="I2" s="4"/>
      <c r="J2" s="7">
        <v>7000</v>
      </c>
      <c r="K2" s="7"/>
      <c r="L2" s="6">
        <f t="shared" ref="L2:L7" si="0">SUM(D2:J2)</f>
        <v>68500</v>
      </c>
    </row>
    <row r="3" spans="1:14" x14ac:dyDescent="0.35">
      <c r="A3" s="10">
        <v>41852</v>
      </c>
      <c r="B3" s="1">
        <v>3857</v>
      </c>
      <c r="D3" s="7">
        <v>16500</v>
      </c>
      <c r="E3" s="7"/>
      <c r="F3" s="7">
        <v>38100</v>
      </c>
      <c r="G3" s="7"/>
      <c r="H3" s="4">
        <v>7500</v>
      </c>
      <c r="I3" s="4"/>
      <c r="J3" s="7">
        <v>7500</v>
      </c>
      <c r="K3" s="7"/>
      <c r="L3" s="6">
        <f t="shared" si="0"/>
        <v>69600</v>
      </c>
    </row>
    <row r="4" spans="1:14" x14ac:dyDescent="0.35">
      <c r="A4" s="10">
        <v>42217</v>
      </c>
      <c r="B4" s="1">
        <v>4000</v>
      </c>
      <c r="D4" s="7">
        <v>17000</v>
      </c>
      <c r="E4" s="7"/>
      <c r="F4" s="7">
        <v>39000</v>
      </c>
      <c r="G4" s="7"/>
      <c r="H4" s="4">
        <v>7700</v>
      </c>
      <c r="I4" s="4"/>
      <c r="J4" s="7">
        <v>7000</v>
      </c>
      <c r="K4" s="7"/>
      <c r="L4" s="6">
        <f t="shared" si="0"/>
        <v>70700</v>
      </c>
    </row>
    <row r="5" spans="1:14" x14ac:dyDescent="0.35">
      <c r="A5" s="10">
        <v>42583</v>
      </c>
      <c r="B5" s="1">
        <v>3500</v>
      </c>
      <c r="D5" s="7">
        <v>17500</v>
      </c>
      <c r="E5" s="7"/>
      <c r="F5" s="7">
        <v>37700</v>
      </c>
      <c r="G5" s="7"/>
      <c r="H5" s="4">
        <v>7000</v>
      </c>
      <c r="I5" s="4"/>
      <c r="J5" s="7">
        <v>7000</v>
      </c>
      <c r="K5" s="7"/>
      <c r="L5" s="6">
        <f t="shared" si="0"/>
        <v>69200</v>
      </c>
    </row>
    <row r="6" spans="1:14" x14ac:dyDescent="0.35">
      <c r="A6" s="10">
        <v>42948</v>
      </c>
      <c r="B6" s="1">
        <v>4125</v>
      </c>
      <c r="D6" s="7">
        <v>18500</v>
      </c>
      <c r="E6" s="7"/>
      <c r="F6" s="7">
        <v>40100</v>
      </c>
      <c r="G6" s="7"/>
      <c r="H6" s="4">
        <v>8100</v>
      </c>
      <c r="I6" s="4"/>
      <c r="J6" s="7">
        <v>7000</v>
      </c>
      <c r="K6" s="7"/>
      <c r="L6" s="6">
        <f t="shared" si="0"/>
        <v>73700</v>
      </c>
    </row>
    <row r="7" spans="1:14" x14ac:dyDescent="0.35">
      <c r="A7" s="10">
        <v>43313</v>
      </c>
      <c r="B7" s="1">
        <v>3375</v>
      </c>
      <c r="D7" s="7">
        <v>17200</v>
      </c>
      <c r="E7" s="7"/>
      <c r="F7" s="7">
        <v>40000</v>
      </c>
      <c r="G7" s="7"/>
      <c r="H7" s="4">
        <v>8000</v>
      </c>
      <c r="I7" s="4"/>
      <c r="J7" s="7">
        <v>7500</v>
      </c>
      <c r="K7" s="7"/>
      <c r="L7" s="6">
        <f t="shared" si="0"/>
        <v>72700</v>
      </c>
    </row>
    <row r="8" spans="1:14" x14ac:dyDescent="0.35">
      <c r="A8" s="10">
        <v>43678</v>
      </c>
      <c r="B8" s="1">
        <v>3875</v>
      </c>
      <c r="C8" s="1">
        <v>3875</v>
      </c>
      <c r="D8" s="7">
        <v>16500</v>
      </c>
      <c r="E8" s="7">
        <v>16500</v>
      </c>
      <c r="F8" s="6">
        <v>40000</v>
      </c>
      <c r="G8" s="6">
        <v>40000</v>
      </c>
      <c r="H8" s="4">
        <v>7200</v>
      </c>
      <c r="I8" s="4">
        <v>7200</v>
      </c>
      <c r="J8" s="7">
        <v>7000</v>
      </c>
      <c r="K8" s="7">
        <v>7000</v>
      </c>
      <c r="L8" s="6">
        <f>SUM(E8,G8,I8,K8)</f>
        <v>70700</v>
      </c>
      <c r="M8" s="6">
        <f>SUM(E8,G8,I8,K8)</f>
        <v>70700</v>
      </c>
    </row>
    <row r="9" spans="1:14" x14ac:dyDescent="0.35">
      <c r="A9" s="10">
        <v>44044</v>
      </c>
      <c r="C9" s="1">
        <v>3657.3510000000001</v>
      </c>
      <c r="E9" s="1">
        <v>15000</v>
      </c>
      <c r="G9" s="1">
        <v>40567.4</v>
      </c>
      <c r="I9" s="1">
        <v>7484.8339999999998</v>
      </c>
      <c r="K9" s="1">
        <v>7029.0119999999997</v>
      </c>
      <c r="M9" s="1">
        <f>SUM(E9:K9)</f>
        <v>70081.245999999999</v>
      </c>
    </row>
    <row r="10" spans="1:14" x14ac:dyDescent="0.35">
      <c r="A10" s="10">
        <v>44409</v>
      </c>
      <c r="C10" s="1">
        <v>3776.3139999999999</v>
      </c>
      <c r="E10" s="1">
        <v>16000</v>
      </c>
      <c r="G10" s="1">
        <v>40149.699999999997</v>
      </c>
      <c r="I10" s="1">
        <v>7343.25</v>
      </c>
      <c r="K10" s="1">
        <v>7006</v>
      </c>
      <c r="L10" s="6"/>
      <c r="M10" s="6">
        <f>SUM(E10:K10)</f>
        <v>70498.95</v>
      </c>
      <c r="N10" s="6"/>
    </row>
    <row r="11" spans="1:14" x14ac:dyDescent="0.35">
      <c r="A11" s="10">
        <v>44774</v>
      </c>
      <c r="C11" s="1">
        <v>4495.277</v>
      </c>
      <c r="E11" s="1">
        <v>15900</v>
      </c>
      <c r="G11" s="1">
        <v>40731.99</v>
      </c>
      <c r="I11" s="1">
        <v>7201.0649999999996</v>
      </c>
      <c r="K11" s="1">
        <v>7100</v>
      </c>
      <c r="M11" s="1">
        <f>SUM(E11:K11)</f>
        <v>70933.054999999993</v>
      </c>
    </row>
    <row r="13" spans="1:14" x14ac:dyDescent="0.35">
      <c r="L13" s="6"/>
    </row>
    <row r="15" spans="1:14" x14ac:dyDescent="0.35">
      <c r="L15" s="6"/>
    </row>
  </sheetData>
  <conditionalFormatting sqref="L10 N10:P10">
    <cfRule type="expression" dxfId="105" priority="28">
      <formula>$D10="NBS"</formula>
    </cfRule>
  </conditionalFormatting>
  <conditionalFormatting sqref="L10 N10:R10">
    <cfRule type="expression" dxfId="104" priority="27">
      <formula>$D11="CBS"</formula>
    </cfRule>
  </conditionalFormatting>
  <conditionalFormatting sqref="L10 N10:R10">
    <cfRule type="expression" dxfId="103" priority="26">
      <formula>$D10="CBS"</formula>
    </cfRule>
  </conditionalFormatting>
  <conditionalFormatting sqref="L10 N10:R10">
    <cfRule type="expression" dxfId="102" priority="25">
      <formula>$D10="SBS"</formula>
    </cfRule>
  </conditionalFormatting>
  <conditionalFormatting sqref="L10 N10:R10">
    <cfRule type="expression" dxfId="101" priority="24">
      <formula>$D10="NLS"</formula>
    </cfRule>
  </conditionalFormatting>
  <conditionalFormatting sqref="L10 N10:R10">
    <cfRule type="expression" dxfId="100" priority="23">
      <formula>$D10="SLS"</formula>
    </cfRule>
  </conditionalFormatting>
  <conditionalFormatting sqref="D2:E7 D8">
    <cfRule type="expression" dxfId="99" priority="22">
      <formula>$D2="NBS"</formula>
    </cfRule>
  </conditionalFormatting>
  <conditionalFormatting sqref="D2:E7 D8">
    <cfRule type="expression" dxfId="98" priority="21">
      <formula>$D3="CBS"</formula>
    </cfRule>
  </conditionalFormatting>
  <conditionalFormatting sqref="H2:I7 H8">
    <cfRule type="expression" dxfId="97" priority="18">
      <formula>$D2="NBS"</formula>
    </cfRule>
  </conditionalFormatting>
  <conditionalFormatting sqref="H2:I7 H8">
    <cfRule type="expression" dxfId="96" priority="17">
      <formula>$D3="CBS"</formula>
    </cfRule>
  </conditionalFormatting>
  <conditionalFormatting sqref="J2:K7 J8">
    <cfRule type="expression" dxfId="95" priority="16">
      <formula>$D2="NBS"</formula>
    </cfRule>
  </conditionalFormatting>
  <conditionalFormatting sqref="J2:K7 J8">
    <cfRule type="expression" dxfId="94" priority="15">
      <formula>$D3="CBS"</formula>
    </cfRule>
  </conditionalFormatting>
  <conditionalFormatting sqref="F2:G7">
    <cfRule type="expression" dxfId="93" priority="14">
      <formula>$D2="NBS"</formula>
    </cfRule>
  </conditionalFormatting>
  <conditionalFormatting sqref="F2:G7">
    <cfRule type="expression" dxfId="92" priority="13">
      <formula>$D3="CBS"</formula>
    </cfRule>
  </conditionalFormatting>
  <conditionalFormatting sqref="E8">
    <cfRule type="expression" dxfId="91" priority="12">
      <formula>$D8="NBS"</formula>
    </cfRule>
  </conditionalFormatting>
  <conditionalFormatting sqref="E8">
    <cfRule type="expression" dxfId="90" priority="11">
      <formula>$D9="CBS"</formula>
    </cfRule>
  </conditionalFormatting>
  <conditionalFormatting sqref="I8">
    <cfRule type="expression" dxfId="89" priority="10">
      <formula>$D8="NBS"</formula>
    </cfRule>
  </conditionalFormatting>
  <conditionalFormatting sqref="I8">
    <cfRule type="expression" dxfId="88" priority="9">
      <formula>$D9="CBS"</formula>
    </cfRule>
  </conditionalFormatting>
  <conditionalFormatting sqref="K8">
    <cfRule type="expression" dxfId="87" priority="8">
      <formula>$D8="NBS"</formula>
    </cfRule>
  </conditionalFormatting>
  <conditionalFormatting sqref="K8">
    <cfRule type="expression" dxfId="86" priority="7">
      <formula>$D9="CBS"</formula>
    </cfRule>
  </conditionalFormatting>
  <conditionalFormatting sqref="M10">
    <cfRule type="expression" dxfId="85" priority="6">
      <formula>$D10="NBS"</formula>
    </cfRule>
  </conditionalFormatting>
  <conditionalFormatting sqref="M10">
    <cfRule type="expression" dxfId="84" priority="5">
      <formula>$D11="CBS"</formula>
    </cfRule>
  </conditionalFormatting>
  <conditionalFormatting sqref="M10">
    <cfRule type="expression" dxfId="83" priority="4">
      <formula>$D10="CBS"</formula>
    </cfRule>
  </conditionalFormatting>
  <conditionalFormatting sqref="M10">
    <cfRule type="expression" dxfId="82" priority="3">
      <formula>$D10="SBS"</formula>
    </cfRule>
  </conditionalFormatting>
  <conditionalFormatting sqref="M10">
    <cfRule type="expression" dxfId="81" priority="2">
      <formula>$D10="NLS"</formula>
    </cfRule>
  </conditionalFormatting>
  <conditionalFormatting sqref="M10">
    <cfRule type="expression" dxfId="80" priority="1">
      <formula>$D10="SLS"</formula>
    </cfRule>
  </conditionalFormatting>
  <pageMargins left="0.7" right="0.7" top="0.75" bottom="0.75" header="0.3" footer="0.3"/>
  <ignoredErrors>
    <ignoredError sqref="L2:L7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8C0-B848-48C8-8316-F84FC481DB75}">
  <sheetPr codeName="Sheet17"/>
  <dimension ref="A1:N16"/>
  <sheetViews>
    <sheetView topLeftCell="I1" workbookViewId="0">
      <selection activeCell="O17" sqref="O17"/>
    </sheetView>
  </sheetViews>
  <sheetFormatPr defaultRowHeight="14.5" x14ac:dyDescent="0.35"/>
  <cols>
    <col min="1" max="1" width="11.7265625" customWidth="1"/>
    <col min="2" max="3" width="11.453125" customWidth="1"/>
    <col min="4" max="5" width="12.1796875" customWidth="1"/>
    <col min="6" max="7" width="10.7265625" customWidth="1"/>
    <col min="8" max="9" width="12.7265625" customWidth="1"/>
    <col min="10" max="11" width="9.90625" customWidth="1"/>
    <col min="12" max="12" width="9.81640625" customWidth="1"/>
  </cols>
  <sheetData>
    <row r="1" spans="1:14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4" x14ac:dyDescent="0.35">
      <c r="A2" s="10">
        <v>41487</v>
      </c>
      <c r="B2" s="1">
        <v>784</v>
      </c>
      <c r="C2" s="1"/>
      <c r="D2" s="7">
        <v>8500</v>
      </c>
      <c r="E2" s="7"/>
      <c r="F2" s="7">
        <v>23000</v>
      </c>
      <c r="G2" s="7"/>
      <c r="H2" s="4">
        <v>3500</v>
      </c>
      <c r="I2" s="4"/>
      <c r="J2" s="7">
        <v>3000</v>
      </c>
      <c r="K2" s="7"/>
      <c r="L2" s="6">
        <f t="shared" ref="L2:L7" si="0">SUM(D2:J2)</f>
        <v>38000</v>
      </c>
      <c r="M2" s="1"/>
    </row>
    <row r="3" spans="1:14" x14ac:dyDescent="0.35">
      <c r="A3" s="10">
        <v>41852</v>
      </c>
      <c r="B3" s="1">
        <v>680</v>
      </c>
      <c r="C3" s="1"/>
      <c r="D3" s="7">
        <v>6700</v>
      </c>
      <c r="E3" s="7"/>
      <c r="F3" s="7">
        <v>20200</v>
      </c>
      <c r="G3" s="7"/>
      <c r="H3" s="4">
        <v>2500</v>
      </c>
      <c r="I3" s="4"/>
      <c r="J3" s="7">
        <v>3000</v>
      </c>
      <c r="K3" s="7"/>
      <c r="L3" s="6">
        <f t="shared" si="0"/>
        <v>32400</v>
      </c>
      <c r="M3" s="1"/>
    </row>
    <row r="4" spans="1:14" x14ac:dyDescent="0.35">
      <c r="A4" s="10">
        <v>42217</v>
      </c>
      <c r="B4" s="1">
        <v>760</v>
      </c>
      <c r="C4" s="1"/>
      <c r="D4" s="7">
        <v>7900</v>
      </c>
      <c r="E4" s="7"/>
      <c r="F4" s="7">
        <v>23000</v>
      </c>
      <c r="G4" s="7"/>
      <c r="H4" s="4">
        <v>3000</v>
      </c>
      <c r="I4" s="4"/>
      <c r="J4" s="7">
        <v>3000</v>
      </c>
      <c r="K4" s="7"/>
      <c r="L4" s="6">
        <f t="shared" si="0"/>
        <v>36900</v>
      </c>
      <c r="M4" s="1"/>
    </row>
    <row r="5" spans="1:14" x14ac:dyDescent="0.35">
      <c r="A5" s="10">
        <v>42583</v>
      </c>
      <c r="B5" s="1">
        <v>780</v>
      </c>
      <c r="C5" s="1"/>
      <c r="D5" s="7">
        <v>8000</v>
      </c>
      <c r="E5" s="7"/>
      <c r="F5" s="7">
        <v>24500</v>
      </c>
      <c r="G5" s="7"/>
      <c r="H5" s="4">
        <v>3500</v>
      </c>
      <c r="I5" s="4"/>
      <c r="J5" s="7">
        <v>3000</v>
      </c>
      <c r="K5" s="7"/>
      <c r="L5" s="6">
        <f t="shared" si="0"/>
        <v>39000</v>
      </c>
      <c r="M5" s="1"/>
    </row>
    <row r="6" spans="1:14" x14ac:dyDescent="0.35">
      <c r="A6" s="10">
        <v>42948</v>
      </c>
      <c r="B6" s="1">
        <v>792</v>
      </c>
      <c r="C6" s="1"/>
      <c r="D6" s="7">
        <v>7500</v>
      </c>
      <c r="E6" s="7"/>
      <c r="F6" s="7">
        <v>23200</v>
      </c>
      <c r="G6" s="7"/>
      <c r="H6" s="4">
        <v>3700</v>
      </c>
      <c r="I6" s="4"/>
      <c r="J6" s="7">
        <v>3000</v>
      </c>
      <c r="K6" s="7"/>
      <c r="L6" s="6">
        <f t="shared" si="0"/>
        <v>37400</v>
      </c>
      <c r="M6" s="1"/>
    </row>
    <row r="7" spans="1:14" x14ac:dyDescent="0.35">
      <c r="A7" s="10">
        <v>43313</v>
      </c>
      <c r="B7" s="1">
        <v>640</v>
      </c>
      <c r="C7" s="1"/>
      <c r="D7" s="7">
        <v>6000</v>
      </c>
      <c r="E7" s="7"/>
      <c r="F7" s="7">
        <v>22000</v>
      </c>
      <c r="G7" s="7"/>
      <c r="H7" s="4">
        <v>3300</v>
      </c>
      <c r="I7" s="4"/>
      <c r="J7" s="7">
        <v>2500</v>
      </c>
      <c r="K7" s="7"/>
      <c r="L7" s="6">
        <f t="shared" si="0"/>
        <v>33800</v>
      </c>
      <c r="M7" s="1"/>
    </row>
    <row r="8" spans="1:14" x14ac:dyDescent="0.35">
      <c r="A8" s="10">
        <v>43678</v>
      </c>
      <c r="B8" s="1">
        <v>704</v>
      </c>
      <c r="C8" s="1">
        <v>704</v>
      </c>
      <c r="D8" s="7">
        <v>7500</v>
      </c>
      <c r="E8" s="7">
        <v>7500</v>
      </c>
      <c r="F8" s="6">
        <v>21000</v>
      </c>
      <c r="G8" s="6">
        <v>21000</v>
      </c>
      <c r="H8" s="4">
        <v>3400</v>
      </c>
      <c r="I8" s="4">
        <v>3400</v>
      </c>
      <c r="J8" s="7">
        <v>3000</v>
      </c>
      <c r="K8" s="7">
        <v>3000</v>
      </c>
      <c r="L8" s="6">
        <f>SUM(E8,G8,I8,K8)</f>
        <v>34900</v>
      </c>
      <c r="M8" s="6">
        <v>34900</v>
      </c>
    </row>
    <row r="9" spans="1:14" x14ac:dyDescent="0.35">
      <c r="A9" s="10">
        <v>44044</v>
      </c>
      <c r="B9" s="1"/>
      <c r="C9" s="1">
        <v>669.37</v>
      </c>
      <c r="D9" s="1"/>
      <c r="E9" s="5">
        <v>6910.25</v>
      </c>
      <c r="F9" s="1"/>
      <c r="G9" s="6">
        <v>20247</v>
      </c>
      <c r="H9" s="1"/>
      <c r="I9" s="5">
        <v>3258.21</v>
      </c>
      <c r="J9" s="1"/>
      <c r="K9" s="1">
        <v>3000</v>
      </c>
      <c r="L9" s="5"/>
      <c r="M9" s="5">
        <f>SUM(E9:K9)</f>
        <v>33415.46</v>
      </c>
    </row>
    <row r="10" spans="1:14" x14ac:dyDescent="0.35">
      <c r="A10" s="10">
        <v>44409</v>
      </c>
      <c r="B10" s="1"/>
      <c r="C10" s="1">
        <v>650.79999999999995</v>
      </c>
      <c r="D10" s="1"/>
      <c r="E10" s="5">
        <v>6875.92</v>
      </c>
      <c r="F10" s="1"/>
      <c r="G10" s="5">
        <v>19489.43</v>
      </c>
      <c r="H10" s="1"/>
      <c r="I10" s="5">
        <v>3113.875</v>
      </c>
      <c r="J10" s="1"/>
      <c r="K10" s="1">
        <v>3000</v>
      </c>
      <c r="L10" s="5"/>
      <c r="M10" s="5">
        <f>SUM(E10:K10)</f>
        <v>32479.224999999999</v>
      </c>
    </row>
    <row r="11" spans="1:14" x14ac:dyDescent="0.35">
      <c r="A11" s="10">
        <v>44774</v>
      </c>
      <c r="B11" s="1"/>
      <c r="C11" s="1">
        <v>632.23500000000001</v>
      </c>
      <c r="D11" s="1"/>
      <c r="E11" s="1">
        <v>6841.5889999999999</v>
      </c>
      <c r="F11" s="1"/>
      <c r="G11" s="5">
        <v>18731.18</v>
      </c>
      <c r="H11" s="1"/>
      <c r="I11" s="5">
        <v>2969.53</v>
      </c>
      <c r="J11" s="1"/>
      <c r="K11" s="1">
        <v>3000</v>
      </c>
      <c r="L11" s="1"/>
      <c r="M11" s="1">
        <f>SUM(E11:K11)</f>
        <v>31542.298999999999</v>
      </c>
    </row>
    <row r="12" spans="1:14" x14ac:dyDescent="0.35">
      <c r="E12" s="12"/>
    </row>
    <row r="13" spans="1:14" x14ac:dyDescent="0.35">
      <c r="L13" s="8"/>
    </row>
    <row r="14" spans="1:14" x14ac:dyDescent="0.35">
      <c r="L14" s="8"/>
    </row>
    <row r="16" spans="1:14" x14ac:dyDescent="0.35">
      <c r="J16" s="1"/>
      <c r="K16" s="1"/>
      <c r="L16" s="6"/>
      <c r="M16" s="1"/>
      <c r="N16" s="1"/>
    </row>
  </sheetData>
  <conditionalFormatting sqref="J16:O16">
    <cfRule type="expression" dxfId="79" priority="14">
      <formula>$D16="NBS"</formula>
    </cfRule>
  </conditionalFormatting>
  <conditionalFormatting sqref="J16:Q16">
    <cfRule type="expression" dxfId="78" priority="13">
      <formula>$D17="CBS"</formula>
    </cfRule>
  </conditionalFormatting>
  <conditionalFormatting sqref="J16:Q16">
    <cfRule type="expression" dxfId="77" priority="12">
      <formula>$D16="CBS"</formula>
    </cfRule>
  </conditionalFormatting>
  <conditionalFormatting sqref="J16:Q16">
    <cfRule type="expression" dxfId="76" priority="11">
      <formula>$D16="SBS"</formula>
    </cfRule>
  </conditionalFormatting>
  <conditionalFormatting sqref="J16:Q16">
    <cfRule type="expression" dxfId="75" priority="10">
      <formula>$D16="NLS"</formula>
    </cfRule>
  </conditionalFormatting>
  <conditionalFormatting sqref="J16:Q16">
    <cfRule type="expression" dxfId="74" priority="9">
      <formula>$D16="SLS"</formula>
    </cfRule>
  </conditionalFormatting>
  <conditionalFormatting sqref="D2:E8">
    <cfRule type="expression" dxfId="73" priority="8">
      <formula>$D2="NBS"</formula>
    </cfRule>
  </conditionalFormatting>
  <conditionalFormatting sqref="D2:E8">
    <cfRule type="expression" dxfId="72" priority="7">
      <formula>$D3="CBS"</formula>
    </cfRule>
  </conditionalFormatting>
  <conditionalFormatting sqref="F2:G7">
    <cfRule type="expression" dxfId="71" priority="6">
      <formula>$D2="NBS"</formula>
    </cfRule>
  </conditionalFormatting>
  <conditionalFormatting sqref="F2:G7">
    <cfRule type="expression" dxfId="70" priority="5">
      <formula>$D3="CBS"</formula>
    </cfRule>
  </conditionalFormatting>
  <conditionalFormatting sqref="H2:I8">
    <cfRule type="expression" dxfId="69" priority="4">
      <formula>$D2="NBS"</formula>
    </cfRule>
  </conditionalFormatting>
  <conditionalFormatting sqref="H2:I8">
    <cfRule type="expression" dxfId="68" priority="3">
      <formula>$D3="CBS"</formula>
    </cfRule>
  </conditionalFormatting>
  <conditionalFormatting sqref="J2:K8">
    <cfRule type="expression" dxfId="67" priority="2">
      <formula>$D2="NBS"</formula>
    </cfRule>
  </conditionalFormatting>
  <conditionalFormatting sqref="J2:K8">
    <cfRule type="expression" dxfId="66" priority="1">
      <formula>$D3="CBS"</formula>
    </cfRule>
  </conditionalFormatting>
  <pageMargins left="0.7" right="0.7" top="0.75" bottom="0.75" header="0.3" footer="0.3"/>
  <ignoredErrors>
    <ignoredError sqref="L2:L7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4642-3E77-4721-8183-C330DF7FB6E3}">
  <sheetPr codeName="Sheet18"/>
  <dimension ref="A1:M16"/>
  <sheetViews>
    <sheetView topLeftCell="H1" zoomScale="87" zoomScaleNormal="115" workbookViewId="0">
      <selection activeCell="O11" sqref="O11"/>
    </sheetView>
  </sheetViews>
  <sheetFormatPr defaultRowHeight="14.5" x14ac:dyDescent="0.35"/>
  <cols>
    <col min="1" max="1" width="10.7265625" style="1" customWidth="1"/>
    <col min="2" max="3" width="11.54296875" style="1" customWidth="1"/>
    <col min="4" max="5" width="11.453125" style="1" customWidth="1"/>
    <col min="6" max="7" width="11.7265625" style="1" customWidth="1"/>
    <col min="8" max="9" width="12.90625" style="1" customWidth="1"/>
    <col min="10" max="11" width="10.81640625" style="1" customWidth="1"/>
    <col min="12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1941.5</v>
      </c>
      <c r="D2" s="7">
        <v>13500</v>
      </c>
      <c r="E2" s="7"/>
      <c r="F2" s="7">
        <v>34000</v>
      </c>
      <c r="G2" s="7"/>
      <c r="H2" s="4">
        <v>4500</v>
      </c>
      <c r="I2" s="4"/>
      <c r="J2" s="7">
        <v>5000</v>
      </c>
      <c r="K2" s="7"/>
      <c r="L2" s="6">
        <f t="shared" ref="L2:L7" si="0">SUM(D2:J2)</f>
        <v>57000</v>
      </c>
    </row>
    <row r="3" spans="1:13" x14ac:dyDescent="0.35">
      <c r="A3" s="10">
        <v>41852</v>
      </c>
      <c r="B3" s="1">
        <v>2002</v>
      </c>
      <c r="D3" s="7">
        <v>13700</v>
      </c>
      <c r="E3" s="7"/>
      <c r="F3" s="7">
        <v>35200</v>
      </c>
      <c r="G3" s="7"/>
      <c r="H3" s="4">
        <v>4500</v>
      </c>
      <c r="I3" s="4"/>
      <c r="J3" s="7">
        <v>5500</v>
      </c>
      <c r="K3" s="7"/>
      <c r="L3" s="6">
        <f t="shared" si="0"/>
        <v>58900</v>
      </c>
    </row>
    <row r="4" spans="1:13" x14ac:dyDescent="0.35">
      <c r="A4" s="10">
        <v>42217</v>
      </c>
      <c r="B4" s="1">
        <v>2057</v>
      </c>
      <c r="D4" s="7">
        <v>13900</v>
      </c>
      <c r="E4" s="7"/>
      <c r="F4" s="7">
        <v>35300</v>
      </c>
      <c r="G4" s="7"/>
      <c r="H4" s="4">
        <v>5000</v>
      </c>
      <c r="I4" s="4"/>
      <c r="J4" s="7">
        <v>5000</v>
      </c>
      <c r="K4" s="7"/>
      <c r="L4" s="6">
        <f t="shared" si="0"/>
        <v>59200</v>
      </c>
    </row>
    <row r="5" spans="1:13" x14ac:dyDescent="0.35">
      <c r="A5" s="10">
        <v>42583</v>
      </c>
      <c r="B5" s="1">
        <v>2117.5</v>
      </c>
      <c r="D5" s="7">
        <v>14000</v>
      </c>
      <c r="E5" s="7"/>
      <c r="F5" s="7">
        <v>36000</v>
      </c>
      <c r="G5" s="7"/>
      <c r="H5" s="4">
        <v>5500</v>
      </c>
      <c r="I5" s="4"/>
      <c r="J5" s="7">
        <v>5000</v>
      </c>
      <c r="K5" s="7"/>
      <c r="L5" s="6">
        <f t="shared" si="0"/>
        <v>60500</v>
      </c>
    </row>
    <row r="6" spans="1:13" x14ac:dyDescent="0.35">
      <c r="A6" s="10">
        <v>42948</v>
      </c>
      <c r="B6" s="1">
        <v>2079</v>
      </c>
      <c r="D6" s="7">
        <v>14500</v>
      </c>
      <c r="E6" s="7"/>
      <c r="F6" s="7">
        <v>35900</v>
      </c>
      <c r="G6" s="7"/>
      <c r="H6" s="4">
        <v>5900</v>
      </c>
      <c r="I6" s="4"/>
      <c r="J6" s="7">
        <v>5000</v>
      </c>
      <c r="K6" s="7"/>
      <c r="L6" s="6">
        <f t="shared" si="0"/>
        <v>61300</v>
      </c>
    </row>
    <row r="7" spans="1:13" x14ac:dyDescent="0.35">
      <c r="A7" s="10">
        <v>43313</v>
      </c>
      <c r="B7" s="1">
        <v>1870</v>
      </c>
      <c r="D7" s="7">
        <v>15500</v>
      </c>
      <c r="E7" s="7"/>
      <c r="F7" s="7">
        <v>34000</v>
      </c>
      <c r="G7" s="7"/>
      <c r="H7" s="4">
        <v>5100</v>
      </c>
      <c r="I7" s="4"/>
      <c r="J7" s="7">
        <v>5500</v>
      </c>
      <c r="K7" s="7"/>
      <c r="L7" s="6">
        <f t="shared" si="0"/>
        <v>60100</v>
      </c>
    </row>
    <row r="8" spans="1:13" x14ac:dyDescent="0.35">
      <c r="A8" s="10">
        <v>43678</v>
      </c>
      <c r="B8" s="1">
        <v>2090</v>
      </c>
      <c r="C8" s="1">
        <v>2090</v>
      </c>
      <c r="D8" s="7">
        <v>15700</v>
      </c>
      <c r="E8" s="7">
        <v>15700</v>
      </c>
      <c r="F8" s="6">
        <v>35000</v>
      </c>
      <c r="G8" s="6">
        <v>35000</v>
      </c>
      <c r="H8" s="4">
        <v>5600</v>
      </c>
      <c r="I8" s="4">
        <v>5600</v>
      </c>
      <c r="J8" s="7">
        <v>5000</v>
      </c>
      <c r="K8" s="7">
        <v>5000</v>
      </c>
      <c r="L8" s="6">
        <f>SUM(E8,G8,I8,K8)</f>
        <v>61300</v>
      </c>
      <c r="M8" s="6">
        <f>SUM(E8,G8,I8,K8)</f>
        <v>61300</v>
      </c>
    </row>
    <row r="9" spans="1:13" x14ac:dyDescent="0.35">
      <c r="A9" s="10">
        <v>44044</v>
      </c>
      <c r="C9" s="1">
        <v>2014.94</v>
      </c>
      <c r="D9" s="7"/>
      <c r="E9" s="7">
        <v>15900</v>
      </c>
      <c r="F9" s="7"/>
      <c r="G9" s="7">
        <v>34085.75</v>
      </c>
      <c r="H9" s="4"/>
      <c r="I9" s="4">
        <v>5549.7420000000002</v>
      </c>
      <c r="J9" s="7"/>
      <c r="K9" s="7">
        <v>5129.0119999999997</v>
      </c>
      <c r="L9" s="6"/>
      <c r="M9" s="6">
        <f>SUM(E9:K9)</f>
        <v>60664.504000000001</v>
      </c>
    </row>
    <row r="10" spans="1:13" x14ac:dyDescent="0.35">
      <c r="A10" s="10">
        <v>44409</v>
      </c>
      <c r="C10" s="1">
        <v>1982.4469999999999</v>
      </c>
      <c r="D10" s="7"/>
      <c r="E10" s="7">
        <v>16100</v>
      </c>
      <c r="F10" s="7"/>
      <c r="G10" s="7">
        <v>33473.19</v>
      </c>
      <c r="H10" s="4"/>
      <c r="I10" s="4">
        <v>5571.3140000000003</v>
      </c>
      <c r="J10" s="7"/>
      <c r="K10" s="7">
        <v>5106.2039999999997</v>
      </c>
      <c r="L10" s="6"/>
      <c r="M10" s="6">
        <f>SUM(E10:K10)</f>
        <v>60250.707999999999</v>
      </c>
    </row>
    <row r="11" spans="1:13" x14ac:dyDescent="0.35">
      <c r="A11" s="10">
        <v>44774</v>
      </c>
      <c r="C11" s="1">
        <v>1949.954</v>
      </c>
      <c r="D11" s="7"/>
      <c r="E11" s="7">
        <v>16300</v>
      </c>
      <c r="F11" s="7"/>
      <c r="G11" s="7">
        <v>32860.620000000003</v>
      </c>
      <c r="H11" s="5"/>
      <c r="I11" s="5">
        <v>5592.8860000000004</v>
      </c>
      <c r="J11" s="6"/>
      <c r="K11" s="6">
        <v>5083.3950000000004</v>
      </c>
      <c r="L11" s="6"/>
      <c r="M11" s="6">
        <f>SUM(E11:K11)</f>
        <v>59836.900999999998</v>
      </c>
    </row>
    <row r="13" spans="1:13" x14ac:dyDescent="0.35">
      <c r="L13" s="6"/>
    </row>
    <row r="16" spans="1:13" x14ac:dyDescent="0.35">
      <c r="L16" s="6"/>
    </row>
  </sheetData>
  <conditionalFormatting sqref="H11 F9:F11 J11 L11 N11">
    <cfRule type="expression" dxfId="65" priority="34">
      <formula>$D9="NBS"</formula>
    </cfRule>
  </conditionalFormatting>
  <conditionalFormatting sqref="H11 F9:F11 J11 L11 N11:P11">
    <cfRule type="expression" dxfId="64" priority="33">
      <formula>$D10="CBS"</formula>
    </cfRule>
  </conditionalFormatting>
  <conditionalFormatting sqref="H11 J11 L11 N11:P11">
    <cfRule type="expression" dxfId="63" priority="32">
      <formula>$D11="CBS"</formula>
    </cfRule>
  </conditionalFormatting>
  <conditionalFormatting sqref="H11 J11 L11 N11:P11">
    <cfRule type="expression" dxfId="62" priority="31">
      <formula>$D11="SBS"</formula>
    </cfRule>
  </conditionalFormatting>
  <conditionalFormatting sqref="H11 J11 L11 N11:P11">
    <cfRule type="expression" dxfId="61" priority="30">
      <formula>$D11="NLS"</formula>
    </cfRule>
  </conditionalFormatting>
  <conditionalFormatting sqref="D2:E11">
    <cfRule type="expression" dxfId="60" priority="29">
      <formula>$D2="NBS"</formula>
    </cfRule>
  </conditionalFormatting>
  <conditionalFormatting sqref="D2:E11">
    <cfRule type="expression" dxfId="59" priority="28">
      <formula>$D3="CBS"</formula>
    </cfRule>
  </conditionalFormatting>
  <conditionalFormatting sqref="F2:G7">
    <cfRule type="expression" dxfId="58" priority="27">
      <formula>$D2="NBS"</formula>
    </cfRule>
  </conditionalFormatting>
  <conditionalFormatting sqref="F2:G7">
    <cfRule type="expression" dxfId="57" priority="26">
      <formula>$D3="CBS"</formula>
    </cfRule>
  </conditionalFormatting>
  <conditionalFormatting sqref="H2:I7 H8:H10">
    <cfRule type="expression" dxfId="56" priority="25">
      <formula>$D2="NBS"</formula>
    </cfRule>
  </conditionalFormatting>
  <conditionalFormatting sqref="H2:I7 H8:H10">
    <cfRule type="expression" dxfId="55" priority="24">
      <formula>$D3="CBS"</formula>
    </cfRule>
  </conditionalFormatting>
  <conditionalFormatting sqref="J2:K7 J8:J10">
    <cfRule type="expression" dxfId="54" priority="23">
      <formula>$D2="NBS"</formula>
    </cfRule>
  </conditionalFormatting>
  <conditionalFormatting sqref="J2:K7 J8:J10">
    <cfRule type="expression" dxfId="53" priority="22">
      <formula>$D3="CBS"</formula>
    </cfRule>
  </conditionalFormatting>
  <conditionalFormatting sqref="G9:G11">
    <cfRule type="expression" dxfId="52" priority="21">
      <formula>$D9="NBS"</formula>
    </cfRule>
  </conditionalFormatting>
  <conditionalFormatting sqref="G9:G11">
    <cfRule type="expression" dxfId="51" priority="20">
      <formula>$D10="CBS"</formula>
    </cfRule>
  </conditionalFormatting>
  <conditionalFormatting sqref="I11">
    <cfRule type="expression" dxfId="50" priority="19">
      <formula>$D11="NBS"</formula>
    </cfRule>
  </conditionalFormatting>
  <conditionalFormatting sqref="I11">
    <cfRule type="expression" dxfId="49" priority="18">
      <formula>$D12="CBS"</formula>
    </cfRule>
  </conditionalFormatting>
  <conditionalFormatting sqref="I11">
    <cfRule type="expression" dxfId="48" priority="17">
      <formula>$D11="CBS"</formula>
    </cfRule>
  </conditionalFormatting>
  <conditionalFormatting sqref="I11">
    <cfRule type="expression" dxfId="47" priority="16">
      <formula>$D11="SBS"</formula>
    </cfRule>
  </conditionalFormatting>
  <conditionalFormatting sqref="I11">
    <cfRule type="expression" dxfId="46" priority="15">
      <formula>$D11="NLS"</formula>
    </cfRule>
  </conditionalFormatting>
  <conditionalFormatting sqref="I8:I10">
    <cfRule type="expression" dxfId="45" priority="14">
      <formula>$D8="NBS"</formula>
    </cfRule>
  </conditionalFormatting>
  <conditionalFormatting sqref="I8:I10">
    <cfRule type="expression" dxfId="44" priority="13">
      <formula>$D9="CBS"</formula>
    </cfRule>
  </conditionalFormatting>
  <conditionalFormatting sqref="K11">
    <cfRule type="expression" dxfId="43" priority="12">
      <formula>$D11="NBS"</formula>
    </cfRule>
  </conditionalFormatting>
  <conditionalFormatting sqref="K11">
    <cfRule type="expression" dxfId="42" priority="11">
      <formula>$D12="CBS"</formula>
    </cfRule>
  </conditionalFormatting>
  <conditionalFormatting sqref="K11">
    <cfRule type="expression" dxfId="41" priority="10">
      <formula>$D11="CBS"</formula>
    </cfRule>
  </conditionalFormatting>
  <conditionalFormatting sqref="K11">
    <cfRule type="expression" dxfId="40" priority="9">
      <formula>$D11="SBS"</formula>
    </cfRule>
  </conditionalFormatting>
  <conditionalFormatting sqref="K11">
    <cfRule type="expression" dxfId="39" priority="8">
      <formula>$D11="NLS"</formula>
    </cfRule>
  </conditionalFormatting>
  <conditionalFormatting sqref="K8:K10">
    <cfRule type="expression" dxfId="38" priority="7">
      <formula>$D8="NBS"</formula>
    </cfRule>
  </conditionalFormatting>
  <conditionalFormatting sqref="K8:K10">
    <cfRule type="expression" dxfId="37" priority="6">
      <formula>$D9="CBS"</formula>
    </cfRule>
  </conditionalFormatting>
  <conditionalFormatting sqref="M11">
    <cfRule type="expression" dxfId="36" priority="5">
      <formula>$D11="NBS"</formula>
    </cfRule>
  </conditionalFormatting>
  <conditionalFormatting sqref="M11">
    <cfRule type="expression" dxfId="35" priority="4">
      <formula>$D12="CBS"</formula>
    </cfRule>
  </conditionalFormatting>
  <conditionalFormatting sqref="M11">
    <cfRule type="expression" dxfId="34" priority="3">
      <formula>$D11="CBS"</formula>
    </cfRule>
  </conditionalFormatting>
  <conditionalFormatting sqref="M11">
    <cfRule type="expression" dxfId="33" priority="2">
      <formula>$D11="SBS"</formula>
    </cfRule>
  </conditionalFormatting>
  <conditionalFormatting sqref="M11">
    <cfRule type="expression" dxfId="32" priority="1">
      <formula>$D11="NLS"</formula>
    </cfRule>
  </conditionalFormatting>
  <pageMargins left="0.7" right="0.7" top="0.75" bottom="0.75" header="0.3" footer="0.3"/>
  <ignoredErrors>
    <ignoredError sqref="L2:L7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3D2D-070B-4750-BD68-D72E9020BEB5}">
  <sheetPr codeName="Sheet19"/>
  <dimension ref="A1:Q15"/>
  <sheetViews>
    <sheetView topLeftCell="I1" workbookViewId="0">
      <selection activeCell="P17" sqref="P17"/>
    </sheetView>
  </sheetViews>
  <sheetFormatPr defaultRowHeight="14.5" x14ac:dyDescent="0.35"/>
  <cols>
    <col min="1" max="1" width="11.6328125" customWidth="1"/>
    <col min="2" max="3" width="10.81640625" customWidth="1"/>
    <col min="4" max="5" width="12.08984375" customWidth="1"/>
    <col min="6" max="7" width="10.26953125" customWidth="1"/>
    <col min="8" max="9" width="12.54296875" customWidth="1"/>
    <col min="10" max="11" width="9.90625" customWidth="1"/>
    <col min="12" max="12" width="10.36328125" customWidth="1"/>
  </cols>
  <sheetData>
    <row r="1" spans="1:17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7" x14ac:dyDescent="0.35">
      <c r="A2" s="10">
        <v>41487</v>
      </c>
      <c r="B2">
        <v>2360</v>
      </c>
      <c r="D2" s="7">
        <v>14500</v>
      </c>
      <c r="E2" s="7"/>
      <c r="F2" s="7">
        <v>35000</v>
      </c>
      <c r="G2" s="7"/>
      <c r="H2" s="4">
        <v>4000</v>
      </c>
      <c r="I2" s="4"/>
      <c r="J2" s="7">
        <v>5000</v>
      </c>
      <c r="K2" s="7"/>
      <c r="L2" s="8">
        <f t="shared" ref="L2:L7" si="0">SUM(D2:J2)</f>
        <v>58500</v>
      </c>
    </row>
    <row r="3" spans="1:17" x14ac:dyDescent="0.35">
      <c r="A3" s="10">
        <v>41852</v>
      </c>
      <c r="B3">
        <v>2240</v>
      </c>
      <c r="D3" s="7">
        <v>14000</v>
      </c>
      <c r="E3" s="7"/>
      <c r="F3" s="7">
        <v>35200</v>
      </c>
      <c r="G3" s="7"/>
      <c r="H3" s="4">
        <v>4500</v>
      </c>
      <c r="I3" s="4"/>
      <c r="J3" s="7">
        <v>5500</v>
      </c>
      <c r="K3" s="7"/>
      <c r="L3" s="8">
        <f t="shared" si="0"/>
        <v>59200</v>
      </c>
    </row>
    <row r="4" spans="1:17" x14ac:dyDescent="0.35">
      <c r="A4" s="10">
        <v>42217</v>
      </c>
      <c r="B4">
        <v>2320</v>
      </c>
      <c r="D4" s="7">
        <v>14000</v>
      </c>
      <c r="E4" s="7"/>
      <c r="F4" s="7">
        <v>36300</v>
      </c>
      <c r="G4" s="7"/>
      <c r="H4" s="4">
        <v>5000</v>
      </c>
      <c r="I4" s="4"/>
      <c r="J4" s="7">
        <v>5000</v>
      </c>
      <c r="K4" s="7"/>
      <c r="L4" s="8">
        <f t="shared" si="0"/>
        <v>60300</v>
      </c>
    </row>
    <row r="5" spans="1:17" x14ac:dyDescent="0.35">
      <c r="A5" s="10">
        <v>42583</v>
      </c>
      <c r="B5">
        <v>2384</v>
      </c>
      <c r="D5" s="7">
        <v>14500</v>
      </c>
      <c r="E5" s="7"/>
      <c r="F5" s="7">
        <v>36000</v>
      </c>
      <c r="G5" s="7"/>
      <c r="H5" s="4">
        <v>6000</v>
      </c>
      <c r="I5" s="4"/>
      <c r="J5" s="7">
        <v>5000</v>
      </c>
      <c r="K5" s="7"/>
      <c r="L5" s="8">
        <f t="shared" si="0"/>
        <v>61500</v>
      </c>
    </row>
    <row r="6" spans="1:17" x14ac:dyDescent="0.35">
      <c r="A6" s="10">
        <v>42948</v>
      </c>
      <c r="B6">
        <v>2360</v>
      </c>
      <c r="D6" s="7">
        <v>14500</v>
      </c>
      <c r="E6" s="7"/>
      <c r="F6" s="7">
        <v>35550</v>
      </c>
      <c r="G6" s="7"/>
      <c r="H6" s="4">
        <v>5100</v>
      </c>
      <c r="I6" s="4"/>
      <c r="J6" s="7">
        <v>5000</v>
      </c>
      <c r="K6" s="7"/>
      <c r="L6" s="8">
        <f t="shared" si="0"/>
        <v>60150</v>
      </c>
    </row>
    <row r="7" spans="1:17" x14ac:dyDescent="0.35">
      <c r="A7" s="10">
        <v>43313</v>
      </c>
      <c r="B7">
        <v>2080</v>
      </c>
      <c r="D7" s="7">
        <v>14600</v>
      </c>
      <c r="E7" s="7"/>
      <c r="F7" s="7">
        <v>34400</v>
      </c>
      <c r="G7" s="7"/>
      <c r="H7" s="4">
        <v>4000</v>
      </c>
      <c r="I7" s="4"/>
      <c r="J7" s="7">
        <v>5500</v>
      </c>
      <c r="K7" s="7"/>
      <c r="L7" s="8">
        <f t="shared" si="0"/>
        <v>58500</v>
      </c>
    </row>
    <row r="8" spans="1:17" x14ac:dyDescent="0.35">
      <c r="A8" s="10">
        <v>43678</v>
      </c>
      <c r="B8">
        <v>2320</v>
      </c>
      <c r="C8">
        <v>2320</v>
      </c>
      <c r="D8" s="7">
        <v>15000</v>
      </c>
      <c r="E8" s="7">
        <v>15000</v>
      </c>
      <c r="F8" s="6">
        <v>35400</v>
      </c>
      <c r="G8" s="6">
        <v>35400</v>
      </c>
      <c r="H8" s="4">
        <v>4000</v>
      </c>
      <c r="I8" s="4">
        <v>4000</v>
      </c>
      <c r="J8" s="7">
        <v>5000</v>
      </c>
      <c r="K8" s="7">
        <v>5000</v>
      </c>
      <c r="L8" s="8">
        <f>SUM(E8,G8,I8,K8)</f>
        <v>59400</v>
      </c>
      <c r="M8" s="8">
        <f>SUM(E8,G8,I8,K8)</f>
        <v>59400</v>
      </c>
    </row>
    <row r="9" spans="1:17" x14ac:dyDescent="0.35">
      <c r="A9" s="10">
        <v>44044</v>
      </c>
      <c r="C9">
        <v>2245.0459999999998</v>
      </c>
      <c r="D9" s="7"/>
      <c r="E9" s="7">
        <v>15206.98</v>
      </c>
      <c r="F9" s="7"/>
      <c r="G9" s="7">
        <v>35500.47</v>
      </c>
      <c r="H9" s="4"/>
      <c r="I9" s="4">
        <v>3843.1170000000002</v>
      </c>
      <c r="J9" s="7"/>
      <c r="K9" s="7">
        <v>5129</v>
      </c>
      <c r="L9" s="8"/>
      <c r="M9" s="8">
        <f>SUM(E9:K9)</f>
        <v>59679.566999999995</v>
      </c>
      <c r="N9" s="6"/>
      <c r="O9" s="6"/>
      <c r="P9" s="1"/>
      <c r="Q9" s="1"/>
    </row>
    <row r="10" spans="1:17" x14ac:dyDescent="0.35">
      <c r="A10" s="10">
        <v>44409</v>
      </c>
      <c r="C10">
        <v>2439.2199999999998</v>
      </c>
      <c r="D10" s="7"/>
      <c r="E10" s="7">
        <v>15470.02</v>
      </c>
      <c r="F10" s="7"/>
      <c r="G10" s="7">
        <v>35705.47</v>
      </c>
      <c r="H10" s="4"/>
      <c r="I10" s="4">
        <v>3686.2330000000002</v>
      </c>
      <c r="J10" s="7"/>
      <c r="K10" s="7">
        <v>5106</v>
      </c>
      <c r="L10" s="8"/>
      <c r="M10" s="8">
        <f>SUM(E10:K10)</f>
        <v>59967.723000000005</v>
      </c>
    </row>
    <row r="11" spans="1:17" x14ac:dyDescent="0.35">
      <c r="A11" s="10">
        <v>44774</v>
      </c>
      <c r="C11">
        <v>2333.413</v>
      </c>
      <c r="D11" s="7"/>
      <c r="E11" s="7">
        <v>15733.06</v>
      </c>
      <c r="F11" s="7"/>
      <c r="G11" s="7">
        <v>35905.47</v>
      </c>
      <c r="H11" s="4"/>
      <c r="I11" s="4">
        <v>3529.35</v>
      </c>
      <c r="J11" s="7"/>
      <c r="K11" s="7">
        <v>5100</v>
      </c>
      <c r="L11" s="8"/>
      <c r="M11" s="8">
        <f>SUM(E11:K11)</f>
        <v>60267.88</v>
      </c>
    </row>
    <row r="13" spans="1:17" x14ac:dyDescent="0.35">
      <c r="L13" s="8"/>
    </row>
    <row r="15" spans="1:17" x14ac:dyDescent="0.35">
      <c r="L15" s="8"/>
    </row>
  </sheetData>
  <conditionalFormatting sqref="N9:R9 F9:F11">
    <cfRule type="expression" dxfId="31" priority="16">
      <formula>$D9="NBS"</formula>
    </cfRule>
  </conditionalFormatting>
  <conditionalFormatting sqref="N9:T9 F9:F11">
    <cfRule type="expression" dxfId="30" priority="15">
      <formula>$D10="CBS"</formula>
    </cfRule>
  </conditionalFormatting>
  <conditionalFormatting sqref="N9:T9">
    <cfRule type="expression" dxfId="29" priority="14">
      <formula>$D9="CBS"</formula>
    </cfRule>
  </conditionalFormatting>
  <conditionalFormatting sqref="N9:T9">
    <cfRule type="expression" dxfId="28" priority="13">
      <formula>$D9="SBS"</formula>
    </cfRule>
  </conditionalFormatting>
  <conditionalFormatting sqref="D2:E11">
    <cfRule type="expression" dxfId="27" priority="12">
      <formula>$D2="NBS"</formula>
    </cfRule>
  </conditionalFormatting>
  <conditionalFormatting sqref="D2:E11">
    <cfRule type="expression" dxfId="26" priority="11">
      <formula>$D3="CBS"</formula>
    </cfRule>
  </conditionalFormatting>
  <conditionalFormatting sqref="H2:I11">
    <cfRule type="expression" dxfId="25" priority="8">
      <formula>$D2="NBS"</formula>
    </cfRule>
  </conditionalFormatting>
  <conditionalFormatting sqref="H2:I11">
    <cfRule type="expression" dxfId="24" priority="7">
      <formula>$D3="CBS"</formula>
    </cfRule>
  </conditionalFormatting>
  <conditionalFormatting sqref="J2:K11">
    <cfRule type="expression" dxfId="23" priority="6">
      <formula>$D2="NBS"</formula>
    </cfRule>
  </conditionalFormatting>
  <conditionalFormatting sqref="J2:K11">
    <cfRule type="expression" dxfId="22" priority="5">
      <formula>$D3="CBS"</formula>
    </cfRule>
  </conditionalFormatting>
  <conditionalFormatting sqref="F2:G7">
    <cfRule type="expression" dxfId="21" priority="4">
      <formula>$D2="NBS"</formula>
    </cfRule>
  </conditionalFormatting>
  <conditionalFormatting sqref="F2:G7">
    <cfRule type="expression" dxfId="20" priority="3">
      <formula>$D3="CBS"</formula>
    </cfRule>
  </conditionalFormatting>
  <conditionalFormatting sqref="G9:G11">
    <cfRule type="expression" dxfId="19" priority="2">
      <formula>$D9="NBS"</formula>
    </cfRule>
  </conditionalFormatting>
  <conditionalFormatting sqref="G9:G11">
    <cfRule type="expression" dxfId="18" priority="1">
      <formula>$D10="CBS"</formula>
    </cfRule>
  </conditionalFormatting>
  <pageMargins left="0.7" right="0.7" top="0.75" bottom="0.75" header="0.3" footer="0.3"/>
  <ignoredErrors>
    <ignoredError sqref="L2:L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4618-B16C-4B93-8AA1-60B0FF2E3F44}">
  <sheetPr codeName="Sheet2"/>
  <dimension ref="A1:M17"/>
  <sheetViews>
    <sheetView tabSelected="1" zoomScale="76" zoomScaleNormal="76" workbookViewId="0">
      <selection activeCell="L9" sqref="L9:L11"/>
    </sheetView>
  </sheetViews>
  <sheetFormatPr defaultRowHeight="14.5" x14ac:dyDescent="0.35"/>
  <cols>
    <col min="1" max="1" width="11.26953125" customWidth="1"/>
    <col min="2" max="3" width="12.08984375" customWidth="1"/>
    <col min="4" max="5" width="12.453125" customWidth="1"/>
    <col min="6" max="7" width="11.08984375" customWidth="1"/>
    <col min="8" max="9" width="12.90625" customWidth="1"/>
    <col min="10" max="11" width="9.7265625" customWidth="1"/>
    <col min="12" max="12" width="11.36328125" customWidth="1"/>
    <col min="13" max="13" width="11.453125" bestFit="1" customWidth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9996</v>
      </c>
      <c r="C2" s="1"/>
      <c r="D2" s="7">
        <v>40000</v>
      </c>
      <c r="E2" s="7"/>
      <c r="F2" s="7">
        <v>49000</v>
      </c>
      <c r="G2" s="7"/>
      <c r="H2" s="4">
        <v>7900</v>
      </c>
      <c r="I2" s="4"/>
      <c r="J2" s="7">
        <v>10000</v>
      </c>
      <c r="K2" s="7"/>
      <c r="L2" s="6">
        <f t="shared" ref="L2:L7" si="0">SUM(D2:J2)</f>
        <v>106900</v>
      </c>
      <c r="M2" s="1"/>
    </row>
    <row r="3" spans="1:13" x14ac:dyDescent="0.35">
      <c r="A3" s="10">
        <v>41852</v>
      </c>
      <c r="B3" s="1">
        <v>8670</v>
      </c>
      <c r="C3" s="1"/>
      <c r="D3" s="7">
        <v>35900</v>
      </c>
      <c r="E3" s="7"/>
      <c r="F3" s="7">
        <v>48500</v>
      </c>
      <c r="G3" s="7"/>
      <c r="H3" s="4">
        <v>8000</v>
      </c>
      <c r="I3" s="4"/>
      <c r="J3" s="7">
        <v>10500</v>
      </c>
      <c r="K3" s="7"/>
      <c r="L3" s="6">
        <f t="shared" si="0"/>
        <v>102900</v>
      </c>
      <c r="M3" s="1"/>
    </row>
    <row r="4" spans="1:13" x14ac:dyDescent="0.35">
      <c r="A4" s="10">
        <v>42217</v>
      </c>
      <c r="B4" s="1">
        <v>9690</v>
      </c>
      <c r="C4" s="1"/>
      <c r="D4" s="7">
        <v>39700</v>
      </c>
      <c r="E4" s="7"/>
      <c r="F4" s="7">
        <v>48200</v>
      </c>
      <c r="G4" s="7"/>
      <c r="H4" s="4">
        <v>8100</v>
      </c>
      <c r="I4" s="4"/>
      <c r="J4" s="7">
        <v>10000</v>
      </c>
      <c r="K4" s="7"/>
      <c r="L4" s="6">
        <f t="shared" si="0"/>
        <v>106000</v>
      </c>
      <c r="M4" s="1"/>
    </row>
    <row r="5" spans="1:13" x14ac:dyDescent="0.35">
      <c r="A5" s="10">
        <v>42583</v>
      </c>
      <c r="B5" s="1">
        <v>9945</v>
      </c>
      <c r="C5" s="1"/>
      <c r="D5" s="7">
        <v>39900</v>
      </c>
      <c r="E5" s="7"/>
      <c r="F5" s="7">
        <v>48100</v>
      </c>
      <c r="G5" s="7"/>
      <c r="H5" s="4">
        <v>8900</v>
      </c>
      <c r="I5" s="4"/>
      <c r="J5" s="7">
        <v>10000</v>
      </c>
      <c r="K5" s="7"/>
      <c r="L5" s="6">
        <f t="shared" si="0"/>
        <v>106900</v>
      </c>
      <c r="M5" s="1"/>
    </row>
    <row r="6" spans="1:13" x14ac:dyDescent="0.35">
      <c r="A6" s="10">
        <v>42948</v>
      </c>
      <c r="B6" s="1">
        <v>10098</v>
      </c>
      <c r="C6" s="1"/>
      <c r="D6" s="7">
        <v>41500</v>
      </c>
      <c r="E6" s="7"/>
      <c r="F6" s="7">
        <v>49500</v>
      </c>
      <c r="G6" s="7"/>
      <c r="H6" s="4">
        <v>8600</v>
      </c>
      <c r="I6" s="4"/>
      <c r="J6" s="7">
        <v>10200</v>
      </c>
      <c r="K6" s="7"/>
      <c r="L6" s="6">
        <f t="shared" si="0"/>
        <v>109800</v>
      </c>
      <c r="M6" s="1"/>
    </row>
    <row r="7" spans="1:13" x14ac:dyDescent="0.35">
      <c r="A7" s="10">
        <v>43313</v>
      </c>
      <c r="B7" s="1">
        <v>8160</v>
      </c>
      <c r="C7" s="1"/>
      <c r="D7" s="7">
        <v>33500</v>
      </c>
      <c r="E7" s="7"/>
      <c r="F7" s="7">
        <v>48900</v>
      </c>
      <c r="G7" s="7"/>
      <c r="H7" s="4">
        <v>8700</v>
      </c>
      <c r="I7" s="4"/>
      <c r="J7" s="7">
        <v>10500</v>
      </c>
      <c r="K7" s="7"/>
      <c r="L7" s="6">
        <f t="shared" si="0"/>
        <v>101600</v>
      </c>
      <c r="M7" s="1"/>
    </row>
    <row r="8" spans="1:13" x14ac:dyDescent="0.35">
      <c r="A8" s="10">
        <v>43678</v>
      </c>
      <c r="B8" s="1">
        <v>8976</v>
      </c>
      <c r="C8" s="1">
        <v>8976</v>
      </c>
      <c r="D8" s="7">
        <v>37200</v>
      </c>
      <c r="E8" s="7">
        <v>37200</v>
      </c>
      <c r="F8" s="6">
        <v>48800</v>
      </c>
      <c r="G8" s="6">
        <v>48800</v>
      </c>
      <c r="H8" s="4">
        <v>8500</v>
      </c>
      <c r="I8" s="4">
        <v>8500</v>
      </c>
      <c r="J8" s="7">
        <v>10000</v>
      </c>
      <c r="K8" s="7">
        <v>10000</v>
      </c>
      <c r="L8" s="6">
        <v>104500</v>
      </c>
      <c r="M8" s="6">
        <v>104500</v>
      </c>
    </row>
    <row r="9" spans="1:13" x14ac:dyDescent="0.35">
      <c r="A9" s="10">
        <v>44044</v>
      </c>
      <c r="B9" s="1"/>
      <c r="C9" s="1">
        <v>8534.5840000000007</v>
      </c>
      <c r="D9" s="1"/>
      <c r="E9" s="6">
        <v>35615</v>
      </c>
      <c r="F9" s="1"/>
      <c r="G9" s="6">
        <v>49394</v>
      </c>
      <c r="H9" s="1"/>
      <c r="I9" s="1">
        <v>8700</v>
      </c>
      <c r="J9" s="1"/>
      <c r="K9" s="5">
        <v>10121.209999999999</v>
      </c>
      <c r="L9" s="6"/>
      <c r="M9" s="6">
        <f>SUM(E9:K9)</f>
        <v>103830.20999999999</v>
      </c>
    </row>
    <row r="10" spans="1:13" x14ac:dyDescent="0.35">
      <c r="A10" s="10">
        <v>44409</v>
      </c>
      <c r="B10" s="1"/>
      <c r="C10" s="1">
        <v>8297.7900000000009</v>
      </c>
      <c r="D10" s="1"/>
      <c r="E10" s="6">
        <v>34867</v>
      </c>
      <c r="F10" s="1"/>
      <c r="G10" s="6">
        <v>49654.73</v>
      </c>
      <c r="H10" s="1"/>
      <c r="I10" s="1">
        <v>8800</v>
      </c>
      <c r="J10" s="1"/>
      <c r="K10" s="5">
        <v>10063.06</v>
      </c>
      <c r="L10" s="6"/>
      <c r="M10" s="6">
        <f>SUM(E10:K10)</f>
        <v>103384.79000000001</v>
      </c>
    </row>
    <row r="11" spans="1:13" x14ac:dyDescent="0.35">
      <c r="A11" s="10">
        <v>44774</v>
      </c>
      <c r="B11" s="1"/>
      <c r="C11" s="1">
        <v>8061.0079999999998</v>
      </c>
      <c r="D11" s="1"/>
      <c r="E11" s="5">
        <v>34120.17</v>
      </c>
      <c r="F11" s="1"/>
      <c r="G11" s="5">
        <v>49914.62</v>
      </c>
      <c r="H11" s="1"/>
      <c r="I11" s="1">
        <v>8900</v>
      </c>
      <c r="J11" s="1"/>
      <c r="K11" s="5">
        <v>10004.9</v>
      </c>
      <c r="L11" s="5"/>
      <c r="M11" s="5">
        <f>SUM(E11:K11)</f>
        <v>102939.69</v>
      </c>
    </row>
    <row r="16" spans="1:13" x14ac:dyDescent="0.35">
      <c r="B16" s="6"/>
      <c r="C16" s="6"/>
      <c r="D16" s="6"/>
      <c r="E16" s="6"/>
      <c r="F16" s="1"/>
      <c r="G16" s="1"/>
      <c r="H16" s="1"/>
      <c r="I16" s="1"/>
    </row>
    <row r="17" spans="12:12" x14ac:dyDescent="0.35">
      <c r="L17" s="8"/>
    </row>
  </sheetData>
  <conditionalFormatting sqref="B16:K16">
    <cfRule type="expression" dxfId="299" priority="16">
      <formula>$D16="NBS"</formula>
    </cfRule>
  </conditionalFormatting>
  <conditionalFormatting sqref="B16:M16">
    <cfRule type="expression" dxfId="298" priority="15">
      <formula>$D17="CBS"</formula>
    </cfRule>
  </conditionalFormatting>
  <conditionalFormatting sqref="B16:M16">
    <cfRule type="expression" dxfId="297" priority="14">
      <formula>$D16="CBS"</formula>
    </cfRule>
  </conditionalFormatting>
  <conditionalFormatting sqref="B16:M16">
    <cfRule type="expression" dxfId="296" priority="13">
      <formula>$D16="SBS"</formula>
    </cfRule>
  </conditionalFormatting>
  <conditionalFormatting sqref="B16:M16">
    <cfRule type="expression" dxfId="295" priority="12">
      <formula>$D16="NLS"</formula>
    </cfRule>
  </conditionalFormatting>
  <conditionalFormatting sqref="B16:M16">
    <cfRule type="expression" dxfId="294" priority="11">
      <formula>$D16="SLS"</formula>
    </cfRule>
  </conditionalFormatting>
  <conditionalFormatting sqref="D2:E8">
    <cfRule type="expression" dxfId="293" priority="10">
      <formula>#REF!="NBS"</formula>
    </cfRule>
  </conditionalFormatting>
  <conditionalFormatting sqref="D2:E8">
    <cfRule type="expression" dxfId="292" priority="9">
      <formula>#REF!="CBS"</formula>
    </cfRule>
  </conditionalFormatting>
  <conditionalFormatting sqref="F2:G7">
    <cfRule type="expression" dxfId="291" priority="8">
      <formula>#REF!="NBS"</formula>
    </cfRule>
  </conditionalFormatting>
  <conditionalFormatting sqref="F2:G7">
    <cfRule type="expression" dxfId="290" priority="7">
      <formula>#REF!="CBS"</formula>
    </cfRule>
  </conditionalFormatting>
  <conditionalFormatting sqref="H2:I8">
    <cfRule type="expression" dxfId="289" priority="6">
      <formula>#REF!="NBS"</formula>
    </cfRule>
  </conditionalFormatting>
  <conditionalFormatting sqref="H2:I8">
    <cfRule type="expression" dxfId="288" priority="5">
      <formula>#REF!="CBS"</formula>
    </cfRule>
  </conditionalFormatting>
  <conditionalFormatting sqref="J2:K8">
    <cfRule type="expression" dxfId="287" priority="2">
      <formula>#REF!="NBS"</formula>
    </cfRule>
  </conditionalFormatting>
  <conditionalFormatting sqref="J2:K8">
    <cfRule type="expression" dxfId="286" priority="1">
      <formula>#REF!="CBS"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3FD6-369F-4839-8215-89803C7C9E37}">
  <sheetPr codeName="Sheet20"/>
  <dimension ref="A1:M23"/>
  <sheetViews>
    <sheetView topLeftCell="H1" workbookViewId="0">
      <selection activeCell="M11" sqref="M11"/>
    </sheetView>
  </sheetViews>
  <sheetFormatPr defaultRowHeight="14.5" x14ac:dyDescent="0.35"/>
  <cols>
    <col min="1" max="1" width="11.54296875" style="1" customWidth="1"/>
    <col min="2" max="3" width="14" style="1" customWidth="1"/>
    <col min="4" max="5" width="11" style="1" customWidth="1"/>
    <col min="6" max="7" width="11.453125" style="1" customWidth="1"/>
    <col min="8" max="8" width="12.08984375" style="1" bestFit="1" customWidth="1"/>
    <col min="9" max="9" width="12.08984375" style="1" customWidth="1"/>
    <col min="10" max="11" width="11.7265625" style="1" customWidth="1"/>
    <col min="12" max="12" width="11.90625" style="1" customWidth="1"/>
    <col min="13" max="13" width="10" style="1" customWidth="1"/>
    <col min="14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7">
        <v>1410</v>
      </c>
      <c r="C2" s="7"/>
      <c r="D2" s="7">
        <v>12500</v>
      </c>
      <c r="E2" s="7"/>
      <c r="F2" s="7">
        <v>26000</v>
      </c>
      <c r="G2" s="7"/>
      <c r="H2" s="4">
        <v>3000</v>
      </c>
      <c r="I2" s="4"/>
      <c r="J2" s="7">
        <v>4000</v>
      </c>
      <c r="K2" s="7"/>
      <c r="L2" s="6">
        <f>SUM(D2:J2)</f>
        <v>45500</v>
      </c>
    </row>
    <row r="3" spans="1:13" x14ac:dyDescent="0.35">
      <c r="A3" s="10">
        <v>41852</v>
      </c>
      <c r="B3" s="7">
        <v>1457</v>
      </c>
      <c r="C3" s="7"/>
      <c r="D3" s="7">
        <v>12000</v>
      </c>
      <c r="E3" s="7"/>
      <c r="F3" s="7">
        <v>26500</v>
      </c>
      <c r="G3" s="7"/>
      <c r="H3" s="4">
        <v>3500</v>
      </c>
      <c r="I3" s="4"/>
      <c r="J3" s="7">
        <v>4500</v>
      </c>
      <c r="K3" s="7"/>
      <c r="L3" s="6">
        <f t="shared" ref="L3:L7" si="0">SUM(D3:J3)</f>
        <v>46500</v>
      </c>
    </row>
    <row r="4" spans="1:13" x14ac:dyDescent="0.35">
      <c r="A4" s="10">
        <v>42217</v>
      </c>
      <c r="B4" s="7">
        <v>1504</v>
      </c>
      <c r="C4" s="7"/>
      <c r="D4" s="7">
        <v>13000</v>
      </c>
      <c r="E4" s="7"/>
      <c r="F4" s="7">
        <v>26000</v>
      </c>
      <c r="G4" s="7"/>
      <c r="H4" s="4">
        <v>4500</v>
      </c>
      <c r="I4" s="4"/>
      <c r="J4" s="7">
        <v>4000</v>
      </c>
      <c r="K4" s="7"/>
      <c r="L4" s="6">
        <f t="shared" si="0"/>
        <v>47500</v>
      </c>
    </row>
    <row r="5" spans="1:13" x14ac:dyDescent="0.35">
      <c r="A5" s="10">
        <v>42583</v>
      </c>
      <c r="B5" s="7">
        <v>1316</v>
      </c>
      <c r="C5" s="7"/>
      <c r="D5" s="7">
        <v>11500</v>
      </c>
      <c r="E5" s="7"/>
      <c r="F5" s="7">
        <v>25400</v>
      </c>
      <c r="G5" s="7"/>
      <c r="H5" s="4">
        <v>2500</v>
      </c>
      <c r="I5" s="4"/>
      <c r="J5" s="7">
        <v>4000</v>
      </c>
      <c r="K5" s="7"/>
      <c r="L5" s="6">
        <f t="shared" si="0"/>
        <v>43400</v>
      </c>
    </row>
    <row r="6" spans="1:13" x14ac:dyDescent="0.35">
      <c r="A6" s="10">
        <v>42948</v>
      </c>
      <c r="B6" s="7">
        <v>1541.6</v>
      </c>
      <c r="C6" s="7"/>
      <c r="D6" s="7">
        <v>13500</v>
      </c>
      <c r="E6" s="7"/>
      <c r="F6" s="7">
        <v>26550</v>
      </c>
      <c r="G6" s="7"/>
      <c r="H6" s="4">
        <v>5000</v>
      </c>
      <c r="I6" s="4"/>
      <c r="J6" s="7">
        <v>4000</v>
      </c>
      <c r="K6" s="7"/>
      <c r="L6" s="6">
        <f t="shared" si="0"/>
        <v>49050</v>
      </c>
    </row>
    <row r="7" spans="1:13" x14ac:dyDescent="0.35">
      <c r="A7" s="10">
        <v>43313</v>
      </c>
      <c r="B7" s="7">
        <v>1269</v>
      </c>
      <c r="C7" s="7"/>
      <c r="D7" s="7">
        <v>10000</v>
      </c>
      <c r="E7" s="7"/>
      <c r="F7" s="7">
        <v>24100</v>
      </c>
      <c r="G7" s="7"/>
      <c r="H7" s="4">
        <v>2000</v>
      </c>
      <c r="I7" s="4"/>
      <c r="J7" s="7">
        <v>3500</v>
      </c>
      <c r="K7" s="7"/>
      <c r="L7" s="6">
        <f t="shared" si="0"/>
        <v>39600</v>
      </c>
    </row>
    <row r="8" spans="1:13" x14ac:dyDescent="0.35">
      <c r="A8" s="10">
        <v>43678</v>
      </c>
      <c r="B8" s="7">
        <v>1457</v>
      </c>
      <c r="C8" s="7">
        <v>1457</v>
      </c>
      <c r="D8" s="7">
        <v>12500</v>
      </c>
      <c r="E8" s="7">
        <v>12500</v>
      </c>
      <c r="F8" s="6">
        <v>26700</v>
      </c>
      <c r="G8" s="6">
        <v>26700</v>
      </c>
      <c r="H8" s="4">
        <v>2000</v>
      </c>
      <c r="I8" s="4">
        <v>2000</v>
      </c>
      <c r="J8" s="7">
        <v>4000</v>
      </c>
      <c r="K8" s="7">
        <v>4000</v>
      </c>
      <c r="L8" s="6">
        <f>SUM(E8,G8,I8,K8)</f>
        <v>45200</v>
      </c>
      <c r="M8" s="1">
        <v>45200</v>
      </c>
    </row>
    <row r="9" spans="1:13" x14ac:dyDescent="0.35">
      <c r="A9" s="10">
        <v>44044</v>
      </c>
      <c r="C9" s="6">
        <v>1359.9159999999999</v>
      </c>
      <c r="E9" s="6">
        <v>11808</v>
      </c>
      <c r="G9" s="6">
        <v>25108</v>
      </c>
      <c r="I9" s="1">
        <v>1907.68</v>
      </c>
      <c r="K9" s="6">
        <v>4000</v>
      </c>
      <c r="L9" s="6"/>
      <c r="M9" s="1">
        <f>SUM(E9:K9)</f>
        <v>42823.68</v>
      </c>
    </row>
    <row r="10" spans="1:13" x14ac:dyDescent="0.35">
      <c r="A10" s="10">
        <v>44409</v>
      </c>
      <c r="C10" s="6">
        <v>1427.48</v>
      </c>
      <c r="E10" s="5">
        <v>11866.74</v>
      </c>
      <c r="G10" s="6">
        <v>24906</v>
      </c>
      <c r="I10" s="1">
        <v>1849.472</v>
      </c>
      <c r="K10" s="1">
        <v>3972.37</v>
      </c>
      <c r="L10" s="5"/>
      <c r="M10" s="1">
        <f>SUM(E10:K10)</f>
        <v>42594.582000000002</v>
      </c>
    </row>
    <row r="11" spans="1:13" x14ac:dyDescent="0.35">
      <c r="A11" s="10">
        <v>44774</v>
      </c>
      <c r="C11" s="6">
        <v>1495.046</v>
      </c>
      <c r="E11" s="5">
        <v>11925.21</v>
      </c>
      <c r="G11" s="5">
        <v>24703.29</v>
      </c>
      <c r="I11" s="1">
        <v>1803.26</v>
      </c>
      <c r="K11" s="1">
        <v>3974.37</v>
      </c>
      <c r="L11" s="5"/>
      <c r="M11" s="1">
        <f>SUM(E11:K11)</f>
        <v>42406.130000000005</v>
      </c>
    </row>
    <row r="14" spans="1:13" x14ac:dyDescent="0.35">
      <c r="C14" s="6"/>
      <c r="K14" s="5"/>
    </row>
    <row r="15" spans="1:13" x14ac:dyDescent="0.35">
      <c r="L15" s="6"/>
    </row>
    <row r="16" spans="1:13" x14ac:dyDescent="0.35">
      <c r="L16" s="6"/>
    </row>
    <row r="17" spans="1:12" x14ac:dyDescent="0.35">
      <c r="A17" s="6"/>
      <c r="J17" s="6"/>
      <c r="L17" s="6"/>
    </row>
    <row r="18" spans="1:12" x14ac:dyDescent="0.35">
      <c r="A18" s="6"/>
    </row>
    <row r="19" spans="1:12" x14ac:dyDescent="0.35">
      <c r="A19" s="6"/>
    </row>
    <row r="20" spans="1:12" x14ac:dyDescent="0.35">
      <c r="A20" s="6"/>
    </row>
    <row r="21" spans="1:12" x14ac:dyDescent="0.35">
      <c r="A21" s="6"/>
    </row>
    <row r="22" spans="1:12" x14ac:dyDescent="0.35">
      <c r="A22" s="6"/>
    </row>
    <row r="23" spans="1:12" x14ac:dyDescent="0.35">
      <c r="A23" s="6"/>
    </row>
  </sheetData>
  <conditionalFormatting sqref="B2:E8 H2:K8">
    <cfRule type="expression" dxfId="17" priority="4">
      <formula>$D2="NBS"</formula>
    </cfRule>
  </conditionalFormatting>
  <conditionalFormatting sqref="B2:E7 H2:K7">
    <cfRule type="expression" dxfId="16" priority="3">
      <formula>$D3="CBS"</formula>
    </cfRule>
  </conditionalFormatting>
  <conditionalFormatting sqref="F2:G7">
    <cfRule type="expression" dxfId="15" priority="2">
      <formula>$D2="NBS"</formula>
    </cfRule>
  </conditionalFormatting>
  <conditionalFormatting sqref="F2:G7">
    <cfRule type="expression" dxfId="14" priority="1">
      <formula>$D3="CBS"</formula>
    </cfRule>
  </conditionalFormatting>
  <conditionalFormatting sqref="B8:E8 H8:K8">
    <cfRule type="expression" dxfId="13" priority="26">
      <formula>$E9="CBS"</formula>
    </cfRule>
  </conditionalFormatting>
  <pageMargins left="0.7" right="0.7" top="0.75" bottom="0.75" header="0.3" footer="0.3"/>
  <pageSetup orientation="portrait" r:id="rId1"/>
  <ignoredErrors>
    <ignoredError sqref="L3:L7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1365-52CC-4561-93ED-0E9B5F5A8A8A}">
  <sheetPr codeName="Sheet21"/>
  <dimension ref="A1:R14"/>
  <sheetViews>
    <sheetView workbookViewId="0">
      <selection activeCell="E12" sqref="E12"/>
    </sheetView>
  </sheetViews>
  <sheetFormatPr defaultRowHeight="14.5" x14ac:dyDescent="0.35"/>
  <cols>
    <col min="1" max="1" width="11.453125" customWidth="1"/>
    <col min="2" max="3" width="11.36328125" customWidth="1"/>
    <col min="4" max="5" width="12.36328125" customWidth="1"/>
    <col min="6" max="7" width="10.54296875" customWidth="1"/>
    <col min="8" max="9" width="12.1796875" customWidth="1"/>
    <col min="10" max="11" width="10.08984375" customWidth="1"/>
    <col min="12" max="12" width="10.36328125" customWidth="1"/>
  </cols>
  <sheetData>
    <row r="1" spans="1:18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8" x14ac:dyDescent="0.35">
      <c r="A2" s="10">
        <v>41487</v>
      </c>
      <c r="B2">
        <v>1800</v>
      </c>
      <c r="D2" s="7">
        <v>13500</v>
      </c>
      <c r="E2" s="7"/>
      <c r="F2" s="7">
        <v>30000</v>
      </c>
      <c r="G2" s="7"/>
      <c r="H2" s="4">
        <v>5000</v>
      </c>
      <c r="I2" s="4"/>
      <c r="J2" s="7">
        <v>4500</v>
      </c>
      <c r="K2" s="7"/>
      <c r="L2" s="11">
        <f>SUM(D2:J2)</f>
        <v>53000</v>
      </c>
    </row>
    <row r="3" spans="1:18" x14ac:dyDescent="0.35">
      <c r="A3" s="10">
        <v>41852</v>
      </c>
      <c r="B3">
        <v>1890</v>
      </c>
      <c r="D3" s="7">
        <v>13000</v>
      </c>
      <c r="E3" s="7"/>
      <c r="F3" s="7">
        <v>30500</v>
      </c>
      <c r="G3" s="7"/>
      <c r="H3" s="4">
        <v>4500</v>
      </c>
      <c r="I3" s="4"/>
      <c r="J3" s="7">
        <v>4500</v>
      </c>
      <c r="K3" s="7"/>
      <c r="L3" s="11">
        <f t="shared" ref="L3:L7" si="0">SUM(D3:J3)</f>
        <v>52500</v>
      </c>
    </row>
    <row r="4" spans="1:18" x14ac:dyDescent="0.35">
      <c r="A4" s="10">
        <v>42217</v>
      </c>
      <c r="B4">
        <v>1933.4</v>
      </c>
      <c r="D4" s="7">
        <v>14000</v>
      </c>
      <c r="E4" s="7"/>
      <c r="F4" s="7">
        <v>31300</v>
      </c>
      <c r="G4" s="7"/>
      <c r="H4" s="4">
        <v>5500</v>
      </c>
      <c r="I4" s="4"/>
      <c r="J4" s="7">
        <v>4000</v>
      </c>
      <c r="K4" s="7"/>
      <c r="L4" s="11">
        <f t="shared" si="0"/>
        <v>54800</v>
      </c>
    </row>
    <row r="5" spans="1:18" x14ac:dyDescent="0.35">
      <c r="A5" s="10">
        <v>42583</v>
      </c>
      <c r="B5">
        <v>1830</v>
      </c>
      <c r="D5" s="7">
        <v>12500</v>
      </c>
      <c r="E5" s="7"/>
      <c r="F5" s="7">
        <v>30900</v>
      </c>
      <c r="G5" s="7"/>
      <c r="H5" s="4">
        <v>6500</v>
      </c>
      <c r="I5" s="4"/>
      <c r="J5" s="7">
        <v>4500</v>
      </c>
      <c r="K5" s="7"/>
      <c r="L5" s="11">
        <f t="shared" si="0"/>
        <v>54400</v>
      </c>
    </row>
    <row r="6" spans="1:18" x14ac:dyDescent="0.35">
      <c r="A6" s="10">
        <v>42948</v>
      </c>
      <c r="B6">
        <v>1860</v>
      </c>
      <c r="D6" s="7">
        <v>15500</v>
      </c>
      <c r="E6" s="7"/>
      <c r="F6" s="7">
        <v>30550</v>
      </c>
      <c r="G6" s="7"/>
      <c r="H6" s="4">
        <v>5000</v>
      </c>
      <c r="I6" s="4"/>
      <c r="J6" s="7">
        <v>4500</v>
      </c>
      <c r="K6" s="7"/>
      <c r="L6" s="11">
        <f t="shared" si="0"/>
        <v>55550</v>
      </c>
    </row>
    <row r="7" spans="1:18" x14ac:dyDescent="0.35">
      <c r="A7" s="10">
        <v>43313</v>
      </c>
      <c r="B7">
        <v>1740</v>
      </c>
      <c r="D7" s="7">
        <v>11000</v>
      </c>
      <c r="E7" s="7"/>
      <c r="F7" s="7">
        <v>30000</v>
      </c>
      <c r="G7" s="7"/>
      <c r="H7" s="4">
        <v>4000</v>
      </c>
      <c r="I7" s="4"/>
      <c r="J7" s="7">
        <v>4600</v>
      </c>
      <c r="K7" s="7"/>
      <c r="L7" s="11">
        <f t="shared" si="0"/>
        <v>49600</v>
      </c>
    </row>
    <row r="8" spans="1:18" x14ac:dyDescent="0.35">
      <c r="A8" s="10">
        <v>43678</v>
      </c>
      <c r="B8">
        <v>1950</v>
      </c>
      <c r="C8">
        <v>1950</v>
      </c>
      <c r="D8" s="7">
        <v>12500</v>
      </c>
      <c r="E8" s="7">
        <v>12500</v>
      </c>
      <c r="F8" s="6">
        <v>32000</v>
      </c>
      <c r="G8" s="6">
        <v>32000</v>
      </c>
      <c r="H8" s="4">
        <v>7000</v>
      </c>
      <c r="I8" s="4">
        <v>7000</v>
      </c>
      <c r="J8" s="7">
        <v>4700</v>
      </c>
      <c r="K8" s="7">
        <v>4700</v>
      </c>
      <c r="L8" s="11">
        <f>SUM(E8,G8,I8,K8)</f>
        <v>56200</v>
      </c>
      <c r="M8" s="11">
        <v>56200</v>
      </c>
      <c r="O8" s="6"/>
      <c r="P8" s="6"/>
      <c r="Q8" s="5"/>
      <c r="R8" s="1"/>
    </row>
    <row r="9" spans="1:18" x14ac:dyDescent="0.35">
      <c r="A9" s="10">
        <v>44044</v>
      </c>
      <c r="C9">
        <v>1851.0360000000001</v>
      </c>
      <c r="D9" s="7"/>
      <c r="E9" s="7">
        <v>12600.04</v>
      </c>
      <c r="F9" s="7"/>
      <c r="G9" s="7">
        <v>32000.53</v>
      </c>
      <c r="H9" s="4"/>
      <c r="I9" s="4">
        <v>6155.1570000000002</v>
      </c>
      <c r="J9" s="7"/>
      <c r="K9" s="7">
        <v>4500</v>
      </c>
      <c r="L9" s="11"/>
      <c r="M9" s="11">
        <f>SUM(E9:K9)</f>
        <v>55255.726999999999</v>
      </c>
    </row>
    <row r="10" spans="1:18" x14ac:dyDescent="0.35">
      <c r="A10" s="10">
        <v>44409</v>
      </c>
      <c r="C10">
        <v>1959.1020000000001</v>
      </c>
      <c r="D10" s="7"/>
      <c r="E10" s="7">
        <v>12656.72</v>
      </c>
      <c r="F10" s="7"/>
      <c r="G10" s="7">
        <v>32847.53</v>
      </c>
      <c r="H10" s="4"/>
      <c r="I10" s="4">
        <v>6500.41</v>
      </c>
      <c r="J10" s="7"/>
      <c r="K10" s="7">
        <v>4500</v>
      </c>
      <c r="L10" s="11"/>
      <c r="M10" s="11">
        <f>SUM(E10:K10)</f>
        <v>56504.66</v>
      </c>
    </row>
    <row r="11" spans="1:18" x14ac:dyDescent="0.35">
      <c r="A11" s="10">
        <v>44774</v>
      </c>
      <c r="C11">
        <v>1967.1679999999999</v>
      </c>
      <c r="D11" s="7"/>
      <c r="E11" s="7">
        <v>12700.39</v>
      </c>
      <c r="F11" s="7"/>
      <c r="G11" s="7">
        <v>33347.53</v>
      </c>
      <c r="H11" s="4"/>
      <c r="I11" s="4">
        <v>6000.67</v>
      </c>
      <c r="J11" s="7"/>
      <c r="K11" s="7">
        <v>4500</v>
      </c>
      <c r="L11" s="11"/>
      <c r="M11" s="11">
        <f>SUM(E11:K11)</f>
        <v>56548.59</v>
      </c>
    </row>
    <row r="13" spans="1:18" x14ac:dyDescent="0.35">
      <c r="L13" s="8"/>
    </row>
    <row r="14" spans="1:18" x14ac:dyDescent="0.35">
      <c r="L14" s="8"/>
    </row>
  </sheetData>
  <conditionalFormatting sqref="O8:U8">
    <cfRule type="expression" dxfId="12" priority="13">
      <formula>$D8="CBS"</formula>
    </cfRule>
  </conditionalFormatting>
  <conditionalFormatting sqref="O8:S8 F9:F11">
    <cfRule type="expression" dxfId="11" priority="15">
      <formula>$D8="NBS"</formula>
    </cfRule>
  </conditionalFormatting>
  <conditionalFormatting sqref="O8:U8 F9:F11">
    <cfRule type="expression" dxfId="10" priority="14">
      <formula>$D9="CBS"</formula>
    </cfRule>
  </conditionalFormatting>
  <conditionalFormatting sqref="D2:E11">
    <cfRule type="expression" dxfId="9" priority="12">
      <formula>$D2="NBS"</formula>
    </cfRule>
  </conditionalFormatting>
  <conditionalFormatting sqref="D2:E11">
    <cfRule type="expression" dxfId="8" priority="11">
      <formula>$D3="CBS"</formula>
    </cfRule>
  </conditionalFormatting>
  <conditionalFormatting sqref="H2:I11">
    <cfRule type="expression" dxfId="7" priority="8">
      <formula>$D2="NBS"</formula>
    </cfRule>
  </conditionalFormatting>
  <conditionalFormatting sqref="H2:I11">
    <cfRule type="expression" dxfId="6" priority="7">
      <formula>$D3="CBS"</formula>
    </cfRule>
  </conditionalFormatting>
  <conditionalFormatting sqref="J2:K11">
    <cfRule type="expression" dxfId="5" priority="6">
      <formula>$D2="NBS"</formula>
    </cfRule>
  </conditionalFormatting>
  <conditionalFormatting sqref="J2:K11">
    <cfRule type="expression" dxfId="4" priority="5">
      <formula>$D3="CBS"</formula>
    </cfRule>
  </conditionalFormatting>
  <conditionalFormatting sqref="F2:G7">
    <cfRule type="expression" dxfId="3" priority="4">
      <formula>$D2="NBS"</formula>
    </cfRule>
  </conditionalFormatting>
  <conditionalFormatting sqref="F2:G7">
    <cfRule type="expression" dxfId="2" priority="3">
      <formula>$D3="CBS"</formula>
    </cfRule>
  </conditionalFormatting>
  <conditionalFormatting sqref="G9:G11">
    <cfRule type="expression" dxfId="1" priority="2">
      <formula>$D9="NBS"</formula>
    </cfRule>
  </conditionalFormatting>
  <conditionalFormatting sqref="G9:G11">
    <cfRule type="expression" dxfId="0" priority="1">
      <formula>$D10="CBS"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5564-C30D-4D04-ACB8-2350F6A7B08D}">
  <sheetPr codeName="Sheet3"/>
  <dimension ref="A1:M13"/>
  <sheetViews>
    <sheetView topLeftCell="D1" zoomScale="68" workbookViewId="0">
      <selection activeCell="O14" sqref="O14"/>
    </sheetView>
  </sheetViews>
  <sheetFormatPr defaultRowHeight="14.5" x14ac:dyDescent="0.35"/>
  <cols>
    <col min="1" max="1" width="11.08984375" customWidth="1"/>
    <col min="2" max="3" width="11.54296875" customWidth="1"/>
    <col min="4" max="5" width="10.1796875" customWidth="1"/>
    <col min="6" max="7" width="9.453125" customWidth="1"/>
    <col min="8" max="9" width="12.26953125" customWidth="1"/>
    <col min="10" max="11" width="10.26953125" customWidth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17650</v>
      </c>
      <c r="C2" s="1"/>
      <c r="D2" s="7">
        <v>46000</v>
      </c>
      <c r="E2" s="7"/>
      <c r="F2" s="7">
        <v>56000</v>
      </c>
      <c r="G2" s="7"/>
      <c r="H2" s="4">
        <v>9500</v>
      </c>
      <c r="I2" s="4"/>
      <c r="J2" s="7">
        <v>10000</v>
      </c>
      <c r="K2" s="7"/>
      <c r="L2" s="6">
        <f t="shared" ref="L2:L7" si="0">SUM(D2:J2)</f>
        <v>121500</v>
      </c>
      <c r="M2" s="1"/>
    </row>
    <row r="3" spans="1:13" x14ac:dyDescent="0.35">
      <c r="A3" s="10">
        <v>41852</v>
      </c>
      <c r="B3" s="1">
        <v>18200</v>
      </c>
      <c r="C3" s="1"/>
      <c r="D3" s="7">
        <v>47100</v>
      </c>
      <c r="E3" s="7"/>
      <c r="F3" s="7">
        <v>56200</v>
      </c>
      <c r="G3" s="7"/>
      <c r="H3" s="4">
        <v>9300</v>
      </c>
      <c r="I3" s="4"/>
      <c r="J3" s="7">
        <v>10500</v>
      </c>
      <c r="K3" s="7"/>
      <c r="L3" s="6">
        <f t="shared" si="0"/>
        <v>123100</v>
      </c>
      <c r="M3" s="1"/>
    </row>
    <row r="4" spans="1:13" x14ac:dyDescent="0.35">
      <c r="A4" s="10">
        <v>42217</v>
      </c>
      <c r="B4" s="1">
        <v>18700</v>
      </c>
      <c r="C4" s="1"/>
      <c r="D4" s="7">
        <v>47300</v>
      </c>
      <c r="E4" s="7"/>
      <c r="F4" s="7">
        <v>56500</v>
      </c>
      <c r="G4" s="7"/>
      <c r="H4" s="4">
        <v>9600</v>
      </c>
      <c r="I4" s="4"/>
      <c r="J4" s="7">
        <v>10000</v>
      </c>
      <c r="K4" s="7"/>
      <c r="L4" s="6">
        <f t="shared" si="0"/>
        <v>123400</v>
      </c>
      <c r="M4" s="1"/>
    </row>
    <row r="5" spans="1:13" x14ac:dyDescent="0.35">
      <c r="A5" s="10">
        <v>42583</v>
      </c>
      <c r="B5" s="1">
        <v>19250</v>
      </c>
      <c r="C5" s="1"/>
      <c r="D5" s="7">
        <v>48300</v>
      </c>
      <c r="E5" s="7"/>
      <c r="F5" s="7">
        <v>55300</v>
      </c>
      <c r="G5" s="7"/>
      <c r="H5" s="4">
        <v>8900</v>
      </c>
      <c r="I5" s="4"/>
      <c r="J5" s="7">
        <v>10000</v>
      </c>
      <c r="K5" s="7"/>
      <c r="L5" s="6">
        <f t="shared" si="0"/>
        <v>122500</v>
      </c>
      <c r="M5" s="1"/>
    </row>
    <row r="6" spans="1:13" x14ac:dyDescent="0.35">
      <c r="A6" s="10">
        <v>42948</v>
      </c>
      <c r="B6" s="1">
        <v>18900</v>
      </c>
      <c r="C6" s="1"/>
      <c r="D6" s="7">
        <v>47800</v>
      </c>
      <c r="E6" s="7"/>
      <c r="F6" s="7">
        <v>55500</v>
      </c>
      <c r="G6" s="7"/>
      <c r="H6" s="4">
        <v>9000</v>
      </c>
      <c r="I6" s="4"/>
      <c r="J6" s="7">
        <v>10200</v>
      </c>
      <c r="K6" s="7"/>
      <c r="L6" s="6">
        <f t="shared" si="0"/>
        <v>122500</v>
      </c>
      <c r="M6" s="1"/>
    </row>
    <row r="7" spans="1:13" x14ac:dyDescent="0.35">
      <c r="A7" s="10">
        <v>43313</v>
      </c>
      <c r="B7" s="1">
        <v>17000</v>
      </c>
      <c r="C7" s="1"/>
      <c r="D7" s="7">
        <v>46500</v>
      </c>
      <c r="E7" s="7"/>
      <c r="F7" s="7">
        <v>54900</v>
      </c>
      <c r="G7" s="7"/>
      <c r="H7" s="4">
        <v>8100</v>
      </c>
      <c r="I7" s="4"/>
      <c r="J7" s="7">
        <v>10500</v>
      </c>
      <c r="K7" s="7"/>
      <c r="L7" s="6">
        <f t="shared" si="0"/>
        <v>120000</v>
      </c>
      <c r="M7" s="1"/>
    </row>
    <row r="8" spans="1:13" x14ac:dyDescent="0.35">
      <c r="A8" s="10">
        <v>43678</v>
      </c>
      <c r="B8" s="1">
        <v>19000</v>
      </c>
      <c r="C8" s="1">
        <v>19000</v>
      </c>
      <c r="D8" s="7">
        <v>48200</v>
      </c>
      <c r="E8" s="7">
        <v>48200</v>
      </c>
      <c r="F8" s="6">
        <v>56300</v>
      </c>
      <c r="G8" s="6">
        <v>56300</v>
      </c>
      <c r="H8" s="4">
        <v>8500</v>
      </c>
      <c r="I8" s="4">
        <v>8500</v>
      </c>
      <c r="J8" s="7">
        <v>10000</v>
      </c>
      <c r="K8" s="7">
        <v>10000</v>
      </c>
      <c r="L8" s="6">
        <v>123000</v>
      </c>
      <c r="M8" s="6">
        <v>123000</v>
      </c>
    </row>
    <row r="9" spans="1:13" x14ac:dyDescent="0.35">
      <c r="A9" s="10">
        <v>44044</v>
      </c>
      <c r="B9" s="1"/>
      <c r="C9" s="6">
        <v>18317</v>
      </c>
      <c r="D9" s="1"/>
      <c r="E9" s="6">
        <v>47386</v>
      </c>
      <c r="F9" s="1"/>
      <c r="G9" s="6">
        <v>56248</v>
      </c>
      <c r="H9" s="1"/>
      <c r="I9" s="1">
        <v>8157</v>
      </c>
      <c r="J9" s="1"/>
      <c r="K9" s="6">
        <v>10121</v>
      </c>
      <c r="L9" s="6"/>
      <c r="M9" s="6">
        <f>SUM(E9:K9)</f>
        <v>121912</v>
      </c>
    </row>
    <row r="10" spans="1:13" x14ac:dyDescent="0.35">
      <c r="A10" s="10">
        <v>44409</v>
      </c>
      <c r="B10" s="1"/>
      <c r="C10" s="6">
        <v>18022</v>
      </c>
      <c r="D10" s="1"/>
      <c r="E10" s="6">
        <v>47190</v>
      </c>
      <c r="F10" s="1"/>
      <c r="G10" s="6">
        <v>56448</v>
      </c>
      <c r="H10" s="1"/>
      <c r="I10" s="1">
        <v>7967</v>
      </c>
      <c r="J10" s="1"/>
      <c r="K10" s="6">
        <v>10063</v>
      </c>
      <c r="L10" s="6"/>
      <c r="M10" s="6">
        <f>SUM(E10:K10)</f>
        <v>121668</v>
      </c>
    </row>
    <row r="11" spans="1:13" x14ac:dyDescent="0.35">
      <c r="A11" s="10">
        <v>44774</v>
      </c>
      <c r="B11" s="1"/>
      <c r="C11" s="6">
        <v>18500</v>
      </c>
      <c r="D11" s="1"/>
      <c r="E11" s="6">
        <v>46994</v>
      </c>
      <c r="F11" s="6"/>
      <c r="G11" s="6">
        <v>56648</v>
      </c>
      <c r="H11" s="6"/>
      <c r="I11" s="6">
        <v>7778</v>
      </c>
      <c r="J11" s="1"/>
      <c r="K11" s="6">
        <v>10004</v>
      </c>
      <c r="L11" s="6"/>
      <c r="M11" s="6">
        <f>SUM(E11:K11)</f>
        <v>121424</v>
      </c>
    </row>
    <row r="13" spans="1:13" x14ac:dyDescent="0.35">
      <c r="L13" s="8"/>
    </row>
  </sheetData>
  <conditionalFormatting sqref="F11:M11">
    <cfRule type="expression" dxfId="285" priority="14">
      <formula>$D11="NBS"</formula>
    </cfRule>
  </conditionalFormatting>
  <conditionalFormatting sqref="F11:O11">
    <cfRule type="expression" dxfId="284" priority="13">
      <formula>$D12="CBS"</formula>
    </cfRule>
  </conditionalFormatting>
  <conditionalFormatting sqref="F11:O11">
    <cfRule type="expression" dxfId="283" priority="12">
      <formula>$D11="CBS"</formula>
    </cfRule>
  </conditionalFormatting>
  <conditionalFormatting sqref="F11:O11">
    <cfRule type="expression" dxfId="282" priority="11">
      <formula>$D11="SBS"</formula>
    </cfRule>
  </conditionalFormatting>
  <conditionalFormatting sqref="F11:O11">
    <cfRule type="expression" dxfId="281" priority="10">
      <formula>$D11="NLS"</formula>
    </cfRule>
  </conditionalFormatting>
  <conditionalFormatting sqref="F11:O11">
    <cfRule type="expression" dxfId="280" priority="9">
      <formula>$D11="SLS"</formula>
    </cfRule>
  </conditionalFormatting>
  <conditionalFormatting sqref="D2:E8">
    <cfRule type="expression" dxfId="279" priority="8">
      <formula>#REF!="NBS"</formula>
    </cfRule>
  </conditionalFormatting>
  <conditionalFormatting sqref="D2:E8">
    <cfRule type="expression" dxfId="278" priority="7">
      <formula>#REF!="CBS"</formula>
    </cfRule>
  </conditionalFormatting>
  <conditionalFormatting sqref="F2:G7">
    <cfRule type="expression" dxfId="277" priority="6">
      <formula>#REF!="NBS"</formula>
    </cfRule>
  </conditionalFormatting>
  <conditionalFormatting sqref="F2:G7">
    <cfRule type="expression" dxfId="276" priority="5">
      <formula>#REF!="CBS"</formula>
    </cfRule>
  </conditionalFormatting>
  <conditionalFormatting sqref="H2:I8">
    <cfRule type="expression" dxfId="275" priority="4">
      <formula>#REF!="NBS"</formula>
    </cfRule>
  </conditionalFormatting>
  <conditionalFormatting sqref="H2:I8">
    <cfRule type="expression" dxfId="274" priority="3">
      <formula>#REF!="CBS"</formula>
    </cfRule>
  </conditionalFormatting>
  <conditionalFormatting sqref="J2:K8">
    <cfRule type="expression" dxfId="273" priority="2">
      <formula>#REF!="NBS"</formula>
    </cfRule>
  </conditionalFormatting>
  <conditionalFormatting sqref="J2:K8">
    <cfRule type="expression" dxfId="272" priority="1">
      <formula>#REF!="CBS"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773E-326E-4693-BEEE-E5F442A1ABDC}">
  <sheetPr codeName="Sheet4"/>
  <dimension ref="A1:M16"/>
  <sheetViews>
    <sheetView zoomScale="59" zoomScaleNormal="59" workbookViewId="0">
      <selection activeCell="J2" sqref="J2:J8"/>
    </sheetView>
  </sheetViews>
  <sheetFormatPr defaultRowHeight="14.5" x14ac:dyDescent="0.35"/>
  <cols>
    <col min="1" max="1" width="10.36328125" customWidth="1"/>
    <col min="2" max="3" width="12.08984375" customWidth="1"/>
    <col min="4" max="5" width="10.36328125" customWidth="1"/>
    <col min="6" max="7" width="9.54296875" customWidth="1"/>
    <col min="8" max="9" width="11.6328125" customWidth="1"/>
    <col min="10" max="11" width="9.81640625" customWidth="1"/>
    <col min="12" max="12" width="10.54296875" customWidth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15192</v>
      </c>
      <c r="C2" s="1"/>
      <c r="D2" s="7">
        <v>44000</v>
      </c>
      <c r="E2" s="7"/>
      <c r="F2" s="7">
        <v>53000</v>
      </c>
      <c r="G2" s="7"/>
      <c r="H2" s="4">
        <v>8300</v>
      </c>
      <c r="I2" s="4"/>
      <c r="J2" s="7">
        <v>10000</v>
      </c>
      <c r="K2" s="7"/>
      <c r="L2" s="6">
        <f t="shared" ref="L2:L7" si="0">SUM(D2:J2)</f>
        <v>115300</v>
      </c>
      <c r="M2" s="1"/>
    </row>
    <row r="3" spans="1:13" x14ac:dyDescent="0.35">
      <c r="A3" s="10">
        <v>41852</v>
      </c>
      <c r="B3" s="1">
        <v>14420</v>
      </c>
      <c r="C3" s="1"/>
      <c r="D3" s="7">
        <v>43000</v>
      </c>
      <c r="E3" s="7"/>
      <c r="F3" s="7">
        <v>52200</v>
      </c>
      <c r="G3" s="7"/>
      <c r="H3" s="4">
        <v>8500</v>
      </c>
      <c r="I3" s="4"/>
      <c r="J3" s="7">
        <v>10500</v>
      </c>
      <c r="K3" s="7"/>
      <c r="L3" s="6">
        <f t="shared" si="0"/>
        <v>114200</v>
      </c>
      <c r="M3" s="1"/>
    </row>
    <row r="4" spans="1:13" x14ac:dyDescent="0.35">
      <c r="A4" s="10">
        <v>42217</v>
      </c>
      <c r="B4" s="1">
        <v>14935</v>
      </c>
      <c r="C4" s="1"/>
      <c r="D4" s="7">
        <v>45000</v>
      </c>
      <c r="E4" s="7"/>
      <c r="F4" s="7">
        <v>52300</v>
      </c>
      <c r="G4" s="7"/>
      <c r="H4" s="4">
        <v>8800</v>
      </c>
      <c r="I4" s="4"/>
      <c r="J4" s="7">
        <v>10000</v>
      </c>
      <c r="K4" s="7"/>
      <c r="L4" s="6">
        <f t="shared" si="0"/>
        <v>116100</v>
      </c>
      <c r="M4" s="1"/>
    </row>
    <row r="5" spans="1:13" x14ac:dyDescent="0.35">
      <c r="A5" s="10">
        <v>42583</v>
      </c>
      <c r="B5" s="1">
        <v>15347</v>
      </c>
      <c r="C5" s="1"/>
      <c r="D5" s="7">
        <v>43600</v>
      </c>
      <c r="E5" s="7"/>
      <c r="F5" s="7">
        <v>53300</v>
      </c>
      <c r="G5" s="7"/>
      <c r="H5" s="4">
        <v>8100</v>
      </c>
      <c r="I5" s="4"/>
      <c r="J5" s="7">
        <v>10000</v>
      </c>
      <c r="K5" s="7"/>
      <c r="L5" s="6">
        <f t="shared" si="0"/>
        <v>115000</v>
      </c>
      <c r="M5" s="1"/>
    </row>
    <row r="6" spans="1:13" x14ac:dyDescent="0.35">
      <c r="A6" s="10">
        <v>42948</v>
      </c>
      <c r="B6" s="1">
        <v>15192.5</v>
      </c>
      <c r="C6" s="1"/>
      <c r="D6" s="7">
        <v>43100</v>
      </c>
      <c r="E6" s="7"/>
      <c r="F6" s="7">
        <v>53500</v>
      </c>
      <c r="G6" s="7"/>
      <c r="H6" s="4">
        <v>8400</v>
      </c>
      <c r="I6" s="4"/>
      <c r="J6" s="7">
        <v>10200</v>
      </c>
      <c r="K6" s="7"/>
      <c r="L6" s="6">
        <f t="shared" si="0"/>
        <v>115200</v>
      </c>
      <c r="M6" s="1"/>
    </row>
    <row r="7" spans="1:13" x14ac:dyDescent="0.35">
      <c r="A7" s="10">
        <v>43313</v>
      </c>
      <c r="B7" s="1">
        <v>13390</v>
      </c>
      <c r="C7" s="1"/>
      <c r="D7" s="7">
        <v>41500</v>
      </c>
      <c r="E7" s="7"/>
      <c r="F7" s="7">
        <v>51900</v>
      </c>
      <c r="G7" s="7"/>
      <c r="H7" s="4">
        <v>7600</v>
      </c>
      <c r="I7" s="4"/>
      <c r="J7" s="7">
        <v>10500</v>
      </c>
      <c r="K7" s="7"/>
      <c r="L7" s="6">
        <f t="shared" si="0"/>
        <v>111500</v>
      </c>
      <c r="M7" s="1"/>
    </row>
    <row r="8" spans="1:13" x14ac:dyDescent="0.35">
      <c r="A8" s="10">
        <v>43678</v>
      </c>
      <c r="B8" s="1">
        <v>14935</v>
      </c>
      <c r="C8" s="1">
        <v>14935</v>
      </c>
      <c r="D8" s="7">
        <v>42200</v>
      </c>
      <c r="E8" s="7">
        <v>42200</v>
      </c>
      <c r="F8" s="6">
        <v>52800</v>
      </c>
      <c r="G8" s="6">
        <v>52800</v>
      </c>
      <c r="H8" s="4">
        <v>8000</v>
      </c>
      <c r="I8" s="4">
        <v>8000</v>
      </c>
      <c r="J8" s="7">
        <v>10000</v>
      </c>
      <c r="K8" s="7">
        <v>10000</v>
      </c>
      <c r="L8" s="6">
        <v>113000</v>
      </c>
      <c r="M8" s="6">
        <v>113000</v>
      </c>
    </row>
    <row r="9" spans="1:13" x14ac:dyDescent="0.35">
      <c r="A9" s="10">
        <v>44044</v>
      </c>
      <c r="B9" s="1"/>
      <c r="C9" s="1">
        <v>14452</v>
      </c>
      <c r="D9" s="1"/>
      <c r="E9" s="6">
        <v>41006</v>
      </c>
      <c r="F9" s="1"/>
      <c r="G9" s="6">
        <v>52005</v>
      </c>
      <c r="H9" s="1"/>
      <c r="I9" s="1">
        <v>7505</v>
      </c>
      <c r="J9" s="1"/>
      <c r="K9" s="6">
        <v>10121</v>
      </c>
      <c r="L9" s="6"/>
      <c r="M9" s="6">
        <f>SUM(E9:K9)</f>
        <v>110637</v>
      </c>
    </row>
    <row r="10" spans="1:13" x14ac:dyDescent="0.35">
      <c r="A10" s="10">
        <v>44409</v>
      </c>
      <c r="B10" s="1"/>
      <c r="C10" s="1">
        <v>14615</v>
      </c>
      <c r="D10" s="1"/>
      <c r="E10" s="6">
        <v>40985</v>
      </c>
      <c r="F10" s="1"/>
      <c r="G10" s="6">
        <v>52200</v>
      </c>
      <c r="H10" s="1"/>
      <c r="I10" s="1">
        <v>7240</v>
      </c>
      <c r="J10" s="1"/>
      <c r="K10" s="6">
        <v>10063</v>
      </c>
      <c r="L10" s="6"/>
      <c r="M10" s="6">
        <f>SUM(E10:K10)</f>
        <v>110488</v>
      </c>
    </row>
    <row r="11" spans="1:13" x14ac:dyDescent="0.35">
      <c r="A11" s="10">
        <v>44774</v>
      </c>
      <c r="B11" s="1"/>
      <c r="C11" s="1">
        <v>14756</v>
      </c>
      <c r="D11" s="1"/>
      <c r="E11" s="6">
        <v>40005</v>
      </c>
      <c r="F11" s="1"/>
      <c r="G11" s="6">
        <v>52250</v>
      </c>
      <c r="H11" s="1"/>
      <c r="I11" s="1">
        <v>6975</v>
      </c>
      <c r="J11" s="1"/>
      <c r="K11" s="6">
        <v>10004</v>
      </c>
      <c r="L11" s="6"/>
      <c r="M11" s="6">
        <f>SUM(E11:K11)</f>
        <v>109234</v>
      </c>
    </row>
    <row r="13" spans="1:13" x14ac:dyDescent="0.35">
      <c r="L13" s="8"/>
    </row>
    <row r="16" spans="1:13" x14ac:dyDescent="0.35">
      <c r="B16" s="6"/>
      <c r="C16" s="6"/>
      <c r="D16" s="6"/>
      <c r="E16" s="6"/>
      <c r="F16" s="1"/>
      <c r="G16" s="1"/>
      <c r="H16" s="1"/>
      <c r="I16" s="1"/>
    </row>
  </sheetData>
  <conditionalFormatting sqref="B16:K16">
    <cfRule type="expression" dxfId="271" priority="22">
      <formula>$D16="NBS"</formula>
    </cfRule>
  </conditionalFormatting>
  <conditionalFormatting sqref="B16:M16">
    <cfRule type="expression" dxfId="270" priority="21">
      <formula>$D17="CBS"</formula>
    </cfRule>
  </conditionalFormatting>
  <conditionalFormatting sqref="B16:M16">
    <cfRule type="expression" dxfId="269" priority="20">
      <formula>$D16="CBS"</formula>
    </cfRule>
  </conditionalFormatting>
  <conditionalFormatting sqref="B16:M16">
    <cfRule type="expression" dxfId="268" priority="19">
      <formula>$D16="SBS"</formula>
    </cfRule>
  </conditionalFormatting>
  <conditionalFormatting sqref="B16:M16">
    <cfRule type="expression" dxfId="267" priority="18">
      <formula>$D16="NLS"</formula>
    </cfRule>
  </conditionalFormatting>
  <conditionalFormatting sqref="B16:M16">
    <cfRule type="expression" dxfId="266" priority="17">
      <formula>$D16="SLS"</formula>
    </cfRule>
  </conditionalFormatting>
  <conditionalFormatting sqref="D2:E8">
    <cfRule type="expression" dxfId="265" priority="8">
      <formula>#REF!="NBS"</formula>
    </cfRule>
  </conditionalFormatting>
  <conditionalFormatting sqref="D2:E8">
    <cfRule type="expression" dxfId="264" priority="7">
      <formula>#REF!="CBS"</formula>
    </cfRule>
  </conditionalFormatting>
  <conditionalFormatting sqref="F2:G7">
    <cfRule type="expression" dxfId="263" priority="6">
      <formula>#REF!="NBS"</formula>
    </cfRule>
  </conditionalFormatting>
  <conditionalFormatting sqref="F2:G7">
    <cfRule type="expression" dxfId="262" priority="5">
      <formula>#REF!="CBS"</formula>
    </cfRule>
  </conditionalFormatting>
  <conditionalFormatting sqref="H2:I8">
    <cfRule type="expression" dxfId="261" priority="4">
      <formula>#REF!="NBS"</formula>
    </cfRule>
  </conditionalFormatting>
  <conditionalFormatting sqref="H2:I8">
    <cfRule type="expression" dxfId="260" priority="3">
      <formula>#REF!="CBS"</formula>
    </cfRule>
  </conditionalFormatting>
  <conditionalFormatting sqref="J2:K8">
    <cfRule type="expression" dxfId="259" priority="2">
      <formula>#REF!="NBS"</formula>
    </cfRule>
  </conditionalFormatting>
  <conditionalFormatting sqref="J2:K8">
    <cfRule type="expression" dxfId="258" priority="1">
      <formula>#REF!="CBS"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4194-7B24-49A4-935B-382438A62D9A}">
  <sheetPr codeName="Sheet5"/>
  <dimension ref="A1:M16"/>
  <sheetViews>
    <sheetView zoomScale="56" workbookViewId="0">
      <selection activeCell="C18" sqref="C18"/>
    </sheetView>
  </sheetViews>
  <sheetFormatPr defaultRowHeight="14.5" x14ac:dyDescent="0.35"/>
  <cols>
    <col min="1" max="3" width="10.81640625" style="1" customWidth="1"/>
    <col min="4" max="5" width="11.54296875" style="1" customWidth="1"/>
    <col min="6" max="7" width="10.36328125" style="1" customWidth="1"/>
    <col min="8" max="9" width="14.453125" style="1" customWidth="1"/>
    <col min="10" max="11" width="11" style="1" customWidth="1"/>
    <col min="12" max="12" width="11.1796875" style="1" customWidth="1"/>
    <col min="13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17050</v>
      </c>
      <c r="D2" s="7">
        <v>47000</v>
      </c>
      <c r="E2" s="7"/>
      <c r="F2" s="7">
        <v>56000</v>
      </c>
      <c r="G2" s="7"/>
      <c r="H2" s="4">
        <v>9500</v>
      </c>
      <c r="I2" s="4"/>
      <c r="J2" s="7">
        <v>10000</v>
      </c>
      <c r="K2" s="7"/>
      <c r="L2" s="6">
        <f t="shared" ref="L2:L7" si="0">SUM(D2:J2)</f>
        <v>122500</v>
      </c>
    </row>
    <row r="3" spans="1:13" x14ac:dyDescent="0.35">
      <c r="A3" s="10">
        <v>41852</v>
      </c>
      <c r="B3" s="1">
        <v>17325</v>
      </c>
      <c r="D3" s="7">
        <v>47100</v>
      </c>
      <c r="E3" s="7"/>
      <c r="F3" s="7">
        <v>56200</v>
      </c>
      <c r="G3" s="7"/>
      <c r="H3" s="4">
        <v>9300</v>
      </c>
      <c r="I3" s="4"/>
      <c r="J3" s="7">
        <v>10500</v>
      </c>
      <c r="K3" s="7"/>
      <c r="L3" s="6">
        <f t="shared" si="0"/>
        <v>123100</v>
      </c>
    </row>
    <row r="4" spans="1:13" x14ac:dyDescent="0.35">
      <c r="A4" s="10">
        <v>42217</v>
      </c>
      <c r="B4" s="1">
        <v>17622</v>
      </c>
      <c r="D4" s="7">
        <v>47300</v>
      </c>
      <c r="E4" s="7"/>
      <c r="F4" s="7">
        <v>56500</v>
      </c>
      <c r="G4" s="7"/>
      <c r="H4" s="4">
        <v>9600</v>
      </c>
      <c r="I4" s="4"/>
      <c r="J4" s="7">
        <v>10000</v>
      </c>
      <c r="K4" s="7"/>
      <c r="L4" s="6">
        <f t="shared" si="0"/>
        <v>123400</v>
      </c>
    </row>
    <row r="5" spans="1:13" x14ac:dyDescent="0.35">
      <c r="A5" s="10">
        <v>42583</v>
      </c>
      <c r="B5" s="1">
        <v>16775</v>
      </c>
      <c r="D5" s="7">
        <v>46600</v>
      </c>
      <c r="E5" s="7"/>
      <c r="F5" s="7">
        <v>55300</v>
      </c>
      <c r="G5" s="7"/>
      <c r="H5" s="4">
        <v>8900</v>
      </c>
      <c r="I5" s="4"/>
      <c r="J5" s="7">
        <v>10000</v>
      </c>
      <c r="K5" s="7"/>
      <c r="L5" s="6">
        <f t="shared" si="0"/>
        <v>120800</v>
      </c>
    </row>
    <row r="6" spans="1:13" x14ac:dyDescent="0.35">
      <c r="A6" s="10">
        <v>42948</v>
      </c>
      <c r="B6" s="1">
        <v>17050</v>
      </c>
      <c r="D6" s="7">
        <v>47100</v>
      </c>
      <c r="E6" s="7"/>
      <c r="F6" s="7">
        <v>55500</v>
      </c>
      <c r="G6" s="7"/>
      <c r="H6" s="4">
        <v>9000</v>
      </c>
      <c r="I6" s="4"/>
      <c r="J6" s="7">
        <v>10200</v>
      </c>
      <c r="K6" s="7"/>
      <c r="L6" s="6">
        <f t="shared" si="0"/>
        <v>121800</v>
      </c>
    </row>
    <row r="7" spans="1:13" x14ac:dyDescent="0.35">
      <c r="A7" s="10">
        <v>43313</v>
      </c>
      <c r="B7" s="1">
        <v>15950</v>
      </c>
      <c r="D7" s="7">
        <v>45500</v>
      </c>
      <c r="E7" s="7"/>
      <c r="F7" s="7">
        <v>54900</v>
      </c>
      <c r="G7" s="7"/>
      <c r="H7" s="4">
        <v>8100</v>
      </c>
      <c r="I7" s="4"/>
      <c r="J7" s="7">
        <v>10500</v>
      </c>
      <c r="K7" s="7"/>
      <c r="L7" s="6">
        <f t="shared" si="0"/>
        <v>119000</v>
      </c>
    </row>
    <row r="8" spans="1:13" x14ac:dyDescent="0.35">
      <c r="A8" s="10">
        <v>43678</v>
      </c>
      <c r="B8" s="1">
        <v>17875</v>
      </c>
      <c r="C8" s="1">
        <v>17875</v>
      </c>
      <c r="D8" s="7">
        <v>47200</v>
      </c>
      <c r="E8" s="7">
        <v>47200</v>
      </c>
      <c r="F8" s="6">
        <v>56300</v>
      </c>
      <c r="G8" s="6">
        <v>56300</v>
      </c>
      <c r="H8" s="4">
        <v>8500</v>
      </c>
      <c r="I8" s="4">
        <v>8500</v>
      </c>
      <c r="J8" s="7">
        <v>10000</v>
      </c>
      <c r="K8" s="7">
        <v>10000</v>
      </c>
      <c r="L8" s="6">
        <v>122000</v>
      </c>
      <c r="M8" s="6">
        <v>122000</v>
      </c>
    </row>
    <row r="9" spans="1:13" x14ac:dyDescent="0.35">
      <c r="A9" s="10">
        <v>44044</v>
      </c>
      <c r="C9" s="1">
        <v>17809</v>
      </c>
      <c r="E9" s="6">
        <v>46439</v>
      </c>
      <c r="G9" s="6">
        <v>56248</v>
      </c>
      <c r="I9" s="1">
        <v>8157</v>
      </c>
      <c r="K9" s="6">
        <v>10121</v>
      </c>
      <c r="L9" s="6"/>
      <c r="M9" s="6">
        <f>SUM(E9:K9)</f>
        <v>120965</v>
      </c>
    </row>
    <row r="10" spans="1:13" x14ac:dyDescent="0.35">
      <c r="A10" s="10">
        <v>44409</v>
      </c>
      <c r="C10" s="1">
        <v>16985</v>
      </c>
      <c r="E10" s="6">
        <v>46236</v>
      </c>
      <c r="G10" s="6">
        <v>54448</v>
      </c>
      <c r="I10" s="1">
        <v>7967</v>
      </c>
      <c r="K10" s="6">
        <v>10063</v>
      </c>
      <c r="L10" s="6"/>
      <c r="M10" s="6">
        <f>SUM(E10:K10)</f>
        <v>118714</v>
      </c>
    </row>
    <row r="11" spans="1:13" x14ac:dyDescent="0.35">
      <c r="A11" s="10">
        <v>44774</v>
      </c>
      <c r="C11" s="1">
        <v>17900</v>
      </c>
      <c r="E11" s="6">
        <v>46588</v>
      </c>
      <c r="G11" s="6">
        <v>55800</v>
      </c>
      <c r="I11" s="1">
        <v>7778</v>
      </c>
      <c r="K11" s="6">
        <v>10004</v>
      </c>
      <c r="L11" s="6"/>
      <c r="M11" s="6">
        <f>SUM(E11:K11)</f>
        <v>120170</v>
      </c>
    </row>
    <row r="13" spans="1:13" x14ac:dyDescent="0.35">
      <c r="L13" s="6"/>
    </row>
    <row r="16" spans="1:13" x14ac:dyDescent="0.35">
      <c r="F16" s="6"/>
      <c r="G16" s="6"/>
      <c r="H16" s="6"/>
      <c r="I16" s="6"/>
    </row>
  </sheetData>
  <conditionalFormatting sqref="F16:M16">
    <cfRule type="expression" dxfId="257" priority="14">
      <formula>$D16="NBS"</formula>
    </cfRule>
  </conditionalFormatting>
  <conditionalFormatting sqref="F16:O16">
    <cfRule type="expression" dxfId="256" priority="13">
      <formula>$D17="CBS"</formula>
    </cfRule>
  </conditionalFormatting>
  <conditionalFormatting sqref="F16:O16">
    <cfRule type="expression" dxfId="255" priority="12">
      <formula>$D16="CBS"</formula>
    </cfRule>
  </conditionalFormatting>
  <conditionalFormatting sqref="F16:O16">
    <cfRule type="expression" dxfId="254" priority="11">
      <formula>$D16="SBS"</formula>
    </cfRule>
  </conditionalFormatting>
  <conditionalFormatting sqref="F16:O16">
    <cfRule type="expression" dxfId="253" priority="10">
      <formula>$D16="NLS"</formula>
    </cfRule>
  </conditionalFormatting>
  <conditionalFormatting sqref="F16:O16">
    <cfRule type="expression" dxfId="252" priority="9">
      <formula>$D16="SLS"</formula>
    </cfRule>
  </conditionalFormatting>
  <conditionalFormatting sqref="D2:E8">
    <cfRule type="expression" dxfId="251" priority="8">
      <formula>#REF!="NBS"</formula>
    </cfRule>
  </conditionalFormatting>
  <conditionalFormatting sqref="D2:E8">
    <cfRule type="expression" dxfId="250" priority="7">
      <formula>#REF!="CBS"</formula>
    </cfRule>
  </conditionalFormatting>
  <conditionalFormatting sqref="F2:G7">
    <cfRule type="expression" dxfId="249" priority="6">
      <formula>#REF!="NBS"</formula>
    </cfRule>
  </conditionalFormatting>
  <conditionalFormatting sqref="F2:G7">
    <cfRule type="expression" dxfId="248" priority="5">
      <formula>#REF!="CBS"</formula>
    </cfRule>
  </conditionalFormatting>
  <conditionalFormatting sqref="H2:I8">
    <cfRule type="expression" dxfId="247" priority="4">
      <formula>#REF!="NBS"</formula>
    </cfRule>
  </conditionalFormatting>
  <conditionalFormatting sqref="H2:I8">
    <cfRule type="expression" dxfId="246" priority="3">
      <formula>#REF!="CBS"</formula>
    </cfRule>
  </conditionalFormatting>
  <conditionalFormatting sqref="J2:K8">
    <cfRule type="expression" dxfId="245" priority="2">
      <formula>#REF!="NBS"</formula>
    </cfRule>
  </conditionalFormatting>
  <conditionalFormatting sqref="J2:K8">
    <cfRule type="expression" dxfId="244" priority="1">
      <formula>#REF!="CBS"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5FEA-24CB-4A38-B1BF-1ACFB8D596A8}">
  <sheetPr codeName="Sheet6"/>
  <dimension ref="A1:M18"/>
  <sheetViews>
    <sheetView zoomScale="51" workbookViewId="0">
      <selection activeCell="C14" sqref="C14"/>
    </sheetView>
  </sheetViews>
  <sheetFormatPr defaultRowHeight="14.5" x14ac:dyDescent="0.35"/>
  <cols>
    <col min="1" max="1" width="10.6328125" style="1" customWidth="1"/>
    <col min="2" max="3" width="10.26953125" style="1" customWidth="1"/>
    <col min="4" max="5" width="11.26953125" style="1" customWidth="1"/>
    <col min="6" max="7" width="10.26953125" style="1" customWidth="1"/>
    <col min="8" max="9" width="11.81640625" style="1" customWidth="1"/>
    <col min="10" max="11" width="10.6328125" style="1" customWidth="1"/>
    <col min="12" max="12" width="10.36328125" style="1" customWidth="1"/>
    <col min="13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15150</v>
      </c>
      <c r="D2" s="7">
        <v>45000</v>
      </c>
      <c r="E2" s="7"/>
      <c r="F2" s="7">
        <v>54000</v>
      </c>
      <c r="G2" s="7"/>
      <c r="H2" s="4">
        <v>9300</v>
      </c>
      <c r="I2" s="4"/>
      <c r="J2" s="7">
        <v>10000</v>
      </c>
      <c r="K2" s="7"/>
      <c r="L2" s="6">
        <f t="shared" ref="L2:L7" si="0">SUM(D2:J2)</f>
        <v>118300</v>
      </c>
    </row>
    <row r="3" spans="1:13" x14ac:dyDescent="0.35">
      <c r="A3" s="10">
        <v>41852</v>
      </c>
      <c r="B3" s="1">
        <v>15655</v>
      </c>
      <c r="D3" s="7">
        <v>45100</v>
      </c>
      <c r="E3" s="7"/>
      <c r="F3" s="7">
        <v>54200</v>
      </c>
      <c r="G3" s="7"/>
      <c r="H3" s="4">
        <v>9500</v>
      </c>
      <c r="I3" s="4"/>
      <c r="J3" s="7">
        <v>10500</v>
      </c>
      <c r="K3" s="7"/>
      <c r="L3" s="6">
        <f t="shared" si="0"/>
        <v>119300</v>
      </c>
    </row>
    <row r="4" spans="1:13" x14ac:dyDescent="0.35">
      <c r="A4" s="10">
        <v>42217</v>
      </c>
      <c r="B4" s="1">
        <v>16160</v>
      </c>
      <c r="D4" s="7">
        <v>45800</v>
      </c>
      <c r="E4" s="7"/>
      <c r="F4" s="7">
        <v>55200</v>
      </c>
      <c r="G4" s="7"/>
      <c r="H4" s="4">
        <v>9800</v>
      </c>
      <c r="I4" s="4"/>
      <c r="J4" s="7">
        <v>10000</v>
      </c>
      <c r="K4" s="7"/>
      <c r="L4" s="6">
        <f t="shared" si="0"/>
        <v>120800</v>
      </c>
    </row>
    <row r="5" spans="1:13" x14ac:dyDescent="0.35">
      <c r="A5" s="10">
        <v>42583</v>
      </c>
      <c r="B5" s="1">
        <v>14140</v>
      </c>
      <c r="D5" s="7">
        <v>43600</v>
      </c>
      <c r="E5" s="7"/>
      <c r="F5" s="7">
        <v>53300</v>
      </c>
      <c r="G5" s="7"/>
      <c r="H5" s="4">
        <v>8500</v>
      </c>
      <c r="I5" s="4"/>
      <c r="J5" s="7">
        <v>10000</v>
      </c>
      <c r="K5" s="7"/>
      <c r="L5" s="6">
        <f t="shared" si="0"/>
        <v>115400</v>
      </c>
    </row>
    <row r="6" spans="1:13" x14ac:dyDescent="0.35">
      <c r="A6" s="10">
        <v>42948</v>
      </c>
      <c r="B6" s="1">
        <v>16665</v>
      </c>
      <c r="D6" s="7">
        <v>46100</v>
      </c>
      <c r="E6" s="7"/>
      <c r="F6" s="7">
        <v>55500</v>
      </c>
      <c r="G6" s="7"/>
      <c r="H6" s="4">
        <v>8700</v>
      </c>
      <c r="I6" s="4"/>
      <c r="J6" s="7">
        <v>10200</v>
      </c>
      <c r="K6" s="7"/>
      <c r="L6" s="6">
        <f t="shared" si="0"/>
        <v>120500</v>
      </c>
    </row>
    <row r="7" spans="1:13" x14ac:dyDescent="0.35">
      <c r="A7" s="10">
        <v>43313</v>
      </c>
      <c r="B7" s="1">
        <v>13635</v>
      </c>
      <c r="D7" s="7">
        <v>42500</v>
      </c>
      <c r="E7" s="7"/>
      <c r="F7" s="7">
        <v>51900</v>
      </c>
      <c r="G7" s="7"/>
      <c r="H7" s="4">
        <v>7600</v>
      </c>
      <c r="I7" s="4"/>
      <c r="J7" s="7">
        <v>10500</v>
      </c>
      <c r="K7" s="7"/>
      <c r="L7" s="6">
        <f t="shared" si="0"/>
        <v>112500</v>
      </c>
    </row>
    <row r="8" spans="1:13" x14ac:dyDescent="0.35">
      <c r="A8" s="10">
        <v>43678</v>
      </c>
      <c r="B8" s="1">
        <v>15810</v>
      </c>
      <c r="C8" s="1">
        <v>15810</v>
      </c>
      <c r="D8" s="7">
        <v>45200</v>
      </c>
      <c r="E8" s="7">
        <v>45200</v>
      </c>
      <c r="F8" s="6">
        <v>54800</v>
      </c>
      <c r="G8" s="6">
        <v>54800</v>
      </c>
      <c r="H8" s="4">
        <v>7900</v>
      </c>
      <c r="I8" s="4">
        <v>7900</v>
      </c>
      <c r="J8" s="7">
        <v>10000</v>
      </c>
      <c r="K8" s="7">
        <v>10000</v>
      </c>
      <c r="L8" s="6">
        <v>117900</v>
      </c>
      <c r="M8" s="6">
        <v>117900</v>
      </c>
    </row>
    <row r="9" spans="1:13" x14ac:dyDescent="0.35">
      <c r="A9" s="10">
        <v>44044</v>
      </c>
      <c r="C9" s="1">
        <v>14753</v>
      </c>
      <c r="E9" s="6">
        <v>44750</v>
      </c>
      <c r="G9" s="6">
        <v>54478</v>
      </c>
      <c r="I9" s="1">
        <v>7010</v>
      </c>
      <c r="K9" s="6">
        <v>10121</v>
      </c>
      <c r="L9" s="6"/>
      <c r="M9" s="6">
        <f>SUM(E9:K9)</f>
        <v>116359</v>
      </c>
    </row>
    <row r="10" spans="1:13" x14ac:dyDescent="0.35">
      <c r="A10" s="10">
        <v>44409</v>
      </c>
      <c r="C10" s="1">
        <v>14431</v>
      </c>
      <c r="E10" s="6">
        <v>44568</v>
      </c>
      <c r="G10" s="6">
        <v>54369</v>
      </c>
      <c r="I10" s="1">
        <v>6511</v>
      </c>
      <c r="K10" s="6">
        <v>10063</v>
      </c>
      <c r="L10" s="6"/>
      <c r="M10" s="6">
        <f>SUM(E10:K10)</f>
        <v>115511</v>
      </c>
    </row>
    <row r="11" spans="1:13" x14ac:dyDescent="0.35">
      <c r="A11" s="10">
        <v>44774</v>
      </c>
      <c r="C11" s="1">
        <v>14510</v>
      </c>
      <c r="E11" s="6">
        <v>44386</v>
      </c>
      <c r="G11" s="6">
        <v>54261</v>
      </c>
      <c r="I11" s="1">
        <v>6012</v>
      </c>
      <c r="K11" s="6">
        <v>10004</v>
      </c>
      <c r="L11" s="6"/>
      <c r="M11" s="6">
        <f>SUM(E11:K11)</f>
        <v>114663</v>
      </c>
    </row>
    <row r="13" spans="1:13" x14ac:dyDescent="0.35">
      <c r="L13" s="6"/>
    </row>
    <row r="18" spans="6:11" x14ac:dyDescent="0.35">
      <c r="F18" s="6"/>
      <c r="G18" s="6"/>
      <c r="H18" s="6"/>
      <c r="I18" s="6"/>
      <c r="J18" s="6"/>
      <c r="K18" s="6"/>
    </row>
  </sheetData>
  <conditionalFormatting sqref="F18:M18">
    <cfRule type="expression" dxfId="243" priority="14">
      <formula>$D18="NBS"</formula>
    </cfRule>
  </conditionalFormatting>
  <conditionalFormatting sqref="F18:O18">
    <cfRule type="expression" dxfId="242" priority="13">
      <formula>$D19="CBS"</formula>
    </cfRule>
  </conditionalFormatting>
  <conditionalFormatting sqref="F18:O18">
    <cfRule type="expression" dxfId="241" priority="12">
      <formula>$D18="CBS"</formula>
    </cfRule>
  </conditionalFormatting>
  <conditionalFormatting sqref="F18:O18">
    <cfRule type="expression" dxfId="240" priority="11">
      <formula>$D18="SBS"</formula>
    </cfRule>
  </conditionalFormatting>
  <conditionalFormatting sqref="F18:O18">
    <cfRule type="expression" dxfId="239" priority="10">
      <formula>$D18="NLS"</formula>
    </cfRule>
  </conditionalFormatting>
  <conditionalFormatting sqref="F18:O18">
    <cfRule type="expression" dxfId="238" priority="9">
      <formula>$D18="SLS"</formula>
    </cfRule>
  </conditionalFormatting>
  <conditionalFormatting sqref="D2:E8">
    <cfRule type="expression" dxfId="237" priority="8">
      <formula>#REF!="NBS"</formula>
    </cfRule>
  </conditionalFormatting>
  <conditionalFormatting sqref="D2:E8">
    <cfRule type="expression" dxfId="236" priority="7">
      <formula>#REF!="CBS"</formula>
    </cfRule>
  </conditionalFormatting>
  <conditionalFormatting sqref="F2:G7">
    <cfRule type="expression" dxfId="235" priority="6">
      <formula>#REF!="NBS"</formula>
    </cfRule>
  </conditionalFormatting>
  <conditionalFormatting sqref="F2:G7">
    <cfRule type="expression" dxfId="234" priority="5">
      <formula>#REF!="CBS"</formula>
    </cfRule>
  </conditionalFormatting>
  <conditionalFormatting sqref="H2:I8">
    <cfRule type="expression" dxfId="233" priority="4">
      <formula>#REF!="NBS"</formula>
    </cfRule>
  </conditionalFormatting>
  <conditionalFormatting sqref="H2:I8">
    <cfRule type="expression" dxfId="232" priority="3">
      <formula>#REF!="CBS"</formula>
    </cfRule>
  </conditionalFormatting>
  <conditionalFormatting sqref="J2:K8">
    <cfRule type="expression" dxfId="231" priority="2">
      <formula>#REF!="NBS"</formula>
    </cfRule>
  </conditionalFormatting>
  <conditionalFormatting sqref="J2:K8">
    <cfRule type="expression" dxfId="230" priority="1">
      <formula>#REF!="CBS"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7B79-7822-4695-8298-E255DACA3FDB}">
  <sheetPr codeName="Sheet7"/>
  <dimension ref="A1:Q14"/>
  <sheetViews>
    <sheetView zoomScale="53" zoomScaleNormal="99" workbookViewId="0">
      <selection activeCell="F15" sqref="F15"/>
    </sheetView>
  </sheetViews>
  <sheetFormatPr defaultRowHeight="14.5" x14ac:dyDescent="0.35"/>
  <cols>
    <col min="1" max="1" width="10.453125" customWidth="1"/>
    <col min="2" max="3" width="10.26953125" customWidth="1"/>
    <col min="4" max="5" width="11" customWidth="1"/>
    <col min="6" max="7" width="10.08984375" customWidth="1"/>
    <col min="8" max="9" width="13" customWidth="1"/>
    <col min="10" max="11" width="10.6328125" customWidth="1"/>
    <col min="12" max="12" width="10.36328125" bestFit="1" customWidth="1"/>
    <col min="13" max="13" width="12.26953125" customWidth="1"/>
    <col min="14" max="14" width="8.7265625" customWidth="1"/>
  </cols>
  <sheetData>
    <row r="1" spans="1:17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7" x14ac:dyDescent="0.35">
      <c r="A2" s="10">
        <v>41487</v>
      </c>
      <c r="B2" s="1">
        <v>8260</v>
      </c>
      <c r="C2" s="1"/>
      <c r="D2" s="7">
        <v>35000</v>
      </c>
      <c r="E2" s="7"/>
      <c r="F2" s="7">
        <v>49000</v>
      </c>
      <c r="G2" s="7"/>
      <c r="H2" s="4">
        <v>7900</v>
      </c>
      <c r="I2" s="4"/>
      <c r="J2" s="7">
        <v>9000</v>
      </c>
      <c r="K2" s="7"/>
      <c r="L2" s="6">
        <f t="shared" ref="L2:L7" si="0">SUM(D2:J2)</f>
        <v>100900</v>
      </c>
      <c r="M2" s="1"/>
    </row>
    <row r="3" spans="1:17" x14ac:dyDescent="0.35">
      <c r="A3" s="10">
        <v>41852</v>
      </c>
      <c r="B3" s="1">
        <v>7840</v>
      </c>
      <c r="C3" s="1"/>
      <c r="D3" s="7">
        <v>33900</v>
      </c>
      <c r="E3" s="7"/>
      <c r="F3" s="7">
        <v>48500</v>
      </c>
      <c r="G3" s="7"/>
      <c r="H3" s="4">
        <v>8000</v>
      </c>
      <c r="I3" s="4"/>
      <c r="J3" s="7">
        <v>9500</v>
      </c>
      <c r="K3" s="7"/>
      <c r="L3" s="6">
        <f t="shared" si="0"/>
        <v>99900</v>
      </c>
      <c r="M3" s="1"/>
    </row>
    <row r="4" spans="1:17" x14ac:dyDescent="0.35">
      <c r="A4" s="10">
        <v>42217</v>
      </c>
      <c r="B4" s="1">
        <v>8120</v>
      </c>
      <c r="C4" s="1"/>
      <c r="D4" s="7">
        <v>34900</v>
      </c>
      <c r="E4" s="7"/>
      <c r="F4" s="7">
        <v>48200</v>
      </c>
      <c r="G4" s="7"/>
      <c r="H4" s="4">
        <v>8100</v>
      </c>
      <c r="I4" s="4"/>
      <c r="J4" s="7">
        <v>9000</v>
      </c>
      <c r="K4" s="7"/>
      <c r="L4" s="6">
        <f t="shared" si="0"/>
        <v>100200</v>
      </c>
      <c r="M4" s="1"/>
    </row>
    <row r="5" spans="1:17" x14ac:dyDescent="0.35">
      <c r="A5" s="10">
        <v>42583</v>
      </c>
      <c r="B5" s="1">
        <v>8344</v>
      </c>
      <c r="C5" s="1"/>
      <c r="D5" s="7">
        <v>35900</v>
      </c>
      <c r="E5" s="7"/>
      <c r="F5" s="7">
        <v>48100</v>
      </c>
      <c r="G5" s="7"/>
      <c r="H5" s="4">
        <v>8900</v>
      </c>
      <c r="I5" s="4"/>
      <c r="J5" s="7">
        <v>9000</v>
      </c>
      <c r="K5" s="7"/>
      <c r="L5" s="6">
        <f t="shared" si="0"/>
        <v>101900</v>
      </c>
      <c r="M5" s="1"/>
    </row>
    <row r="6" spans="1:17" x14ac:dyDescent="0.35">
      <c r="A6" s="10">
        <v>42948</v>
      </c>
      <c r="B6" s="1">
        <v>8260</v>
      </c>
      <c r="C6" s="1"/>
      <c r="D6" s="7">
        <v>35500</v>
      </c>
      <c r="E6" s="7"/>
      <c r="F6" s="7">
        <v>49500</v>
      </c>
      <c r="G6" s="7"/>
      <c r="H6" s="4">
        <v>8600</v>
      </c>
      <c r="I6" s="4"/>
      <c r="J6" s="7">
        <v>9000</v>
      </c>
      <c r="K6" s="7"/>
      <c r="L6" s="6">
        <f t="shared" si="0"/>
        <v>102600</v>
      </c>
      <c r="M6" s="1"/>
    </row>
    <row r="7" spans="1:17" x14ac:dyDescent="0.35">
      <c r="A7" s="10">
        <v>43313</v>
      </c>
      <c r="B7" s="1">
        <v>7280</v>
      </c>
      <c r="C7" s="1"/>
      <c r="D7" s="7">
        <v>34500</v>
      </c>
      <c r="E7" s="7"/>
      <c r="F7" s="7">
        <v>48900</v>
      </c>
      <c r="G7" s="7"/>
      <c r="H7" s="4">
        <v>8700</v>
      </c>
      <c r="I7" s="4"/>
      <c r="J7" s="7">
        <v>9500</v>
      </c>
      <c r="K7" s="7"/>
      <c r="L7" s="6">
        <f t="shared" si="0"/>
        <v>101600</v>
      </c>
      <c r="M7" s="1"/>
    </row>
    <row r="8" spans="1:17" x14ac:dyDescent="0.35">
      <c r="A8" s="10">
        <v>43678</v>
      </c>
      <c r="B8" s="1">
        <v>8120</v>
      </c>
      <c r="C8" s="1">
        <v>8120</v>
      </c>
      <c r="D8" s="7">
        <v>35200</v>
      </c>
      <c r="E8" s="7">
        <v>35200</v>
      </c>
      <c r="F8" s="6">
        <v>48800</v>
      </c>
      <c r="G8" s="6">
        <v>48800</v>
      </c>
      <c r="H8" s="4">
        <v>8500</v>
      </c>
      <c r="I8" s="4">
        <v>8500</v>
      </c>
      <c r="J8" s="7">
        <v>9000</v>
      </c>
      <c r="K8" s="7">
        <v>9000</v>
      </c>
      <c r="L8" s="6">
        <v>101500</v>
      </c>
      <c r="M8" s="6">
        <v>101500</v>
      </c>
    </row>
    <row r="9" spans="1:17" x14ac:dyDescent="0.35">
      <c r="A9" s="10">
        <v>44044</v>
      </c>
      <c r="B9" s="1"/>
      <c r="C9" s="1">
        <v>7857.66</v>
      </c>
      <c r="D9" s="1"/>
      <c r="E9" s="5">
        <v>35001.21</v>
      </c>
      <c r="F9" s="1"/>
      <c r="G9" s="5">
        <v>48300.85</v>
      </c>
      <c r="H9" s="1"/>
      <c r="I9" s="1">
        <v>8500</v>
      </c>
      <c r="J9" s="1"/>
      <c r="K9" s="1">
        <v>9129</v>
      </c>
      <c r="L9" s="5"/>
      <c r="M9" s="5">
        <f>SUM(E9:K9)</f>
        <v>100931.06</v>
      </c>
    </row>
    <row r="10" spans="1:17" x14ac:dyDescent="0.35">
      <c r="A10" s="10">
        <v>44409</v>
      </c>
      <c r="B10" s="1"/>
      <c r="C10" s="1">
        <v>7837.3029999999999</v>
      </c>
      <c r="D10" s="1"/>
      <c r="E10" s="5">
        <v>33206.629999999997</v>
      </c>
      <c r="F10" s="1"/>
      <c r="G10" s="6">
        <v>46654</v>
      </c>
      <c r="H10" s="1"/>
      <c r="I10" s="1">
        <v>8400</v>
      </c>
      <c r="J10" s="1"/>
      <c r="K10" s="1">
        <v>9106</v>
      </c>
      <c r="L10" s="5"/>
      <c r="M10" s="5">
        <f>SUM(E10:K10)</f>
        <v>97366.63</v>
      </c>
    </row>
    <row r="11" spans="1:17" x14ac:dyDescent="0.35">
      <c r="A11" s="10">
        <v>44774</v>
      </c>
      <c r="B11" s="1"/>
      <c r="C11" s="1">
        <v>7816.9440000000004</v>
      </c>
      <c r="D11" s="1"/>
      <c r="E11" s="5">
        <v>33209.944000000003</v>
      </c>
      <c r="F11" s="1"/>
      <c r="G11" s="6">
        <v>47914</v>
      </c>
      <c r="H11" s="1"/>
      <c r="I11" s="1">
        <v>8400</v>
      </c>
      <c r="J11" s="1"/>
      <c r="K11" s="1">
        <v>9082</v>
      </c>
      <c r="L11" s="5"/>
      <c r="M11" s="5">
        <f>SUM(E11:K11)</f>
        <v>98605.944000000003</v>
      </c>
    </row>
    <row r="13" spans="1:17" x14ac:dyDescent="0.35">
      <c r="N13" s="1"/>
      <c r="O13" s="6"/>
      <c r="P13" s="1"/>
      <c r="Q13" s="1"/>
    </row>
    <row r="14" spans="1:17" x14ac:dyDescent="0.35">
      <c r="L14" s="8"/>
    </row>
  </sheetData>
  <conditionalFormatting sqref="N13:R13">
    <cfRule type="expression" dxfId="229" priority="14">
      <formula>$D13="NBS"</formula>
    </cfRule>
  </conditionalFormatting>
  <conditionalFormatting sqref="N13:T13">
    <cfRule type="expression" dxfId="228" priority="13">
      <formula>$D14="CBS"</formula>
    </cfRule>
  </conditionalFormatting>
  <conditionalFormatting sqref="N13:T13">
    <cfRule type="expression" dxfId="227" priority="12">
      <formula>$D13="CBS"</formula>
    </cfRule>
  </conditionalFormatting>
  <conditionalFormatting sqref="N13:T13">
    <cfRule type="expression" dxfId="226" priority="11">
      <formula>$D13="SBS"</formula>
    </cfRule>
  </conditionalFormatting>
  <conditionalFormatting sqref="N13:T13">
    <cfRule type="expression" dxfId="225" priority="10">
      <formula>$D13="NLS"</formula>
    </cfRule>
  </conditionalFormatting>
  <conditionalFormatting sqref="N13:T13">
    <cfRule type="expression" dxfId="224" priority="9">
      <formula>$D13="SLS"</formula>
    </cfRule>
  </conditionalFormatting>
  <conditionalFormatting sqref="D2:E8">
    <cfRule type="expression" dxfId="223" priority="8">
      <formula>#REF!="NBS"</formula>
    </cfRule>
  </conditionalFormatting>
  <conditionalFormatting sqref="D2:E8">
    <cfRule type="expression" dxfId="222" priority="7">
      <formula>#REF!="CBS"</formula>
    </cfRule>
  </conditionalFormatting>
  <conditionalFormatting sqref="F2:G7">
    <cfRule type="expression" dxfId="221" priority="6">
      <formula>#REF!="NBS"</formula>
    </cfRule>
  </conditionalFormatting>
  <conditionalFormatting sqref="F2:G7">
    <cfRule type="expression" dxfId="220" priority="5">
      <formula>#REF!="CBS"</formula>
    </cfRule>
  </conditionalFormatting>
  <conditionalFormatting sqref="H2:I8">
    <cfRule type="expression" dxfId="219" priority="4">
      <formula>#REF!="NBS"</formula>
    </cfRule>
  </conditionalFormatting>
  <conditionalFormatting sqref="H2:I8">
    <cfRule type="expression" dxfId="218" priority="3">
      <formula>#REF!="CBS"</formula>
    </cfRule>
  </conditionalFormatting>
  <conditionalFormatting sqref="J2:K8">
    <cfRule type="expression" dxfId="217" priority="2">
      <formula>#REF!="NBS"</formula>
    </cfRule>
  </conditionalFormatting>
  <conditionalFormatting sqref="J2:K8">
    <cfRule type="expression" dxfId="216" priority="1">
      <formula>#REF!="CBS"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2866-48A3-42A9-8F4E-4FF2F397380A}">
  <sheetPr codeName="Sheet8"/>
  <dimension ref="A1:O14"/>
  <sheetViews>
    <sheetView zoomScale="49" workbookViewId="0">
      <selection activeCell="K18" sqref="K18"/>
    </sheetView>
  </sheetViews>
  <sheetFormatPr defaultRowHeight="14.5" x14ac:dyDescent="0.35"/>
  <cols>
    <col min="1" max="1" width="12.26953125" customWidth="1"/>
    <col min="2" max="3" width="11.453125" customWidth="1"/>
    <col min="4" max="5" width="11" customWidth="1"/>
    <col min="6" max="7" width="9.81640625" customWidth="1"/>
    <col min="8" max="9" width="12.36328125" customWidth="1"/>
    <col min="10" max="11" width="11.7265625" customWidth="1"/>
  </cols>
  <sheetData>
    <row r="1" spans="1:15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5" x14ac:dyDescent="0.35">
      <c r="A2" s="10">
        <v>41487</v>
      </c>
      <c r="B2" s="1">
        <v>10413.5</v>
      </c>
      <c r="C2" s="1"/>
      <c r="D2" s="7">
        <v>40000</v>
      </c>
      <c r="E2" s="7"/>
      <c r="F2" s="7">
        <v>51000</v>
      </c>
      <c r="G2" s="7"/>
      <c r="H2" s="4">
        <v>7900</v>
      </c>
      <c r="I2" s="4"/>
      <c r="J2" s="7">
        <v>10000</v>
      </c>
      <c r="K2" s="7"/>
      <c r="L2" s="6">
        <f t="shared" ref="L2:L7" si="0">SUM(D2:J2)</f>
        <v>108900</v>
      </c>
      <c r="M2" s="1"/>
    </row>
    <row r="3" spans="1:15" x14ac:dyDescent="0.35">
      <c r="A3" s="10">
        <v>41852</v>
      </c>
      <c r="B3" s="1">
        <v>10738</v>
      </c>
      <c r="C3" s="1"/>
      <c r="D3" s="7">
        <v>40100</v>
      </c>
      <c r="E3" s="7"/>
      <c r="F3" s="7">
        <v>51200</v>
      </c>
      <c r="G3" s="7"/>
      <c r="H3" s="4">
        <v>8000</v>
      </c>
      <c r="I3" s="4"/>
      <c r="J3" s="7">
        <v>10500</v>
      </c>
      <c r="K3" s="7"/>
      <c r="L3" s="6">
        <f t="shared" si="0"/>
        <v>109800</v>
      </c>
      <c r="M3" s="1"/>
    </row>
    <row r="4" spans="1:15" x14ac:dyDescent="0.35">
      <c r="A4" s="10">
        <v>42217</v>
      </c>
      <c r="B4" s="1">
        <v>11033</v>
      </c>
      <c r="C4" s="1"/>
      <c r="D4" s="7">
        <v>41100</v>
      </c>
      <c r="E4" s="7"/>
      <c r="F4" s="7">
        <v>52200</v>
      </c>
      <c r="G4" s="7"/>
      <c r="H4" s="4">
        <v>8100</v>
      </c>
      <c r="I4" s="4"/>
      <c r="J4" s="7">
        <v>10000</v>
      </c>
      <c r="K4" s="7"/>
      <c r="L4" s="6">
        <f t="shared" si="0"/>
        <v>111400</v>
      </c>
      <c r="M4" s="1"/>
    </row>
    <row r="5" spans="1:15" x14ac:dyDescent="0.35">
      <c r="A5" s="10">
        <v>42583</v>
      </c>
      <c r="B5" s="1">
        <v>11357.5</v>
      </c>
      <c r="C5" s="1"/>
      <c r="D5" s="7">
        <v>41600</v>
      </c>
      <c r="E5" s="7"/>
      <c r="F5" s="7">
        <v>52300</v>
      </c>
      <c r="G5" s="7"/>
      <c r="H5" s="4">
        <v>8900</v>
      </c>
      <c r="I5" s="4"/>
      <c r="J5" s="7">
        <v>10000</v>
      </c>
      <c r="K5" s="7"/>
      <c r="L5" s="6">
        <f t="shared" si="0"/>
        <v>112800</v>
      </c>
      <c r="M5" s="1"/>
    </row>
    <row r="6" spans="1:15" x14ac:dyDescent="0.35">
      <c r="A6" s="10">
        <v>42948</v>
      </c>
      <c r="B6" s="1">
        <v>11151</v>
      </c>
      <c r="C6" s="1"/>
      <c r="D6" s="7">
        <v>43500</v>
      </c>
      <c r="E6" s="7"/>
      <c r="F6" s="7">
        <v>52500</v>
      </c>
      <c r="G6" s="7"/>
      <c r="H6" s="4">
        <v>8600</v>
      </c>
      <c r="I6" s="4"/>
      <c r="J6" s="7">
        <v>10200</v>
      </c>
      <c r="K6" s="7"/>
      <c r="L6" s="6">
        <f t="shared" si="0"/>
        <v>114800</v>
      </c>
      <c r="M6" s="1"/>
    </row>
    <row r="7" spans="1:15" x14ac:dyDescent="0.35">
      <c r="A7" s="10">
        <v>43313</v>
      </c>
      <c r="B7" s="1">
        <v>10030</v>
      </c>
      <c r="C7" s="1"/>
      <c r="D7" s="7">
        <v>42500</v>
      </c>
      <c r="E7" s="7"/>
      <c r="F7" s="7">
        <v>54900</v>
      </c>
      <c r="G7" s="7"/>
      <c r="H7" s="4">
        <v>8700</v>
      </c>
      <c r="I7" s="4"/>
      <c r="J7" s="7">
        <v>10500</v>
      </c>
      <c r="K7" s="7"/>
      <c r="L7" s="6">
        <f t="shared" si="0"/>
        <v>116600</v>
      </c>
      <c r="M7" s="1"/>
    </row>
    <row r="8" spans="1:15" x14ac:dyDescent="0.35">
      <c r="A8" s="10">
        <v>43678</v>
      </c>
      <c r="B8" s="1">
        <v>11970</v>
      </c>
      <c r="C8" s="1">
        <v>11970</v>
      </c>
      <c r="D8" s="7">
        <v>43200</v>
      </c>
      <c r="E8" s="7">
        <v>43200</v>
      </c>
      <c r="F8" s="6">
        <v>53800</v>
      </c>
      <c r="G8" s="6">
        <v>53800</v>
      </c>
      <c r="H8" s="4">
        <v>8500</v>
      </c>
      <c r="I8" s="4">
        <v>8500</v>
      </c>
      <c r="J8" s="7">
        <v>10400</v>
      </c>
      <c r="K8" s="7">
        <v>10400</v>
      </c>
      <c r="L8" s="6">
        <v>115900</v>
      </c>
      <c r="M8" s="6">
        <v>115900</v>
      </c>
    </row>
    <row r="9" spans="1:15" x14ac:dyDescent="0.35">
      <c r="A9" s="10">
        <v>44044</v>
      </c>
      <c r="B9" s="1"/>
      <c r="C9" s="1">
        <v>11348</v>
      </c>
      <c r="D9" s="1"/>
      <c r="E9" s="6">
        <v>43550</v>
      </c>
      <c r="F9" s="1"/>
      <c r="G9" s="1">
        <v>54089</v>
      </c>
      <c r="H9" s="1"/>
      <c r="I9" s="1">
        <v>8700</v>
      </c>
      <c r="J9" s="1"/>
      <c r="K9" s="6">
        <v>10521</v>
      </c>
      <c r="L9" s="6"/>
      <c r="M9" s="6">
        <f>SUM(E9:K9)</f>
        <v>116860</v>
      </c>
    </row>
    <row r="10" spans="1:15" x14ac:dyDescent="0.35">
      <c r="A10" s="10">
        <v>44409</v>
      </c>
      <c r="B10" s="1"/>
      <c r="C10" s="1">
        <v>11346</v>
      </c>
      <c r="D10" s="1"/>
      <c r="E10" s="6">
        <v>43519</v>
      </c>
      <c r="F10" s="1"/>
      <c r="G10" s="1">
        <v>53890</v>
      </c>
      <c r="H10" s="1"/>
      <c r="I10" s="1">
        <v>8800</v>
      </c>
      <c r="J10" s="1"/>
      <c r="K10" s="6">
        <v>10501</v>
      </c>
      <c r="L10" s="6"/>
      <c r="M10" s="6">
        <f>SUM(E10:K10)</f>
        <v>116710</v>
      </c>
    </row>
    <row r="11" spans="1:15" x14ac:dyDescent="0.35">
      <c r="A11" s="10">
        <v>44774</v>
      </c>
      <c r="B11" s="1"/>
      <c r="C11" s="1">
        <v>11353</v>
      </c>
      <c r="D11" s="1"/>
      <c r="E11" s="6">
        <v>44287</v>
      </c>
      <c r="F11" s="1"/>
      <c r="G11" s="1">
        <v>54691</v>
      </c>
      <c r="H11" s="1"/>
      <c r="I11" s="1">
        <v>8900</v>
      </c>
      <c r="J11" s="1"/>
      <c r="K11" s="6">
        <v>10500</v>
      </c>
      <c r="L11" s="6"/>
      <c r="M11" s="6">
        <f>SUM(E11:K11)</f>
        <v>118378</v>
      </c>
    </row>
    <row r="13" spans="1:15" x14ac:dyDescent="0.35">
      <c r="L13" s="8"/>
    </row>
    <row r="14" spans="1:15" x14ac:dyDescent="0.35">
      <c r="L14" s="5"/>
      <c r="M14" s="6"/>
      <c r="N14" s="1"/>
      <c r="O14" s="1"/>
    </row>
  </sheetData>
  <conditionalFormatting sqref="L14:P14">
    <cfRule type="expression" dxfId="215" priority="14">
      <formula>$D14="NBS"</formula>
    </cfRule>
  </conditionalFormatting>
  <conditionalFormatting sqref="L14:R14">
    <cfRule type="expression" dxfId="214" priority="13">
      <formula>$D15="CBS"</formula>
    </cfRule>
  </conditionalFormatting>
  <conditionalFormatting sqref="L14:R14">
    <cfRule type="expression" dxfId="213" priority="12">
      <formula>$D14="CBS"</formula>
    </cfRule>
  </conditionalFormatting>
  <conditionalFormatting sqref="L14:R14">
    <cfRule type="expression" dxfId="212" priority="11">
      <formula>$D14="SBS"</formula>
    </cfRule>
  </conditionalFormatting>
  <conditionalFormatting sqref="L14:R14">
    <cfRule type="expression" dxfId="211" priority="10">
      <formula>$D14="NLS"</formula>
    </cfRule>
  </conditionalFormatting>
  <conditionalFormatting sqref="L14:R14">
    <cfRule type="expression" dxfId="210" priority="9">
      <formula>$D14="SLS"</formula>
    </cfRule>
  </conditionalFormatting>
  <conditionalFormatting sqref="D2:E8">
    <cfRule type="expression" dxfId="209" priority="8">
      <formula>#REF!="NBS"</formula>
    </cfRule>
  </conditionalFormatting>
  <conditionalFormatting sqref="D2:E8">
    <cfRule type="expression" dxfId="208" priority="7">
      <formula>#REF!="CBS"</formula>
    </cfRule>
  </conditionalFormatting>
  <conditionalFormatting sqref="F2:G7">
    <cfRule type="expression" dxfId="207" priority="6">
      <formula>#REF!="NBS"</formula>
    </cfRule>
  </conditionalFormatting>
  <conditionalFormatting sqref="F2:G7">
    <cfRule type="expression" dxfId="206" priority="5">
      <formula>#REF!="CBS"</formula>
    </cfRule>
  </conditionalFormatting>
  <conditionalFormatting sqref="H2:I8">
    <cfRule type="expression" dxfId="205" priority="4">
      <formula>#REF!="NBS"</formula>
    </cfRule>
  </conditionalFormatting>
  <conditionalFormatting sqref="H2:I8">
    <cfRule type="expression" dxfId="204" priority="3">
      <formula>#REF!="CBS"</formula>
    </cfRule>
  </conditionalFormatting>
  <conditionalFormatting sqref="J2:K8">
    <cfRule type="expression" dxfId="203" priority="2">
      <formula>#REF!="NBS"</formula>
    </cfRule>
  </conditionalFormatting>
  <conditionalFormatting sqref="J2:K8">
    <cfRule type="expression" dxfId="202" priority="1">
      <formula>#REF!="CBS"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25BD-553E-4FDE-B3CE-1D611ACF2663}">
  <sheetPr codeName="Sheet9"/>
  <dimension ref="A1:M20"/>
  <sheetViews>
    <sheetView zoomScale="56" workbookViewId="0">
      <selection activeCell="E14" sqref="E14"/>
    </sheetView>
  </sheetViews>
  <sheetFormatPr defaultRowHeight="14.5" x14ac:dyDescent="0.35"/>
  <cols>
    <col min="1" max="1" width="10.90625" style="1" customWidth="1"/>
    <col min="2" max="3" width="11.26953125" style="1" customWidth="1"/>
    <col min="4" max="5" width="11" style="1" customWidth="1"/>
    <col min="6" max="7" width="9.7265625" style="1" customWidth="1"/>
    <col min="8" max="9" width="12.81640625" style="1" customWidth="1"/>
    <col min="10" max="10" width="10.08984375" style="1" customWidth="1"/>
    <col min="11" max="16384" width="8.7265625" style="1"/>
  </cols>
  <sheetData>
    <row r="1" spans="1:13" x14ac:dyDescent="0.35">
      <c r="A1" s="3" t="s">
        <v>33</v>
      </c>
      <c r="B1" s="3" t="s">
        <v>34</v>
      </c>
      <c r="C1" s="3" t="s">
        <v>40</v>
      </c>
      <c r="D1" s="3" t="s">
        <v>35</v>
      </c>
      <c r="E1" s="3" t="s">
        <v>41</v>
      </c>
      <c r="F1" s="3" t="s">
        <v>36</v>
      </c>
      <c r="G1" s="3" t="s">
        <v>42</v>
      </c>
      <c r="H1" s="3" t="s">
        <v>37</v>
      </c>
      <c r="I1" s="3" t="s">
        <v>44</v>
      </c>
      <c r="J1" s="3" t="s">
        <v>38</v>
      </c>
      <c r="K1" s="3" t="s">
        <v>43</v>
      </c>
      <c r="L1" s="3" t="s">
        <v>39</v>
      </c>
      <c r="M1" s="3" t="s">
        <v>45</v>
      </c>
    </row>
    <row r="2" spans="1:13" x14ac:dyDescent="0.35">
      <c r="A2" s="10">
        <v>41487</v>
      </c>
      <c r="B2" s="1">
        <v>6174</v>
      </c>
      <c r="D2" s="7">
        <v>19200</v>
      </c>
      <c r="E2" s="7"/>
      <c r="F2" s="7">
        <v>47000</v>
      </c>
      <c r="G2" s="7"/>
      <c r="H2" s="4">
        <v>7000</v>
      </c>
      <c r="I2" s="4"/>
      <c r="J2" s="7">
        <v>8000</v>
      </c>
      <c r="K2" s="7"/>
      <c r="L2" s="6">
        <f t="shared" ref="L2:L7" si="0">SUM(D2:J2)</f>
        <v>81200</v>
      </c>
    </row>
    <row r="3" spans="1:13" x14ac:dyDescent="0.35">
      <c r="A3" s="10">
        <v>41852</v>
      </c>
      <c r="B3" s="1">
        <v>5355</v>
      </c>
      <c r="D3" s="7">
        <v>17100</v>
      </c>
      <c r="E3" s="7"/>
      <c r="F3" s="7">
        <v>46100</v>
      </c>
      <c r="G3" s="7"/>
      <c r="H3" s="4">
        <v>6400</v>
      </c>
      <c r="I3" s="4"/>
      <c r="J3" s="7">
        <v>8500</v>
      </c>
      <c r="K3" s="7"/>
      <c r="L3" s="6">
        <f t="shared" si="0"/>
        <v>78100</v>
      </c>
    </row>
    <row r="4" spans="1:13" x14ac:dyDescent="0.35">
      <c r="A4" s="10">
        <v>42217</v>
      </c>
      <c r="B4" s="1">
        <v>5985</v>
      </c>
      <c r="D4" s="7">
        <v>17800</v>
      </c>
      <c r="E4" s="7"/>
      <c r="F4" s="7">
        <v>46200</v>
      </c>
      <c r="G4" s="7"/>
      <c r="H4" s="4">
        <v>6700</v>
      </c>
      <c r="I4" s="4"/>
      <c r="J4" s="7">
        <v>8000</v>
      </c>
      <c r="K4" s="7"/>
      <c r="L4" s="6">
        <f t="shared" si="0"/>
        <v>78700</v>
      </c>
    </row>
    <row r="5" spans="1:13" x14ac:dyDescent="0.35">
      <c r="A5" s="10">
        <v>42583</v>
      </c>
      <c r="B5" s="1">
        <v>6142.5</v>
      </c>
      <c r="D5" s="7">
        <v>19300</v>
      </c>
      <c r="E5" s="7"/>
      <c r="F5" s="7">
        <v>47300</v>
      </c>
      <c r="G5" s="7"/>
      <c r="H5" s="4">
        <v>6900</v>
      </c>
      <c r="I5" s="4"/>
      <c r="J5" s="7">
        <v>8000</v>
      </c>
      <c r="K5" s="7"/>
      <c r="L5" s="6">
        <f t="shared" si="0"/>
        <v>81500</v>
      </c>
    </row>
    <row r="6" spans="1:13" x14ac:dyDescent="0.35">
      <c r="A6" s="10">
        <v>42948</v>
      </c>
      <c r="B6" s="1">
        <v>6237</v>
      </c>
      <c r="D6" s="7">
        <v>19500</v>
      </c>
      <c r="E6" s="7"/>
      <c r="F6" s="7">
        <v>47500</v>
      </c>
      <c r="G6" s="7"/>
      <c r="H6" s="4">
        <v>7300</v>
      </c>
      <c r="I6" s="4"/>
      <c r="J6" s="7">
        <v>8200</v>
      </c>
      <c r="K6" s="7"/>
      <c r="L6" s="6">
        <f t="shared" si="0"/>
        <v>82500</v>
      </c>
    </row>
    <row r="7" spans="1:13" x14ac:dyDescent="0.35">
      <c r="A7" s="10">
        <v>43313</v>
      </c>
      <c r="B7" s="1">
        <v>5040</v>
      </c>
      <c r="D7" s="7">
        <v>17400</v>
      </c>
      <c r="E7" s="7"/>
      <c r="F7" s="7">
        <v>45900</v>
      </c>
      <c r="G7" s="7"/>
      <c r="H7" s="4">
        <v>6400</v>
      </c>
      <c r="I7" s="4"/>
      <c r="J7" s="7">
        <v>8500</v>
      </c>
      <c r="K7" s="7"/>
      <c r="L7" s="6">
        <f t="shared" si="0"/>
        <v>78200</v>
      </c>
    </row>
    <row r="8" spans="1:13" x14ac:dyDescent="0.35">
      <c r="A8" s="10">
        <v>43678</v>
      </c>
      <c r="B8" s="1">
        <v>5544</v>
      </c>
      <c r="C8" s="1">
        <v>5544</v>
      </c>
      <c r="D8" s="7">
        <v>17800</v>
      </c>
      <c r="E8" s="7">
        <v>17800</v>
      </c>
      <c r="F8" s="6">
        <v>46800</v>
      </c>
      <c r="G8" s="6">
        <v>46800</v>
      </c>
      <c r="H8" s="4">
        <v>6700</v>
      </c>
      <c r="I8" s="4">
        <v>6700</v>
      </c>
      <c r="J8" s="7">
        <v>8400</v>
      </c>
      <c r="K8" s="7">
        <v>8400</v>
      </c>
      <c r="L8" s="6">
        <v>79700</v>
      </c>
      <c r="M8" s="6">
        <v>79700</v>
      </c>
    </row>
    <row r="9" spans="1:13" x14ac:dyDescent="0.35">
      <c r="A9" s="10">
        <v>44044</v>
      </c>
      <c r="C9" s="1">
        <v>5271</v>
      </c>
      <c r="E9" s="6">
        <v>17449</v>
      </c>
      <c r="G9" s="6">
        <v>46590</v>
      </c>
      <c r="I9" s="1">
        <v>6577</v>
      </c>
      <c r="K9" s="6">
        <v>8521</v>
      </c>
      <c r="L9" s="6"/>
      <c r="M9" s="6">
        <f>SUM(E9:K9)</f>
        <v>79137</v>
      </c>
    </row>
    <row r="10" spans="1:13" x14ac:dyDescent="0.35">
      <c r="A10" s="10">
        <v>44409</v>
      </c>
      <c r="C10" s="1">
        <v>5125</v>
      </c>
      <c r="E10" s="6">
        <v>17148</v>
      </c>
      <c r="G10" s="6">
        <v>46557</v>
      </c>
      <c r="I10" s="1">
        <v>6492</v>
      </c>
      <c r="K10" s="6">
        <v>8601</v>
      </c>
      <c r="L10" s="6"/>
      <c r="M10" s="6">
        <f>SUM(E10:K10)</f>
        <v>78798</v>
      </c>
    </row>
    <row r="11" spans="1:13" x14ac:dyDescent="0.35">
      <c r="A11" s="10">
        <v>44774</v>
      </c>
      <c r="C11" s="1">
        <v>5567</v>
      </c>
      <c r="E11" s="6">
        <v>17857</v>
      </c>
      <c r="G11" s="6">
        <v>46523</v>
      </c>
      <c r="I11" s="1">
        <v>6406</v>
      </c>
      <c r="K11" s="6">
        <v>8600</v>
      </c>
      <c r="L11" s="6"/>
      <c r="M11" s="6">
        <f>SUM(E11:K11)</f>
        <v>79386</v>
      </c>
    </row>
    <row r="13" spans="1:13" x14ac:dyDescent="0.35">
      <c r="L13" s="6"/>
    </row>
    <row r="20" spans="4:7" x14ac:dyDescent="0.35">
      <c r="D20" s="6"/>
      <c r="E20" s="6"/>
      <c r="F20" s="6"/>
      <c r="G20" s="6"/>
    </row>
  </sheetData>
  <conditionalFormatting sqref="D20:L20">
    <cfRule type="expression" dxfId="201" priority="14">
      <formula>$D20="NBS"</formula>
    </cfRule>
  </conditionalFormatting>
  <conditionalFormatting sqref="D20:N20">
    <cfRule type="expression" dxfId="200" priority="13">
      <formula>$D21="CBS"</formula>
    </cfRule>
  </conditionalFormatting>
  <conditionalFormatting sqref="D20:N20">
    <cfRule type="expression" dxfId="199" priority="12">
      <formula>$D20="CBS"</formula>
    </cfRule>
  </conditionalFormatting>
  <conditionalFormatting sqref="D20:N20">
    <cfRule type="expression" dxfId="198" priority="11">
      <formula>$D20="SBS"</formula>
    </cfRule>
  </conditionalFormatting>
  <conditionalFormatting sqref="D20:N20">
    <cfRule type="expression" dxfId="197" priority="10">
      <formula>$D20="NLS"</formula>
    </cfRule>
  </conditionalFormatting>
  <conditionalFormatting sqref="D20:N20">
    <cfRule type="expression" dxfId="196" priority="9">
      <formula>$D20="SLS"</formula>
    </cfRule>
  </conditionalFormatting>
  <conditionalFormatting sqref="D2:E8">
    <cfRule type="expression" dxfId="195" priority="8">
      <formula>#REF!="NBS"</formula>
    </cfRule>
  </conditionalFormatting>
  <conditionalFormatting sqref="D2:E8">
    <cfRule type="expression" dxfId="194" priority="7">
      <formula>#REF!="CBS"</formula>
    </cfRule>
  </conditionalFormatting>
  <conditionalFormatting sqref="F2:G7">
    <cfRule type="expression" dxfId="193" priority="6">
      <formula>#REF!="NBS"</formula>
    </cfRule>
  </conditionalFormatting>
  <conditionalFormatting sqref="F2:G7">
    <cfRule type="expression" dxfId="192" priority="5">
      <formula>#REF!="CBS"</formula>
    </cfRule>
  </conditionalFormatting>
  <conditionalFormatting sqref="H2:I8">
    <cfRule type="expression" dxfId="191" priority="4">
      <formula>#REF!="NBS"</formula>
    </cfRule>
  </conditionalFormatting>
  <conditionalFormatting sqref="H2:I8">
    <cfRule type="expression" dxfId="190" priority="3">
      <formula>#REF!="CBS"</formula>
    </cfRule>
  </conditionalFormatting>
  <conditionalFormatting sqref="J2:K8">
    <cfRule type="expression" dxfId="189" priority="2">
      <formula>#REF!="NBS"</formula>
    </cfRule>
  </conditionalFormatting>
  <conditionalFormatting sqref="J2:K8">
    <cfRule type="expression" dxfId="188" priority="1">
      <formula>#REF!="CBS"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Database</vt:lpstr>
      <vt:lpstr>KKM Farm</vt:lpstr>
      <vt:lpstr>Sanch Farm</vt:lpstr>
      <vt:lpstr>RR Farm</vt:lpstr>
      <vt:lpstr>Prt Ltd Farm</vt:lpstr>
      <vt:lpstr>Rani Farm</vt:lpstr>
      <vt:lpstr>Bindu Farm</vt:lpstr>
      <vt:lpstr>Vasundra Farm</vt:lpstr>
      <vt:lpstr>Rama Farm</vt:lpstr>
      <vt:lpstr>Hemalatha Farm</vt:lpstr>
      <vt:lpstr>Lakshmi Farm</vt:lpstr>
      <vt:lpstr>Devaki Farm</vt:lpstr>
      <vt:lpstr>Raju Farm</vt:lpstr>
      <vt:lpstr>Krishna Farm</vt:lpstr>
      <vt:lpstr>DhanaRaj Farm</vt:lpstr>
      <vt:lpstr>Rao Farm</vt:lpstr>
      <vt:lpstr>Surya Farm</vt:lpstr>
      <vt:lpstr>VSF Farm</vt:lpstr>
      <vt:lpstr>Uma Farm</vt:lpstr>
      <vt:lpstr>Siri Farm</vt:lpstr>
      <vt:lpstr>Vasant 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</dc:creator>
  <cp:lastModifiedBy>Nithyashree Arunachalam</cp:lastModifiedBy>
  <dcterms:created xsi:type="dcterms:W3CDTF">2021-08-18T10:11:06Z</dcterms:created>
  <dcterms:modified xsi:type="dcterms:W3CDTF">2021-09-15T07:38:54Z</dcterms:modified>
</cp:coreProperties>
</file>