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s\Desktop\"/>
    </mc:Choice>
  </mc:AlternateContent>
  <bookViews>
    <workbookView xWindow="0" yWindow="0" windowWidth="28800" windowHeight="12435" activeTab="4"/>
  </bookViews>
  <sheets>
    <sheet name="Animals" sheetId="1" r:id="rId1"/>
    <sheet name="q1" sheetId="2" r:id="rId2"/>
    <sheet name="q2" sheetId="3" r:id="rId3"/>
    <sheet name="q3" sheetId="5" r:id="rId4"/>
    <sheet name="q4" sheetId="6" r:id="rId5"/>
    <sheet name="q5" sheetId="7" r:id="rId6"/>
    <sheet name="q6" sheetId="8" r:id="rId7"/>
    <sheet name="q7" sheetId="9" r:id="rId8"/>
    <sheet name="q8" sheetId="10" r:id="rId9"/>
    <sheet name="q9" sheetId="11" r:id="rId10"/>
  </sheets>
  <calcPr calcId="152511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E27" i="9"/>
  <c r="C27" i="9"/>
  <c r="C25" i="11"/>
  <c r="H4" i="10"/>
  <c r="B22" i="7"/>
  <c r="G4" i="10"/>
  <c r="H3" i="10"/>
  <c r="G3" i="10"/>
  <c r="E15" i="9"/>
  <c r="C15" i="9"/>
  <c r="C11" i="9"/>
  <c r="D11" i="9"/>
  <c r="E11" i="9"/>
  <c r="C12" i="9"/>
  <c r="D12" i="9"/>
  <c r="E12" i="9"/>
  <c r="C13" i="9"/>
  <c r="D13" i="9"/>
  <c r="E13" i="9"/>
  <c r="E10" i="9"/>
  <c r="C10" i="9"/>
  <c r="B22" i="8"/>
  <c r="C20" i="8"/>
  <c r="D20" i="8"/>
  <c r="E20" i="8"/>
  <c r="F20" i="8"/>
  <c r="G20" i="8"/>
  <c r="H20" i="8"/>
  <c r="I20" i="8"/>
  <c r="J20" i="8"/>
  <c r="K20" i="8"/>
  <c r="L20" i="8"/>
  <c r="M20" i="8"/>
  <c r="B20" i="8"/>
  <c r="C18" i="8"/>
  <c r="D18" i="8"/>
  <c r="E18" i="8"/>
  <c r="F18" i="8"/>
  <c r="G18" i="8"/>
  <c r="H18" i="8"/>
  <c r="I18" i="8"/>
  <c r="J18" i="8"/>
  <c r="K18" i="8"/>
  <c r="L18" i="8"/>
  <c r="M18" i="8"/>
  <c r="B18" i="8"/>
  <c r="C6" i="8"/>
  <c r="D6" i="8"/>
  <c r="E6" i="8"/>
  <c r="F6" i="8"/>
  <c r="G6" i="8"/>
  <c r="H6" i="8"/>
  <c r="I6" i="8"/>
  <c r="J6" i="8"/>
  <c r="K6" i="8"/>
  <c r="L6" i="8"/>
  <c r="M6" i="8"/>
  <c r="B6" i="8"/>
  <c r="B19" i="7"/>
  <c r="B18" i="7"/>
  <c r="B35" i="6"/>
  <c r="B34" i="6"/>
  <c r="J5" i="5"/>
  <c r="J4" i="5"/>
  <c r="J3" i="5"/>
  <c r="G4" i="5"/>
  <c r="G5" i="5"/>
  <c r="G6" i="5"/>
  <c r="G3" i="5"/>
  <c r="B14" i="3"/>
  <c r="B13" i="3"/>
  <c r="B17" i="2"/>
  <c r="B16" i="2"/>
  <c r="B12" i="3"/>
  <c r="B15" i="2"/>
  <c r="B14" i="2"/>
  <c r="B13" i="2"/>
  <c r="P3" i="1"/>
  <c r="H13" i="1"/>
  <c r="P4" i="1"/>
  <c r="H12" i="1"/>
  <c r="H14" i="1"/>
  <c r="I10" i="1"/>
  <c r="H10" i="1"/>
  <c r="I7" i="1"/>
  <c r="H7" i="1"/>
  <c r="H4" i="1"/>
  <c r="H3" i="1"/>
  <c r="D10" i="9"/>
  <c r="D15" i="9"/>
  <c r="D27" i="9"/>
</calcChain>
</file>

<file path=xl/sharedStrings.xml><?xml version="1.0" encoding="utf-8"?>
<sst xmlns="http://schemas.openxmlformats.org/spreadsheetml/2006/main" count="438" uniqueCount="297">
  <si>
    <t>Mountain beaver</t>
  </si>
  <si>
    <t>Cow</t>
  </si>
  <si>
    <t>Grey wolf</t>
  </si>
  <si>
    <t>Goat</t>
  </si>
  <si>
    <t>Guinea pig</t>
  </si>
  <si>
    <t>Dipliodocus</t>
  </si>
  <si>
    <t>Asian elephant</t>
  </si>
  <si>
    <t>Donkey</t>
  </si>
  <si>
    <t>Horse</t>
  </si>
  <si>
    <t>Cat</t>
  </si>
  <si>
    <t>Giraffe</t>
  </si>
  <si>
    <t>Human</t>
  </si>
  <si>
    <t>African elephant</t>
  </si>
  <si>
    <t>Triceratops</t>
  </si>
  <si>
    <t>Rhesus monkey</t>
  </si>
  <si>
    <t>Kangaroo</t>
  </si>
  <si>
    <t>Golden hamster</t>
  </si>
  <si>
    <t>Mouse</t>
  </si>
  <si>
    <t>Rabbit</t>
  </si>
  <si>
    <t>Sheep</t>
  </si>
  <si>
    <t>Jaguar</t>
  </si>
  <si>
    <t>Chimpanzee</t>
  </si>
  <si>
    <t>Rat</t>
  </si>
  <si>
    <t>Brachiosaurus</t>
  </si>
  <si>
    <t>Mole</t>
  </si>
  <si>
    <t>Pig</t>
  </si>
  <si>
    <t>body (kg)</t>
  </si>
  <si>
    <t>brain (kg)</t>
  </si>
  <si>
    <t>Researcher</t>
  </si>
  <si>
    <t>Jim</t>
  </si>
  <si>
    <t>Sara</t>
  </si>
  <si>
    <t>Total body weight</t>
  </si>
  <si>
    <t>IF</t>
  </si>
  <si>
    <t>AND</t>
  </si>
  <si>
    <t>OR</t>
  </si>
  <si>
    <t>Examples</t>
  </si>
  <si>
    <t>Animal</t>
  </si>
  <si>
    <t>Countif</t>
  </si>
  <si>
    <t>The research director has asked us some questions about the research data:</t>
  </si>
  <si>
    <t>Does the human brain weigh more than 1% of the human body?</t>
  </si>
  <si>
    <t>Does the weight of either elephant weigh more than a triceratops</t>
  </si>
  <si>
    <t>Do BOTH goats and cows weigh more than sheep?</t>
  </si>
  <si>
    <t>Averageifs</t>
  </si>
  <si>
    <t>What was the average body weight recorded for each researcher?</t>
  </si>
  <si>
    <t>What was the total body weight recorded for each researcher?</t>
  </si>
  <si>
    <t>How many animals did Jim research?</t>
  </si>
  <si>
    <t>How many animals weight less than 500kg?</t>
  </si>
  <si>
    <t>How many animals did Jim research that weight more than 400 kg?</t>
  </si>
  <si>
    <t>How many animals were totally researched?</t>
  </si>
  <si>
    <t>Minif</t>
  </si>
  <si>
    <t>Minimum weight of animal whose researcher is Jim?</t>
  </si>
  <si>
    <t>Maxif</t>
  </si>
  <si>
    <t>Maximum weight of animal whose researcher is Sara?</t>
  </si>
  <si>
    <t>Roll no</t>
  </si>
  <si>
    <t xml:space="preserve">Names </t>
  </si>
  <si>
    <t>Marks</t>
  </si>
  <si>
    <t>Jimmy</t>
  </si>
  <si>
    <t>Steve</t>
  </si>
  <si>
    <t>rogers</t>
  </si>
  <si>
    <t>tony</t>
  </si>
  <si>
    <t>Mark</t>
  </si>
  <si>
    <t>Stokes</t>
  </si>
  <si>
    <t>Richard</t>
  </si>
  <si>
    <t>Mathew</t>
  </si>
  <si>
    <t>Roy</t>
  </si>
  <si>
    <t>Daniel</t>
  </si>
  <si>
    <t>a. Students greater than 80 marks.</t>
  </si>
  <si>
    <t>b. Students less than 50 marks.</t>
  </si>
  <si>
    <t>c. Students between 60 and 90 marks.</t>
  </si>
  <si>
    <t>d. Students name starts with R.</t>
  </si>
  <si>
    <t>e. Student doesn’t start with M.</t>
  </si>
  <si>
    <t>TEXTBOOK</t>
  </si>
  <si>
    <t xml:space="preserve">QUANTITY </t>
  </si>
  <si>
    <t xml:space="preserve">COST </t>
  </si>
  <si>
    <t xml:space="preserve">DISCOUNT </t>
  </si>
  <si>
    <t>REVENUE</t>
  </si>
  <si>
    <t>a. Total no of books that have a discount.</t>
  </si>
  <si>
    <t>b. Total no of books that are being sold in the store.</t>
  </si>
  <si>
    <t>c. Total no of books that do not have any discount.</t>
  </si>
  <si>
    <t>City</t>
  </si>
  <si>
    <t>2020 Population</t>
  </si>
  <si>
    <t>CO</t>
  </si>
  <si>
    <t>New York</t>
  </si>
  <si>
    <t>London</t>
  </si>
  <si>
    <t>Amsterdam</t>
  </si>
  <si>
    <t>ND</t>
  </si>
  <si>
    <t>Baghdad</t>
  </si>
  <si>
    <t>Jerusalem</t>
  </si>
  <si>
    <t>Tel Aviv</t>
  </si>
  <si>
    <t>Milano</t>
  </si>
  <si>
    <t>Rome</t>
  </si>
  <si>
    <t>Oslo</t>
  </si>
  <si>
    <t>Soda Springs</t>
  </si>
  <si>
    <t>Birmingham</t>
  </si>
  <si>
    <t>Manchester</t>
  </si>
  <si>
    <t>Moscow</t>
  </si>
  <si>
    <t>Haifa</t>
  </si>
  <si>
    <t>Dubai</t>
  </si>
  <si>
    <t>Los Angeles</t>
  </si>
  <si>
    <t>Delhi</t>
  </si>
  <si>
    <t>Winterton</t>
  </si>
  <si>
    <t>CO Classification</t>
  </si>
  <si>
    <t>Number of cities</t>
  </si>
  <si>
    <t>Population</t>
  </si>
  <si>
    <t>More than 300K people</t>
  </si>
  <si>
    <t>Less than 5K People</t>
  </si>
  <si>
    <t>Exactly 100K</t>
  </si>
  <si>
    <t>Country</t>
  </si>
  <si>
    <t>Continent</t>
  </si>
  <si>
    <t>Official/Primary Language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</si>
  <si>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</si>
  <si>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</si>
  <si>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</si>
  <si>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</si>
  <si>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</si>
  <si>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</si>
  <si>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</si>
  <si>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</si>
  <si>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</si>
  <si>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</si>
  <si>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</si>
  <si>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</si>
  <si>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</si>
  <si>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</si>
  <si>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</si>
  <si>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</si>
  <si>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</si>
  <si>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</si>
  <si>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</si>
  <si>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</si>
  <si>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</si>
  <si>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</si>
  <si>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</si>
  <si>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</si>
  <si>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</si>
  <si>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</si>
  <si>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</si>
  <si>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</si>
  <si>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</si>
  <si>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</si>
  <si>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</si>
  <si>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</si>
  <si>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</si>
  <si>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</si>
  <si>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</si>
  <si>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</si>
  <si>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</si>
  <si>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</si>
  <si>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</si>
  <si>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</si>
  <si>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</si>
  <si>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</si>
  <si>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</si>
  <si>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</si>
  <si>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</si>
  <si>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</si>
  <si>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</si>
  <si>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</si>
  <si>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</si>
  <si>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</si>
  <si>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</si>
  <si>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</si>
  <si>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</si>
  <si>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</si>
  <si>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</si>
  <si>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</si>
  <si>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</si>
  <si>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</si>
  <si>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</si>
  <si>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</si>
  <si>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</si>
  <si>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</si>
  <si>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</si>
  <si>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</si>
  <si>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</si>
  <si>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</si>
  <si>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</si>
  <si>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</si>
  <si>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</si>
  <si>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</si>
  <si>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</si>
  <si>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</si>
  <si>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</si>
  <si>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</si>
  <si>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</si>
  <si>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</si>
  <si>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</si>
  <si>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</si>
  <si>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</si>
  <si>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</si>
  <si>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</si>
  <si>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</si>
  <si>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</si>
  <si>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</si>
  <si>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</si>
  <si>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</si>
  <si>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</si>
  <si>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</si>
  <si>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</si>
  <si>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</si>
  <si>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a. How many Spanish-speaking countries are located in South America can be found in the table?</t>
  </si>
  <si>
    <t>b. How many countries have a population greater than 100 million, and Area less than 1,000,000 Square KM?</t>
  </si>
  <si>
    <t>Customer</t>
  </si>
  <si>
    <t>Product</t>
  </si>
  <si>
    <t>Region</t>
  </si>
  <si>
    <t>Revenue</t>
  </si>
  <si>
    <t>Wonderful Faucet Corporation</t>
  </si>
  <si>
    <t>Widget</t>
  </si>
  <si>
    <t>East</t>
  </si>
  <si>
    <t>Forceful Flagpole Company</t>
  </si>
  <si>
    <t>Best Paint Inc.</t>
  </si>
  <si>
    <t>Gadget</t>
  </si>
  <si>
    <t>Guarded Raft Corporation</t>
  </si>
  <si>
    <t>Rare Quilt Inc.</t>
  </si>
  <si>
    <t>Central</t>
  </si>
  <si>
    <t>Rare Juicer Company</t>
  </si>
  <si>
    <t>Improved Radio Traders</t>
  </si>
  <si>
    <t>Different Tuner Corporation</t>
  </si>
  <si>
    <t>Fascinating Washer Inc.</t>
  </si>
  <si>
    <t>West</t>
  </si>
  <si>
    <t>Crisp Eggbeater Corporation</t>
  </si>
  <si>
    <t>Different Adhesive Supply</t>
  </si>
  <si>
    <t>Rare Vise Inc.</t>
  </si>
  <si>
    <t>Rare Oven Corporation</t>
  </si>
  <si>
    <t>Effortless Clipboard Inc.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</si>
  <si>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What is the total revenue form product Widget in the Central region?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</si>
  <si>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What is the average revenue form product Widget in the Central region?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</si>
  <si>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What is the lowest revenue form product Widget in the Central region?</t>
    </r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</si>
  <si>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</si>
  <si>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</si>
  <si>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</si>
  <si>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</si>
  <si>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</si>
  <si>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</si>
  <si>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</si>
  <si>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</si>
  <si>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</si>
  <si>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</si>
  <si>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</si>
  <si>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</si>
  <si>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</si>
  <si>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Division I</t>
  </si>
  <si>
    <t>Division II</t>
  </si>
  <si>
    <t>Division III</t>
  </si>
  <si>
    <t>Expenses</t>
  </si>
  <si>
    <t>Cost of Goods</t>
  </si>
  <si>
    <t>Advertising</t>
  </si>
  <si>
    <t>Rent</t>
  </si>
  <si>
    <t>Supplies</t>
  </si>
  <si>
    <t>Salaries</t>
  </si>
  <si>
    <t>Shipping</t>
  </si>
  <si>
    <t>Utilities</t>
  </si>
  <si>
    <t>Total Sales</t>
  </si>
  <si>
    <t>Total Expenses</t>
  </si>
  <si>
    <t>Per month profit</t>
  </si>
  <si>
    <t>Total profit</t>
  </si>
  <si>
    <t>Location Factor</t>
  </si>
  <si>
    <t>Weight</t>
  </si>
  <si>
    <t>Church Street</t>
  </si>
  <si>
    <t>Gandhi Park</t>
  </si>
  <si>
    <t>Mohan Nagar</t>
  </si>
  <si>
    <t>Proximity to suppliers</t>
  </si>
  <si>
    <t>Availability of labor</t>
  </si>
  <si>
    <t>Proximity to upscale neighborhood</t>
  </si>
  <si>
    <t>minif</t>
  </si>
  <si>
    <t>Factor loading matrix</t>
  </si>
  <si>
    <t>Total scores</t>
  </si>
  <si>
    <t>Conclusion: The best location is  Mohan Nagar with the score of 6.8</t>
  </si>
  <si>
    <t xml:space="preserve">    Name</t>
  </si>
  <si>
    <t>Type 1</t>
  </si>
  <si>
    <t>Defence</t>
  </si>
  <si>
    <t>Generation</t>
  </si>
  <si>
    <t xml:space="preserve">    Bulbasaur</t>
  </si>
  <si>
    <t>Grass</t>
  </si>
  <si>
    <t xml:space="preserve">    Ivysaur</t>
  </si>
  <si>
    <t xml:space="preserve">    Venusaur</t>
  </si>
  <si>
    <t xml:space="preserve">    Charmander</t>
  </si>
  <si>
    <t>Fire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</si>
  <si>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</si>
  <si>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</si>
  <si>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</si>
  <si>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</si>
  <si>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</si>
  <si>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</si>
  <si>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</si>
  <si>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Typhoons</t>
  </si>
  <si>
    <t>Generation 1</t>
  </si>
  <si>
    <t>Generation 2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</si>
  <si>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What is the largest revenue form product Widget in the Central region?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</si>
  <si>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How many customers of product Gadget in the West?</t>
    </r>
  </si>
  <si>
    <t>Year</t>
  </si>
  <si>
    <t>Quarter</t>
  </si>
  <si>
    <t>Seasonal Index</t>
  </si>
  <si>
    <t>Overall average sales per quarter</t>
  </si>
  <si>
    <t>Using sumproduct method</t>
  </si>
  <si>
    <t>average defence of grass type pokemon</t>
  </si>
  <si>
    <t>average defence of fire type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</si>
</sst>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theme="1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D87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AE9F7"/>
        <bgColor indexed="64"/>
      </patternFill>
    </fill>
    <fill>
      <patternFill patternType="solid">
        <fgColor rgb="FFFAE2D5"/>
        <bgColor indexed="64"/>
      </patternFill>
    </fill>
    <fill>
      <patternFill patternType="solid">
        <fgColor rgb="FFD9F2D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0" borderId="0" xfId="0" applyFont="1"/>
    <xf numFmtId="0" fontId="16" fillId="33" borderId="1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19" fillId="35" borderId="10" xfId="0" applyFont="1" applyFill="1" applyBorder="1"/>
    <xf numFmtId="0" fontId="19" fillId="35" borderId="16" xfId="0" applyFont="1" applyFill="1" applyBorder="1"/>
    <xf numFmtId="0" fontId="19" fillId="35" borderId="18" xfId="0" applyFont="1" applyFill="1" applyBorder="1"/>
    <xf numFmtId="0" fontId="16" fillId="0" borderId="0" xfId="0" applyFont="1"/>
    <xf numFmtId="164" fontId="16" fillId="33" borderId="10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3" fontId="16" fillId="33" borderId="10" xfId="0" applyNumberFormat="1" applyFont="1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21" fillId="36" borderId="19" xfId="0" applyFont="1" applyFill="1" applyBorder="1" applyAlignment="1">
      <alignment horizontal="justify" vertical="center" wrapText="1"/>
    </xf>
    <xf numFmtId="0" fontId="21" fillId="36" borderId="20" xfId="0" applyFont="1" applyFill="1" applyBorder="1" applyAlignment="1">
      <alignment horizontal="justify" vertical="center" wrapText="1"/>
    </xf>
    <xf numFmtId="0" fontId="20" fillId="0" borderId="21" xfId="0" applyFont="1" applyBorder="1" applyAlignment="1">
      <alignment horizontal="justify" vertical="center" wrapText="1"/>
    </xf>
    <xf numFmtId="0" fontId="20" fillId="0" borderId="22" xfId="0" applyFont="1" applyBorder="1" applyAlignment="1">
      <alignment horizontal="justify" vertical="center" wrapText="1"/>
    </xf>
    <xf numFmtId="0" fontId="20" fillId="0" borderId="0" xfId="0" applyFont="1" applyAlignment="1">
      <alignment horizontal="justify" vertical="center"/>
    </xf>
    <xf numFmtId="0" fontId="22" fillId="36" borderId="19" xfId="0" applyFont="1" applyFill="1" applyBorder="1" applyAlignment="1">
      <alignment horizontal="justify" vertical="center" wrapText="1"/>
    </xf>
    <xf numFmtId="0" fontId="22" fillId="36" borderId="20" xfId="0" applyFont="1" applyFill="1" applyBorder="1" applyAlignment="1">
      <alignment horizontal="justify" vertical="center" wrapText="1"/>
    </xf>
    <xf numFmtId="0" fontId="22" fillId="0" borderId="21" xfId="0" applyFont="1" applyBorder="1" applyAlignment="1">
      <alignment horizontal="justify" vertical="center" wrapText="1"/>
    </xf>
    <xf numFmtId="0" fontId="22" fillId="0" borderId="22" xfId="0" applyFont="1" applyBorder="1" applyAlignment="1">
      <alignment horizontal="justify" vertical="center" wrapText="1"/>
    </xf>
    <xf numFmtId="9" fontId="22" fillId="0" borderId="22" xfId="0" applyNumberFormat="1" applyFont="1" applyBorder="1" applyAlignment="1">
      <alignment horizontal="justify" vertical="center" wrapText="1"/>
    </xf>
    <xf numFmtId="0" fontId="0" fillId="0" borderId="0" xfId="0" applyNumberFormat="1"/>
    <xf numFmtId="0" fontId="21" fillId="36" borderId="19" xfId="0" applyFont="1" applyFill="1" applyBorder="1" applyAlignment="1">
      <alignment horizontal="center" vertical="center" wrapText="1"/>
    </xf>
    <xf numFmtId="0" fontId="21" fillId="36" borderId="20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37" borderId="19" xfId="0" applyFont="1" applyFill="1" applyBorder="1" applyAlignment="1">
      <alignment horizontal="center" vertical="center"/>
    </xf>
    <xf numFmtId="0" fontId="25" fillId="37" borderId="20" xfId="0" applyFont="1" applyFill="1" applyBorder="1" applyAlignment="1">
      <alignment horizontal="justify" vertical="center"/>
    </xf>
    <xf numFmtId="0" fontId="26" fillId="37" borderId="21" xfId="0" applyFont="1" applyFill="1" applyBorder="1" applyAlignment="1">
      <alignment horizontal="justify" vertical="center"/>
    </xf>
    <xf numFmtId="0" fontId="27" fillId="38" borderId="22" xfId="0" applyFont="1" applyFill="1" applyBorder="1" applyAlignment="1">
      <alignment horizontal="right" vertical="center"/>
    </xf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9" fillId="39" borderId="19" xfId="0" applyFont="1" applyFill="1" applyBorder="1" applyAlignment="1">
      <alignment horizontal="justify" vertical="center"/>
    </xf>
    <xf numFmtId="0" fontId="24" fillId="40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justify" vertical="center"/>
    </xf>
    <xf numFmtId="3" fontId="31" fillId="0" borderId="22" xfId="0" applyNumberFormat="1" applyFont="1" applyBorder="1" applyAlignment="1">
      <alignment horizontal="center" vertical="center"/>
    </xf>
    <xf numFmtId="0" fontId="29" fillId="41" borderId="19" xfId="0" applyFont="1" applyFill="1" applyBorder="1" applyAlignment="1">
      <alignment horizontal="justify" vertical="center"/>
    </xf>
    <xf numFmtId="0" fontId="32" fillId="0" borderId="21" xfId="0" applyFont="1" applyBorder="1" applyAlignment="1">
      <alignment horizontal="justify" vertical="center"/>
    </xf>
    <xf numFmtId="0" fontId="31" fillId="0" borderId="22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justify" vertical="center"/>
    </xf>
    <xf numFmtId="0" fontId="32" fillId="0" borderId="0" xfId="0" applyFont="1" applyFill="1" applyBorder="1" applyAlignment="1">
      <alignment horizontal="justify" vertical="center"/>
    </xf>
    <xf numFmtId="0" fontId="21" fillId="42" borderId="23" xfId="0" applyFont="1" applyFill="1" applyBorder="1" applyAlignment="1">
      <alignment horizontal="left" vertical="center" wrapText="1"/>
    </xf>
    <xf numFmtId="0" fontId="21" fillId="43" borderId="24" xfId="0" applyFont="1" applyFill="1" applyBorder="1" applyAlignment="1">
      <alignment horizontal="center" vertical="center" wrapText="1"/>
    </xf>
    <xf numFmtId="0" fontId="21" fillId="44" borderId="24" xfId="0" applyFont="1" applyFill="1" applyBorder="1" applyAlignment="1">
      <alignment horizontal="center" vertical="center" wrapText="1"/>
    </xf>
    <xf numFmtId="0" fontId="20" fillId="42" borderId="25" xfId="0" applyFont="1" applyFill="1" applyBorder="1" applyAlignment="1">
      <alignment horizontal="justify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42" borderId="0" xfId="0" applyFont="1" applyFill="1" applyBorder="1" applyAlignment="1">
      <alignment horizontal="justify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8" fillId="40" borderId="19" xfId="0" applyFont="1" applyFill="1" applyBorder="1" applyAlignment="1">
      <alignment horizontal="justify" vertical="center"/>
    </xf>
    <xf numFmtId="0" fontId="28" fillId="40" borderId="20" xfId="0" applyFont="1" applyFill="1" applyBorder="1" applyAlignment="1">
      <alignment horizontal="justify" vertical="center"/>
    </xf>
    <xf numFmtId="0" fontId="23" fillId="0" borderId="21" xfId="0" applyFont="1" applyBorder="1" applyAlignment="1">
      <alignment horizontal="justify" vertical="center"/>
    </xf>
    <xf numFmtId="0" fontId="23" fillId="0" borderId="22" xfId="0" applyFont="1" applyBorder="1" applyAlignment="1">
      <alignment horizontal="justify" vertical="center"/>
    </xf>
    <xf numFmtId="0" fontId="23" fillId="0" borderId="22" xfId="0" applyFont="1" applyBorder="1" applyAlignment="1">
      <alignment horizontal="right" vertical="center"/>
    </xf>
    <xf numFmtId="0" fontId="20" fillId="0" borderId="0" xfId="0" applyFont="1" applyAlignment="1">
      <alignment wrapText="1"/>
    </xf>
    <xf numFmtId="0" fontId="33" fillId="36" borderId="19" xfId="0" applyFont="1" applyFill="1" applyBorder="1" applyAlignment="1">
      <alignment horizontal="center" vertical="center"/>
    </xf>
    <xf numFmtId="0" fontId="33" fillId="36" borderId="20" xfId="0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3" fillId="36" borderId="2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topLeftCell="B1" zoomScale="115" zoomScaleNormal="115" workbookViewId="0">
      <selection activeCell="P4" sqref="P4"/>
    </sheetView>
  </sheetViews>
  <sheetFormatPr defaultRowHeight="15" x14ac:dyDescent="0.25"/>
  <cols>
    <col min="1" max="1" width="16.28515625" style="4" bestFit="1" customWidth="1"/>
    <col min="2" max="2" width="11.7109375" style="22" customWidth="1"/>
    <col min="3" max="3" width="11.7109375" style="19" customWidth="1"/>
    <col min="4" max="4" width="11.7109375" style="4" customWidth="1"/>
    <col min="7" max="7" width="18.140625" customWidth="1"/>
    <col min="10" max="10" width="18.140625" bestFit="1" customWidth="1"/>
  </cols>
  <sheetData>
    <row r="1" spans="1:18" x14ac:dyDescent="0.25">
      <c r="A1" s="2" t="s">
        <v>36</v>
      </c>
      <c r="B1" s="20" t="s">
        <v>26</v>
      </c>
      <c r="C1" s="17" t="s">
        <v>27</v>
      </c>
      <c r="D1" s="2" t="s">
        <v>28</v>
      </c>
      <c r="F1" s="16" t="s">
        <v>38</v>
      </c>
    </row>
    <row r="2" spans="1:18" x14ac:dyDescent="0.25">
      <c r="A2" s="3" t="s">
        <v>0</v>
      </c>
      <c r="B2" s="21">
        <v>1.35</v>
      </c>
      <c r="C2" s="18">
        <v>8.0999999999999996E-3</v>
      </c>
      <c r="D2" s="3" t="s">
        <v>30</v>
      </c>
      <c r="H2" s="1"/>
    </row>
    <row r="3" spans="1:18" x14ac:dyDescent="0.25">
      <c r="A3" s="3" t="s">
        <v>1</v>
      </c>
      <c r="B3" s="21">
        <v>465</v>
      </c>
      <c r="C3" s="18">
        <v>0.42299999999999999</v>
      </c>
      <c r="D3" s="3" t="s">
        <v>30</v>
      </c>
      <c r="G3" s="14" t="s">
        <v>37</v>
      </c>
      <c r="H3" s="5">
        <f>COUNTIF(D2:D29,"Jim")</f>
        <v>13</v>
      </c>
      <c r="J3" s="16" t="s">
        <v>45</v>
      </c>
      <c r="O3" s="14" t="s">
        <v>37</v>
      </c>
      <c r="P3" s="5">
        <f>COUNTIFS(D2:D29,"Jim",B2:B29,"&gt;400")</f>
        <v>4</v>
      </c>
      <c r="R3" s="16" t="s">
        <v>47</v>
      </c>
    </row>
    <row r="4" spans="1:18" x14ac:dyDescent="0.25">
      <c r="A4" s="3" t="s">
        <v>2</v>
      </c>
      <c r="B4" s="21">
        <v>36.33</v>
      </c>
      <c r="C4" s="18">
        <v>0.1195</v>
      </c>
      <c r="D4" s="3" t="s">
        <v>29</v>
      </c>
      <c r="G4" s="15" t="s">
        <v>37</v>
      </c>
      <c r="H4" s="6">
        <f>COUNTIF(B2:B29,"&lt;500")</f>
        <v>21</v>
      </c>
      <c r="J4" s="16" t="s">
        <v>46</v>
      </c>
      <c r="O4" s="15" t="s">
        <v>37</v>
      </c>
      <c r="P4" s="6">
        <f>COUNTA(A2:A29)</f>
        <v>28</v>
      </c>
      <c r="R4" s="16" t="s">
        <v>48</v>
      </c>
    </row>
    <row r="5" spans="1:18" x14ac:dyDescent="0.25">
      <c r="A5" s="3" t="s">
        <v>3</v>
      </c>
      <c r="B5" s="21">
        <v>27.66</v>
      </c>
      <c r="C5" s="18">
        <v>0.115</v>
      </c>
      <c r="D5" s="3" t="s">
        <v>29</v>
      </c>
    </row>
    <row r="6" spans="1:18" x14ac:dyDescent="0.25">
      <c r="A6" s="3" t="s">
        <v>4</v>
      </c>
      <c r="B6" s="21">
        <v>1.04</v>
      </c>
      <c r="C6" s="18">
        <v>5.4999999999999997E-3</v>
      </c>
      <c r="D6" s="3" t="s">
        <v>29</v>
      </c>
      <c r="H6" s="1" t="s">
        <v>29</v>
      </c>
      <c r="I6" s="1" t="s">
        <v>30</v>
      </c>
    </row>
    <row r="7" spans="1:18" x14ac:dyDescent="0.25">
      <c r="A7" s="3" t="s">
        <v>5</v>
      </c>
      <c r="B7" s="21">
        <v>11700</v>
      </c>
      <c r="C7" s="18">
        <v>0.05</v>
      </c>
      <c r="D7" s="3" t="s">
        <v>30</v>
      </c>
      <c r="G7" s="13" t="s">
        <v>31</v>
      </c>
      <c r="H7" s="7">
        <f>SUMIF(D2:D29,"Jim",B2:B29)</f>
        <v>95064.975000000006</v>
      </c>
      <c r="I7" s="8">
        <f>SUMIFS(B2:B29,D2:D29,"Sara")</f>
        <v>24731.309999999998</v>
      </c>
      <c r="J7" s="16" t="s">
        <v>44</v>
      </c>
    </row>
    <row r="8" spans="1:18" x14ac:dyDescent="0.25">
      <c r="A8" s="3" t="s">
        <v>6</v>
      </c>
      <c r="B8" s="21">
        <v>2547</v>
      </c>
      <c r="C8" s="18">
        <v>4.6029999999999998</v>
      </c>
      <c r="D8" s="3" t="s">
        <v>30</v>
      </c>
    </row>
    <row r="9" spans="1:18" x14ac:dyDescent="0.25">
      <c r="A9" s="3" t="s">
        <v>7</v>
      </c>
      <c r="B9" s="21">
        <v>187.1</v>
      </c>
      <c r="C9" s="18">
        <v>0.41899999999999998</v>
      </c>
      <c r="D9" s="3" t="s">
        <v>30</v>
      </c>
      <c r="H9" s="1" t="s">
        <v>29</v>
      </c>
      <c r="I9" s="1" t="s">
        <v>30</v>
      </c>
    </row>
    <row r="10" spans="1:18" x14ac:dyDescent="0.25">
      <c r="A10" s="3" t="s">
        <v>8</v>
      </c>
      <c r="B10" s="21">
        <v>521</v>
      </c>
      <c r="C10" s="18">
        <v>0.65500000000000003</v>
      </c>
      <c r="D10" s="3" t="s">
        <v>29</v>
      </c>
      <c r="G10" s="13" t="s">
        <v>42</v>
      </c>
      <c r="H10" s="7">
        <f>AVERAGEIFS(B2:B29,D2:D29,"Jim")</f>
        <v>7312.6903846153855</v>
      </c>
      <c r="I10" s="8">
        <f>AVERAGEIF(D2:D29,"Sara",B2:B29)</f>
        <v>1648.7539999999999</v>
      </c>
      <c r="J10" s="16" t="s">
        <v>43</v>
      </c>
    </row>
    <row r="11" spans="1:18" x14ac:dyDescent="0.25">
      <c r="A11" s="3" t="s">
        <v>6</v>
      </c>
      <c r="B11" s="21">
        <v>10</v>
      </c>
      <c r="C11" s="18">
        <v>0.115</v>
      </c>
      <c r="D11" s="3" t="s">
        <v>30</v>
      </c>
      <c r="H11" s="1" t="s">
        <v>35</v>
      </c>
    </row>
    <row r="12" spans="1:18" x14ac:dyDescent="0.25">
      <c r="A12" s="3" t="s">
        <v>9</v>
      </c>
      <c r="B12" s="21">
        <v>3.3</v>
      </c>
      <c r="C12" s="18">
        <v>2.5600000000000001E-2</v>
      </c>
      <c r="D12" s="3" t="s">
        <v>30</v>
      </c>
      <c r="G12" s="10" t="s">
        <v>32</v>
      </c>
      <c r="H12" s="5" t="str">
        <f>IF(C15&gt;0.01*B15,"Yes","No")</f>
        <v>Yes</v>
      </c>
      <c r="J12" s="16" t="s">
        <v>39</v>
      </c>
    </row>
    <row r="13" spans="1:18" x14ac:dyDescent="0.25">
      <c r="A13" s="3" t="s">
        <v>10</v>
      </c>
      <c r="B13" s="21">
        <v>529</v>
      </c>
      <c r="C13" s="18">
        <v>0.68</v>
      </c>
      <c r="D13" s="3" t="s">
        <v>29</v>
      </c>
      <c r="G13" s="11" t="s">
        <v>34</v>
      </c>
      <c r="H13" s="9" t="b">
        <f>OR(B8&gt;B17,B16&gt;B17)</f>
        <v>0</v>
      </c>
      <c r="J13" s="16" t="s">
        <v>40</v>
      </c>
    </row>
    <row r="14" spans="1:18" x14ac:dyDescent="0.25">
      <c r="A14" s="3" t="s">
        <v>6</v>
      </c>
      <c r="B14" s="21">
        <v>207</v>
      </c>
      <c r="C14" s="18">
        <v>0.40600000000000003</v>
      </c>
      <c r="D14" s="3" t="s">
        <v>30</v>
      </c>
      <c r="G14" s="12" t="s">
        <v>33</v>
      </c>
      <c r="H14" s="6" t="b">
        <f>AND(B5&gt;B23,B3&gt;B23)</f>
        <v>0</v>
      </c>
      <c r="J14" s="16" t="s">
        <v>41</v>
      </c>
    </row>
    <row r="15" spans="1:18" x14ac:dyDescent="0.25">
      <c r="A15" s="3" t="s">
        <v>11</v>
      </c>
      <c r="B15" s="21">
        <v>62</v>
      </c>
      <c r="C15" s="18">
        <v>1.32</v>
      </c>
      <c r="D15" s="3" t="s">
        <v>29</v>
      </c>
    </row>
    <row r="16" spans="1:18" x14ac:dyDescent="0.25">
      <c r="A16" s="3" t="s">
        <v>12</v>
      </c>
      <c r="B16" s="21">
        <v>6654</v>
      </c>
      <c r="C16" s="18">
        <v>5.7119999999999997</v>
      </c>
      <c r="D16" s="3" t="s">
        <v>29</v>
      </c>
    </row>
    <row r="17" spans="1:10" x14ac:dyDescent="0.25">
      <c r="A17" s="3" t="s">
        <v>13</v>
      </c>
      <c r="B17" s="21">
        <v>9400</v>
      </c>
      <c r="C17" s="18">
        <v>7.0000000000000007E-2</v>
      </c>
      <c r="D17" s="3" t="s">
        <v>30</v>
      </c>
      <c r="G17" s="14" t="s">
        <v>49</v>
      </c>
      <c r="H17" s="5"/>
      <c r="J17" s="16" t="s">
        <v>50</v>
      </c>
    </row>
    <row r="18" spans="1:10" x14ac:dyDescent="0.25">
      <c r="A18" s="3" t="s">
        <v>14</v>
      </c>
      <c r="B18" s="21">
        <v>6.8</v>
      </c>
      <c r="C18" s="18">
        <v>0.17899999999999999</v>
      </c>
      <c r="D18" s="3" t="s">
        <v>29</v>
      </c>
      <c r="G18" s="15" t="s">
        <v>51</v>
      </c>
      <c r="H18" s="6"/>
      <c r="J18" s="16" t="s">
        <v>52</v>
      </c>
    </row>
    <row r="19" spans="1:10" x14ac:dyDescent="0.25">
      <c r="A19" s="3" t="s">
        <v>15</v>
      </c>
      <c r="B19" s="21">
        <v>35</v>
      </c>
      <c r="C19" s="18">
        <v>5.6000000000000001E-2</v>
      </c>
      <c r="D19" s="3" t="s">
        <v>29</v>
      </c>
    </row>
    <row r="20" spans="1:10" x14ac:dyDescent="0.25">
      <c r="A20" s="3" t="s">
        <v>16</v>
      </c>
      <c r="B20" s="21">
        <v>0.12</v>
      </c>
      <c r="C20" s="18">
        <v>1E-3</v>
      </c>
      <c r="D20" s="3" t="s">
        <v>30</v>
      </c>
    </row>
    <row r="21" spans="1:10" x14ac:dyDescent="0.25">
      <c r="A21" s="3" t="s">
        <v>17</v>
      </c>
      <c r="B21" s="21">
        <v>2.3E-2</v>
      </c>
      <c r="C21" s="18">
        <v>4.0000000000000002E-4</v>
      </c>
      <c r="D21" s="3" t="s">
        <v>29</v>
      </c>
    </row>
    <row r="22" spans="1:10" x14ac:dyDescent="0.25">
      <c r="A22" s="3" t="s">
        <v>18</v>
      </c>
      <c r="B22" s="21">
        <v>2.5</v>
      </c>
      <c r="C22" s="18">
        <v>1.21E-2</v>
      </c>
      <c r="D22" s="3" t="s">
        <v>30</v>
      </c>
    </row>
    <row r="23" spans="1:10" x14ac:dyDescent="0.25">
      <c r="A23" s="3" t="s">
        <v>19</v>
      </c>
      <c r="B23" s="21">
        <v>55.5</v>
      </c>
      <c r="C23" s="18">
        <v>0.17499999999999999</v>
      </c>
      <c r="D23" s="3" t="s">
        <v>30</v>
      </c>
    </row>
    <row r="24" spans="1:10" x14ac:dyDescent="0.25">
      <c r="A24" s="3" t="s">
        <v>20</v>
      </c>
      <c r="B24" s="21">
        <v>100</v>
      </c>
      <c r="C24" s="18">
        <v>0.157</v>
      </c>
      <c r="D24" s="3" t="s">
        <v>30</v>
      </c>
    </row>
    <row r="25" spans="1:10" x14ac:dyDescent="0.25">
      <c r="A25" s="3" t="s">
        <v>21</v>
      </c>
      <c r="B25" s="21">
        <v>52.16</v>
      </c>
      <c r="C25" s="18">
        <v>0.44</v>
      </c>
      <c r="D25" s="3" t="s">
        <v>30</v>
      </c>
    </row>
    <row r="26" spans="1:10" x14ac:dyDescent="0.25">
      <c r="A26" s="3" t="s">
        <v>22</v>
      </c>
      <c r="B26" s="21">
        <v>0.28000000000000003</v>
      </c>
      <c r="C26" s="18">
        <v>1.9E-3</v>
      </c>
      <c r="D26" s="3" t="s">
        <v>30</v>
      </c>
    </row>
    <row r="27" spans="1:10" x14ac:dyDescent="0.25">
      <c r="A27" s="3" t="s">
        <v>23</v>
      </c>
      <c r="B27" s="21">
        <v>87000</v>
      </c>
      <c r="C27" s="18">
        <v>0.1545</v>
      </c>
      <c r="D27" s="3" t="s">
        <v>29</v>
      </c>
    </row>
    <row r="28" spans="1:10" x14ac:dyDescent="0.25">
      <c r="A28" s="3" t="s">
        <v>24</v>
      </c>
      <c r="B28" s="21">
        <v>0.122</v>
      </c>
      <c r="C28" s="18">
        <v>3.0000000000000001E-3</v>
      </c>
      <c r="D28" s="3" t="s">
        <v>29</v>
      </c>
    </row>
    <row r="29" spans="1:10" x14ac:dyDescent="0.25">
      <c r="A29" s="3" t="s">
        <v>25</v>
      </c>
      <c r="B29" s="21">
        <v>192</v>
      </c>
      <c r="C29" s="18">
        <v>0.18</v>
      </c>
      <c r="D29" s="3" t="s"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K15" sqref="K15"/>
    </sheetView>
  </sheetViews>
  <sheetFormatPr defaultRowHeight="15" x14ac:dyDescent="0.25"/>
  <sheetData>
    <row r="1" spans="1:4" ht="15.75" thickBot="1" x14ac:dyDescent="0.3">
      <c r="A1" s="67" t="s">
        <v>290</v>
      </c>
      <c r="B1" s="68" t="s">
        <v>291</v>
      </c>
      <c r="C1" s="68" t="s">
        <v>228</v>
      </c>
      <c r="D1" s="71" t="s">
        <v>292</v>
      </c>
    </row>
    <row r="2" spans="1:4" ht="15.75" thickBot="1" x14ac:dyDescent="0.3">
      <c r="A2" s="69">
        <v>2019</v>
      </c>
      <c r="B2" s="70">
        <v>1</v>
      </c>
      <c r="C2" s="70">
        <v>1646</v>
      </c>
      <c r="D2" s="43">
        <f>C2/$C$25</f>
        <v>0.61963347649766432</v>
      </c>
    </row>
    <row r="3" spans="1:4" ht="15.75" thickBot="1" x14ac:dyDescent="0.3">
      <c r="A3" s="69">
        <v>2019</v>
      </c>
      <c r="B3" s="70">
        <v>2</v>
      </c>
      <c r="C3" s="70">
        <v>1738</v>
      </c>
      <c r="D3" s="43">
        <f t="shared" ref="D3:D23" si="0">C3/$C$25</f>
        <v>0.65426669632620937</v>
      </c>
    </row>
    <row r="4" spans="1:4" ht="15.75" thickBot="1" x14ac:dyDescent="0.3">
      <c r="A4" s="69">
        <v>2019</v>
      </c>
      <c r="B4" s="70">
        <v>3</v>
      </c>
      <c r="C4" s="70">
        <v>1883</v>
      </c>
      <c r="D4" s="43">
        <f t="shared" si="0"/>
        <v>0.70885166236032915</v>
      </c>
    </row>
    <row r="5" spans="1:4" ht="15.75" thickBot="1" x14ac:dyDescent="0.3">
      <c r="A5" s="69">
        <v>2019</v>
      </c>
      <c r="B5" s="70">
        <v>4</v>
      </c>
      <c r="C5" s="70">
        <v>4868</v>
      </c>
      <c r="D5" s="43">
        <f t="shared" si="0"/>
        <v>1.8325490665799695</v>
      </c>
    </row>
    <row r="6" spans="1:4" ht="15.75" thickBot="1" x14ac:dyDescent="0.3">
      <c r="A6" s="69">
        <v>2020</v>
      </c>
      <c r="B6" s="70">
        <v>1</v>
      </c>
      <c r="C6" s="70">
        <v>1924</v>
      </c>
      <c r="D6" s="43">
        <f t="shared" si="0"/>
        <v>0.72428603206652864</v>
      </c>
    </row>
    <row r="7" spans="1:4" ht="15.75" thickBot="1" x14ac:dyDescent="0.3">
      <c r="A7" s="69">
        <v>2020</v>
      </c>
      <c r="B7" s="70">
        <v>2</v>
      </c>
      <c r="C7" s="70">
        <v>1989</v>
      </c>
      <c r="D7" s="43">
        <f t="shared" si="0"/>
        <v>0.74875515477147891</v>
      </c>
    </row>
    <row r="8" spans="1:4" ht="15.75" thickBot="1" x14ac:dyDescent="0.3">
      <c r="A8" s="69">
        <v>2020</v>
      </c>
      <c r="B8" s="70">
        <v>3</v>
      </c>
      <c r="C8" s="70">
        <v>2142</v>
      </c>
      <c r="D8" s="43">
        <f t="shared" si="0"/>
        <v>0.80635170513851573</v>
      </c>
    </row>
    <row r="9" spans="1:4" ht="15.75" thickBot="1" x14ac:dyDescent="0.3">
      <c r="A9" s="69">
        <v>2020</v>
      </c>
      <c r="B9" s="70">
        <v>4</v>
      </c>
      <c r="C9" s="70">
        <v>4383</v>
      </c>
      <c r="D9" s="43">
        <f t="shared" si="0"/>
        <v>1.6499717663968789</v>
      </c>
    </row>
    <row r="10" spans="1:4" ht="15.75" thickBot="1" x14ac:dyDescent="0.3">
      <c r="A10" s="69">
        <v>2021</v>
      </c>
      <c r="B10" s="70">
        <v>1</v>
      </c>
      <c r="C10" s="70">
        <v>2043</v>
      </c>
      <c r="D10" s="43">
        <f t="shared" si="0"/>
        <v>0.76908334901866837</v>
      </c>
    </row>
    <row r="11" spans="1:4" ht="15.75" thickBot="1" x14ac:dyDescent="0.3">
      <c r="A11" s="69">
        <v>2021</v>
      </c>
      <c r="B11" s="70">
        <v>2</v>
      </c>
      <c r="C11" s="70">
        <v>2020</v>
      </c>
      <c r="D11" s="43">
        <f t="shared" si="0"/>
        <v>0.76042504406153211</v>
      </c>
    </row>
    <row r="12" spans="1:4" ht="15.75" thickBot="1" x14ac:dyDescent="0.3">
      <c r="A12" s="69">
        <v>2021</v>
      </c>
      <c r="B12" s="70">
        <v>3</v>
      </c>
      <c r="C12" s="70">
        <v>2171</v>
      </c>
      <c r="D12" s="43">
        <f t="shared" si="0"/>
        <v>0.81726869834533977</v>
      </c>
    </row>
    <row r="13" spans="1:4" ht="15.75" thickBot="1" x14ac:dyDescent="0.3">
      <c r="A13" s="69">
        <v>2021</v>
      </c>
      <c r="B13" s="70">
        <v>4</v>
      </c>
      <c r="C13" s="70">
        <v>4338</v>
      </c>
      <c r="D13" s="43">
        <f t="shared" si="0"/>
        <v>1.633031604524221</v>
      </c>
    </row>
    <row r="14" spans="1:4" ht="15.75" thickBot="1" x14ac:dyDescent="0.3">
      <c r="A14" s="69">
        <v>2022</v>
      </c>
      <c r="B14" s="70">
        <v>1</v>
      </c>
      <c r="C14" s="70">
        <v>2186</v>
      </c>
      <c r="D14" s="43">
        <f t="shared" si="0"/>
        <v>0.822915418969559</v>
      </c>
    </row>
    <row r="15" spans="1:4" ht="15.75" thickBot="1" x14ac:dyDescent="0.3">
      <c r="A15" s="69">
        <v>2022</v>
      </c>
      <c r="B15" s="70">
        <v>2</v>
      </c>
      <c r="C15" s="70">
        <v>2204</v>
      </c>
      <c r="D15" s="43">
        <f t="shared" si="0"/>
        <v>0.82969148371862222</v>
      </c>
    </row>
    <row r="16" spans="1:4" ht="15.75" thickBot="1" x14ac:dyDescent="0.3">
      <c r="A16" s="69">
        <v>2022</v>
      </c>
      <c r="B16" s="70">
        <v>3</v>
      </c>
      <c r="C16" s="70">
        <v>2465</v>
      </c>
      <c r="D16" s="43">
        <f t="shared" si="0"/>
        <v>0.92794442258003795</v>
      </c>
    </row>
    <row r="17" spans="1:4" ht="15.75" thickBot="1" x14ac:dyDescent="0.3">
      <c r="A17" s="69">
        <v>2022</v>
      </c>
      <c r="B17" s="70">
        <v>4</v>
      </c>
      <c r="C17" s="70">
        <v>5027</v>
      </c>
      <c r="D17" s="43">
        <f t="shared" si="0"/>
        <v>1.8924043051966941</v>
      </c>
    </row>
    <row r="18" spans="1:4" ht="15.75" thickBot="1" x14ac:dyDescent="0.3">
      <c r="A18" s="69">
        <v>2023</v>
      </c>
      <c r="B18" s="70">
        <v>1</v>
      </c>
      <c r="C18" s="70">
        <v>2319</v>
      </c>
      <c r="D18" s="43">
        <f t="shared" si="0"/>
        <v>0.87298300850430344</v>
      </c>
    </row>
    <row r="19" spans="1:4" ht="15.75" thickBot="1" x14ac:dyDescent="0.3">
      <c r="A19" s="69">
        <v>2023</v>
      </c>
      <c r="B19" s="70">
        <v>2</v>
      </c>
      <c r="C19" s="70">
        <v>1994</v>
      </c>
      <c r="D19" s="43">
        <f t="shared" si="0"/>
        <v>0.75063739497955195</v>
      </c>
    </row>
    <row r="20" spans="1:4" ht="15.75" thickBot="1" x14ac:dyDescent="0.3">
      <c r="A20" s="69">
        <v>2023</v>
      </c>
      <c r="B20" s="70">
        <v>3</v>
      </c>
      <c r="C20" s="70">
        <v>2220</v>
      </c>
      <c r="D20" s="43">
        <f t="shared" si="0"/>
        <v>0.83571465238445608</v>
      </c>
    </row>
    <row r="21" spans="1:4" ht="15.75" thickBot="1" x14ac:dyDescent="0.3">
      <c r="A21" s="69">
        <v>2023</v>
      </c>
      <c r="B21" s="70">
        <v>4</v>
      </c>
      <c r="C21" s="70">
        <v>4799</v>
      </c>
      <c r="D21" s="43">
        <f t="shared" si="0"/>
        <v>1.8065741517085607</v>
      </c>
    </row>
    <row r="22" spans="1:4" ht="15.75" thickBot="1" x14ac:dyDescent="0.3">
      <c r="A22" s="69">
        <v>2024</v>
      </c>
      <c r="B22" s="70">
        <v>1</v>
      </c>
      <c r="C22" s="70">
        <v>2061</v>
      </c>
      <c r="D22" s="43">
        <f t="shared" si="0"/>
        <v>0.77585941376773149</v>
      </c>
    </row>
    <row r="23" spans="1:4" ht="15.75" thickBot="1" x14ac:dyDescent="0.3">
      <c r="A23" s="69">
        <v>2024</v>
      </c>
      <c r="B23" s="70">
        <v>2</v>
      </c>
      <c r="C23" s="70">
        <v>2021</v>
      </c>
      <c r="D23" s="43">
        <f t="shared" si="0"/>
        <v>0.76080149210314674</v>
      </c>
    </row>
    <row r="25" spans="1:4" ht="60" x14ac:dyDescent="0.25">
      <c r="A25" s="44" t="s">
        <v>293</v>
      </c>
      <c r="C25">
        <f>AVERAGE(C2:C23)</f>
        <v>2656.409090909091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7" workbookViewId="0">
      <selection activeCell="B17" sqref="B17"/>
    </sheetView>
  </sheetViews>
  <sheetFormatPr defaultRowHeight="15" x14ac:dyDescent="0.25"/>
  <sheetData>
    <row r="1" spans="1:3" ht="16.5" thickBot="1" x14ac:dyDescent="0.3">
      <c r="A1" s="23" t="s">
        <v>53</v>
      </c>
      <c r="B1" s="24" t="s">
        <v>54</v>
      </c>
      <c r="C1" s="24" t="s">
        <v>55</v>
      </c>
    </row>
    <row r="2" spans="1:3" ht="16.5" thickBot="1" x14ac:dyDescent="0.3">
      <c r="A2" s="25">
        <v>101</v>
      </c>
      <c r="B2" s="26" t="s">
        <v>56</v>
      </c>
      <c r="C2" s="26">
        <v>80</v>
      </c>
    </row>
    <row r="3" spans="1:3" ht="16.5" thickBot="1" x14ac:dyDescent="0.3">
      <c r="A3" s="25">
        <v>102</v>
      </c>
      <c r="B3" s="26" t="s">
        <v>57</v>
      </c>
      <c r="C3" s="26">
        <v>94</v>
      </c>
    </row>
    <row r="4" spans="1:3" ht="16.5" thickBot="1" x14ac:dyDescent="0.3">
      <c r="A4" s="25">
        <v>103</v>
      </c>
      <c r="B4" s="26" t="s">
        <v>58</v>
      </c>
      <c r="C4" s="26">
        <v>44</v>
      </c>
    </row>
    <row r="5" spans="1:3" ht="16.5" thickBot="1" x14ac:dyDescent="0.3">
      <c r="A5" s="25">
        <v>104</v>
      </c>
      <c r="B5" s="26" t="s">
        <v>59</v>
      </c>
      <c r="C5" s="26">
        <v>68</v>
      </c>
    </row>
    <row r="6" spans="1:3" ht="16.5" thickBot="1" x14ac:dyDescent="0.3">
      <c r="A6" s="25">
        <v>105</v>
      </c>
      <c r="B6" s="26" t="s">
        <v>60</v>
      </c>
      <c r="C6" s="26">
        <v>75</v>
      </c>
    </row>
    <row r="7" spans="1:3" ht="16.5" thickBot="1" x14ac:dyDescent="0.3">
      <c r="A7" s="25">
        <v>106</v>
      </c>
      <c r="B7" s="26" t="s">
        <v>61</v>
      </c>
      <c r="C7" s="26">
        <v>96</v>
      </c>
    </row>
    <row r="8" spans="1:3" ht="16.5" thickBot="1" x14ac:dyDescent="0.3">
      <c r="A8" s="25">
        <v>107</v>
      </c>
      <c r="B8" s="26" t="s">
        <v>62</v>
      </c>
      <c r="C8" s="26">
        <v>55</v>
      </c>
    </row>
    <row r="9" spans="1:3" ht="16.5" thickBot="1" x14ac:dyDescent="0.3">
      <c r="A9" s="25">
        <v>108</v>
      </c>
      <c r="B9" s="26" t="s">
        <v>63</v>
      </c>
      <c r="C9" s="26">
        <v>71</v>
      </c>
    </row>
    <row r="10" spans="1:3" ht="16.5" thickBot="1" x14ac:dyDescent="0.3">
      <c r="A10" s="25">
        <v>109</v>
      </c>
      <c r="B10" s="26" t="s">
        <v>64</v>
      </c>
      <c r="C10" s="26">
        <v>85</v>
      </c>
    </row>
    <row r="11" spans="1:3" ht="16.5" thickBot="1" x14ac:dyDescent="0.3">
      <c r="A11" s="25">
        <v>110</v>
      </c>
      <c r="B11" s="26" t="s">
        <v>65</v>
      </c>
      <c r="C11" s="26">
        <v>39</v>
      </c>
    </row>
    <row r="13" spans="1:3" ht="78.75" x14ac:dyDescent="0.25">
      <c r="A13" s="27" t="s">
        <v>66</v>
      </c>
      <c r="B13">
        <f>COUNTIFS(C2:C11,"&gt;80")</f>
        <v>3</v>
      </c>
    </row>
    <row r="14" spans="1:3" ht="78.75" x14ac:dyDescent="0.25">
      <c r="A14" s="27" t="s">
        <v>67</v>
      </c>
      <c r="B14">
        <f>COUNTIFS(C2:C11,"&lt;50")</f>
        <v>2</v>
      </c>
    </row>
    <row r="15" spans="1:3" ht="94.5" x14ac:dyDescent="0.25">
      <c r="A15" s="27" t="s">
        <v>68</v>
      </c>
      <c r="B15">
        <f>COUNTIFS(C2:C11,"&gt;60",C2:C11,"&lt;90")</f>
        <v>5</v>
      </c>
    </row>
    <row r="16" spans="1:3" ht="78.75" x14ac:dyDescent="0.25">
      <c r="A16" s="27" t="s">
        <v>69</v>
      </c>
      <c r="B16">
        <f>COUNTIF(B2:B11,"R*")</f>
        <v>3</v>
      </c>
    </row>
    <row r="17" spans="1:2" ht="78.75" x14ac:dyDescent="0.25">
      <c r="A17" s="27" t="s">
        <v>70</v>
      </c>
      <c r="B17">
        <f>COUNTA(B2:B11)-COUNTIF(B2:B11,"m*")</f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3" sqref="B13"/>
    </sheetView>
  </sheetViews>
  <sheetFormatPr defaultRowHeight="15" x14ac:dyDescent="0.25"/>
  <sheetData>
    <row r="1" spans="1:5" ht="15.75" thickBot="1" x14ac:dyDescent="0.3">
      <c r="A1" s="28" t="s">
        <v>71</v>
      </c>
      <c r="B1" s="29" t="s">
        <v>72</v>
      </c>
      <c r="C1" s="29" t="s">
        <v>73</v>
      </c>
      <c r="D1" s="29" t="s">
        <v>74</v>
      </c>
      <c r="E1" s="29" t="s">
        <v>75</v>
      </c>
    </row>
    <row r="2" spans="1:5" ht="15.75" thickBot="1" x14ac:dyDescent="0.3">
      <c r="A2" s="30">
        <v>1</v>
      </c>
      <c r="B2" s="31">
        <v>321</v>
      </c>
      <c r="C2" s="31">
        <v>250</v>
      </c>
      <c r="D2" s="32">
        <v>0.2</v>
      </c>
      <c r="E2" s="31">
        <v>16050</v>
      </c>
    </row>
    <row r="3" spans="1:5" ht="15.75" thickBot="1" x14ac:dyDescent="0.3">
      <c r="A3" s="30">
        <v>2</v>
      </c>
      <c r="B3" s="31">
        <v>500</v>
      </c>
      <c r="C3" s="31">
        <v>180</v>
      </c>
      <c r="D3" s="31"/>
      <c r="E3" s="31">
        <v>72000</v>
      </c>
    </row>
    <row r="4" spans="1:5" ht="15.75" thickBot="1" x14ac:dyDescent="0.3">
      <c r="A4" s="30">
        <v>3</v>
      </c>
      <c r="B4" s="31">
        <v>200</v>
      </c>
      <c r="C4" s="31">
        <v>120</v>
      </c>
      <c r="D4" s="31"/>
      <c r="E4" s="31">
        <v>18000</v>
      </c>
    </row>
    <row r="5" spans="1:5" ht="15.75" thickBot="1" x14ac:dyDescent="0.3">
      <c r="A5" s="30">
        <v>4</v>
      </c>
      <c r="B5" s="31">
        <v>620</v>
      </c>
      <c r="C5" s="31">
        <v>420</v>
      </c>
      <c r="D5" s="32">
        <v>0.4</v>
      </c>
      <c r="E5" s="31">
        <v>133080</v>
      </c>
    </row>
    <row r="6" spans="1:5" ht="15.75" thickBot="1" x14ac:dyDescent="0.3">
      <c r="A6" s="30">
        <v>6</v>
      </c>
      <c r="B6" s="31">
        <v>500</v>
      </c>
      <c r="C6" s="31">
        <v>300</v>
      </c>
      <c r="D6" s="32">
        <v>0.1</v>
      </c>
      <c r="E6" s="31">
        <v>13500</v>
      </c>
    </row>
    <row r="7" spans="1:5" ht="15.75" thickBot="1" x14ac:dyDescent="0.3">
      <c r="A7" s="30">
        <v>7</v>
      </c>
      <c r="B7" s="31">
        <v>300</v>
      </c>
      <c r="C7" s="31">
        <v>128</v>
      </c>
      <c r="D7" s="32">
        <v>0.05</v>
      </c>
      <c r="E7" s="31">
        <v>9500</v>
      </c>
    </row>
    <row r="8" spans="1:5" ht="15.75" thickBot="1" x14ac:dyDescent="0.3">
      <c r="A8" s="30">
        <v>8</v>
      </c>
      <c r="B8" s="31">
        <v>200</v>
      </c>
      <c r="C8" s="31">
        <v>200</v>
      </c>
      <c r="D8" s="32">
        <v>0.2</v>
      </c>
      <c r="E8" s="31">
        <v>16050</v>
      </c>
    </row>
    <row r="9" spans="1:5" ht="15.75" thickBot="1" x14ac:dyDescent="0.3">
      <c r="A9" s="30">
        <v>9</v>
      </c>
      <c r="B9" s="31">
        <v>180</v>
      </c>
      <c r="C9" s="31">
        <v>250</v>
      </c>
      <c r="D9" s="32">
        <v>0.5</v>
      </c>
      <c r="E9" s="31">
        <v>1015000</v>
      </c>
    </row>
    <row r="10" spans="1:5" ht="15.75" thickBot="1" x14ac:dyDescent="0.3">
      <c r="A10" s="30">
        <v>10</v>
      </c>
      <c r="B10" s="31">
        <v>150</v>
      </c>
      <c r="C10" s="31">
        <v>120</v>
      </c>
      <c r="D10" s="32">
        <v>0.15</v>
      </c>
      <c r="E10" s="31">
        <v>5760</v>
      </c>
    </row>
    <row r="12" spans="1:5" ht="94.5" x14ac:dyDescent="0.25">
      <c r="A12" s="27" t="s">
        <v>76</v>
      </c>
      <c r="B12">
        <f>COUNTA(D2:D10)</f>
        <v>7</v>
      </c>
    </row>
    <row r="13" spans="1:5" ht="110.25" x14ac:dyDescent="0.25">
      <c r="A13" s="27" t="s">
        <v>77</v>
      </c>
      <c r="B13">
        <f>COUNTA(A2:A10)</f>
        <v>9</v>
      </c>
      <c r="C13" s="27"/>
    </row>
    <row r="14" spans="1:5" ht="110.25" x14ac:dyDescent="0.25">
      <c r="A14" s="27" t="s">
        <v>78</v>
      </c>
      <c r="B14" s="33">
        <f>COUNTA(A2:A10)-COUNTA(D2:D10)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3" sqref="G3"/>
    </sheetView>
  </sheetViews>
  <sheetFormatPr defaultRowHeight="15" x14ac:dyDescent="0.25"/>
  <sheetData>
    <row r="1" spans="1:10" ht="48" thickBot="1" x14ac:dyDescent="0.3">
      <c r="A1" s="34" t="s">
        <v>79</v>
      </c>
      <c r="B1" s="35" t="s">
        <v>80</v>
      </c>
      <c r="C1" s="35" t="s">
        <v>81</v>
      </c>
    </row>
    <row r="2" spans="1:10" ht="32.25" thickBot="1" x14ac:dyDescent="0.3">
      <c r="A2" s="36" t="s">
        <v>82</v>
      </c>
      <c r="B2" s="37">
        <v>4165079</v>
      </c>
      <c r="C2" s="37">
        <v>4</v>
      </c>
      <c r="F2" s="38" t="s">
        <v>101</v>
      </c>
      <c r="G2" s="39" t="s">
        <v>102</v>
      </c>
      <c r="I2" s="38" t="s">
        <v>103</v>
      </c>
      <c r="J2" s="39" t="s">
        <v>102</v>
      </c>
    </row>
    <row r="3" spans="1:10" ht="63.75" thickBot="1" x14ac:dyDescent="0.3">
      <c r="A3" s="36" t="s">
        <v>83</v>
      </c>
      <c r="B3" s="37">
        <v>4804428</v>
      </c>
      <c r="C3" s="37">
        <v>1</v>
      </c>
      <c r="F3" s="40">
        <v>0</v>
      </c>
      <c r="G3" s="41">
        <f>COUNTIF(C$2:C$19,F3)</f>
        <v>2</v>
      </c>
      <c r="I3" s="40" t="s">
        <v>104</v>
      </c>
      <c r="J3" s="41">
        <f>COUNTIF(B$2:B$19,"&gt;300000")</f>
        <v>15</v>
      </c>
    </row>
    <row r="4" spans="1:10" ht="48" thickBot="1" x14ac:dyDescent="0.3">
      <c r="A4" s="36" t="s">
        <v>84</v>
      </c>
      <c r="B4" s="37">
        <v>2980521</v>
      </c>
      <c r="C4" s="37" t="s">
        <v>85</v>
      </c>
      <c r="F4" s="40">
        <v>1</v>
      </c>
      <c r="G4" s="41">
        <f t="shared" ref="G4:G6" si="0">COUNTIF(C$2:C$19,F4)</f>
        <v>5</v>
      </c>
      <c r="I4" s="40" t="s">
        <v>105</v>
      </c>
      <c r="J4" s="41">
        <f>COUNTIF(B$2:B$19,"&lt;5000")</f>
        <v>2</v>
      </c>
    </row>
    <row r="5" spans="1:10" ht="32.25" thickBot="1" x14ac:dyDescent="0.3">
      <c r="A5" s="36" t="s">
        <v>86</v>
      </c>
      <c r="B5" s="37">
        <v>428537</v>
      </c>
      <c r="C5" s="37">
        <v>4</v>
      </c>
      <c r="F5" s="40">
        <v>4</v>
      </c>
      <c r="G5" s="41">
        <f t="shared" si="0"/>
        <v>8</v>
      </c>
      <c r="I5" s="40" t="s">
        <v>106</v>
      </c>
      <c r="J5" s="41">
        <f>COUNTIF(B$2:B$19,"100000")</f>
        <v>1</v>
      </c>
    </row>
    <row r="6" spans="1:10" ht="16.5" thickBot="1" x14ac:dyDescent="0.3">
      <c r="A6" s="36" t="s">
        <v>87</v>
      </c>
      <c r="B6" s="37">
        <v>1584478</v>
      </c>
      <c r="C6" s="37">
        <v>4</v>
      </c>
      <c r="F6" s="40" t="s">
        <v>85</v>
      </c>
      <c r="G6" s="41">
        <f t="shared" si="0"/>
        <v>3</v>
      </c>
    </row>
    <row r="7" spans="1:10" ht="16.5" thickBot="1" x14ac:dyDescent="0.3">
      <c r="A7" s="36" t="s">
        <v>88</v>
      </c>
      <c r="B7" s="37">
        <v>100000</v>
      </c>
      <c r="C7" s="37">
        <v>1</v>
      </c>
    </row>
    <row r="8" spans="1:10" ht="16.5" thickBot="1" x14ac:dyDescent="0.3">
      <c r="A8" s="36" t="s">
        <v>89</v>
      </c>
      <c r="B8" s="37">
        <v>3317786</v>
      </c>
      <c r="C8" s="37">
        <v>0</v>
      </c>
    </row>
    <row r="9" spans="1:10" ht="16.5" thickBot="1" x14ac:dyDescent="0.3">
      <c r="A9" s="36" t="s">
        <v>90</v>
      </c>
      <c r="B9" s="37">
        <v>1302222</v>
      </c>
      <c r="C9" s="37">
        <v>4</v>
      </c>
    </row>
    <row r="10" spans="1:10" ht="16.5" thickBot="1" x14ac:dyDescent="0.3">
      <c r="A10" s="36" t="s">
        <v>91</v>
      </c>
      <c r="B10" s="37">
        <v>4505015</v>
      </c>
      <c r="C10" s="37">
        <v>1</v>
      </c>
    </row>
    <row r="11" spans="1:10" ht="16.5" thickBot="1" x14ac:dyDescent="0.3">
      <c r="A11" s="36" t="s">
        <v>92</v>
      </c>
      <c r="B11" s="37">
        <v>150</v>
      </c>
      <c r="C11" s="37" t="s">
        <v>85</v>
      </c>
    </row>
    <row r="12" spans="1:10" ht="16.5" thickBot="1" x14ac:dyDescent="0.3">
      <c r="A12" s="36" t="s">
        <v>93</v>
      </c>
      <c r="B12" s="37">
        <v>3593954</v>
      </c>
      <c r="C12" s="37">
        <v>1</v>
      </c>
    </row>
    <row r="13" spans="1:10" ht="16.5" thickBot="1" x14ac:dyDescent="0.3">
      <c r="A13" s="36" t="s">
        <v>94</v>
      </c>
      <c r="B13" s="37">
        <v>2599644</v>
      </c>
      <c r="C13" s="37">
        <v>4</v>
      </c>
    </row>
    <row r="14" spans="1:10" ht="16.5" thickBot="1" x14ac:dyDescent="0.3">
      <c r="A14" s="36" t="s">
        <v>95</v>
      </c>
      <c r="B14" s="37">
        <v>2626890</v>
      </c>
      <c r="C14" s="37" t="s">
        <v>85</v>
      </c>
    </row>
    <row r="15" spans="1:10" ht="16.5" thickBot="1" x14ac:dyDescent="0.3">
      <c r="A15" s="36" t="s">
        <v>96</v>
      </c>
      <c r="B15" s="37">
        <v>4389308</v>
      </c>
      <c r="C15" s="37">
        <v>4</v>
      </c>
    </row>
    <row r="16" spans="1:10" ht="16.5" thickBot="1" x14ac:dyDescent="0.3">
      <c r="A16" s="36" t="s">
        <v>97</v>
      </c>
      <c r="B16" s="37">
        <v>4055228</v>
      </c>
      <c r="C16" s="37">
        <v>1</v>
      </c>
    </row>
    <row r="17" spans="1:3" ht="16.5" thickBot="1" x14ac:dyDescent="0.3">
      <c r="A17" s="36" t="s">
        <v>98</v>
      </c>
      <c r="B17" s="37">
        <v>4646966</v>
      </c>
      <c r="C17" s="37">
        <v>4</v>
      </c>
    </row>
    <row r="18" spans="1:3" ht="16.5" thickBot="1" x14ac:dyDescent="0.3">
      <c r="A18" s="36" t="s">
        <v>99</v>
      </c>
      <c r="B18" s="37">
        <v>808323</v>
      </c>
      <c r="C18" s="37">
        <v>4</v>
      </c>
    </row>
    <row r="19" spans="1:3" ht="16.5" thickBot="1" x14ac:dyDescent="0.3">
      <c r="A19" s="36" t="s">
        <v>100</v>
      </c>
      <c r="B19" s="37">
        <v>2500</v>
      </c>
      <c r="C19" s="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1" sqref="B1"/>
    </sheetView>
  </sheetViews>
  <sheetFormatPr defaultRowHeight="15" x14ac:dyDescent="0.25"/>
  <cols>
    <col min="4" max="4" width="13.7109375" bestFit="1" customWidth="1"/>
    <col min="5" max="5" width="11.5703125" style="43" bestFit="1" customWidth="1"/>
  </cols>
  <sheetData>
    <row r="1" spans="1:7" x14ac:dyDescent="0.25">
      <c r="A1" t="s">
        <v>107</v>
      </c>
      <c r="B1" t="s">
        <v>108</v>
      </c>
      <c r="C1" t="s">
        <v>109</v>
      </c>
      <c r="D1" s="43" t="s">
        <v>103</v>
      </c>
      <c r="E1" s="43" t="s">
        <v>110</v>
      </c>
      <c r="F1" t="s">
        <v>111</v>
      </c>
      <c r="G1" t="s">
        <v>112</v>
      </c>
    </row>
    <row r="2" spans="1:7" x14ac:dyDescent="0.25">
      <c r="A2" t="s">
        <v>113</v>
      </c>
      <c r="B2" t="s">
        <v>114</v>
      </c>
      <c r="C2" t="s">
        <v>115</v>
      </c>
      <c r="D2" s="43">
        <v>1397715000</v>
      </c>
      <c r="E2" s="43">
        <v>9596960</v>
      </c>
      <c r="F2" t="s">
        <v>116</v>
      </c>
      <c r="G2" s="42">
        <v>14343</v>
      </c>
    </row>
    <row r="3" spans="1:7" x14ac:dyDescent="0.25">
      <c r="A3" t="s">
        <v>117</v>
      </c>
      <c r="B3" t="s">
        <v>114</v>
      </c>
      <c r="C3" t="s">
        <v>118</v>
      </c>
      <c r="D3" s="43">
        <v>1366417754</v>
      </c>
      <c r="E3" s="43">
        <v>3287263</v>
      </c>
      <c r="F3" t="s">
        <v>119</v>
      </c>
      <c r="G3" s="42">
        <v>2611</v>
      </c>
    </row>
    <row r="4" spans="1:7" x14ac:dyDescent="0.25">
      <c r="A4" t="s">
        <v>120</v>
      </c>
      <c r="B4" t="s">
        <v>121</v>
      </c>
      <c r="C4" t="s">
        <v>122</v>
      </c>
      <c r="D4" s="43">
        <v>328239523</v>
      </c>
      <c r="E4" s="43">
        <v>9833517</v>
      </c>
      <c r="F4" t="s">
        <v>123</v>
      </c>
      <c r="G4" s="42">
        <v>22675</v>
      </c>
    </row>
    <row r="5" spans="1:7" x14ac:dyDescent="0.25">
      <c r="A5" t="s">
        <v>124</v>
      </c>
      <c r="B5" t="s">
        <v>114</v>
      </c>
      <c r="C5" t="s">
        <v>125</v>
      </c>
      <c r="D5" s="43">
        <v>270203917</v>
      </c>
      <c r="E5" s="43">
        <v>1904569</v>
      </c>
      <c r="F5" t="s">
        <v>126</v>
      </c>
      <c r="G5" s="42">
        <v>1119</v>
      </c>
    </row>
    <row r="6" spans="1:7" x14ac:dyDescent="0.25">
      <c r="A6" t="s">
        <v>127</v>
      </c>
      <c r="B6" t="s">
        <v>114</v>
      </c>
      <c r="C6" t="s">
        <v>128</v>
      </c>
      <c r="D6" s="43">
        <v>216565318</v>
      </c>
      <c r="E6" s="43">
        <v>796095</v>
      </c>
      <c r="F6" t="s">
        <v>129</v>
      </c>
      <c r="G6">
        <v>304</v>
      </c>
    </row>
    <row r="7" spans="1:7" x14ac:dyDescent="0.25">
      <c r="A7" t="s">
        <v>130</v>
      </c>
      <c r="B7" t="s">
        <v>131</v>
      </c>
      <c r="C7" t="s">
        <v>132</v>
      </c>
      <c r="D7" s="43">
        <v>212559417</v>
      </c>
      <c r="E7" s="43">
        <v>8515770</v>
      </c>
      <c r="F7" t="s">
        <v>133</v>
      </c>
      <c r="G7" s="42">
        <v>1840</v>
      </c>
    </row>
    <row r="8" spans="1:7" x14ac:dyDescent="0.25">
      <c r="A8" t="s">
        <v>134</v>
      </c>
      <c r="B8" t="s">
        <v>135</v>
      </c>
      <c r="C8" t="s">
        <v>122</v>
      </c>
      <c r="D8" s="43">
        <v>200963599</v>
      </c>
      <c r="E8" s="43">
        <v>923768</v>
      </c>
      <c r="F8" t="s">
        <v>136</v>
      </c>
      <c r="G8">
        <v>448</v>
      </c>
    </row>
    <row r="9" spans="1:7" x14ac:dyDescent="0.25">
      <c r="A9" t="s">
        <v>137</v>
      </c>
      <c r="B9" t="s">
        <v>114</v>
      </c>
      <c r="C9" t="s">
        <v>138</v>
      </c>
      <c r="D9" s="43">
        <v>163046161</v>
      </c>
      <c r="E9" s="43">
        <v>148460</v>
      </c>
      <c r="F9" t="s">
        <v>139</v>
      </c>
      <c r="G9">
        <v>303</v>
      </c>
    </row>
    <row r="10" spans="1:7" x14ac:dyDescent="0.25">
      <c r="A10" t="s">
        <v>140</v>
      </c>
      <c r="B10" t="s">
        <v>141</v>
      </c>
      <c r="C10" t="s">
        <v>142</v>
      </c>
      <c r="D10" s="43">
        <v>144373535</v>
      </c>
      <c r="E10" s="43">
        <v>17098240</v>
      </c>
      <c r="F10" t="s">
        <v>143</v>
      </c>
      <c r="G10" s="42">
        <v>1700</v>
      </c>
    </row>
    <row r="11" spans="1:7" x14ac:dyDescent="0.25">
      <c r="A11" t="s">
        <v>144</v>
      </c>
      <c r="B11" t="s">
        <v>121</v>
      </c>
      <c r="C11" t="s">
        <v>145</v>
      </c>
      <c r="D11" s="43">
        <v>126014024</v>
      </c>
      <c r="E11" s="43">
        <v>1964375</v>
      </c>
      <c r="F11" t="s">
        <v>146</v>
      </c>
      <c r="G11" s="42">
        <v>1258</v>
      </c>
    </row>
    <row r="12" spans="1:7" x14ac:dyDescent="0.25">
      <c r="A12" t="s">
        <v>147</v>
      </c>
      <c r="B12" t="s">
        <v>114</v>
      </c>
      <c r="C12" t="s">
        <v>148</v>
      </c>
      <c r="D12" s="43">
        <v>126264931</v>
      </c>
      <c r="E12" s="43">
        <v>377944</v>
      </c>
      <c r="F12" t="s">
        <v>149</v>
      </c>
      <c r="G12" s="42">
        <v>5082</v>
      </c>
    </row>
    <row r="13" spans="1:7" x14ac:dyDescent="0.25">
      <c r="A13" t="s">
        <v>150</v>
      </c>
      <c r="B13" t="s">
        <v>135</v>
      </c>
      <c r="C13" t="s">
        <v>151</v>
      </c>
      <c r="D13" s="43">
        <v>112078730</v>
      </c>
      <c r="E13" s="43">
        <v>1104300</v>
      </c>
      <c r="F13" t="s">
        <v>152</v>
      </c>
      <c r="G13">
        <v>96</v>
      </c>
    </row>
    <row r="14" spans="1:7" x14ac:dyDescent="0.25">
      <c r="A14" t="s">
        <v>153</v>
      </c>
      <c r="B14" t="s">
        <v>114</v>
      </c>
      <c r="C14" t="s">
        <v>154</v>
      </c>
      <c r="D14" s="43">
        <v>108116615</v>
      </c>
      <c r="E14" s="43">
        <v>300000</v>
      </c>
      <c r="F14" t="s">
        <v>155</v>
      </c>
      <c r="G14">
        <v>377</v>
      </c>
    </row>
    <row r="15" spans="1:7" x14ac:dyDescent="0.25">
      <c r="A15" t="s">
        <v>156</v>
      </c>
      <c r="B15" t="s">
        <v>135</v>
      </c>
      <c r="C15" t="s">
        <v>157</v>
      </c>
      <c r="D15" s="43">
        <v>100388073</v>
      </c>
      <c r="E15" s="43">
        <v>1001450</v>
      </c>
      <c r="F15" t="s">
        <v>158</v>
      </c>
      <c r="G15">
        <v>303</v>
      </c>
    </row>
    <row r="16" spans="1:7" x14ac:dyDescent="0.25">
      <c r="A16" t="s">
        <v>159</v>
      </c>
      <c r="B16" t="s">
        <v>114</v>
      </c>
      <c r="C16" t="s">
        <v>160</v>
      </c>
      <c r="D16" s="43">
        <v>96462106</v>
      </c>
      <c r="E16" s="43">
        <v>331210</v>
      </c>
      <c r="F16" t="s">
        <v>161</v>
      </c>
      <c r="G16">
        <v>262</v>
      </c>
    </row>
    <row r="17" spans="1:7" x14ac:dyDescent="0.25">
      <c r="A17" t="s">
        <v>162</v>
      </c>
      <c r="B17" t="s">
        <v>135</v>
      </c>
      <c r="C17" t="s">
        <v>163</v>
      </c>
      <c r="D17" s="43">
        <v>86790567</v>
      </c>
      <c r="E17" s="43">
        <v>2344858</v>
      </c>
      <c r="F17" t="s">
        <v>164</v>
      </c>
      <c r="G17">
        <v>47</v>
      </c>
    </row>
    <row r="18" spans="1:7" x14ac:dyDescent="0.25">
      <c r="A18" t="s">
        <v>165</v>
      </c>
      <c r="B18" t="s">
        <v>114</v>
      </c>
      <c r="C18" t="s">
        <v>166</v>
      </c>
      <c r="D18" s="43">
        <v>82913906</v>
      </c>
      <c r="E18" s="43">
        <v>1648195</v>
      </c>
      <c r="F18" t="s">
        <v>167</v>
      </c>
      <c r="G18">
        <v>445</v>
      </c>
    </row>
    <row r="19" spans="1:7" x14ac:dyDescent="0.25">
      <c r="A19" t="s">
        <v>168</v>
      </c>
      <c r="B19" t="s">
        <v>114</v>
      </c>
      <c r="C19" t="s">
        <v>169</v>
      </c>
      <c r="D19" s="43">
        <v>83429615</v>
      </c>
      <c r="E19" s="43">
        <v>783562</v>
      </c>
      <c r="F19" t="s">
        <v>170</v>
      </c>
      <c r="G19">
        <v>754</v>
      </c>
    </row>
    <row r="20" spans="1:7" x14ac:dyDescent="0.25">
      <c r="A20" t="s">
        <v>171</v>
      </c>
      <c r="B20" t="s">
        <v>141</v>
      </c>
      <c r="C20" t="s">
        <v>172</v>
      </c>
      <c r="D20" s="43">
        <v>83132799</v>
      </c>
      <c r="E20" s="43">
        <v>357022</v>
      </c>
      <c r="F20" t="s">
        <v>173</v>
      </c>
      <c r="G20" s="42">
        <v>3846</v>
      </c>
    </row>
    <row r="21" spans="1:7" x14ac:dyDescent="0.25">
      <c r="A21" t="s">
        <v>174</v>
      </c>
      <c r="B21" t="s">
        <v>141</v>
      </c>
      <c r="C21" t="s">
        <v>163</v>
      </c>
      <c r="D21" s="43">
        <v>67059887</v>
      </c>
      <c r="E21" s="43">
        <v>643801</v>
      </c>
      <c r="F21" t="s">
        <v>173</v>
      </c>
      <c r="G21" s="42">
        <v>2716</v>
      </c>
    </row>
    <row r="22" spans="1:7" x14ac:dyDescent="0.25">
      <c r="A22" t="s">
        <v>175</v>
      </c>
      <c r="B22" t="s">
        <v>141</v>
      </c>
      <c r="C22" t="s">
        <v>122</v>
      </c>
      <c r="D22" s="43">
        <v>66834405</v>
      </c>
      <c r="E22" s="43">
        <v>243610</v>
      </c>
      <c r="F22" t="s">
        <v>176</v>
      </c>
      <c r="G22" s="42">
        <v>2827</v>
      </c>
    </row>
    <row r="23" spans="1:7" x14ac:dyDescent="0.25">
      <c r="A23" t="s">
        <v>177</v>
      </c>
      <c r="B23" t="s">
        <v>114</v>
      </c>
      <c r="C23" t="s">
        <v>178</v>
      </c>
      <c r="D23" s="43">
        <v>69625582</v>
      </c>
      <c r="E23" s="43">
        <v>513120</v>
      </c>
      <c r="F23" t="s">
        <v>179</v>
      </c>
      <c r="G23">
        <v>544</v>
      </c>
    </row>
    <row r="24" spans="1:7" x14ac:dyDescent="0.25">
      <c r="A24" t="s">
        <v>180</v>
      </c>
      <c r="B24" t="s">
        <v>135</v>
      </c>
      <c r="C24" t="s">
        <v>181</v>
      </c>
      <c r="D24" s="43">
        <v>58558270</v>
      </c>
      <c r="E24" s="43">
        <v>1219090</v>
      </c>
      <c r="F24" t="s">
        <v>182</v>
      </c>
      <c r="G24">
        <v>351</v>
      </c>
    </row>
    <row r="25" spans="1:7" x14ac:dyDescent="0.25">
      <c r="A25" t="s">
        <v>183</v>
      </c>
      <c r="B25" t="s">
        <v>135</v>
      </c>
      <c r="C25" t="s">
        <v>184</v>
      </c>
      <c r="D25" s="43">
        <v>58005463</v>
      </c>
      <c r="E25" s="43">
        <v>947300</v>
      </c>
      <c r="F25" t="s">
        <v>185</v>
      </c>
      <c r="G25">
        <v>63</v>
      </c>
    </row>
    <row r="26" spans="1:7" x14ac:dyDescent="0.25">
      <c r="A26" t="s">
        <v>186</v>
      </c>
      <c r="B26" t="s">
        <v>141</v>
      </c>
      <c r="C26" t="s">
        <v>187</v>
      </c>
      <c r="D26" s="43">
        <v>60297396</v>
      </c>
      <c r="E26" s="43">
        <v>301340</v>
      </c>
      <c r="F26" t="s">
        <v>173</v>
      </c>
      <c r="G26" s="42">
        <v>2001</v>
      </c>
    </row>
    <row r="27" spans="1:7" x14ac:dyDescent="0.25">
      <c r="A27" t="s">
        <v>188</v>
      </c>
      <c r="B27" t="s">
        <v>114</v>
      </c>
      <c r="C27" t="s">
        <v>189</v>
      </c>
      <c r="D27" s="43">
        <v>54045420</v>
      </c>
      <c r="E27" s="43">
        <v>676578</v>
      </c>
      <c r="F27" t="s">
        <v>190</v>
      </c>
      <c r="G27">
        <v>76</v>
      </c>
    </row>
    <row r="28" spans="1:7" x14ac:dyDescent="0.25">
      <c r="A28" t="s">
        <v>191</v>
      </c>
      <c r="B28" t="s">
        <v>114</v>
      </c>
      <c r="C28" t="s">
        <v>192</v>
      </c>
      <c r="D28" s="43">
        <v>51709098</v>
      </c>
      <c r="E28" s="43">
        <v>99720</v>
      </c>
      <c r="F28" t="s">
        <v>193</v>
      </c>
      <c r="G28" s="42">
        <v>2029</v>
      </c>
    </row>
    <row r="29" spans="1:7" x14ac:dyDescent="0.25">
      <c r="A29" t="s">
        <v>194</v>
      </c>
      <c r="B29" t="s">
        <v>131</v>
      </c>
      <c r="C29" t="s">
        <v>145</v>
      </c>
      <c r="D29" s="43">
        <v>50339443</v>
      </c>
      <c r="E29" s="43">
        <v>1138910</v>
      </c>
      <c r="F29" t="s">
        <v>195</v>
      </c>
      <c r="G29">
        <v>324</v>
      </c>
    </row>
    <row r="30" spans="1:7" x14ac:dyDescent="0.25">
      <c r="A30" t="s">
        <v>196</v>
      </c>
      <c r="B30" t="s">
        <v>135</v>
      </c>
      <c r="C30" t="s">
        <v>197</v>
      </c>
      <c r="D30" s="43">
        <v>52573973</v>
      </c>
      <c r="E30" s="43">
        <v>580367</v>
      </c>
      <c r="F30" t="s">
        <v>198</v>
      </c>
      <c r="G30">
        <v>96</v>
      </c>
    </row>
    <row r="31" spans="1:7" x14ac:dyDescent="0.25">
      <c r="A31" t="s">
        <v>199</v>
      </c>
      <c r="B31" t="s">
        <v>141</v>
      </c>
      <c r="C31" t="s">
        <v>145</v>
      </c>
      <c r="D31" s="43">
        <v>47076781</v>
      </c>
      <c r="E31" s="43">
        <v>505370</v>
      </c>
      <c r="F31" t="s">
        <v>173</v>
      </c>
      <c r="G31" s="42">
        <v>1394</v>
      </c>
    </row>
    <row r="34" spans="1:2" ht="204.75" x14ac:dyDescent="0.25">
      <c r="A34" s="27" t="s">
        <v>200</v>
      </c>
      <c r="B34">
        <f>COUNTIFS(C2:C31,"Spanish",B2:B31,"South America")</f>
        <v>1</v>
      </c>
    </row>
    <row r="35" spans="1:2" ht="204.75" x14ac:dyDescent="0.25">
      <c r="A35" s="27" t="s">
        <v>201</v>
      </c>
      <c r="B35">
        <f>COUNTIFS(D2:D31,"&gt;100000000",E2:E31,"&lt;1000000")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workbookViewId="0">
      <selection activeCell="B23" sqref="B23"/>
    </sheetView>
  </sheetViews>
  <sheetFormatPr defaultRowHeight="15" x14ac:dyDescent="0.25"/>
  <cols>
    <col min="1" max="1" width="21" customWidth="1"/>
  </cols>
  <sheetData>
    <row r="1" spans="1:4" x14ac:dyDescent="0.25">
      <c r="A1" t="s">
        <v>202</v>
      </c>
      <c r="B1" t="s">
        <v>203</v>
      </c>
      <c r="C1" t="s">
        <v>204</v>
      </c>
      <c r="D1" t="s">
        <v>205</v>
      </c>
    </row>
    <row r="2" spans="1:4" x14ac:dyDescent="0.25">
      <c r="A2" t="s">
        <v>206</v>
      </c>
      <c r="B2" t="s">
        <v>207</v>
      </c>
      <c r="C2" t="s">
        <v>208</v>
      </c>
      <c r="D2" s="42">
        <v>76906</v>
      </c>
    </row>
    <row r="3" spans="1:4" x14ac:dyDescent="0.25">
      <c r="A3" t="s">
        <v>209</v>
      </c>
      <c r="B3" t="s">
        <v>207</v>
      </c>
      <c r="C3" t="s">
        <v>208</v>
      </c>
      <c r="D3" s="42">
        <v>32297</v>
      </c>
    </row>
    <row r="4" spans="1:4" x14ac:dyDescent="0.25">
      <c r="A4" t="s">
        <v>210</v>
      </c>
      <c r="B4" t="s">
        <v>211</v>
      </c>
      <c r="C4" t="s">
        <v>208</v>
      </c>
      <c r="D4" s="42">
        <v>59761</v>
      </c>
    </row>
    <row r="5" spans="1:4" x14ac:dyDescent="0.25">
      <c r="A5" t="s">
        <v>212</v>
      </c>
      <c r="B5" t="s">
        <v>207</v>
      </c>
      <c r="C5" t="s">
        <v>208</v>
      </c>
      <c r="D5" s="42">
        <v>66858</v>
      </c>
    </row>
    <row r="6" spans="1:4" x14ac:dyDescent="0.25">
      <c r="A6" t="s">
        <v>213</v>
      </c>
      <c r="B6" t="s">
        <v>207</v>
      </c>
      <c r="C6" t="s">
        <v>214</v>
      </c>
      <c r="D6" s="42">
        <v>99613</v>
      </c>
    </row>
    <row r="7" spans="1:4" x14ac:dyDescent="0.25">
      <c r="A7" t="s">
        <v>215</v>
      </c>
      <c r="B7" t="s">
        <v>207</v>
      </c>
      <c r="C7" t="s">
        <v>214</v>
      </c>
      <c r="D7" s="42">
        <v>47138</v>
      </c>
    </row>
    <row r="8" spans="1:4" x14ac:dyDescent="0.25">
      <c r="A8" t="s">
        <v>216</v>
      </c>
      <c r="B8" t="s">
        <v>211</v>
      </c>
      <c r="C8" t="s">
        <v>214</v>
      </c>
      <c r="D8" s="42">
        <v>61763</v>
      </c>
    </row>
    <row r="9" spans="1:4" x14ac:dyDescent="0.25">
      <c r="A9" t="s">
        <v>217</v>
      </c>
      <c r="B9" t="s">
        <v>207</v>
      </c>
      <c r="C9" t="s">
        <v>214</v>
      </c>
      <c r="D9" s="42">
        <v>47363</v>
      </c>
    </row>
    <row r="10" spans="1:4" x14ac:dyDescent="0.25">
      <c r="A10" t="s">
        <v>210</v>
      </c>
      <c r="B10" t="s">
        <v>207</v>
      </c>
      <c r="C10" t="s">
        <v>214</v>
      </c>
      <c r="D10" s="42">
        <v>83477</v>
      </c>
    </row>
    <row r="11" spans="1:4" x14ac:dyDescent="0.25">
      <c r="A11" t="s">
        <v>218</v>
      </c>
      <c r="B11" t="s">
        <v>207</v>
      </c>
      <c r="C11" t="s">
        <v>219</v>
      </c>
      <c r="D11" s="42">
        <v>73950</v>
      </c>
    </row>
    <row r="12" spans="1:4" x14ac:dyDescent="0.25">
      <c r="A12" t="s">
        <v>220</v>
      </c>
      <c r="B12" t="s">
        <v>211</v>
      </c>
      <c r="C12" t="s">
        <v>219</v>
      </c>
      <c r="D12" s="42">
        <v>46113</v>
      </c>
    </row>
    <row r="13" spans="1:4" x14ac:dyDescent="0.25">
      <c r="A13" t="s">
        <v>221</v>
      </c>
      <c r="B13" t="s">
        <v>207</v>
      </c>
      <c r="C13" t="s">
        <v>219</v>
      </c>
      <c r="D13" s="42">
        <v>22334</v>
      </c>
    </row>
    <row r="14" spans="1:4" x14ac:dyDescent="0.25">
      <c r="A14" t="s">
        <v>222</v>
      </c>
      <c r="B14" t="s">
        <v>207</v>
      </c>
      <c r="C14" t="s">
        <v>219</v>
      </c>
      <c r="D14" s="42">
        <v>70064</v>
      </c>
    </row>
    <row r="15" spans="1:4" x14ac:dyDescent="0.25">
      <c r="A15" t="s">
        <v>223</v>
      </c>
      <c r="B15" t="s">
        <v>211</v>
      </c>
      <c r="C15" t="s">
        <v>219</v>
      </c>
      <c r="D15" s="42">
        <v>63138</v>
      </c>
    </row>
    <row r="16" spans="1:4" x14ac:dyDescent="0.25">
      <c r="A16" t="s">
        <v>224</v>
      </c>
      <c r="B16" t="s">
        <v>207</v>
      </c>
      <c r="C16" t="s">
        <v>219</v>
      </c>
      <c r="D16" s="42">
        <v>55642</v>
      </c>
    </row>
    <row r="18" spans="1:2" ht="157.5" x14ac:dyDescent="0.25">
      <c r="A18" s="27" t="s">
        <v>225</v>
      </c>
      <c r="B18">
        <f>SUMIFS(D2:D16,B2:B16,"Widget",C2:C16,"Central")</f>
        <v>277591</v>
      </c>
    </row>
    <row r="19" spans="1:2" ht="157.5" x14ac:dyDescent="0.25">
      <c r="A19" s="27" t="s">
        <v>226</v>
      </c>
      <c r="B19">
        <f>AVERAGEIFS(D2:D16,B2:B16,"Widget",C2:C16,"Central")</f>
        <v>69397.75</v>
      </c>
    </row>
    <row r="20" spans="1:2" ht="173.25" x14ac:dyDescent="0.25">
      <c r="A20" s="27" t="s">
        <v>227</v>
      </c>
      <c r="B20" t="s">
        <v>264</v>
      </c>
    </row>
    <row r="21" spans="1:2" ht="157.5" x14ac:dyDescent="0.25">
      <c r="A21" s="27" t="s">
        <v>288</v>
      </c>
    </row>
    <row r="22" spans="1:2" ht="126" x14ac:dyDescent="0.25">
      <c r="A22" s="27" t="s">
        <v>289</v>
      </c>
      <c r="B22">
        <f>COUNTIFS(B2:B16,"Gadget",C2:C16,"West")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3" sqref="A23"/>
    </sheetView>
  </sheetViews>
  <sheetFormatPr defaultRowHeight="15" x14ac:dyDescent="0.25"/>
  <sheetData>
    <row r="1" spans="1:13" ht="16.5" thickBot="1" x14ac:dyDescent="0.3">
      <c r="A1" s="45" t="s">
        <v>228</v>
      </c>
      <c r="B1" s="46" t="s">
        <v>229</v>
      </c>
      <c r="C1" s="46" t="s">
        <v>230</v>
      </c>
      <c r="D1" s="46" t="s">
        <v>231</v>
      </c>
      <c r="E1" s="46" t="s">
        <v>232</v>
      </c>
      <c r="F1" s="46" t="s">
        <v>233</v>
      </c>
      <c r="G1" s="46" t="s">
        <v>234</v>
      </c>
      <c r="H1" s="46" t="s">
        <v>235</v>
      </c>
      <c r="I1" s="46" t="s">
        <v>236</v>
      </c>
      <c r="J1" s="46" t="s">
        <v>237</v>
      </c>
      <c r="K1" s="46" t="s">
        <v>238</v>
      </c>
      <c r="L1" s="46" t="s">
        <v>239</v>
      </c>
      <c r="M1" s="46" t="s">
        <v>240</v>
      </c>
    </row>
    <row r="2" spans="1:13" ht="15.75" thickBot="1" x14ac:dyDescent="0.3">
      <c r="A2" s="47" t="s">
        <v>241</v>
      </c>
      <c r="B2" s="48">
        <v>23500</v>
      </c>
      <c r="C2" s="48">
        <v>23000</v>
      </c>
      <c r="D2" s="48">
        <v>24000</v>
      </c>
      <c r="E2" s="48">
        <v>25100</v>
      </c>
      <c r="F2" s="48">
        <v>25000</v>
      </c>
      <c r="G2" s="48">
        <v>25400</v>
      </c>
      <c r="H2" s="48">
        <v>26000</v>
      </c>
      <c r="I2" s="48">
        <v>24000</v>
      </c>
      <c r="J2" s="48">
        <v>24000</v>
      </c>
      <c r="K2" s="48">
        <v>26000</v>
      </c>
      <c r="L2" s="48">
        <v>24000</v>
      </c>
      <c r="M2" s="48">
        <v>24000</v>
      </c>
    </row>
    <row r="3" spans="1:13" ht="15.75" thickBot="1" x14ac:dyDescent="0.3">
      <c r="A3" s="47" t="s">
        <v>242</v>
      </c>
      <c r="B3" s="48">
        <v>28750</v>
      </c>
      <c r="C3" s="48">
        <v>27800</v>
      </c>
      <c r="D3" s="48">
        <v>29500</v>
      </c>
      <c r="E3" s="48">
        <v>31000</v>
      </c>
      <c r="F3" s="48">
        <v>30500</v>
      </c>
      <c r="G3" s="48">
        <v>30000</v>
      </c>
      <c r="H3" s="48">
        <v>31000</v>
      </c>
      <c r="I3" s="48">
        <v>29500</v>
      </c>
      <c r="J3" s="48">
        <v>29500</v>
      </c>
      <c r="K3" s="48">
        <v>32000</v>
      </c>
      <c r="L3" s="48">
        <v>29500</v>
      </c>
      <c r="M3" s="48">
        <v>29500</v>
      </c>
    </row>
    <row r="4" spans="1:13" ht="15.75" thickBot="1" x14ac:dyDescent="0.3">
      <c r="A4" s="47" t="s">
        <v>243</v>
      </c>
      <c r="B4" s="48">
        <v>24400</v>
      </c>
      <c r="C4" s="48">
        <v>24000</v>
      </c>
      <c r="D4" s="48">
        <v>25250</v>
      </c>
      <c r="E4" s="48">
        <v>26600</v>
      </c>
      <c r="F4" s="48">
        <v>27000</v>
      </c>
      <c r="G4" s="48">
        <v>26750</v>
      </c>
      <c r="H4" s="48">
        <v>27000</v>
      </c>
      <c r="I4" s="48">
        <v>25250</v>
      </c>
      <c r="J4" s="48">
        <v>25250</v>
      </c>
      <c r="K4" s="48">
        <v>28000</v>
      </c>
      <c r="L4" s="48">
        <v>25250</v>
      </c>
      <c r="M4" s="48">
        <v>25250</v>
      </c>
    </row>
    <row r="6" spans="1:13" x14ac:dyDescent="0.25">
      <c r="A6" s="52" t="s">
        <v>252</v>
      </c>
      <c r="B6" s="42">
        <f>SUM(B2:B4)</f>
        <v>76650</v>
      </c>
      <c r="C6" s="42">
        <f t="shared" ref="C6:M6" si="0">SUM(C2:C4)</f>
        <v>74800</v>
      </c>
      <c r="D6" s="42">
        <f t="shared" si="0"/>
        <v>78750</v>
      </c>
      <c r="E6" s="42">
        <f t="shared" si="0"/>
        <v>82700</v>
      </c>
      <c r="F6" s="42">
        <f t="shared" si="0"/>
        <v>82500</v>
      </c>
      <c r="G6" s="42">
        <f t="shared" si="0"/>
        <v>82150</v>
      </c>
      <c r="H6" s="42">
        <f t="shared" si="0"/>
        <v>84000</v>
      </c>
      <c r="I6" s="42">
        <f t="shared" si="0"/>
        <v>78750</v>
      </c>
      <c r="J6" s="42">
        <f t="shared" si="0"/>
        <v>78750</v>
      </c>
      <c r="K6" s="42">
        <f t="shared" si="0"/>
        <v>86000</v>
      </c>
      <c r="L6" s="42">
        <f t="shared" si="0"/>
        <v>78750</v>
      </c>
      <c r="M6" s="42">
        <f t="shared" si="0"/>
        <v>78750</v>
      </c>
    </row>
    <row r="8" spans="1:13" ht="15.75" thickBot="1" x14ac:dyDescent="0.3"/>
    <row r="9" spans="1:13" ht="32.25" thickBot="1" x14ac:dyDescent="0.3">
      <c r="A9" s="49" t="s">
        <v>244</v>
      </c>
      <c r="B9" s="46" t="s">
        <v>229</v>
      </c>
      <c r="C9" s="46" t="s">
        <v>230</v>
      </c>
      <c r="D9" s="46" t="s">
        <v>231</v>
      </c>
      <c r="E9" s="46" t="s">
        <v>232</v>
      </c>
      <c r="F9" s="46" t="s">
        <v>233</v>
      </c>
      <c r="G9" s="46" t="s">
        <v>234</v>
      </c>
      <c r="H9" s="46" t="s">
        <v>235</v>
      </c>
      <c r="I9" s="46" t="s">
        <v>236</v>
      </c>
      <c r="J9" s="46" t="s">
        <v>237</v>
      </c>
      <c r="K9" s="46" t="s">
        <v>238</v>
      </c>
      <c r="L9" s="46" t="s">
        <v>239</v>
      </c>
      <c r="M9" s="46" t="s">
        <v>240</v>
      </c>
    </row>
    <row r="10" spans="1:13" ht="26.25" thickBot="1" x14ac:dyDescent="0.3">
      <c r="A10" s="50" t="s">
        <v>245</v>
      </c>
      <c r="B10" s="48">
        <v>6132</v>
      </c>
      <c r="C10" s="48">
        <v>5984</v>
      </c>
      <c r="D10" s="48">
        <v>6300</v>
      </c>
      <c r="E10" s="48">
        <v>6616</v>
      </c>
      <c r="F10" s="48">
        <v>6600</v>
      </c>
      <c r="G10" s="48">
        <v>6572</v>
      </c>
      <c r="H10" s="48">
        <v>6720</v>
      </c>
      <c r="I10" s="48">
        <v>6300</v>
      </c>
      <c r="J10" s="48">
        <v>6300</v>
      </c>
      <c r="K10" s="48">
        <v>6880</v>
      </c>
      <c r="L10" s="48">
        <v>6300</v>
      </c>
      <c r="M10" s="48">
        <v>6300</v>
      </c>
    </row>
    <row r="11" spans="1:13" ht="26.25" thickBot="1" x14ac:dyDescent="0.3">
      <c r="A11" s="50" t="s">
        <v>246</v>
      </c>
      <c r="B11" s="48">
        <v>4600</v>
      </c>
      <c r="C11" s="48">
        <v>4200</v>
      </c>
      <c r="D11" s="48">
        <v>5200</v>
      </c>
      <c r="E11" s="48">
        <v>5000</v>
      </c>
      <c r="F11" s="48">
        <v>5500</v>
      </c>
      <c r="G11" s="48">
        <v>5250</v>
      </c>
      <c r="H11" s="48">
        <v>5500</v>
      </c>
      <c r="I11" s="48">
        <v>5200</v>
      </c>
      <c r="J11" s="48">
        <v>5200</v>
      </c>
      <c r="K11" s="48">
        <v>4500</v>
      </c>
      <c r="L11" s="48">
        <v>5200</v>
      </c>
      <c r="M11" s="48">
        <v>5200</v>
      </c>
    </row>
    <row r="12" spans="1:13" ht="15.75" thickBot="1" x14ac:dyDescent="0.3">
      <c r="A12" s="50" t="s">
        <v>247</v>
      </c>
      <c r="B12" s="48">
        <v>2100</v>
      </c>
      <c r="C12" s="48">
        <v>2100</v>
      </c>
      <c r="D12" s="48">
        <v>2100</v>
      </c>
      <c r="E12" s="48">
        <v>2100</v>
      </c>
      <c r="F12" s="48">
        <v>2100</v>
      </c>
      <c r="G12" s="48">
        <v>2100</v>
      </c>
      <c r="H12" s="48">
        <v>2100</v>
      </c>
      <c r="I12" s="48">
        <v>2100</v>
      </c>
      <c r="J12" s="48">
        <v>2100</v>
      </c>
      <c r="K12" s="48">
        <v>2100</v>
      </c>
      <c r="L12" s="48">
        <v>2100</v>
      </c>
      <c r="M12" s="48">
        <v>2100</v>
      </c>
    </row>
    <row r="13" spans="1:13" ht="15.75" thickBot="1" x14ac:dyDescent="0.3">
      <c r="A13" s="50" t="s">
        <v>248</v>
      </c>
      <c r="B13" s="48">
        <v>1300</v>
      </c>
      <c r="C13" s="48">
        <v>1200</v>
      </c>
      <c r="D13" s="48">
        <v>1400</v>
      </c>
      <c r="E13" s="48">
        <v>1300</v>
      </c>
      <c r="F13" s="48">
        <v>1250</v>
      </c>
      <c r="G13" s="48">
        <v>1400</v>
      </c>
      <c r="H13" s="48">
        <v>1300</v>
      </c>
      <c r="I13" s="48">
        <v>1400</v>
      </c>
      <c r="J13" s="48">
        <v>1400</v>
      </c>
      <c r="K13" s="48">
        <v>1250</v>
      </c>
      <c r="L13" s="48">
        <v>1350</v>
      </c>
      <c r="M13" s="48">
        <v>1400</v>
      </c>
    </row>
    <row r="14" spans="1:13" ht="15.75" thickBot="1" x14ac:dyDescent="0.3">
      <c r="A14" s="50" t="s">
        <v>249</v>
      </c>
      <c r="B14" s="48">
        <v>16000</v>
      </c>
      <c r="C14" s="48">
        <v>16000</v>
      </c>
      <c r="D14" s="48">
        <v>16500</v>
      </c>
      <c r="E14" s="48">
        <v>16500</v>
      </c>
      <c r="F14" s="48">
        <v>16500</v>
      </c>
      <c r="G14" s="48">
        <v>17000</v>
      </c>
      <c r="H14" s="48">
        <v>17000</v>
      </c>
      <c r="I14" s="48">
        <v>17000</v>
      </c>
      <c r="J14" s="48">
        <v>17000</v>
      </c>
      <c r="K14" s="48">
        <v>17000</v>
      </c>
      <c r="L14" s="48">
        <v>17500</v>
      </c>
      <c r="M14" s="48">
        <v>17500</v>
      </c>
    </row>
    <row r="15" spans="1:13" ht="15.75" thickBot="1" x14ac:dyDescent="0.3">
      <c r="A15" s="50" t="s">
        <v>250</v>
      </c>
      <c r="B15" s="48">
        <v>14250</v>
      </c>
      <c r="C15" s="48">
        <v>13750</v>
      </c>
      <c r="D15" s="48">
        <v>14500</v>
      </c>
      <c r="E15" s="48">
        <v>15000</v>
      </c>
      <c r="F15" s="48">
        <v>14500</v>
      </c>
      <c r="G15" s="48">
        <v>14750</v>
      </c>
      <c r="H15" s="48">
        <v>15000</v>
      </c>
      <c r="I15" s="48">
        <v>14500</v>
      </c>
      <c r="J15" s="48">
        <v>14500</v>
      </c>
      <c r="K15" s="48">
        <v>15750</v>
      </c>
      <c r="L15" s="48">
        <v>15250</v>
      </c>
      <c r="M15" s="48">
        <v>14500</v>
      </c>
    </row>
    <row r="16" spans="1:13" ht="15.75" thickBot="1" x14ac:dyDescent="0.3">
      <c r="A16" s="50" t="s">
        <v>251</v>
      </c>
      <c r="B16" s="51">
        <v>500</v>
      </c>
      <c r="C16" s="51">
        <v>600</v>
      </c>
      <c r="D16" s="51">
        <v>600</v>
      </c>
      <c r="E16" s="51">
        <v>550</v>
      </c>
      <c r="F16" s="51">
        <v>600</v>
      </c>
      <c r="G16" s="51">
        <v>650</v>
      </c>
      <c r="H16" s="51">
        <v>650</v>
      </c>
      <c r="I16" s="51">
        <v>600</v>
      </c>
      <c r="J16" s="51">
        <v>600</v>
      </c>
      <c r="K16" s="51">
        <v>650</v>
      </c>
      <c r="L16" s="51">
        <v>600</v>
      </c>
      <c r="M16" s="51">
        <v>600</v>
      </c>
    </row>
    <row r="18" spans="1:13" ht="25.5" x14ac:dyDescent="0.25">
      <c r="A18" s="53" t="s">
        <v>253</v>
      </c>
      <c r="B18" s="42">
        <f>SUM(B10:B16)</f>
        <v>44882</v>
      </c>
      <c r="C18" s="42">
        <f t="shared" ref="C18:M18" si="1">SUM(C10:C16)</f>
        <v>43834</v>
      </c>
      <c r="D18" s="42">
        <f t="shared" si="1"/>
        <v>46600</v>
      </c>
      <c r="E18" s="42">
        <f t="shared" si="1"/>
        <v>47066</v>
      </c>
      <c r="F18" s="42">
        <f t="shared" si="1"/>
        <v>47050</v>
      </c>
      <c r="G18" s="42">
        <f t="shared" si="1"/>
        <v>47722</v>
      </c>
      <c r="H18" s="42">
        <f t="shared" si="1"/>
        <v>48270</v>
      </c>
      <c r="I18" s="42">
        <f t="shared" si="1"/>
        <v>47100</v>
      </c>
      <c r="J18" s="42">
        <f t="shared" si="1"/>
        <v>47100</v>
      </c>
      <c r="K18" s="42">
        <f t="shared" si="1"/>
        <v>48130</v>
      </c>
      <c r="L18" s="42">
        <f t="shared" si="1"/>
        <v>48300</v>
      </c>
      <c r="M18" s="42">
        <f t="shared" si="1"/>
        <v>47600</v>
      </c>
    </row>
    <row r="20" spans="1:13" ht="38.25" x14ac:dyDescent="0.25">
      <c r="A20" s="53" t="s">
        <v>254</v>
      </c>
      <c r="B20" s="42">
        <f>B6-B18</f>
        <v>31768</v>
      </c>
      <c r="C20" s="42">
        <f t="shared" ref="C20:M20" si="2">C6-C18</f>
        <v>30966</v>
      </c>
      <c r="D20" s="42">
        <f t="shared" si="2"/>
        <v>32150</v>
      </c>
      <c r="E20" s="42">
        <f t="shared" si="2"/>
        <v>35634</v>
      </c>
      <c r="F20" s="42">
        <f t="shared" si="2"/>
        <v>35450</v>
      </c>
      <c r="G20" s="42">
        <f t="shared" si="2"/>
        <v>34428</v>
      </c>
      <c r="H20" s="42">
        <f t="shared" si="2"/>
        <v>35730</v>
      </c>
      <c r="I20" s="42">
        <f t="shared" si="2"/>
        <v>31650</v>
      </c>
      <c r="J20" s="42">
        <f t="shared" si="2"/>
        <v>31650</v>
      </c>
      <c r="K20" s="42">
        <f t="shared" si="2"/>
        <v>37870</v>
      </c>
      <c r="L20" s="42">
        <f t="shared" si="2"/>
        <v>30450</v>
      </c>
      <c r="M20" s="42">
        <f t="shared" si="2"/>
        <v>31150</v>
      </c>
    </row>
    <row r="22" spans="1:13" x14ac:dyDescent="0.25">
      <c r="A22" t="s">
        <v>255</v>
      </c>
      <c r="B22" s="42">
        <f>SUM(B20:M20)</f>
        <v>398896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D24" sqref="D24"/>
    </sheetView>
  </sheetViews>
  <sheetFormatPr defaultRowHeight="15" x14ac:dyDescent="0.25"/>
  <sheetData>
    <row r="1" spans="1:5" ht="32.25" thickBot="1" x14ac:dyDescent="0.3">
      <c r="A1" s="54" t="s">
        <v>256</v>
      </c>
      <c r="B1" s="55" t="s">
        <v>257</v>
      </c>
      <c r="C1" s="56" t="s">
        <v>258</v>
      </c>
      <c r="D1" s="56" t="s">
        <v>259</v>
      </c>
      <c r="E1" s="56" t="s">
        <v>260</v>
      </c>
    </row>
    <row r="2" spans="1:5" ht="48" thickBot="1" x14ac:dyDescent="0.3">
      <c r="A2" s="57" t="s">
        <v>261</v>
      </c>
      <c r="B2" s="58">
        <v>0.1</v>
      </c>
      <c r="C2" s="58">
        <v>5</v>
      </c>
      <c r="D2" s="58">
        <v>9</v>
      </c>
      <c r="E2" s="58">
        <v>8</v>
      </c>
    </row>
    <row r="3" spans="1:5" ht="16.5" thickBot="1" x14ac:dyDescent="0.3">
      <c r="A3" s="57" t="s">
        <v>247</v>
      </c>
      <c r="B3" s="58">
        <v>0.2</v>
      </c>
      <c r="C3" s="58">
        <v>9</v>
      </c>
      <c r="D3" s="58">
        <v>8</v>
      </c>
      <c r="E3" s="58">
        <v>4</v>
      </c>
    </row>
    <row r="4" spans="1:5" ht="48" thickBot="1" x14ac:dyDescent="0.3">
      <c r="A4" s="57" t="s">
        <v>262</v>
      </c>
      <c r="B4" s="58">
        <v>0.3</v>
      </c>
      <c r="C4" s="58">
        <v>10</v>
      </c>
      <c r="D4" s="58">
        <v>6</v>
      </c>
      <c r="E4" s="58">
        <v>8</v>
      </c>
    </row>
    <row r="5" spans="1:5" ht="79.5" thickBot="1" x14ac:dyDescent="0.3">
      <c r="A5" s="57" t="s">
        <v>263</v>
      </c>
      <c r="B5" s="58">
        <v>0.4</v>
      </c>
      <c r="C5" s="58">
        <v>3</v>
      </c>
      <c r="D5" s="58">
        <v>4</v>
      </c>
      <c r="E5" s="58">
        <v>7</v>
      </c>
    </row>
    <row r="7" spans="1:5" ht="47.25" x14ac:dyDescent="0.25">
      <c r="A7" s="59" t="s">
        <v>265</v>
      </c>
    </row>
    <row r="8" spans="1:5" ht="15.75" thickBot="1" x14ac:dyDescent="0.3"/>
    <row r="9" spans="1:5" ht="32.25" thickBot="1" x14ac:dyDescent="0.3">
      <c r="A9" s="54" t="s">
        <v>256</v>
      </c>
      <c r="B9" s="55" t="s">
        <v>257</v>
      </c>
      <c r="C9" s="56" t="s">
        <v>258</v>
      </c>
      <c r="D9" s="56" t="s">
        <v>259</v>
      </c>
      <c r="E9" s="56" t="s">
        <v>260</v>
      </c>
    </row>
    <row r="10" spans="1:5" ht="48" thickBot="1" x14ac:dyDescent="0.3">
      <c r="A10" s="57" t="s">
        <v>261</v>
      </c>
      <c r="B10" s="58">
        <v>0.1</v>
      </c>
      <c r="C10" s="58">
        <f>$B2*C2</f>
        <v>0.5</v>
      </c>
      <c r="D10" s="58">
        <f t="shared" ref="D10:E10" si="0">$B2*D2</f>
        <v>0.9</v>
      </c>
      <c r="E10" s="58">
        <f t="shared" si="0"/>
        <v>0.8</v>
      </c>
    </row>
    <row r="11" spans="1:5" ht="16.5" thickBot="1" x14ac:dyDescent="0.3">
      <c r="A11" s="57" t="s">
        <v>247</v>
      </c>
      <c r="B11" s="58">
        <v>0.2</v>
      </c>
      <c r="C11" s="58">
        <f t="shared" ref="C11:E11" si="1">$B3*C3</f>
        <v>1.8</v>
      </c>
      <c r="D11" s="58">
        <f t="shared" si="1"/>
        <v>1.6</v>
      </c>
      <c r="E11" s="58">
        <f t="shared" si="1"/>
        <v>0.8</v>
      </c>
    </row>
    <row r="12" spans="1:5" ht="48" thickBot="1" x14ac:dyDescent="0.3">
      <c r="A12" s="57" t="s">
        <v>262</v>
      </c>
      <c r="B12" s="58">
        <v>0.3</v>
      </c>
      <c r="C12" s="58">
        <f t="shared" ref="C12:E12" si="2">$B4*C4</f>
        <v>3</v>
      </c>
      <c r="D12" s="58">
        <f t="shared" si="2"/>
        <v>1.7999999999999998</v>
      </c>
      <c r="E12" s="58">
        <f t="shared" si="2"/>
        <v>2.4</v>
      </c>
    </row>
    <row r="13" spans="1:5" ht="79.5" thickBot="1" x14ac:dyDescent="0.3">
      <c r="A13" s="57" t="s">
        <v>263</v>
      </c>
      <c r="B13" s="58">
        <v>0.4</v>
      </c>
      <c r="C13" s="58">
        <f t="shared" ref="C13:E13" si="3">$B5*C5</f>
        <v>1.2000000000000002</v>
      </c>
      <c r="D13" s="58">
        <f t="shared" si="3"/>
        <v>1.6</v>
      </c>
      <c r="E13" s="58">
        <f t="shared" si="3"/>
        <v>2.8000000000000003</v>
      </c>
    </row>
    <row r="15" spans="1:5" ht="15.75" x14ac:dyDescent="0.25">
      <c r="B15" t="s">
        <v>266</v>
      </c>
      <c r="C15" s="60">
        <f>SUM(C10:C13)</f>
        <v>6.5</v>
      </c>
      <c r="D15" s="60">
        <f t="shared" ref="D15:E15" si="4">SUM(D10:D13)</f>
        <v>5.9</v>
      </c>
      <c r="E15" s="60">
        <f t="shared" si="4"/>
        <v>6.8000000000000007</v>
      </c>
    </row>
    <row r="17" spans="1:5" x14ac:dyDescent="0.25">
      <c r="A17" t="s">
        <v>267</v>
      </c>
    </row>
    <row r="20" spans="1:5" x14ac:dyDescent="0.25">
      <c r="A20" t="s">
        <v>294</v>
      </c>
    </row>
    <row r="21" spans="1:5" ht="15.75" thickBot="1" x14ac:dyDescent="0.3"/>
    <row r="22" spans="1:5" ht="32.25" thickBot="1" x14ac:dyDescent="0.3">
      <c r="A22" s="54" t="s">
        <v>256</v>
      </c>
      <c r="B22" s="55" t="s">
        <v>257</v>
      </c>
      <c r="C22" s="56" t="s">
        <v>258</v>
      </c>
      <c r="D22" s="56" t="s">
        <v>259</v>
      </c>
      <c r="E22" s="56" t="s">
        <v>260</v>
      </c>
    </row>
    <row r="23" spans="1:5" ht="48" thickBot="1" x14ac:dyDescent="0.3">
      <c r="A23" s="57" t="s">
        <v>261</v>
      </c>
      <c r="B23" s="58">
        <v>0.1</v>
      </c>
      <c r="C23" s="58">
        <v>5</v>
      </c>
      <c r="D23" s="58">
        <v>9</v>
      </c>
      <c r="E23" s="58">
        <v>8</v>
      </c>
    </row>
    <row r="24" spans="1:5" ht="16.5" thickBot="1" x14ac:dyDescent="0.3">
      <c r="A24" s="57" t="s">
        <v>247</v>
      </c>
      <c r="B24" s="58">
        <v>0.2</v>
      </c>
      <c r="C24" s="58">
        <v>9</v>
      </c>
      <c r="D24" s="58">
        <v>8</v>
      </c>
      <c r="E24" s="58">
        <v>4</v>
      </c>
    </row>
    <row r="25" spans="1:5" ht="48" thickBot="1" x14ac:dyDescent="0.3">
      <c r="A25" s="57" t="s">
        <v>262</v>
      </c>
      <c r="B25" s="58">
        <v>0.3</v>
      </c>
      <c r="C25" s="58">
        <v>10</v>
      </c>
      <c r="D25" s="58">
        <v>6</v>
      </c>
      <c r="E25" s="58">
        <v>8</v>
      </c>
    </row>
    <row r="26" spans="1:5" ht="79.5" thickBot="1" x14ac:dyDescent="0.3">
      <c r="A26" s="57" t="s">
        <v>263</v>
      </c>
      <c r="B26" s="58">
        <v>0.4</v>
      </c>
      <c r="C26" s="58">
        <v>3</v>
      </c>
      <c r="D26" s="58">
        <v>4</v>
      </c>
      <c r="E26" s="58">
        <v>7</v>
      </c>
    </row>
    <row r="27" spans="1:5" x14ac:dyDescent="0.25">
      <c r="C27">
        <f>SUMPRODUCT($B23:$B26,C23:C26)</f>
        <v>6.5</v>
      </c>
      <c r="D27">
        <f t="shared" ref="D27:E27" si="5">SUMPRODUCT($B23:$B26,D23:D26)</f>
        <v>5.9</v>
      </c>
      <c r="E27">
        <f t="shared" si="5"/>
        <v>6.8000000000000007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F5" sqref="F5"/>
    </sheetView>
  </sheetViews>
  <sheetFormatPr defaultRowHeight="15" x14ac:dyDescent="0.25"/>
  <sheetData>
    <row r="1" spans="1:8" ht="32.25" thickBot="1" x14ac:dyDescent="0.3">
      <c r="A1" s="61" t="s">
        <v>268</v>
      </c>
      <c r="B1" s="62" t="s">
        <v>269</v>
      </c>
      <c r="C1" s="62" t="s">
        <v>270</v>
      </c>
      <c r="D1" s="62" t="s">
        <v>271</v>
      </c>
    </row>
    <row r="2" spans="1:8" ht="48" thickBot="1" x14ac:dyDescent="0.3">
      <c r="A2" s="63" t="s">
        <v>272</v>
      </c>
      <c r="B2" s="64" t="s">
        <v>273</v>
      </c>
      <c r="C2" s="65">
        <v>49</v>
      </c>
      <c r="D2" s="65">
        <v>1</v>
      </c>
      <c r="G2" s="44" t="s">
        <v>286</v>
      </c>
      <c r="H2" s="44" t="s">
        <v>287</v>
      </c>
    </row>
    <row r="3" spans="1:8" ht="79.5" thickBot="1" x14ac:dyDescent="0.3">
      <c r="A3" s="63" t="s">
        <v>274</v>
      </c>
      <c r="B3" s="64" t="s">
        <v>273</v>
      </c>
      <c r="C3" s="65">
        <v>63</v>
      </c>
      <c r="D3" s="65">
        <v>1</v>
      </c>
      <c r="F3" s="66" t="s">
        <v>295</v>
      </c>
      <c r="G3">
        <f>AVERAGEIFS(C2:C13,B2:B13,"Grass",D2:D13,"1")</f>
        <v>65</v>
      </c>
      <c r="H3">
        <f>AVERAGEIFS(C2:C13,B2:B13,"Grass",D2:D13,"2")</f>
        <v>81.666666666666671</v>
      </c>
    </row>
    <row r="4" spans="1:8" ht="79.5" thickBot="1" x14ac:dyDescent="0.3">
      <c r="A4" s="63" t="s">
        <v>275</v>
      </c>
      <c r="B4" s="64" t="s">
        <v>273</v>
      </c>
      <c r="C4" s="65">
        <v>83</v>
      </c>
      <c r="D4" s="65">
        <v>1</v>
      </c>
      <c r="F4" s="66" t="s">
        <v>296</v>
      </c>
      <c r="G4">
        <f>AVERAGEIFS(C2:C13,B2:B13,"Fire",D2:D13,"1")</f>
        <v>59.666666666666664</v>
      </c>
      <c r="H4">
        <f>AVERAGEIFS(C2:C13,B2:B13,"Fire",D2:D13,"2")</f>
        <v>59.666666666666664</v>
      </c>
    </row>
    <row r="5" spans="1:8" ht="48" thickBot="1" x14ac:dyDescent="0.3">
      <c r="A5" s="63" t="s">
        <v>276</v>
      </c>
      <c r="B5" s="64" t="s">
        <v>277</v>
      </c>
      <c r="C5" s="65">
        <v>43</v>
      </c>
      <c r="D5" s="65">
        <v>1</v>
      </c>
    </row>
    <row r="6" spans="1:8" ht="48" thickBot="1" x14ac:dyDescent="0.3">
      <c r="A6" s="63" t="s">
        <v>278</v>
      </c>
      <c r="B6" s="64" t="s">
        <v>277</v>
      </c>
      <c r="C6" s="65">
        <v>58</v>
      </c>
      <c r="D6" s="65">
        <v>1</v>
      </c>
    </row>
    <row r="7" spans="1:8" ht="48" thickBot="1" x14ac:dyDescent="0.3">
      <c r="A7" s="63" t="s">
        <v>279</v>
      </c>
      <c r="B7" s="64" t="s">
        <v>277</v>
      </c>
      <c r="C7" s="65">
        <v>78</v>
      </c>
      <c r="D7" s="65">
        <v>1</v>
      </c>
    </row>
    <row r="8" spans="1:8" ht="32.25" thickBot="1" x14ac:dyDescent="0.3">
      <c r="A8" s="63" t="s">
        <v>280</v>
      </c>
      <c r="B8" s="64" t="s">
        <v>273</v>
      </c>
      <c r="C8" s="65">
        <v>65</v>
      </c>
      <c r="D8" s="65">
        <v>2</v>
      </c>
    </row>
    <row r="9" spans="1:8" ht="32.25" thickBot="1" x14ac:dyDescent="0.3">
      <c r="A9" s="63" t="s">
        <v>281</v>
      </c>
      <c r="B9" s="64" t="s">
        <v>273</v>
      </c>
      <c r="C9" s="65">
        <v>80</v>
      </c>
      <c r="D9" s="65">
        <v>2</v>
      </c>
    </row>
    <row r="10" spans="1:8" ht="48" thickBot="1" x14ac:dyDescent="0.3">
      <c r="A10" s="63" t="s">
        <v>282</v>
      </c>
      <c r="B10" s="64" t="s">
        <v>273</v>
      </c>
      <c r="C10" s="65">
        <v>100</v>
      </c>
      <c r="D10" s="65">
        <v>2</v>
      </c>
    </row>
    <row r="11" spans="1:8" ht="48" thickBot="1" x14ac:dyDescent="0.3">
      <c r="A11" s="63" t="s">
        <v>283</v>
      </c>
      <c r="B11" s="64" t="s">
        <v>277</v>
      </c>
      <c r="C11" s="65">
        <v>43</v>
      </c>
      <c r="D11" s="65">
        <v>2</v>
      </c>
    </row>
    <row r="12" spans="1:8" ht="32.25" thickBot="1" x14ac:dyDescent="0.3">
      <c r="A12" s="63" t="s">
        <v>284</v>
      </c>
      <c r="B12" s="64" t="s">
        <v>277</v>
      </c>
      <c r="C12" s="65">
        <v>58</v>
      </c>
      <c r="D12" s="65">
        <v>2</v>
      </c>
    </row>
    <row r="13" spans="1:8" ht="48" thickBot="1" x14ac:dyDescent="0.3">
      <c r="A13" s="63" t="s">
        <v>285</v>
      </c>
      <c r="B13" s="64" t="s">
        <v>277</v>
      </c>
      <c r="C13" s="65">
        <v>78</v>
      </c>
      <c r="D13" s="6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Animals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students</cp:lastModifiedBy>
  <dcterms:created xsi:type="dcterms:W3CDTF">2019-03-29T12:33:44Z</dcterms:created>
  <dcterms:modified xsi:type="dcterms:W3CDTF">2024-08-01T12:15:46Z</dcterms:modified>
</cp:coreProperties>
</file>