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D:\"/>
    </mc:Choice>
  </mc:AlternateContent>
  <xr:revisionPtr revIDLastSave="0" documentId="8_{2989EE28-0D6B-4107-9913-9083DA04391A}" xr6:coauthVersionLast="47" xr6:coauthVersionMax="47" xr10:uidLastSave="{00000000-0000-0000-0000-000000000000}"/>
  <bookViews>
    <workbookView xWindow="-120" yWindow="-120" windowWidth="29040" windowHeight="15720" activeTab="2" xr2:uid="{55645F23-1A79-4D0B-91C0-76B89F664B9F}"/>
  </bookViews>
  <sheets>
    <sheet name="Dashboard" sheetId="2" r:id="rId1"/>
    <sheet name="Expenses Entry" sheetId="1" r:id="rId2"/>
    <sheet name="Pay Entry" sheetId="4" r:id="rId3"/>
  </sheets>
  <definedNames>
    <definedName name="Slicer_Month1">#N/A</definedName>
  </definedNames>
  <calcPr calcId="191029"/>
  <pivotCaches>
    <pivotCache cacheId="4" r:id="rId4"/>
    <pivotCache cacheId="5"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7" i="2" l="1"/>
  <c r="V3" i="1"/>
  <c r="V4" i="1"/>
  <c r="V5" i="1"/>
  <c r="V6" i="1"/>
  <c r="V7" i="1"/>
  <c r="V8" i="1"/>
  <c r="V9" i="1"/>
  <c r="V10" i="1"/>
  <c r="V11" i="1"/>
  <c r="V12" i="1"/>
  <c r="V13" i="1"/>
  <c r="V2" i="1"/>
  <c r="V14" i="1" l="1"/>
  <c r="J38" i="2" l="1"/>
  <c r="O43" i="1" s="1"/>
  <c r="J37" i="2"/>
  <c r="O41" i="1" s="1"/>
  <c r="J36" i="2"/>
  <c r="O39" i="1" s="1"/>
  <c r="J35" i="2"/>
  <c r="O37" i="1" s="1"/>
  <c r="J34" i="2"/>
  <c r="O35" i="1" s="1"/>
  <c r="J33" i="2"/>
  <c r="O33" i="1" s="1"/>
  <c r="J32" i="2"/>
  <c r="O31" i="1" s="1"/>
  <c r="J31" i="2"/>
  <c r="O29" i="1" s="1"/>
  <c r="J30" i="2"/>
  <c r="O27" i="1" s="1"/>
  <c r="J29" i="2"/>
  <c r="O25" i="1" s="1"/>
  <c r="J28" i="2"/>
  <c r="O23" i="1" s="1"/>
  <c r="J27" i="2"/>
  <c r="N3" i="1"/>
  <c r="O3" i="1"/>
  <c r="P3" i="1"/>
  <c r="Q3" i="1"/>
  <c r="R3" i="1"/>
  <c r="S3" i="1"/>
  <c r="T3" i="1"/>
  <c r="U3" i="1"/>
  <c r="N4" i="1"/>
  <c r="O4" i="1"/>
  <c r="P4" i="1"/>
  <c r="Q4" i="1"/>
  <c r="R4" i="1"/>
  <c r="S4" i="1"/>
  <c r="T4" i="1"/>
  <c r="U4" i="1"/>
  <c r="N5" i="1"/>
  <c r="O5" i="1"/>
  <c r="P5" i="1"/>
  <c r="Q5" i="1"/>
  <c r="R5" i="1"/>
  <c r="S5" i="1"/>
  <c r="T5" i="1"/>
  <c r="U5" i="1"/>
  <c r="N6" i="1"/>
  <c r="O6" i="1"/>
  <c r="P6" i="1"/>
  <c r="Q6" i="1"/>
  <c r="R6" i="1"/>
  <c r="S6" i="1"/>
  <c r="T6" i="1"/>
  <c r="U6" i="1"/>
  <c r="N7" i="1"/>
  <c r="O7" i="1"/>
  <c r="P7" i="1"/>
  <c r="Q7" i="1"/>
  <c r="R7" i="1"/>
  <c r="S7" i="1"/>
  <c r="T7" i="1"/>
  <c r="U7" i="1"/>
  <c r="N8" i="1"/>
  <c r="O8" i="1"/>
  <c r="P8" i="1"/>
  <c r="Q8" i="1"/>
  <c r="R8" i="1"/>
  <c r="S8" i="1"/>
  <c r="T8" i="1"/>
  <c r="U8" i="1"/>
  <c r="N9" i="1"/>
  <c r="O9" i="1"/>
  <c r="P9" i="1"/>
  <c r="Q9" i="1"/>
  <c r="R9" i="1"/>
  <c r="S9" i="1"/>
  <c r="T9" i="1"/>
  <c r="U9" i="1"/>
  <c r="N10" i="1"/>
  <c r="O10" i="1"/>
  <c r="P10" i="1"/>
  <c r="Q10" i="1"/>
  <c r="R10" i="1"/>
  <c r="S10" i="1"/>
  <c r="T10" i="1"/>
  <c r="U10" i="1"/>
  <c r="N11" i="1"/>
  <c r="O11" i="1"/>
  <c r="P11" i="1"/>
  <c r="Q11" i="1"/>
  <c r="R11" i="1"/>
  <c r="S11" i="1"/>
  <c r="T11" i="1"/>
  <c r="U11" i="1"/>
  <c r="N12" i="1"/>
  <c r="O12" i="1"/>
  <c r="P12" i="1"/>
  <c r="Q12" i="1"/>
  <c r="R12" i="1"/>
  <c r="S12" i="1"/>
  <c r="T12" i="1"/>
  <c r="U12" i="1"/>
  <c r="N13" i="1"/>
  <c r="O13" i="1"/>
  <c r="P13" i="1"/>
  <c r="Q13" i="1"/>
  <c r="R13" i="1"/>
  <c r="S13" i="1"/>
  <c r="T13" i="1"/>
  <c r="U13" i="1"/>
  <c r="U2" i="1"/>
  <c r="T2" i="1"/>
  <c r="S2" i="1"/>
  <c r="R2" i="1"/>
  <c r="Q2" i="1"/>
  <c r="P2" i="1"/>
  <c r="O2" i="1"/>
  <c r="N2" i="1"/>
  <c r="F38" i="2"/>
  <c r="F37" i="2"/>
  <c r="F36" i="2"/>
  <c r="F35" i="2"/>
  <c r="F34" i="2"/>
  <c r="F33" i="2"/>
  <c r="F32" i="2"/>
  <c r="F31" i="2"/>
  <c r="F30" i="2"/>
  <c r="F29" i="2"/>
  <c r="F28" i="2"/>
  <c r="E28" i="2"/>
  <c r="E38" i="2"/>
  <c r="E37" i="2"/>
  <c r="E36" i="2"/>
  <c r="E35" i="2"/>
  <c r="E34" i="2"/>
  <c r="E33" i="2"/>
  <c r="E32" i="2"/>
  <c r="E31" i="2"/>
  <c r="E30" i="2"/>
  <c r="E29" i="2"/>
  <c r="E27" i="2"/>
  <c r="D38" i="2"/>
  <c r="D37" i="2"/>
  <c r="D36" i="2"/>
  <c r="D35" i="2"/>
  <c r="D34" i="2"/>
  <c r="D33" i="2"/>
  <c r="D32" i="2"/>
  <c r="D31" i="2"/>
  <c r="D30" i="2"/>
  <c r="D29" i="2"/>
  <c r="D28" i="2"/>
  <c r="D27" i="2"/>
  <c r="AL28" i="2"/>
  <c r="AH28" i="2"/>
  <c r="O14" i="1" l="1"/>
  <c r="R14" i="1"/>
  <c r="P14" i="1"/>
  <c r="O21" i="1"/>
  <c r="F22" i="2"/>
  <c r="U14" i="1"/>
  <c r="Q14" i="1"/>
  <c r="T14" i="1"/>
  <c r="S14" i="1"/>
  <c r="N14" i="1"/>
  <c r="F16" i="2"/>
  <c r="I37" i="2"/>
  <c r="O40" i="1" s="1"/>
  <c r="I35" i="2"/>
  <c r="O36" i="1" s="1"/>
  <c r="I34" i="2"/>
  <c r="O34" i="1" s="1"/>
  <c r="I33" i="2"/>
  <c r="O32" i="1" s="1"/>
  <c r="I32" i="2"/>
  <c r="O30" i="1" s="1"/>
  <c r="I31" i="2"/>
  <c r="O28" i="1" s="1"/>
  <c r="I30" i="2"/>
  <c r="O26" i="1" s="1"/>
  <c r="I29" i="2"/>
  <c r="O24" i="1" s="1"/>
  <c r="I28" i="2"/>
  <c r="O22" i="1" s="1"/>
  <c r="I38" i="2"/>
  <c r="O42" i="1" s="1"/>
  <c r="I36" i="2"/>
  <c r="O38" i="1" s="1"/>
  <c r="I27" i="2"/>
  <c r="O20" i="1" l="1"/>
  <c r="C28" i="2"/>
  <c r="F13" i="2"/>
  <c r="C29" i="2" l="1"/>
  <c r="C30" i="2" s="1"/>
  <c r="C31" i="2" s="1"/>
  <c r="C32" i="2" s="1"/>
  <c r="C33" i="2" s="1"/>
  <c r="C34" i="2" s="1"/>
  <c r="C35" i="2" s="1"/>
  <c r="C36" i="2" s="1"/>
  <c r="C37" i="2" s="1"/>
  <c r="C38" i="2" s="1"/>
  <c r="F10" i="2"/>
  <c r="F19" i="2" s="1"/>
</calcChain>
</file>

<file path=xl/sharedStrings.xml><?xml version="1.0" encoding="utf-8"?>
<sst xmlns="http://schemas.openxmlformats.org/spreadsheetml/2006/main" count="171" uniqueCount="49">
  <si>
    <t>Mortgage</t>
  </si>
  <si>
    <t>Rent</t>
  </si>
  <si>
    <t>Car Insurance</t>
  </si>
  <si>
    <t>Fuel</t>
  </si>
  <si>
    <t>Grocery</t>
  </si>
  <si>
    <t>Dine Out</t>
  </si>
  <si>
    <t>Shopping</t>
  </si>
  <si>
    <t>Micellaneous</t>
  </si>
  <si>
    <t>PERSONAL BUDGET</t>
  </si>
  <si>
    <t>Summary</t>
  </si>
  <si>
    <t>Month</t>
  </si>
  <si>
    <t>January</t>
  </si>
  <si>
    <t>Total Monthly Income</t>
  </si>
  <si>
    <t>Total Monthly Expenses</t>
  </si>
  <si>
    <t>Total Monthly Savings</t>
  </si>
  <si>
    <t>Cash balance</t>
  </si>
  <si>
    <t>Amount</t>
  </si>
  <si>
    <t>Row Labels</t>
  </si>
  <si>
    <t>Sum of Amount</t>
  </si>
  <si>
    <t>Total Overall Savings</t>
  </si>
  <si>
    <t>Expense Amount</t>
  </si>
  <si>
    <t>Amount 1</t>
  </si>
  <si>
    <t>Saving Amount</t>
  </si>
  <si>
    <t>Expenses</t>
  </si>
  <si>
    <t>Grand Total</t>
  </si>
  <si>
    <t>Phone Bill</t>
  </si>
  <si>
    <t>Monthly Income</t>
  </si>
  <si>
    <t>May</t>
  </si>
  <si>
    <t>Prev. Bal.</t>
  </si>
  <si>
    <t>Income 1</t>
  </si>
  <si>
    <t>Income 2</t>
  </si>
  <si>
    <t>June</t>
  </si>
  <si>
    <t>July</t>
  </si>
  <si>
    <t>February</t>
  </si>
  <si>
    <t>March</t>
  </si>
  <si>
    <t>April</t>
  </si>
  <si>
    <t>August</t>
  </si>
  <si>
    <t>September</t>
  </si>
  <si>
    <t>October</t>
  </si>
  <si>
    <t>November</t>
  </si>
  <si>
    <t>December</t>
  </si>
  <si>
    <t xml:space="preserve"> </t>
  </si>
  <si>
    <t>Micellaneous2</t>
  </si>
  <si>
    <t>Savings</t>
  </si>
  <si>
    <t>Monthly Expense &amp; Savings</t>
  </si>
  <si>
    <t>Amount type</t>
  </si>
  <si>
    <t>AVERAGE</t>
  </si>
  <si>
    <t>Income 3</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</si>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</sst>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quot;₹&quot;\ #,##0.00"/>
    <numFmt numFmtId="165" formatCode="_ [$₹-439]* #,##0_ ;_ [$₹-439]* \-#,##0_ ;_ [$₹-439]* &quot;-&quot;??_ ;_ @_ "/>
    <numFmt numFmtId="166" formatCode="_(&quot;$&quot;* #,##0.00_);_(&quot;$&quot;* \(#,##0.00\);_(&quot;$&quot;* &quot;-&quot;??_);_(@_)"/>
    <numFmt numFmtId="167" formatCode="[$$-1009]#,##0.00"/>
  </numFmts>
  <fonts count="24" x14ac:knownFonts="1">
    <font>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sz val="16"/>
      <color theme="0"/>
      <name val="Calibri"/>
      <family val="2"/>
      <scheme val="minor"/>
    </font>
    <font>
      <b/>
      <sz val="16"/>
      <color theme="7" tint="0.39997558519241921"/>
      <name val="Calibri"/>
      <family val="2"/>
      <scheme val="minor"/>
    </font>
    <font>
      <sz val="11"/>
      <color theme="1"/>
      <name val="Century Gothic"/>
      <family val="2"/>
    </font>
    <font>
      <b/>
      <sz val="14"/>
      <color theme="2" tint="-0.749992370372631"/>
      <name val="Century Gothic"/>
      <family val="2"/>
    </font>
    <font>
      <b/>
      <sz val="10"/>
      <color theme="1"/>
      <name val="Century Gothic"/>
      <family val="2"/>
    </font>
    <font>
      <sz val="9"/>
      <color rgb="FF0070C0"/>
      <name val="Century Gothic"/>
      <family val="2"/>
    </font>
    <font>
      <b/>
      <sz val="14"/>
      <color theme="1" tint="0.34998626667073579"/>
      <name val="Century Gothic"/>
      <family val="2"/>
    </font>
    <font>
      <b/>
      <sz val="11"/>
      <color theme="1" tint="0.249977111117893"/>
      <name val="Century Gothic"/>
      <family val="2"/>
    </font>
    <font>
      <sz val="12"/>
      <color theme="1"/>
      <name val="Century Gothic"/>
      <family val="2"/>
    </font>
    <font>
      <sz val="11"/>
      <color rgb="FF0070C0"/>
      <name val="Calibri"/>
      <family val="2"/>
      <scheme val="minor"/>
    </font>
    <font>
      <sz val="11"/>
      <color theme="1" tint="0.249977111117893"/>
      <name val="Calibri"/>
      <family val="2"/>
      <scheme val="minor"/>
    </font>
    <font>
      <sz val="11"/>
      <color theme="1" tint="0.14999847407452621"/>
      <name val="Calibri"/>
      <family val="2"/>
      <scheme val="minor"/>
    </font>
    <font>
      <b/>
      <sz val="10"/>
      <color theme="2" tint="-0.749992370372631"/>
      <name val="Century Gothic"/>
      <family val="2"/>
    </font>
    <font>
      <sz val="9"/>
      <color theme="1"/>
      <name val="Century Gothic"/>
      <family val="2"/>
    </font>
    <font>
      <sz val="9"/>
      <color theme="1" tint="0.249977111117893"/>
      <name val="Century Gothic"/>
      <family val="2"/>
    </font>
    <font>
      <sz val="11"/>
      <color theme="2" tint="-0.749992370372631"/>
      <name val="Century Gothic"/>
      <family val="2"/>
    </font>
    <font>
      <sz val="14"/>
      <color theme="1"/>
      <name val="Calibri"/>
      <family val="2"/>
      <scheme val="minor"/>
    </font>
    <font>
      <sz val="13"/>
      <color theme="1" tint="0.249977111117893"/>
      <name val="Calibri"/>
      <family val="2"/>
      <scheme val="minor"/>
    </font>
    <font>
      <sz val="13"/>
      <color theme="1"/>
      <name val="Calibri"/>
      <family val="2"/>
      <scheme val="minor"/>
    </font>
    <font>
      <b/>
      <sz val="13"/>
      <color theme="0"/>
      <name val="Calibri"/>
      <family val="2"/>
      <scheme val="minor"/>
    </font>
  </fonts>
  <fills count="6">
    <fill>
      <patternFill patternType="none"/>
    </fill>
    <fill>
      <patternFill patternType="gray125"/>
    </fill>
    <fill>
      <patternFill patternType="solid">
        <fgColor theme="4"/>
        <bgColor theme="4"/>
      </patternFill>
    </fill>
    <fill>
      <patternFill patternType="solid">
        <fgColor theme="3" tint="-0.499984740745262"/>
        <bgColor indexed="64"/>
      </patternFill>
    </fill>
    <fill>
      <patternFill patternType="solid">
        <fgColor theme="9" tint="0.39997558519241921"/>
        <bgColor indexed="64"/>
      </patternFill>
    </fill>
    <fill>
      <patternFill patternType="solid">
        <fgColor theme="4" tint="0.79998168889431442"/>
        <bgColor theme="4" tint="0.79998168889431442"/>
      </patternFill>
    </fill>
  </fills>
  <borders count="1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ck">
        <color rgb="FF0070C0"/>
      </top>
      <bottom/>
      <diagonal/>
    </border>
    <border>
      <left/>
      <right/>
      <top/>
      <bottom style="thick">
        <color rgb="FF0070C0"/>
      </bottom>
      <diagonal/>
    </border>
    <border>
      <left/>
      <right/>
      <top/>
      <bottom style="thin">
        <color rgb="FF969696"/>
      </bottom>
      <diagonal/>
    </border>
    <border>
      <left/>
      <right/>
      <top/>
      <bottom style="thin">
        <color theme="0" tint="-0.499984740745262"/>
      </bottom>
      <diagonal/>
    </border>
    <border>
      <left style="thin">
        <color theme="0" tint="-0.499984740745262"/>
      </left>
      <right/>
      <top/>
      <bottom style="thin">
        <color theme="0" tint="-0.499984740745262"/>
      </bottom>
      <diagonal/>
    </border>
    <border>
      <left/>
      <right/>
      <top style="thin">
        <color theme="0" tint="-0.499984740745262"/>
      </top>
      <bottom/>
      <diagonal/>
    </border>
    <border>
      <left style="thin">
        <color theme="0" tint="-0.499984740745262"/>
      </left>
      <right/>
      <top style="thin">
        <color theme="0" tint="-0.499984740745262"/>
      </top>
      <bottom/>
      <diagonal/>
    </border>
    <border>
      <left style="thin">
        <color theme="0" tint="-0.499984740745262"/>
      </left>
      <right/>
      <top style="thin">
        <color theme="0" tint="-0.34998626667073579"/>
      </top>
      <bottom/>
      <diagonal/>
    </border>
    <border>
      <left style="thin">
        <color theme="0" tint="-0.499984740745262"/>
      </left>
      <right/>
      <top/>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6">
    <xf numFmtId="0" fontId="0" fillId="0" borderId="0" xfId="0"/>
    <xf numFmtId="0" fontId="2" fillId="2" borderId="1" xfId="0" applyFont="1" applyFill="1" applyBorder="1"/>
    <xf numFmtId="0" fontId="2" fillId="2" borderId="2" xfId="0" applyFont="1" applyFill="1" applyBorder="1"/>
    <xf numFmtId="0" fontId="4" fillId="3" borderId="3" xfId="0" applyFont="1" applyFill="1" applyBorder="1" applyAlignment="1">
      <alignment vertical="center"/>
    </xf>
    <xf numFmtId="0" fontId="0" fillId="4" borderId="0" xfId="0" applyFill="1"/>
    <xf numFmtId="0" fontId="4" fillId="3" borderId="4" xfId="0" applyFont="1" applyFill="1" applyBorder="1" applyAlignment="1">
      <alignment vertical="center"/>
    </xf>
    <xf numFmtId="0" fontId="6" fillId="4" borderId="0" xfId="0" applyFont="1" applyFill="1"/>
    <xf numFmtId="0" fontId="6" fillId="4" borderId="0" xfId="0" applyFont="1" applyFill="1" applyAlignment="1">
      <alignment horizontal="center"/>
    </xf>
    <xf numFmtId="0" fontId="7" fillId="4" borderId="0" xfId="0" applyFont="1" applyFill="1"/>
    <xf numFmtId="0" fontId="8" fillId="4" borderId="0" xfId="0" applyFont="1" applyFill="1"/>
    <xf numFmtId="0" fontId="9" fillId="4" borderId="5" xfId="0" applyFont="1" applyFill="1" applyBorder="1" applyAlignment="1">
      <alignment horizontal="left"/>
    </xf>
    <xf numFmtId="9" fontId="6" fillId="4" borderId="0" xfId="2" applyFont="1" applyFill="1"/>
    <xf numFmtId="164" fontId="6" fillId="4" borderId="0" xfId="0" applyNumberFormat="1" applyFont="1" applyFill="1"/>
    <xf numFmtId="165" fontId="6" fillId="4" borderId="0" xfId="0" applyNumberFormat="1" applyFont="1" applyFill="1"/>
    <xf numFmtId="0" fontId="11" fillId="4" borderId="6" xfId="0" applyFont="1" applyFill="1" applyBorder="1" applyAlignment="1">
      <alignment horizontal="left"/>
    </xf>
    <xf numFmtId="165" fontId="12" fillId="4" borderId="0" xfId="0" applyNumberFormat="1" applyFont="1" applyFill="1" applyAlignment="1">
      <alignment horizontal="left"/>
    </xf>
    <xf numFmtId="0" fontId="13" fillId="4" borderId="6" xfId="0" applyFont="1" applyFill="1" applyBorder="1"/>
    <xf numFmtId="0" fontId="13" fillId="4" borderId="7" xfId="0" applyFont="1" applyFill="1" applyBorder="1"/>
    <xf numFmtId="0" fontId="14" fillId="4" borderId="8" xfId="0" applyFont="1" applyFill="1" applyBorder="1" applyAlignment="1">
      <alignment horizontal="left"/>
    </xf>
    <xf numFmtId="0" fontId="15" fillId="4" borderId="0" xfId="0" applyFont="1" applyFill="1" applyAlignment="1">
      <alignment horizontal="left"/>
    </xf>
    <xf numFmtId="0" fontId="14" fillId="4" borderId="6" xfId="0" applyFont="1" applyFill="1" applyBorder="1" applyAlignment="1">
      <alignment horizontal="left"/>
    </xf>
    <xf numFmtId="0" fontId="15" fillId="4" borderId="8" xfId="0" applyFont="1" applyFill="1" applyBorder="1" applyAlignment="1">
      <alignment horizontal="left"/>
    </xf>
    <xf numFmtId="166" fontId="6" fillId="4" borderId="0" xfId="0" applyNumberFormat="1" applyFont="1" applyFill="1"/>
    <xf numFmtId="0" fontId="16" fillId="4" borderId="0" xfId="0" applyFont="1" applyFill="1"/>
    <xf numFmtId="0" fontId="17" fillId="4" borderId="0" xfId="0" applyFont="1" applyFill="1"/>
    <xf numFmtId="0" fontId="9" fillId="4" borderId="5" xfId="0" applyFont="1" applyFill="1" applyBorder="1"/>
    <xf numFmtId="0" fontId="9" fillId="4" borderId="5" xfId="0" applyFont="1" applyFill="1" applyBorder="1" applyAlignment="1">
      <alignment horizontal="center"/>
    </xf>
    <xf numFmtId="0" fontId="9" fillId="4" borderId="5" xfId="0" applyFont="1" applyFill="1" applyBorder="1" applyAlignment="1">
      <alignment horizontal="right"/>
    </xf>
    <xf numFmtId="0" fontId="18" fillId="4" borderId="0" xfId="0" applyFont="1" applyFill="1"/>
    <xf numFmtId="167" fontId="18" fillId="4" borderId="0" xfId="1" applyNumberFormat="1" applyFont="1" applyFill="1" applyAlignment="1">
      <alignment horizontal="center"/>
    </xf>
    <xf numFmtId="167" fontId="18" fillId="4" borderId="0" xfId="1" applyNumberFormat="1" applyFont="1" applyFill="1" applyBorder="1" applyAlignment="1">
      <alignment horizontal="center"/>
    </xf>
    <xf numFmtId="16" fontId="6" fillId="4" borderId="0" xfId="0" applyNumberFormat="1" applyFont="1" applyFill="1"/>
    <xf numFmtId="0" fontId="19" fillId="4" borderId="0" xfId="0" applyFont="1" applyFill="1"/>
    <xf numFmtId="44" fontId="18" fillId="4" borderId="0" xfId="1" applyFont="1" applyFill="1" applyBorder="1" applyAlignment="1">
      <alignment horizontal="left"/>
    </xf>
    <xf numFmtId="0" fontId="14" fillId="4" borderId="0" xfId="0" applyFont="1" applyFill="1" applyAlignment="1">
      <alignment horizontal="left"/>
    </xf>
    <xf numFmtId="0" fontId="14" fillId="4" borderId="11" xfId="0" applyFont="1" applyFill="1" applyBorder="1"/>
    <xf numFmtId="0" fontId="14" fillId="4" borderId="7" xfId="0" applyFont="1" applyFill="1" applyBorder="1"/>
    <xf numFmtId="0" fontId="14" fillId="4" borderId="9" xfId="0" applyFont="1" applyFill="1" applyBorder="1"/>
    <xf numFmtId="0" fontId="15" fillId="4" borderId="10" xfId="0" applyFont="1" applyFill="1" applyBorder="1"/>
    <xf numFmtId="0" fontId="15" fillId="4" borderId="7" xfId="0" applyFont="1" applyFill="1" applyBorder="1"/>
    <xf numFmtId="0" fontId="15" fillId="4" borderId="11" xfId="0" applyFont="1" applyFill="1" applyBorder="1"/>
    <xf numFmtId="167" fontId="0" fillId="0" borderId="0" xfId="0" applyNumberFormat="1"/>
    <xf numFmtId="167" fontId="0" fillId="5" borderId="1" xfId="0" applyNumberFormat="1" applyFill="1" applyBorder="1"/>
    <xf numFmtId="167" fontId="10" fillId="4" borderId="0" xfId="1" applyNumberFormat="1" applyFont="1" applyFill="1" applyAlignment="1">
      <alignment horizontal="center"/>
    </xf>
    <xf numFmtId="0" fontId="20" fillId="0" borderId="0" xfId="0" applyFont="1" applyAlignment="1">
      <alignment vertical="center" wrapText="1"/>
    </xf>
    <xf numFmtId="167" fontId="0" fillId="0" borderId="0" xfId="0" applyNumberFormat="1" applyAlignment="1">
      <alignment horizontal="center"/>
    </xf>
    <xf numFmtId="0" fontId="0" fillId="0" borderId="0" xfId="0" applyAlignment="1">
      <alignment horizontal="center"/>
    </xf>
    <xf numFmtId="0" fontId="0" fillId="0" borderId="0" xfId="0" applyAlignment="1">
      <alignment horizontal="left"/>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3" fillId="2" borderId="12" xfId="0" applyFont="1" applyFill="1" applyBorder="1" applyAlignment="1">
      <alignment horizontal="center" vertical="center" wrapText="1"/>
    </xf>
    <xf numFmtId="0" fontId="23" fillId="2" borderId="13" xfId="0" applyFont="1" applyFill="1" applyBorder="1" applyAlignment="1">
      <alignment horizontal="center" vertical="center" wrapText="1"/>
    </xf>
    <xf numFmtId="0" fontId="10" fillId="4" borderId="0" xfId="0" applyFont="1" applyFill="1" applyAlignment="1">
      <alignment horizontal="center"/>
    </xf>
    <xf numFmtId="16" fontId="0" fillId="0" borderId="0" xfId="0" applyNumberFormat="1" applyAlignment="1">
      <alignment horizontal="left"/>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cellXfs>
  <cellStyles count="3">
    <cellStyle name="Currency" xfId="1" builtinId="4"/>
    <cellStyle name="Normal" xfId="0" builtinId="0"/>
    <cellStyle name="Percent" xfId="2" builtinId="5"/>
  </cellStyles>
  <dxfs count="9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3"/>
        <color theme="1" tint="0.249977111117893"/>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9"/>
        <color theme="1" tint="0.249977111117893"/>
        <name val="Century Gothic"/>
        <family val="2"/>
        <scheme val="none"/>
      </font>
      <numFmt numFmtId="167" formatCode="[$$-1009]#,##0.00"/>
      <fill>
        <patternFill patternType="solid">
          <fgColor indexed="64"/>
          <bgColor theme="9" tint="0.3999755851924192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font>
        <b/>
        <i val="0"/>
        <strike val="0"/>
        <condense val="0"/>
        <extend val="0"/>
        <outline val="0"/>
        <shadow val="0"/>
        <u val="none"/>
        <vertAlign val="baseline"/>
        <sz val="9"/>
        <color rgb="FF0070C0"/>
        <name val="Century Gothic"/>
        <family val="2"/>
        <scheme val="none"/>
      </font>
      <fill>
        <patternFill patternType="solid">
          <fgColor indexed="64"/>
          <bgColor theme="9" tint="0.39997558519241921"/>
        </patternFill>
      </fill>
      <alignment horizontal="right" vertical="bottom" textRotation="0" wrapText="0" indent="0" justifyLastLine="0" shrinkToFit="0" readingOrder="0"/>
      <border diagonalUp="0" diagonalDown="0" outline="0">
        <left/>
        <right/>
        <top style="thin">
          <color theme="4" tint="0.39997558519241921"/>
        </top>
        <bottom style="thin">
          <color rgb="FF969696"/>
        </bottom>
      </border>
    </dxf>
    <dxf>
      <font>
        <b val="0"/>
        <i val="0"/>
        <strike val="0"/>
        <condense val="0"/>
        <extend val="0"/>
        <outline val="0"/>
        <shadow val="0"/>
        <u val="none"/>
        <vertAlign val="baseline"/>
        <sz val="9"/>
        <color theme="1" tint="0.249977111117893"/>
        <name val="Century Gothic"/>
        <family val="2"/>
        <scheme val="none"/>
      </font>
      <fill>
        <patternFill patternType="solid">
          <fgColor indexed="64"/>
          <bgColor theme="9" tint="0.39997558519241921"/>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rder>
    </dxf>
    <dxf>
      <border outline="0">
        <bottom style="thin">
          <color rgb="FF969696"/>
        </bottom>
      </border>
    </dxf>
    <dxf>
      <numFmt numFmtId="167" formatCode="[$$-1009]#,##0.00"/>
    </dxf>
    <dxf>
      <numFmt numFmtId="167" formatCode="[$$-1009]#,##0.00"/>
    </dxf>
    <dxf>
      <numFmt numFmtId="167" formatCode="[$$-1009]#,##0.00"/>
    </dxf>
    <dxf>
      <numFmt numFmtId="167" formatCode="[$$-1009]#,##0.00"/>
    </dxf>
    <dxf>
      <numFmt numFmtId="167" formatCode="[$$-1009]#,##0.00"/>
    </dxf>
    <dxf>
      <numFmt numFmtId="167" formatCode="[$$-1009]#,##0.00"/>
    </dxf>
    <dxf>
      <numFmt numFmtId="167" formatCode="[$$-1009]#,##0.00"/>
    </dxf>
    <dxf>
      <numFmt numFmtId="167" formatCode="[$$-1009]#,##0.00"/>
    </dxf>
    <dxf>
      <numFmt numFmtId="167" formatCode="[$$-1009]#,##0.0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3"/>
        <color theme="0"/>
        <name val="Calibri"/>
        <family val="2"/>
        <scheme val="minor"/>
      </font>
      <fill>
        <patternFill patternType="solid">
          <fgColor theme="4"/>
          <bgColor theme="4"/>
        </patternFill>
      </fill>
      <alignment horizontal="center" vertical="center" textRotation="0" wrapText="1"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font>
        <strike val="0"/>
        <outline val="0"/>
        <shadow val="0"/>
        <u val="none"/>
        <vertAlign val="baseline"/>
        <sz val="11"/>
        <color theme="1"/>
        <name val="Calibri"/>
        <family val="2"/>
        <scheme val="minor"/>
      </font>
      <numFmt numFmtId="167" formatCode="[$$-1009]#,##0.00"/>
      <alignment horizontal="center" vertical="bottom" textRotation="0" wrapText="0" indent="0" justifyLastLine="0" shrinkToFit="0" readingOrder="0"/>
    </dxf>
    <dxf>
      <alignment horizontal="left" vertical="bottom" textRotation="0" wrapText="0" indent="0" justifyLastLine="0" shrinkToFit="0" readingOrder="0"/>
    </dxf>
    <dxf>
      <font>
        <strike val="0"/>
        <outline val="0"/>
        <shadow val="0"/>
        <u val="none"/>
        <vertAlign val="baseline"/>
        <sz val="11"/>
        <color theme="1"/>
        <name val="Calibri"/>
        <family val="2"/>
        <scheme val="minor"/>
      </font>
      <alignment horizontal="left"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3"/>
        <color theme="1" tint="0.249977111117893"/>
        <name val="Calibri"/>
        <family val="2"/>
        <scheme val="minor"/>
      </font>
      <alignment horizontal="center" vertical="center" textRotation="0" wrapText="1" indent="0" justifyLastLine="0" shrinkToFit="0" readingOrder="0"/>
    </dxf>
    <dxf>
      <border>
        <left style="thin">
          <color theme="0" tint="-0.499984740745262"/>
        </left>
      </border>
    </dxf>
    <dxf>
      <border>
        <left style="thin">
          <color theme="0" tint="-0.499984740745262"/>
        </left>
      </border>
    </dxf>
    <dxf>
      <border>
        <bottom style="thin">
          <color theme="0" tint="-0.499984740745262"/>
        </bottom>
      </border>
    </dxf>
    <dxf>
      <border>
        <top style="thin">
          <color theme="0" tint="-0.499984740745262"/>
        </top>
      </border>
    </dxf>
    <dxf>
      <border>
        <bottom style="thin">
          <color theme="0" tint="-0.499984740745262"/>
        </bottom>
      </border>
    </dxf>
    <dxf>
      <border>
        <bottom style="thin">
          <color theme="0" tint="-0.499984740745262"/>
        </bottom>
      </border>
    </dxf>
    <dxf>
      <border>
        <top style="thin">
          <color theme="0" tint="-0.34998626667073579"/>
        </top>
      </border>
    </dxf>
    <dxf>
      <font>
        <color theme="1" tint="0.14999847407452621"/>
      </font>
    </dxf>
    <dxf>
      <font>
        <color theme="1" tint="0.14999847407452621"/>
      </font>
    </dxf>
    <dxf>
      <font>
        <color theme="1" tint="0.14999847407452621"/>
      </font>
    </dxf>
    <dxf>
      <font>
        <color rgb="FF0070C0"/>
      </font>
    </dxf>
    <dxf>
      <font>
        <color rgb="FF0070C0"/>
      </font>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border>
        <bottom style="thin">
          <color theme="0" tint="-0.499984740745262"/>
        </bottom>
      </border>
    </dxf>
    <dxf>
      <border>
        <top style="thin">
          <color theme="0" tint="-0.499984740745262"/>
        </top>
      </border>
    </dxf>
    <dxf>
      <border>
        <left style="thin">
          <color theme="0" tint="-0.499984740745262"/>
        </left>
      </border>
    </dxf>
    <dxf>
      <border>
        <left style="thin">
          <color theme="0" tint="-0.499984740745262"/>
        </left>
      </border>
    </dxf>
    <dxf>
      <border>
        <left style="thin">
          <color theme="0" tint="-0.499984740745262"/>
        </left>
      </border>
    </dxf>
    <dxf>
      <border>
        <bottom style="thin">
          <color theme="0" tint="-0.499984740745262"/>
        </bottom>
      </border>
    </dxf>
    <dxf>
      <border>
        <bottom style="thin">
          <color theme="0" tint="-0.499984740745262"/>
        </bottom>
      </border>
    </dxf>
    <dxf>
      <border>
        <bottom style="thin">
          <color theme="0" tint="-0.499984740745262"/>
        </bottom>
      </border>
    </dxf>
    <dxf>
      <border>
        <top style="thin">
          <color theme="0" tint="-0.499984740745262"/>
        </top>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font>
        <color rgb="FF0070C0"/>
      </font>
    </dxf>
    <dxf>
      <font>
        <color rgb="FF0070C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0.249977111117893"/>
      </font>
    </dxf>
    <dxf>
      <font>
        <color theme="1" tint="0.249977111117893"/>
      </font>
    </dxf>
    <dxf>
      <font>
        <color theme="1" tint="0.249977111117893"/>
      </font>
    </dxf>
    <dxf>
      <font>
        <color theme="1" tint="0.249977111117893"/>
      </font>
    </dxf>
    <dxf>
      <font>
        <color theme="1" tint="0.249977111117893"/>
      </font>
    </dxf>
    <dxf>
      <font>
        <color theme="1" tint="0.249977111117893"/>
      </font>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7558519241921"/>
        </patternFill>
      </fill>
    </dxf>
    <dxf>
      <fill>
        <patternFill>
          <bgColor theme="9" tint="0.39994506668294322"/>
        </patternFill>
      </fill>
    </dxf>
  </dxfs>
  <tableStyles count="1" defaultTableStyle="TableStyleMedium2" defaultPivotStyle="PivotStyleLight16">
    <tableStyle name="Slicer Style 6" pivot="0" table="0" count="5" xr9:uid="{58AC6590-D5CD-4CE1-BE04-2EEED6CB379C}">
      <tableStyleElement type="wholeTable" dxfId="89"/>
    </tableStyle>
  </tableStyles>
  <extLst>
    <ext xmlns:x14="http://schemas.microsoft.com/office/spreadsheetml/2009/9/main" uri="{46F421CA-312F-682f-3DD2-61675219B42D}">
      <x14:dxfs count="4">
        <dxf>
          <fill>
            <gradientFill degree="90">
              <stop position="0">
                <color theme="7" tint="0.59999389629810485"/>
              </stop>
              <stop position="1">
                <color theme="7" tint="0.40000610370189521"/>
              </stop>
            </gradientFill>
          </fill>
        </dxf>
        <dxf>
          <fill>
            <gradientFill degree="90">
              <stop position="0">
                <color theme="7" tint="0.59999389629810485"/>
              </stop>
              <stop position="1">
                <color theme="7" tint="0.40000610370189521"/>
              </stop>
            </gradientFill>
          </fill>
        </dxf>
        <dxf>
          <font>
            <color theme="0"/>
          </font>
          <fill>
            <patternFill>
              <bgColor rgb="FFEC7320"/>
            </patternFill>
          </fill>
        </dxf>
        <dxf>
          <fill>
            <patternFill>
              <bgColor theme="0" tint="-0.34998626667073579"/>
            </patternFill>
          </fill>
        </dxf>
      </x14:dxfs>
    </ext>
    <ext xmlns:x14="http://schemas.microsoft.com/office/spreadsheetml/2009/9/main" uri="{EB79DEF2-80B8-43e5-95BD-54CBDDF9020C}">
      <x14:slicerStyles defaultSlicerStyle="SlicerStyleLight1">
        <x14:slicerStyle name="Slicer Style 6">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800" b="1" i="0" u="none" strike="noStrike" kern="1200" spc="0" baseline="0">
                <a:solidFill>
                  <a:srgbClr val="44546A"/>
                </a:solidFill>
                <a:effectLst/>
                <a:latin typeface="+mn-lt"/>
                <a:ea typeface="+mn-ea"/>
                <a:cs typeface="+mn-cs"/>
              </a:defRPr>
            </a:pPr>
            <a:r>
              <a:rPr lang="en-US" sz="1800" b="1" i="0" u="none" strike="noStrike" kern="1200" baseline="0">
                <a:solidFill>
                  <a:srgbClr val="44546A"/>
                </a:solidFill>
                <a:effectLst/>
                <a:latin typeface="+mn-lt"/>
                <a:ea typeface="+mn-ea"/>
                <a:cs typeface="+mn-cs"/>
              </a:rPr>
              <a:t>Expenses vs Savings Over Months</a:t>
            </a:r>
          </a:p>
        </c:rich>
      </c:tx>
      <c:layout>
        <c:manualLayout>
          <c:xMode val="edge"/>
          <c:yMode val="edge"/>
          <c:x val="0.3501434159061278"/>
          <c:y val="2.359882005899705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US" sz="1800" b="1" i="0" u="none" strike="noStrike" kern="1200" spc="0" baseline="0">
              <a:solidFill>
                <a:srgbClr val="44546A"/>
              </a:solidFill>
              <a:effectLst/>
              <a:latin typeface="+mn-lt"/>
              <a:ea typeface="+mn-ea"/>
              <a:cs typeface="+mn-cs"/>
            </a:defRPr>
          </a:pPr>
          <a:endParaRPr lang="en-US"/>
        </a:p>
      </c:txPr>
    </c:title>
    <c:autoTitleDeleted val="0"/>
    <c:plotArea>
      <c:layout/>
      <c:barChart>
        <c:barDir val="col"/>
        <c:grouping val="clustered"/>
        <c:varyColors val="0"/>
        <c:ser>
          <c:idx val="0"/>
          <c:order val="0"/>
          <c:tx>
            <c:strRef>
              <c:f>Dashboard!$I$26</c:f>
              <c:strCache>
                <c:ptCount val="1"/>
                <c:pt idx="0">
                  <c:v>Expense Amount</c:v>
                </c:pt>
              </c:strCache>
            </c:strRef>
          </c:tx>
          <c:spPr>
            <a:gradFill>
              <a:gsLst>
                <a:gs pos="0">
                  <a:srgbClr val="FF0000">
                    <a:alpha val="84000"/>
                  </a:srgbClr>
                </a:gs>
                <a:gs pos="74000">
                  <a:srgbClr val="FF0000"/>
                </a:gs>
                <a:gs pos="83000">
                  <a:srgbClr val="FF0000"/>
                </a:gs>
                <a:gs pos="100000">
                  <a:srgbClr val="C00000"/>
                </a:gs>
              </a:gsLst>
              <a:lin ang="5400000" scaled="1"/>
            </a:gradFill>
            <a:ln>
              <a:noFill/>
            </a:ln>
            <a:effectLst>
              <a:outerShdw blurRad="50800" dist="38100" dir="8100000" algn="tr" rotWithShape="0">
                <a:prstClr val="black">
                  <a:alpha val="43000"/>
                </a:prstClr>
              </a:outerShdw>
            </a:effectLst>
          </c:spPr>
          <c:invertIfNegative val="0"/>
          <c:dPt>
            <c:idx val="0"/>
            <c:invertIfNegative val="0"/>
            <c:bubble3D val="0"/>
            <c:spPr>
              <a:gradFill flip="none" rotWithShape="1">
                <a:gsLst>
                  <a:gs pos="0">
                    <a:srgbClr val="FF0000"/>
                  </a:gs>
                  <a:gs pos="35000">
                    <a:srgbClr val="FF0000"/>
                  </a:gs>
                  <a:gs pos="100000">
                    <a:srgbClr val="C00000"/>
                  </a:gs>
                </a:gsLst>
                <a:path path="circle">
                  <a:fillToRect l="50000" t="-80000" r="50000" b="180000"/>
                </a:path>
                <a:tileRect/>
              </a:gradFill>
              <a:ln>
                <a:noFill/>
              </a:ln>
              <a:effectLst>
                <a:outerShdw blurRad="50800" dist="38100" dir="8100000" algn="tr" rotWithShape="0">
                  <a:prstClr val="black">
                    <a:alpha val="43000"/>
                  </a:prstClr>
                </a:outerShdw>
              </a:effectLst>
            </c:spPr>
            <c:extLst>
              <c:ext xmlns:c16="http://schemas.microsoft.com/office/drawing/2014/chart" uri="{C3380CC4-5D6E-409C-BE32-E72D297353CC}">
                <c16:uniqueId val="{00000000-C523-46A2-8E82-2B85AFB4B72D}"/>
              </c:ext>
            </c:extLst>
          </c:dPt>
          <c:cat>
            <c:strRef>
              <c:f>Dashboard!$H$27:$H$38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Dashboard!$I$27:$I$38</c:f>
              <c:numCache>
                <c:formatCode>[$$-1009]#,##0.00</c:formatCode>
                <c:ptCount val="12"/>
                <c:pt idx="0">
                  <c:v>2148.31</c:v>
                </c:pt>
                <c:pt idx="1">
                  <c:v>955.97</c:v>
                </c:pt>
                <c:pt idx="2">
                  <c:v>380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E88-42A6-A529-ECCACDB21CEA}"/>
            </c:ext>
          </c:extLst>
        </c:ser>
        <c:dLbls>
          <c:showLegendKey val="0"/>
          <c:showVal val="0"/>
          <c:showCatName val="0"/>
          <c:showSerName val="0"/>
          <c:showPercent val="0"/>
          <c:showBubbleSize val="0"/>
        </c:dLbls>
        <c:gapWidth val="150"/>
        <c:axId val="688887136"/>
        <c:axId val="688889312"/>
      </c:barChart>
      <c:lineChart>
        <c:grouping val="standard"/>
        <c:varyColors val="0"/>
        <c:ser>
          <c:idx val="1"/>
          <c:order val="1"/>
          <c:tx>
            <c:strRef>
              <c:f>Dashboard!$J$26</c:f>
              <c:strCache>
                <c:ptCount val="1"/>
                <c:pt idx="0">
                  <c:v>Saving Amount</c:v>
                </c:pt>
              </c:strCache>
            </c:strRef>
          </c:tx>
          <c:spPr>
            <a:ln w="2857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Dashboard!$H$27:$H$38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Dashboard!$J$27:$J$38</c:f>
              <c:numCache>
                <c:formatCode>[$$-1009]#,##0.00</c:formatCode>
                <c:ptCount val="12"/>
                <c:pt idx="0">
                  <c:v>1489</c:v>
                </c:pt>
                <c:pt idx="1">
                  <c:v>350</c:v>
                </c:pt>
                <c:pt idx="2">
                  <c:v>250</c:v>
                </c:pt>
                <c:pt idx="3">
                  <c:v>0</c:v>
                </c:pt>
                <c:pt idx="4">
                  <c:v>0</c:v>
                </c:pt>
                <c:pt idx="5">
                  <c:v>0</c:v>
                </c:pt>
                <c:pt idx="6">
                  <c:v>0</c:v>
                </c:pt>
                <c:pt idx="7">
                  <c:v>0</c:v>
                </c:pt>
                <c:pt idx="8">
                  <c:v>0</c:v>
                </c:pt>
                <c:pt idx="9">
                  <c:v>0</c:v>
                </c:pt>
                <c:pt idx="10">
                  <c:v>0</c:v>
                </c:pt>
                <c:pt idx="11">
                  <c:v>0</c:v>
                </c:pt>
              </c:numCache>
            </c:numRef>
          </c:val>
          <c:smooth val="1"/>
          <c:extLst>
            <c:ext xmlns:c16="http://schemas.microsoft.com/office/drawing/2014/chart" uri="{C3380CC4-5D6E-409C-BE32-E72D297353CC}">
              <c16:uniqueId val="{00000001-1E88-42A6-A529-ECCACDB21CEA}"/>
            </c:ext>
          </c:extLst>
        </c:ser>
        <c:dLbls>
          <c:showLegendKey val="0"/>
          <c:showVal val="0"/>
          <c:showCatName val="0"/>
          <c:showSerName val="0"/>
          <c:showPercent val="0"/>
          <c:showBubbleSize val="0"/>
        </c:dLbls>
        <c:marker val="1"/>
        <c:smooth val="0"/>
        <c:axId val="688887136"/>
        <c:axId val="688889312"/>
      </c:lineChart>
      <c:catAx>
        <c:axId val="688887136"/>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889312"/>
        <c:crosses val="autoZero"/>
        <c:auto val="1"/>
        <c:lblAlgn val="ctr"/>
        <c:lblOffset val="100"/>
        <c:noMultiLvlLbl val="0"/>
      </c:catAx>
      <c:valAx>
        <c:axId val="688889312"/>
        <c:scaling>
          <c:orientation val="minMax"/>
        </c:scaling>
        <c:delete val="0"/>
        <c:axPos val="l"/>
        <c:numFmt formatCode="[$$-10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887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dLbls>
          <c:showLegendKey val="0"/>
          <c:showVal val="1"/>
          <c:showCatName val="1"/>
          <c:showSerName val="0"/>
          <c:showPercent val="0"/>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dLbls>
          <c:dLblPos val="bestFit"/>
          <c:showLegendKey val="0"/>
          <c:showVal val="1"/>
          <c:showCatName val="0"/>
          <c:showSerName val="0"/>
          <c:showPercent val="0"/>
          <c:showBubbleSize val="0"/>
          <c:showLeaderLines val="0"/>
        </c:dLbls>
        <c:firstSliceAng val="9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rot="0"/>
    <a:lstStyle/>
    <a:p>
      <a:pPr>
        <a:defRPr>
          <a:ln>
            <a:noFill/>
          </a:ln>
          <a:solidFill>
            <a:schemeClr val="tx2"/>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Savings vs Expenses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164206186506186"/>
          <c:y val="0.17032919904619764"/>
          <c:w val="0.65907918706805746"/>
          <c:h val="0.81415641672241967"/>
        </c:manualLayout>
      </c:layout>
      <c:pieChart>
        <c:varyColors val="1"/>
        <c:ser>
          <c:idx val="0"/>
          <c:order val="0"/>
          <c:tx>
            <c:strRef>
              <c:f>'Expenses Entry'!$O$19</c:f>
              <c:strCache>
                <c:ptCount val="1"/>
                <c:pt idx="0">
                  <c:v>Amount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74C-4A19-BD82-ECDC7A5DBC7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74C-4A19-BD82-ECDC7A5DBC78}"/>
              </c:ext>
            </c:extLst>
          </c:dPt>
          <c:dLbls>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6350" cap="flat" cmpd="sng" algn="ctr">
                <a:solidFill>
                  <a:schemeClr val="accent4"/>
                </a:solidFill>
                <a:prstDash val="solid"/>
                <a:miter lim="800000"/>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dk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'Expenses Entry'!$O$20:$O$43</c:f>
              <c:numCache>
                <c:formatCode>[$$-1009]#,##0.00</c:formatCode>
                <c:ptCount val="2"/>
                <c:pt idx="0">
                  <c:v>380</c:v>
                </c:pt>
                <c:pt idx="1">
                  <c:v>250</c:v>
                </c:pt>
              </c:numCache>
            </c:numRef>
          </c:val>
          <c:extLst>
            <c:ext xmlns:c16="http://schemas.microsoft.com/office/drawing/2014/chart" uri="{C3380CC4-5D6E-409C-BE32-E72D297353CC}">
              <c16:uniqueId val="{00000004-674C-4A19-BD82-ECDC7A5DBC78}"/>
            </c:ext>
          </c:extLst>
        </c:ser>
        <c:dLbls>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Overall Percentage</a:t>
            </a:r>
            <a:r>
              <a:rPr lang="en-IN" baseline="0"/>
              <a:t> of Amount Spent Category wise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8365-404C-B415-FCBB8B34AC7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8365-404C-B415-FCBB8B34AC7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8365-404C-B415-FCBB8B34AC7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8365-404C-B415-FCBB8B34AC7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8365-404C-B415-FCBB8B34AC7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8365-404C-B415-FCBB8B34AC7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8365-404C-B415-FCBB8B34AC7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8365-404C-B415-FCBB8B34AC7D}"/>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8365-404C-B415-FCBB8B34AC7D}"/>
              </c:ext>
            </c:extLst>
          </c:dPt>
          <c:dLbls>
            <c:dLbl>
              <c:idx val="6"/>
              <c:layout>
                <c:manualLayout>
                  <c:x val="-7.8569140866333417E-2"/>
                  <c:y val="-4.1753420766086451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8365-404C-B415-FCBB8B34AC7D}"/>
                </c:ext>
              </c:extLst>
            </c:dLbl>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6350" cap="flat" cmpd="sng" algn="ctr">
                <a:solidFill>
                  <a:schemeClr val="accent4"/>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rgbClr val="002060"/>
                  </a:solidFill>
                </a:ln>
                <a:effectLst/>
              </c:spPr>
            </c:leaderLines>
            <c:extLst>
              <c:ext xmlns:c15="http://schemas.microsoft.com/office/drawing/2012/chart" uri="{CE6537A1-D6FC-4f65-9D91-7224C49458BB}"/>
            </c:extLst>
          </c:dLbls>
          <c:cat>
            <c:strRef>
              <c:f>'Expenses Entry'!$M$16:$U$16</c:f>
              <c:strCache>
                <c:ptCount val="9"/>
                <c:pt idx="0">
                  <c:v>Mortgage</c:v>
                </c:pt>
                <c:pt idx="1">
                  <c:v>Rent</c:v>
                </c:pt>
                <c:pt idx="2">
                  <c:v>Car Insurance</c:v>
                </c:pt>
                <c:pt idx="3">
                  <c:v>Fuel</c:v>
                </c:pt>
                <c:pt idx="4">
                  <c:v>Grocery</c:v>
                </c:pt>
                <c:pt idx="5">
                  <c:v>Dine Out</c:v>
                </c:pt>
                <c:pt idx="6">
                  <c:v>Shopping</c:v>
                </c:pt>
                <c:pt idx="7">
                  <c:v>Phone Bill</c:v>
                </c:pt>
                <c:pt idx="8">
                  <c:v>Micellaneous</c:v>
                </c:pt>
              </c:strCache>
            </c:strRef>
          </c:cat>
          <c:val>
            <c:numRef>
              <c:f>'Expenses Entry'!$M$17:$U$17</c:f>
              <c:numCache>
                <c:formatCode>[$$-1009]#,##0.00</c:formatCode>
                <c:ptCount val="9"/>
                <c:pt idx="0">
                  <c:v>20.833333333333332</c:v>
                </c:pt>
                <c:pt idx="1">
                  <c:v>46.666666666666664</c:v>
                </c:pt>
                <c:pt idx="2">
                  <c:v>35.416666666666664</c:v>
                </c:pt>
                <c:pt idx="3">
                  <c:v>8.3333333333333339</c:v>
                </c:pt>
                <c:pt idx="4">
                  <c:v>12.5</c:v>
                </c:pt>
                <c:pt idx="5">
                  <c:v>11.666666666666666</c:v>
                </c:pt>
                <c:pt idx="6">
                  <c:v>0</c:v>
                </c:pt>
                <c:pt idx="7">
                  <c:v>7.916666666666667</c:v>
                </c:pt>
                <c:pt idx="8">
                  <c:v>16.666666666666668</c:v>
                </c:pt>
              </c:numCache>
            </c:numRef>
          </c:val>
          <c:extLst>
            <c:ext xmlns:c16="http://schemas.microsoft.com/office/drawing/2014/chart" uri="{C3380CC4-5D6E-409C-BE32-E72D297353CC}">
              <c16:uniqueId val="{00000012-8365-404C-B415-FCBB8B34AC7D}"/>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400049</xdr:colOff>
      <xdr:row>2</xdr:row>
      <xdr:rowOff>104774</xdr:rowOff>
    </xdr:from>
    <xdr:to>
      <xdr:col>14</xdr:col>
      <xdr:colOff>876299</xdr:colOff>
      <xdr:row>17</xdr:row>
      <xdr:rowOff>38099</xdr:rowOff>
    </xdr:to>
    <xdr:graphicFrame macro="">
      <xdr:nvGraphicFramePr>
        <xdr:cNvPr id="7" name="Chart 6">
          <a:extLst>
            <a:ext uri="{FF2B5EF4-FFF2-40B4-BE49-F238E27FC236}">
              <a16:creationId xmlns:a16="http://schemas.microsoft.com/office/drawing/2014/main" id="{8578B447-C527-40F4-BC7A-1AE8368E4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865479</xdr:colOff>
      <xdr:row>39</xdr:row>
      <xdr:rowOff>57148</xdr:rowOff>
    </xdr:from>
    <xdr:to>
      <xdr:col>17</xdr:col>
      <xdr:colOff>47036</xdr:colOff>
      <xdr:row>56</xdr:row>
      <xdr:rowOff>0</xdr:rowOff>
    </xdr:to>
    <xdr:graphicFrame macro="">
      <xdr:nvGraphicFramePr>
        <xdr:cNvPr id="12" name="Chart 11">
          <a:extLst>
            <a:ext uri="{FF2B5EF4-FFF2-40B4-BE49-F238E27FC236}">
              <a16:creationId xmlns:a16="http://schemas.microsoft.com/office/drawing/2014/main" id="{55D4A2B1-C852-4312-A7D7-848A2F3A4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464343</xdr:colOff>
      <xdr:row>26</xdr:row>
      <xdr:rowOff>27383</xdr:rowOff>
    </xdr:from>
    <xdr:to>
      <xdr:col>22</xdr:col>
      <xdr:colOff>511968</xdr:colOff>
      <xdr:row>49</xdr:row>
      <xdr:rowOff>142875</xdr:rowOff>
    </xdr:to>
    <xdr:graphicFrame macro="">
      <xdr:nvGraphicFramePr>
        <xdr:cNvPr id="13" name="Chart 12">
          <a:extLst>
            <a:ext uri="{FF2B5EF4-FFF2-40B4-BE49-F238E27FC236}">
              <a16:creationId xmlns:a16="http://schemas.microsoft.com/office/drawing/2014/main" id="{21502F20-18C5-46D8-98CC-010D3217C5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8</xdr:row>
      <xdr:rowOff>200025</xdr:rowOff>
    </xdr:from>
    <xdr:to>
      <xdr:col>5</xdr:col>
      <xdr:colOff>152399</xdr:colOff>
      <xdr:row>22</xdr:row>
      <xdr:rowOff>28575</xdr:rowOff>
    </xdr:to>
    <xdr:graphicFrame macro="">
      <xdr:nvGraphicFramePr>
        <xdr:cNvPr id="14" name="Chart 13">
          <a:extLst>
            <a:ext uri="{FF2B5EF4-FFF2-40B4-BE49-F238E27FC236}">
              <a16:creationId xmlns:a16="http://schemas.microsoft.com/office/drawing/2014/main" id="{C8E27295-AF44-43D4-B08A-CDBAE8B47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xdr:col>
      <xdr:colOff>247650</xdr:colOff>
      <xdr:row>2</xdr:row>
      <xdr:rowOff>123825</xdr:rowOff>
    </xdr:from>
    <xdr:to>
      <xdr:col>4</xdr:col>
      <xdr:colOff>761500</xdr:colOff>
      <xdr:row>8</xdr:row>
      <xdr:rowOff>19050</xdr:rowOff>
    </xdr:to>
    <mc:AlternateContent xmlns:mc="http://schemas.openxmlformats.org/markup-compatibility/2006" xmlns:sle15="http://schemas.microsoft.com/office/drawing/2012/slicer">
      <mc:Choice Requires="sle15">
        <xdr:graphicFrame macro="">
          <xdr:nvGraphicFramePr>
            <xdr:cNvPr id="15" name="Month 1">
              <a:extLst>
                <a:ext uri="{FF2B5EF4-FFF2-40B4-BE49-F238E27FC236}">
                  <a16:creationId xmlns:a16="http://schemas.microsoft.com/office/drawing/2014/main" id="{7C3D8778-3254-4AA0-A1BD-E975DB8A9359}"/>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81000" y="571500"/>
              <a:ext cx="2857000" cy="12192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10</xdr:col>
      <xdr:colOff>228600</xdr:colOff>
      <xdr:row>19</xdr:row>
      <xdr:rowOff>114300</xdr:rowOff>
    </xdr:from>
    <xdr:to>
      <xdr:col>15</xdr:col>
      <xdr:colOff>744453</xdr:colOff>
      <xdr:row>37</xdr:row>
      <xdr:rowOff>162427</xdr:rowOff>
    </xdr:to>
    <xdr:graphicFrame macro="">
      <xdr:nvGraphicFramePr>
        <xdr:cNvPr id="16" name="Chart 15">
          <a:extLst>
            <a:ext uri="{FF2B5EF4-FFF2-40B4-BE49-F238E27FC236}">
              <a16:creationId xmlns:a16="http://schemas.microsoft.com/office/drawing/2014/main" id="{C21AB919-E2D3-4BCA-B8E3-25608313A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S:\Nitin\Personal\Bank%20Documents\savings%20detail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S:\Nitin\Personal\Bank%20Documents\savings%20detail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708" refreshedDate="45318.039002893522" createdVersion="5" refreshedVersion="8" minRefreshableVersion="3" recordCount="24" xr:uid="{6C1D7679-D62A-4E99-8FDA-BED8D18E54E9}">
  <cacheSource type="worksheet">
    <worksheetSource ref="AM20:AO44" sheet="Personal Budget (2024)" r:id="rId2"/>
  </cacheSource>
  <cacheFields count="3">
    <cacheField name="Month" numFmtId="0">
      <sharedItems count="12">
        <s v="Dec"/>
        <s v="Jan"/>
        <s v="Feb"/>
        <s v="Mar"/>
        <s v="April"/>
        <s v="May"/>
        <s v="June"/>
        <s v="July"/>
        <s v="Aug"/>
        <s v="Sep"/>
        <s v="Oct"/>
        <s v="Nov"/>
      </sharedItems>
    </cacheField>
    <cacheField name="Amount type" numFmtId="0">
      <sharedItems count="2">
        <s v="Amount 1"/>
        <s v="Expenses"/>
      </sharedItems>
    </cacheField>
    <cacheField name="Amount" numFmtId="166">
      <sharedItems containsSemiMixedTypes="0" containsString="0" containsNumber="1" minValue="0" maxValue="1974.18"/>
    </cacheField>
  </cacheFields>
  <extLst>
    <ext xmlns:x14="http://schemas.microsoft.com/office/spreadsheetml/2009/9/main" uri="{725AE2AE-9491-48be-B2B4-4EB974FC3084}">
      <x14:pivotCacheDefinition pivotCacheId="25044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708" refreshedDate="45318.040026967596" createdVersion="5" refreshedVersion="8" minRefreshableVersion="3" recordCount="24" xr:uid="{C209EC64-3BB2-44D3-B309-9C3EF021207E}">
  <cacheSource type="worksheet">
    <worksheetSource ref="AG20:AI44" sheet="Personal Budget (2024)" r:id="rId2"/>
  </cacheSource>
  <cacheFields count="3">
    <cacheField name="Month" numFmtId="0">
      <sharedItems count="12">
        <s v="Dec"/>
        <s v="Jan"/>
        <s v="Feb"/>
        <s v="Mar"/>
        <s v="April"/>
        <s v="May"/>
        <s v="June"/>
        <s v="July"/>
        <s v="Aug"/>
        <s v="Sep"/>
        <s v="Oct"/>
        <s v="Nov"/>
      </sharedItems>
    </cacheField>
    <cacheField name="Amount type" numFmtId="0">
      <sharedItems count="2">
        <s v="Expense Amount"/>
        <s v="Saving Amount"/>
      </sharedItems>
    </cacheField>
    <cacheField name="Amount" numFmtId="166">
      <sharedItems containsSemiMixedTypes="0" containsString="0" containsNumber="1" minValue="0" maxValue="2202.33"/>
    </cacheField>
  </cacheFields>
  <extLst>
    <ext xmlns:x14="http://schemas.microsoft.com/office/spreadsheetml/2009/9/main" uri="{725AE2AE-9491-48be-B2B4-4EB974FC3084}">
      <x14:pivotCacheDefinition pivotCacheId="12159102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0"/>
  </r>
  <r>
    <x v="0"/>
    <x v="1"/>
    <n v="0"/>
  </r>
  <r>
    <x v="1"/>
    <x v="0"/>
    <n v="1717.1499999999999"/>
  </r>
  <r>
    <x v="1"/>
    <x v="1"/>
    <n v="1974.18"/>
  </r>
  <r>
    <x v="2"/>
    <x v="0"/>
    <n v="0"/>
  </r>
  <r>
    <x v="2"/>
    <x v="1"/>
    <n v="0"/>
  </r>
  <r>
    <x v="3"/>
    <x v="0"/>
    <n v="0"/>
  </r>
  <r>
    <x v="3"/>
    <x v="1"/>
    <n v="0"/>
  </r>
  <r>
    <x v="4"/>
    <x v="0"/>
    <n v="0"/>
  </r>
  <r>
    <x v="4"/>
    <x v="1"/>
    <n v="0"/>
  </r>
  <r>
    <x v="5"/>
    <x v="0"/>
    <n v="0"/>
  </r>
  <r>
    <x v="5"/>
    <x v="1"/>
    <n v="0"/>
  </r>
  <r>
    <x v="6"/>
    <x v="0"/>
    <n v="0"/>
  </r>
  <r>
    <x v="6"/>
    <x v="1"/>
    <n v="0"/>
  </r>
  <r>
    <x v="7"/>
    <x v="0"/>
    <n v="0"/>
  </r>
  <r>
    <x v="7"/>
    <x v="1"/>
    <n v="0"/>
  </r>
  <r>
    <x v="8"/>
    <x v="0"/>
    <n v="0"/>
  </r>
  <r>
    <x v="8"/>
    <x v="1"/>
    <n v="0"/>
  </r>
  <r>
    <x v="9"/>
    <x v="0"/>
    <n v="0"/>
  </r>
  <r>
    <x v="9"/>
    <x v="1"/>
    <n v="0"/>
  </r>
  <r>
    <x v="10"/>
    <x v="0"/>
    <n v="0"/>
  </r>
  <r>
    <x v="10"/>
    <x v="1"/>
    <n v="0"/>
  </r>
  <r>
    <x v="11"/>
    <x v="0"/>
    <n v="0"/>
  </r>
  <r>
    <x v="11"/>
    <x v="1"/>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n v="0"/>
  </r>
  <r>
    <x v="0"/>
    <x v="1"/>
    <n v="0"/>
  </r>
  <r>
    <x v="1"/>
    <x v="0"/>
    <n v="2202.33"/>
  </r>
  <r>
    <x v="1"/>
    <x v="1"/>
    <n v="1489"/>
  </r>
  <r>
    <x v="2"/>
    <x v="0"/>
    <n v="0"/>
  </r>
  <r>
    <x v="2"/>
    <x v="1"/>
    <n v="0"/>
  </r>
  <r>
    <x v="3"/>
    <x v="0"/>
    <n v="0"/>
  </r>
  <r>
    <x v="3"/>
    <x v="1"/>
    <n v="0"/>
  </r>
  <r>
    <x v="4"/>
    <x v="0"/>
    <n v="0"/>
  </r>
  <r>
    <x v="4"/>
    <x v="1"/>
    <n v="0"/>
  </r>
  <r>
    <x v="5"/>
    <x v="0"/>
    <n v="0"/>
  </r>
  <r>
    <x v="5"/>
    <x v="1"/>
    <n v="0"/>
  </r>
  <r>
    <x v="6"/>
    <x v="0"/>
    <n v="0"/>
  </r>
  <r>
    <x v="6"/>
    <x v="1"/>
    <n v="0"/>
  </r>
  <r>
    <x v="7"/>
    <x v="0"/>
    <n v="0"/>
  </r>
  <r>
    <x v="7"/>
    <x v="1"/>
    <n v="0"/>
  </r>
  <r>
    <x v="8"/>
    <x v="0"/>
    <n v="0"/>
  </r>
  <r>
    <x v="8"/>
    <x v="1"/>
    <n v="0"/>
  </r>
  <r>
    <x v="9"/>
    <x v="0"/>
    <n v="0"/>
  </r>
  <r>
    <x v="9"/>
    <x v="1"/>
    <n v="0"/>
  </r>
  <r>
    <x v="10"/>
    <x v="0"/>
    <n v="0"/>
  </r>
  <r>
    <x v="10"/>
    <x v="1"/>
    <n v="0"/>
  </r>
  <r>
    <x v="11"/>
    <x v="0"/>
    <n v="0"/>
  </r>
  <r>
    <x v="11"/>
    <x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516566-0BBD-4B17-BC15-A6C457F676D8}" name="PivotTable2"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0">
  <location ref="AK20:AL23" firstHeaderRow="1" firstDataRow="1" firstDataCol="1"/>
  <pivotFields count="3">
    <pivotField showAll="0">
      <items count="13">
        <item h="1" x="4"/>
        <item x="1"/>
        <item h="1" x="2"/>
        <item h="1" x="3"/>
        <item h="1" x="5"/>
        <item h="1" x="6"/>
        <item h="1" x="7"/>
        <item h="1" x="8"/>
        <item h="1" x="9"/>
        <item h="1" x="10"/>
        <item h="1" x="11"/>
        <item h="1" x="0"/>
        <item t="default"/>
      </items>
    </pivotField>
    <pivotField axis="axisRow" showAll="0">
      <items count="3">
        <item x="0"/>
        <item x="1"/>
        <item t="default"/>
      </items>
    </pivotField>
    <pivotField dataField="1" numFmtId="165" showAll="0"/>
  </pivotFields>
  <rowFields count="1">
    <field x="1"/>
  </rowFields>
  <rowItems count="3">
    <i>
      <x/>
    </i>
    <i>
      <x v="1"/>
    </i>
    <i t="grand">
      <x/>
    </i>
  </rowItems>
  <colItems count="1">
    <i/>
  </colItems>
  <dataFields count="1">
    <dataField name="Sum of Amount" fld="2" baseField="0" baseItem="0"/>
  </dataFields>
  <formats count="18">
    <format dxfId="56">
      <pivotArea type="all" dataOnly="0" outline="0" fieldPosition="0"/>
    </format>
    <format dxfId="55">
      <pivotArea outline="0" collapsedLevelsAreSubtotals="1" fieldPosition="0"/>
    </format>
    <format dxfId="54">
      <pivotArea field="1" type="button" dataOnly="0" labelOnly="1" outline="0" axis="axisRow" fieldPosition="0"/>
    </format>
    <format dxfId="53">
      <pivotArea dataOnly="0" labelOnly="1" outline="0" axis="axisValues" fieldPosition="0"/>
    </format>
    <format dxfId="52">
      <pivotArea dataOnly="0" labelOnly="1" fieldPosition="0">
        <references count="1">
          <reference field="1" count="0"/>
        </references>
      </pivotArea>
    </format>
    <format dxfId="51">
      <pivotArea dataOnly="0" labelOnly="1" grandRow="1" outline="0" fieldPosition="0"/>
    </format>
    <format dxfId="50">
      <pivotArea field="1" type="button" dataOnly="0" labelOnly="1" outline="0" axis="axisRow" fieldPosition="0"/>
    </format>
    <format dxfId="49">
      <pivotArea dataOnly="0" labelOnly="1" outline="0" axis="axisValues" fieldPosition="0"/>
    </format>
    <format dxfId="48">
      <pivotArea outline="0" collapsedLevelsAreSubtotals="1" fieldPosition="0"/>
    </format>
    <format dxfId="47">
      <pivotArea dataOnly="0" labelOnly="1" fieldPosition="0">
        <references count="1">
          <reference field="1" count="0"/>
        </references>
      </pivotArea>
    </format>
    <format dxfId="46">
      <pivotArea dataOnly="0" labelOnly="1" grandRow="1" outline="0" fieldPosition="0"/>
    </format>
    <format dxfId="45">
      <pivotArea collapsedLevelsAreSubtotals="1" fieldPosition="0">
        <references count="1">
          <reference field="1" count="1">
            <x v="0"/>
          </reference>
        </references>
      </pivotArea>
    </format>
    <format dxfId="44">
      <pivotArea field="1" type="button" dataOnly="0" labelOnly="1" outline="0" axis="axisRow" fieldPosition="0"/>
    </format>
    <format dxfId="43">
      <pivotArea dataOnly="0" labelOnly="1" outline="0" axis="axisValues" fieldPosition="0"/>
    </format>
    <format dxfId="42">
      <pivotArea dataOnly="0" labelOnly="1" grandRow="1" outline="0" fieldPosition="0"/>
    </format>
    <format dxfId="41">
      <pivotArea collapsedLevelsAreSubtotals="1" fieldPosition="0">
        <references count="1">
          <reference field="1" count="1">
            <x v="1"/>
          </reference>
        </references>
      </pivotArea>
    </format>
    <format dxfId="40">
      <pivotArea outline="0" collapsedLevelsAreSubtotals="1" fieldPosition="0"/>
    </format>
    <format dxfId="39">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9" format="3" series="1">
      <pivotArea type="data" outline="0" fieldPosition="0">
        <references count="1">
          <reference field="4294967294" count="1" selected="0">
            <x v="0"/>
          </reference>
        </references>
      </pivotArea>
    </chartFormat>
    <chartFormat chart="9" format="4">
      <pivotArea type="data" outline="0" fieldPosition="0">
        <references count="2">
          <reference field="4294967294" count="1" selected="0">
            <x v="0"/>
          </reference>
          <reference field="1" count="1" selected="0">
            <x v="0"/>
          </reference>
        </references>
      </pivotArea>
    </chartFormat>
    <chartFormat chart="9" format="5">
      <pivotArea type="data" outline="0" fieldPosition="0">
        <references count="2">
          <reference field="4294967294" count="1" selected="0">
            <x v="0"/>
          </reference>
          <reference field="1" count="1" selected="0">
            <x v="1"/>
          </reference>
        </references>
      </pivotArea>
    </chartFormat>
  </chartFormats>
  <pivotTableStyleInfo name="PivotStyleDark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019EE5-5D67-463A-A1E0-A9BC55279C38}" name="PivotTable1" cacheId="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11">
  <location ref="AH20:AI23" firstHeaderRow="1" firstDataRow="1" firstDataCol="1"/>
  <pivotFields count="3">
    <pivotField multipleItemSelectionAllowed="1" showAll="0">
      <items count="13">
        <item h="1" x="4"/>
        <item x="1"/>
        <item h="1" x="2"/>
        <item h="1" x="3"/>
        <item h="1" x="5"/>
        <item h="1" x="6"/>
        <item h="1" x="7"/>
        <item h="1" x="8"/>
        <item h="1" x="9"/>
        <item h="1" x="10"/>
        <item h="1" x="11"/>
        <item h="1" x="0"/>
        <item t="default"/>
      </items>
    </pivotField>
    <pivotField axis="axisRow" showAll="0">
      <items count="3">
        <item x="0"/>
        <item x="1"/>
        <item t="default"/>
      </items>
    </pivotField>
    <pivotField dataField="1" showAll="0"/>
  </pivotFields>
  <rowFields count="1">
    <field x="1"/>
  </rowFields>
  <rowItems count="3">
    <i>
      <x/>
    </i>
    <i>
      <x v="1"/>
    </i>
    <i t="grand">
      <x/>
    </i>
  </rowItems>
  <colItems count="1">
    <i/>
  </colItems>
  <dataFields count="1">
    <dataField name="Sum of Amount" fld="2" baseField="0" baseItem="0"/>
  </dataFields>
  <formats count="32">
    <format dxfId="88">
      <pivotArea type="all" dataOnly="0" outline="0" fieldPosition="0"/>
    </format>
    <format dxfId="87">
      <pivotArea outline="0" collapsedLevelsAreSubtotals="1" fieldPosition="0"/>
    </format>
    <format dxfId="86">
      <pivotArea field="1" type="button" dataOnly="0" labelOnly="1" outline="0" axis="axisRow" fieldPosition="0"/>
    </format>
    <format dxfId="85">
      <pivotArea dataOnly="0" labelOnly="1" outline="0" axis="axisValues" fieldPosition="0"/>
    </format>
    <format dxfId="84">
      <pivotArea dataOnly="0" labelOnly="1" fieldPosition="0">
        <references count="1">
          <reference field="1" count="0"/>
        </references>
      </pivotArea>
    </format>
    <format dxfId="83">
      <pivotArea dataOnly="0" labelOnly="1" grandRow="1" outline="0" fieldPosition="0"/>
    </format>
    <format dxfId="82">
      <pivotArea type="all" dataOnly="0" outline="0" fieldPosition="0"/>
    </format>
    <format dxfId="81">
      <pivotArea outline="0" collapsedLevelsAreSubtotals="1" fieldPosition="0"/>
    </format>
    <format dxfId="80">
      <pivotArea field="1" type="button" dataOnly="0" labelOnly="1" outline="0" axis="axisRow" fieldPosition="0"/>
    </format>
    <format dxfId="79">
      <pivotArea dataOnly="0" labelOnly="1" outline="0" axis="axisValues" fieldPosition="0"/>
    </format>
    <format dxfId="78">
      <pivotArea dataOnly="0" labelOnly="1" fieldPosition="0">
        <references count="1">
          <reference field="1" count="0"/>
        </references>
      </pivotArea>
    </format>
    <format dxfId="77">
      <pivotArea dataOnly="0" labelOnly="1" grandRow="1" outline="0" fieldPosition="0"/>
    </format>
    <format dxfId="76">
      <pivotArea type="all" dataOnly="0" outline="0" fieldPosition="0"/>
    </format>
    <format dxfId="75">
      <pivotArea field="1" type="button" dataOnly="0" labelOnly="1" outline="0" axis="axisRow" fieldPosition="0"/>
    </format>
    <format dxfId="74">
      <pivotArea dataOnly="0" labelOnly="1" outline="0" axis="axisValues" fieldPosition="0"/>
    </format>
    <format dxfId="73">
      <pivotArea field="1" type="button" dataOnly="0" labelOnly="1" outline="0" axis="axisRow" fieldPosition="0"/>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1" type="button" dataOnly="0" labelOnly="1" outline="0" axis="axisRow" fieldPosition="0"/>
    </format>
    <format dxfId="68">
      <pivotArea dataOnly="0" labelOnly="1" outline="0" axis="axisValues" fieldPosition="0"/>
    </format>
    <format dxfId="67">
      <pivotArea dataOnly="0" labelOnly="1" fieldPosition="0">
        <references count="1">
          <reference field="1" count="0"/>
        </references>
      </pivotArea>
    </format>
    <format dxfId="66">
      <pivotArea dataOnly="0" labelOnly="1" grandRow="1" outline="0" fieldPosition="0"/>
    </format>
    <format dxfId="65">
      <pivotArea dataOnly="0" labelOnly="1" fieldPosition="0">
        <references count="1">
          <reference field="1" count="1">
            <x v="0"/>
          </reference>
        </references>
      </pivotArea>
    </format>
    <format dxfId="64">
      <pivotArea field="1" type="button" dataOnly="0" labelOnly="1" outline="0" axis="axisRow" fieldPosition="0"/>
    </format>
    <format dxfId="63">
      <pivotArea collapsedLevelsAreSubtotals="1" fieldPosition="0">
        <references count="1">
          <reference field="1" count="1">
            <x v="1"/>
          </reference>
        </references>
      </pivotArea>
    </format>
    <format dxfId="62">
      <pivotArea dataOnly="0" labelOnly="1" fieldPosition="0">
        <references count="1">
          <reference field="1" count="1">
            <x v="1"/>
          </reference>
        </references>
      </pivotArea>
    </format>
    <format dxfId="61">
      <pivotArea collapsedLevelsAreSubtotals="1" fieldPosition="0">
        <references count="1">
          <reference field="1" count="1">
            <x v="0"/>
          </reference>
        </references>
      </pivotArea>
    </format>
    <format dxfId="60">
      <pivotArea outline="0" collapsedLevelsAreSubtotals="1" fieldPosition="0"/>
    </format>
    <format dxfId="59">
      <pivotArea dataOnly="0" labelOnly="1" outline="0" axis="axisValues" fieldPosition="0"/>
    </format>
    <format dxfId="58">
      <pivotArea collapsedLevelsAreSubtotals="1" fieldPosition="0">
        <references count="1">
          <reference field="1" count="1">
            <x v="0"/>
          </reference>
        </references>
      </pivotArea>
    </format>
    <format dxfId="57">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1" count="1" selected="0">
            <x v="0"/>
          </reference>
        </references>
      </pivotArea>
    </chartFormat>
    <chartFormat chart="10" format="5">
      <pivotArea type="data" outline="0" fieldPosition="0">
        <references count="2">
          <reference field="4294967294" count="1" selected="0">
            <x v="0"/>
          </reference>
          <reference field="1" count="1" selected="0">
            <x v="1"/>
          </reference>
        </references>
      </pivotArea>
    </chartFormat>
  </chartFormats>
  <pivotTableStyleInfo name="PivotStyleDark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8CB14EB-4FF6-4EE4-86FD-BAF4F783F9EB}" sourceName="Month">
  <extLst>
    <x:ext xmlns:x15="http://schemas.microsoft.com/office/spreadsheetml/2010/11/main" uri="{2F2917AC-EB37-4324-AD4E-5DD8C200BD13}">
      <x15:tableSlicerCache tableId="7" column="1"/>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4C83FD54-60F5-4BF8-BE07-9649B8C028AC}" cache="Slicer_Month1" caption="Month" columnCount="3" showCaption="0" style="Slicer Style 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FAAF97-ABA5-43BC-BB2D-CC5B909B41B2}" name="Table1" displayName="Table1" ref="A1:K10" totalsRowShown="0" headerRowDxfId="38" dataDxfId="37">
  <autoFilter ref="A1:K10" xr:uid="{32FAAF97-ABA5-43BC-BB2D-CC5B909B41B2}"/>
  <tableColumns count="11">
    <tableColumn id="1" xr3:uid="{92855018-3C3B-4B97-AC21-E7CB1940EB36}" name="Month" dataDxfId="36"/>
    <tableColumn id="11" xr3:uid="{E08637FD-6DC6-4F0C-9D52-FE55D716DF44}" name="Date" dataDxfId="35"/>
    <tableColumn id="2" xr3:uid="{58F8AD2C-88AD-473E-9C69-BE3828B815BB}" name="Mortgage" dataDxfId="34"/>
    <tableColumn id="3" xr3:uid="{C3641745-7A60-4013-9037-A799E7BBE2AE}" name="Rent" dataDxfId="33"/>
    <tableColumn id="4" xr3:uid="{F634FE2F-72F0-4B0E-B949-0444A88F9966}" name="Car Insurance" dataDxfId="32"/>
    <tableColumn id="5" xr3:uid="{812B7E4C-18D2-4F18-85B8-84EB0EB5F300}" name="Fuel" dataDxfId="31"/>
    <tableColumn id="6" xr3:uid="{53F9FD15-4843-4051-A73D-903A0D9F0B94}" name="Grocery" dataDxfId="30"/>
    <tableColumn id="7" xr3:uid="{981CFF88-6D9E-4D27-B32D-0D15624A791E}" name="Dine Out" dataDxfId="29"/>
    <tableColumn id="8" xr3:uid="{3F37403F-0D0F-4BA6-B5FA-043ADB7FA2D2}" name="Shopping" dataDxfId="28"/>
    <tableColumn id="9" xr3:uid="{9A4C2606-EDEB-4F9F-BB03-FD4E146A4F52}" name="Phone Bill" dataDxfId="27"/>
    <tableColumn id="10" xr3:uid="{3F1CFF73-4A6F-4CB4-911A-F13459611BC0}" name="Micellaneous2" dataDxfId="26">
      <calculatedColumnFormula>50.71+27.1</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77D617-8FEC-471B-8DA4-5BA53B73376F}" name="Table3" displayName="Table3" ref="M1:V14" totalsRowShown="0" headerRowDxfId="25" headerRowBorderDxfId="24" tableBorderDxfId="23">
  <autoFilter ref="M1:V14" xr:uid="{1D77D617-8FEC-471B-8DA4-5BA53B73376F}"/>
  <tableColumns count="10">
    <tableColumn id="1" xr3:uid="{03774398-1DED-479F-A654-481C9EC92F83}" name="Month"/>
    <tableColumn id="2" xr3:uid="{7C4814FC-A52E-4898-B20D-F0D68947A98A}" name="Mortgage" dataDxfId="22">
      <calculatedColumnFormula>SUMIF(Table1[Month],M2,Table1[Mortgage])</calculatedColumnFormula>
    </tableColumn>
    <tableColumn id="3" xr3:uid="{CB2AEE4A-0BF8-409E-AF9D-F1CB6C26FED9}" name="Rent" dataDxfId="21">
      <calculatedColumnFormula>SUMIF(Table1[Month],M2,Table1[Rent])</calculatedColumnFormula>
    </tableColumn>
    <tableColumn id="4" xr3:uid="{E7212FFB-C861-46AB-988D-465ADBB0B5E5}" name="Car Insurance" dataDxfId="20">
      <calculatedColumnFormula>SUMIF(Table1[Month],M2,Table1[Car Insurance])</calculatedColumnFormula>
    </tableColumn>
    <tableColumn id="5" xr3:uid="{FCA8D497-D8DC-408F-8943-E789C24CAC8B}" name="Fuel" dataDxfId="19">
      <calculatedColumnFormula>SUMIF(Table1[Month],M2,Table1[Fuel])</calculatedColumnFormula>
    </tableColumn>
    <tableColumn id="6" xr3:uid="{882A9B67-4DB9-4283-AE89-56B062843173}" name="Grocery" dataDxfId="18">
      <calculatedColumnFormula>SUMIF(Table1[Month],M2,Table1[Grocery])</calculatedColumnFormula>
    </tableColumn>
    <tableColumn id="7" xr3:uid="{9F4B171F-1748-4D85-99D7-DD467572F07A}" name="Dine Out" dataDxfId="17">
      <calculatedColumnFormula>SUMIF(Table1[Month],M2,Table1[Dine Out])</calculatedColumnFormula>
    </tableColumn>
    <tableColumn id="8" xr3:uid="{F590084D-F865-4118-B52A-BAD9E2AA09DB}" name="Shopping" dataDxfId="16">
      <calculatedColumnFormula>SUMIF(Table1[Month],M2,Table1[Shopping])</calculatedColumnFormula>
    </tableColumn>
    <tableColumn id="9" xr3:uid="{AAD99319-55E7-4A58-9852-0C008D83C011}" name="Phone Bill" dataDxfId="15">
      <calculatedColumnFormula>SUMIF(Table1[Month],M2,Table1[Phone Bill])</calculatedColumnFormula>
    </tableColumn>
    <tableColumn id="10" xr3:uid="{D2A8F14B-C2E5-440C-B9A7-213DC571AB1E}" name="Micellaneou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A2BFB9-12AE-4E71-997B-4CDA4DD6B46A}" name="Table7" displayName="Table7" ref="M19:O43" totalsRowShown="0" headerRowBorderDxfId="13" tableBorderDxfId="12" totalsRowBorderDxfId="11">
  <autoFilter ref="M19:O43" xr:uid="{32A2BFB9-12AE-4E71-997B-4CDA4DD6B46A}">
    <filterColumn colId="0">
      <filters>
        <filter val="March"/>
      </filters>
    </filterColumn>
  </autoFilter>
  <tableColumns count="3">
    <tableColumn id="1" xr3:uid="{16A0C50A-E90B-43F1-A151-FD31FD6B20C8}" name="Month" dataDxfId="10"/>
    <tableColumn id="2" xr3:uid="{1BD46BAE-50EF-4F15-AE74-B29B9056E2E4}" name="Amount type" dataDxfId="9"/>
    <tableColumn id="3" xr3:uid="{39327FDB-7BD7-4962-89EA-4996D9CC5D75}" name="Amount" dataDxfId="8" dataCellStyle="Currenc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5B3BF5-020A-4A0E-B4E4-4F5ECCF0F7BB}" name="Table2" displayName="Table2" ref="A1:F12" totalsRowShown="0" headerRowDxfId="7" dataDxfId="6">
  <autoFilter ref="A1:F12" xr:uid="{505B3BF5-020A-4A0E-B4E4-4F5ECCF0F7BB}"/>
  <tableColumns count="6">
    <tableColumn id="1" xr3:uid="{66A88F0B-4396-4373-8288-60D062B48B2E}" name="Month" dataDxfId="5"/>
    <tableColumn id="6" xr3:uid="{EF3AA6ED-8E77-4D23-95D0-2CDE65A06F84}" name="Date" dataDxfId="4"/>
    <tableColumn id="2" xr3:uid="{13A6250D-2751-403E-A00D-167162FB6122}" name="Income 1" dataDxfId="3"/>
    <tableColumn id="3" xr3:uid="{4AAB16A8-32FB-4E93-B3DC-FF60239467C4}" name="Income 2" dataDxfId="2"/>
    <tableColumn id="4" xr3:uid="{72D9C8EA-F004-45C5-8945-40DA2E67B432}" name="Income 3" dataDxfId="1"/>
    <tableColumn id="5" xr3:uid="{11B78E24-57DD-4BAA-9E4A-66901FE4AD98}" name="Saving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606E-7998-4F5A-8618-7DAE8219C111}">
  <dimension ref="A1:AL57"/>
  <sheetViews>
    <sheetView zoomScale="96" zoomScaleNormal="96" workbookViewId="0">
      <selection activeCell="F7" sqref="F7"/>
    </sheetView>
  </sheetViews>
  <sheetFormatPr defaultColWidth="9.140625" defaultRowHeight="16.5" x14ac:dyDescent="0.3"/>
  <cols>
    <col min="1" max="1" width="2" style="6" customWidth="1"/>
    <col min="2" max="2" width="11.85546875" style="6" customWidth="1"/>
    <col min="3" max="3" width="11" style="6" bestFit="1" customWidth="1"/>
    <col min="4" max="4" width="12.28515625" style="6" customWidth="1"/>
    <col min="5" max="5" width="14.5703125" style="6" customWidth="1"/>
    <col min="6" max="6" width="18" style="6" customWidth="1"/>
    <col min="7" max="7" width="10.140625" style="6" bestFit="1" customWidth="1"/>
    <col min="8" max="8" width="14.42578125" style="6" bestFit="1" customWidth="1"/>
    <col min="9" max="9" width="17.85546875" style="6" customWidth="1"/>
    <col min="10" max="10" width="15.140625" style="6" bestFit="1" customWidth="1"/>
    <col min="11" max="11" width="15.42578125" style="6" customWidth="1"/>
    <col min="12" max="12" width="15.28515625" style="6" bestFit="1" customWidth="1"/>
    <col min="13" max="13" width="15.85546875" style="6" bestFit="1" customWidth="1"/>
    <col min="14" max="14" width="10.85546875" style="6" bestFit="1" customWidth="1"/>
    <col min="15" max="15" width="15.28515625" style="6" bestFit="1" customWidth="1"/>
    <col min="16" max="16" width="14.28515625" style="6" customWidth="1"/>
    <col min="17" max="17" width="12.28515625" style="6" bestFit="1" customWidth="1"/>
    <col min="18" max="33" width="9.140625" style="6"/>
    <col min="34" max="34" width="16.140625" style="6" bestFit="1" customWidth="1"/>
    <col min="35" max="35" width="14.85546875" style="6" bestFit="1" customWidth="1"/>
    <col min="36" max="36" width="3.28515625" style="6" customWidth="1"/>
    <col min="37" max="37" width="13.140625" style="6" bestFit="1" customWidth="1"/>
    <col min="38" max="39" width="14.85546875" style="6" bestFit="1" customWidth="1"/>
    <col min="40" max="16384" width="9.140625" style="6"/>
  </cols>
  <sheetData>
    <row r="1" spans="1:22" s="4" customFormat="1" ht="13.5" customHeight="1" thickTop="1" x14ac:dyDescent="0.25">
      <c r="A1" s="3"/>
      <c r="B1" s="54" t="s">
        <v>8</v>
      </c>
      <c r="C1" s="54"/>
      <c r="D1" s="54"/>
      <c r="E1" s="3"/>
      <c r="F1" s="3"/>
      <c r="G1" s="3"/>
      <c r="H1" s="3"/>
      <c r="I1" s="3"/>
      <c r="J1" s="3"/>
      <c r="K1" s="3"/>
      <c r="L1" s="3"/>
      <c r="M1" s="3"/>
      <c r="N1" s="3"/>
      <c r="O1" s="3"/>
      <c r="P1" s="3"/>
      <c r="Q1" s="3"/>
      <c r="R1" s="3"/>
      <c r="S1" s="3"/>
      <c r="T1" s="3"/>
      <c r="U1" s="3"/>
      <c r="V1" s="3"/>
    </row>
    <row r="2" spans="1:22" s="4" customFormat="1" ht="21.75" thickBot="1" x14ac:dyDescent="0.3">
      <c r="A2" s="5"/>
      <c r="B2" s="55"/>
      <c r="C2" s="55"/>
      <c r="D2" s="55"/>
      <c r="E2" s="5"/>
      <c r="F2" s="5"/>
      <c r="G2" s="5"/>
      <c r="H2" s="5"/>
      <c r="I2" s="5"/>
      <c r="J2" s="5"/>
      <c r="K2" s="5"/>
      <c r="L2" s="5"/>
      <c r="M2" s="5"/>
      <c r="N2" s="5"/>
      <c r="O2" s="5"/>
      <c r="P2" s="5"/>
      <c r="Q2" s="5"/>
      <c r="R2" s="5"/>
      <c r="S2" s="5"/>
      <c r="T2" s="5"/>
      <c r="U2" s="5"/>
      <c r="V2" s="5"/>
    </row>
    <row r="3" spans="1:22" ht="17.25" thickTop="1" x14ac:dyDescent="0.3"/>
    <row r="4" spans="1:22" ht="18.75" x14ac:dyDescent="0.3">
      <c r="F4" s="8" t="s">
        <v>9</v>
      </c>
    </row>
    <row r="5" spans="1:22" x14ac:dyDescent="0.3">
      <c r="D5" s="9"/>
    </row>
    <row r="6" spans="1:22" x14ac:dyDescent="0.3">
      <c r="F6" s="10" t="s">
        <v>10</v>
      </c>
      <c r="G6" s="10"/>
    </row>
    <row r="7" spans="1:22" ht="18.75" x14ac:dyDescent="0.3">
      <c r="F7" s="52" t="s">
        <v>34</v>
      </c>
      <c r="G7" s="7"/>
    </row>
    <row r="8" spans="1:22" x14ac:dyDescent="0.3">
      <c r="K8" s="12"/>
    </row>
    <row r="9" spans="1:22" x14ac:dyDescent="0.3">
      <c r="F9" s="10" t="s">
        <v>12</v>
      </c>
      <c r="G9" s="10"/>
    </row>
    <row r="10" spans="1:22" ht="18.75" x14ac:dyDescent="0.3">
      <c r="F10" s="43">
        <f>IF(F7=B38,SUM(C38:F38),
IF(F7=B27,SUM(C27:F27),
IF(F7=B28,SUM(C28:F28),IF(F7=B29,SUM(C29:F29),
IF(F7=B30,SUM(C30:F30),IF(F7=B31,SUM(C31:F31),
IF(F7=B32,SUM(C32:F32),IF(F7=B33,SUM(C33:F33),
IF(F7=B34,SUM(C34:F34),IF(F7=B35,SUM(C35:F35),
IF(F7=B36,SUM(C36:F36),IF(F7=B37,SUM(C37:F37)))))))))))))</f>
        <v>1397.2600000000002</v>
      </c>
    </row>
    <row r="11" spans="1:22" x14ac:dyDescent="0.3">
      <c r="M11" s="13"/>
    </row>
    <row r="12" spans="1:22" x14ac:dyDescent="0.3">
      <c r="F12" s="10" t="s">
        <v>13</v>
      </c>
      <c r="G12" s="10"/>
      <c r="M12" s="13"/>
    </row>
    <row r="13" spans="1:22" ht="18.75" x14ac:dyDescent="0.3">
      <c r="F13" s="43">
        <f>IF($F$7=$H$38,I38,IF($F$7=$H$27,
I27,IF($F$7=$H$28,I28,IF($F$7=$H$29,I29,
IF($F$7=$H$30,I30,IF($F$7=$H$31,I31,
IF($F$7=$H$32,I32,IF($F$7=$H$33,I33,
IF($F$7=$H$34,I34,IF($F$7=$H$35,I35,
IF($F$7=$H$36,I36,IF($F$7=$H$37,I37))))))))))))</f>
        <v>380</v>
      </c>
    </row>
    <row r="15" spans="1:22" x14ac:dyDescent="0.3">
      <c r="F15" s="10" t="s">
        <v>14</v>
      </c>
      <c r="G15" s="10"/>
    </row>
    <row r="16" spans="1:22" ht="18.75" x14ac:dyDescent="0.3">
      <c r="F16" s="43">
        <f>IF($F$7=$H$38,J38,IF($F$7=$H$27,J27,
IF($F$7=$H$28,J28,IF($F$7=$H$29,J29,
IF($F$7=$H$30,J30,IF($F$7=$H$31,J31,
IF($F$7=$H$32,J32,IF($F$7=$H$33,J33,
IF($F$7=$H$34,J34,IF($F$7=$H$35,J35,
IF($F$7=$H$36,J36,IF($F$7=$H$37,J37))))))))))))</f>
        <v>250</v>
      </c>
    </row>
    <row r="18" spans="2:38" x14ac:dyDescent="0.3">
      <c r="F18" s="10" t="s">
        <v>15</v>
      </c>
      <c r="G18" s="10"/>
    </row>
    <row r="19" spans="2:38" ht="18.75" x14ac:dyDescent="0.3">
      <c r="F19" s="43">
        <f>F10-F13-F16</f>
        <v>767.26000000000022</v>
      </c>
      <c r="AH19" s="14"/>
      <c r="AI19" s="14"/>
      <c r="AK19" s="14"/>
      <c r="AL19" s="14"/>
    </row>
    <row r="20" spans="2:38" ht="17.25" x14ac:dyDescent="0.3">
      <c r="F20" s="15"/>
      <c r="AH20" s="16" t="s">
        <v>17</v>
      </c>
      <c r="AI20" s="17" t="s">
        <v>18</v>
      </c>
      <c r="AK20" s="16" t="s">
        <v>17</v>
      </c>
      <c r="AL20" s="17" t="s">
        <v>18</v>
      </c>
    </row>
    <row r="21" spans="2:38" x14ac:dyDescent="0.3">
      <c r="F21" s="10" t="s">
        <v>19</v>
      </c>
      <c r="G21" s="10"/>
      <c r="AH21" s="18" t="s">
        <v>20</v>
      </c>
      <c r="AI21" s="37">
        <v>2202.33</v>
      </c>
      <c r="AK21" s="19" t="s">
        <v>21</v>
      </c>
      <c r="AL21" s="38">
        <v>1717.1499999999999</v>
      </c>
    </row>
    <row r="22" spans="2:38" ht="18.75" x14ac:dyDescent="0.3">
      <c r="F22" s="43">
        <f>SUM(J27:J38)</f>
        <v>2089</v>
      </c>
      <c r="AH22" s="20" t="s">
        <v>22</v>
      </c>
      <c r="AI22" s="36">
        <v>1489</v>
      </c>
      <c r="AK22" s="19" t="s">
        <v>23</v>
      </c>
      <c r="AL22" s="39">
        <v>1974.18</v>
      </c>
    </row>
    <row r="23" spans="2:38" x14ac:dyDescent="0.3">
      <c r="AH23" s="34" t="s">
        <v>24</v>
      </c>
      <c r="AI23" s="35">
        <v>3691.33</v>
      </c>
      <c r="AK23" s="21" t="s">
        <v>24</v>
      </c>
      <c r="AL23" s="40">
        <v>3691.33</v>
      </c>
    </row>
    <row r="24" spans="2:38" x14ac:dyDescent="0.3">
      <c r="O24" s="22"/>
    </row>
    <row r="25" spans="2:38" x14ac:dyDescent="0.3">
      <c r="B25" s="23" t="s">
        <v>26</v>
      </c>
      <c r="C25" s="24"/>
      <c r="H25" s="23" t="s">
        <v>44</v>
      </c>
    </row>
    <row r="26" spans="2:38" x14ac:dyDescent="0.3">
      <c r="B26" s="25" t="s">
        <v>10</v>
      </c>
      <c r="C26" s="26" t="s">
        <v>28</v>
      </c>
      <c r="D26" s="26" t="s">
        <v>29</v>
      </c>
      <c r="E26" s="26" t="s">
        <v>30</v>
      </c>
      <c r="F26" s="26" t="s">
        <v>47</v>
      </c>
      <c r="H26" s="25" t="s">
        <v>10</v>
      </c>
      <c r="I26" s="27" t="s">
        <v>20</v>
      </c>
      <c r="J26" s="27" t="s">
        <v>22</v>
      </c>
      <c r="R26" s="7"/>
      <c r="S26" s="7"/>
      <c r="T26" s="7"/>
      <c r="U26" s="7"/>
    </row>
    <row r="27" spans="2:38" ht="16.5" customHeight="1" x14ac:dyDescent="0.3">
      <c r="B27" s="28" t="s">
        <v>11</v>
      </c>
      <c r="C27" s="29">
        <v>-405.58</v>
      </c>
      <c r="D27" s="29">
        <f>SUMIF(Table2[Month],"January",Table2[Income 1])</f>
        <v>2553.8499999999995</v>
      </c>
      <c r="E27" s="29">
        <f>SUMIF(Table2[Month],"January",Table2[Income 2])</f>
        <v>1543.0600000000002</v>
      </c>
      <c r="F27" s="29">
        <f>SUMIF(Table2[Month],"January",Table2[Income 3])</f>
        <v>311.47000000000003</v>
      </c>
      <c r="H27" s="28" t="s">
        <v>11</v>
      </c>
      <c r="I27" s="30">
        <f>SUM('Expenses Entry'!N2:V2)</f>
        <v>2148.31</v>
      </c>
      <c r="J27" s="29">
        <f>SUMIF(Table2[Month],"January",Table2[Savings])</f>
        <v>1489</v>
      </c>
      <c r="K27" s="30"/>
      <c r="L27" s="30"/>
    </row>
    <row r="28" spans="2:38" ht="16.5" customHeight="1" x14ac:dyDescent="0.3">
      <c r="B28" s="28" t="s">
        <v>33</v>
      </c>
      <c r="C28" s="29">
        <f>SUM(C27:F27)-SUM(I27:J27)</f>
        <v>365.49000000000024</v>
      </c>
      <c r="D28" s="29">
        <f>SUMIF(Table2[Month],"February",Table2[Income 1])</f>
        <v>1117.94</v>
      </c>
      <c r="E28" s="29">
        <f>SUMIF(Table2[Month],"February",Table2[Income 2])</f>
        <v>210.3</v>
      </c>
      <c r="F28" s="29">
        <f>SUMIF(Table2[Month],"February",Table2[Income 3])</f>
        <v>109.5</v>
      </c>
      <c r="H28" s="28" t="s">
        <v>33</v>
      </c>
      <c r="I28" s="30">
        <f>SUM('Expenses Entry'!N3:V3)</f>
        <v>955.97</v>
      </c>
      <c r="J28" s="29">
        <f>SUMIF(Table2[Month],"February",Table2[Savings])</f>
        <v>350</v>
      </c>
      <c r="K28" s="30"/>
      <c r="L28" s="30"/>
      <c r="Q28" s="31"/>
      <c r="AH28" s="11">
        <f>IFERROR(GETPIVOTDATA("Amount",$AH$20,"Amount type","Saving Amount")/GETPIVOTDATA("Amount",$AH$20),"-")</f>
        <v>0.40337764437208268</v>
      </c>
      <c r="AL28" s="11">
        <f>IFERROR(GETPIVOTDATA("Amount",$AK$20,"Amount type","Expenses")/GETPIVOTDATA("Amount",$AK$20),"-")</f>
        <v>0.53481536465176516</v>
      </c>
    </row>
    <row r="29" spans="2:38" x14ac:dyDescent="0.3">
      <c r="B29" s="28" t="s">
        <v>34</v>
      </c>
      <c r="C29" s="29">
        <f>SUM(C28:F28)-SUM(I28:J28)</f>
        <v>497.26000000000022</v>
      </c>
      <c r="D29" s="29">
        <f>SUMIF(Table2[Month],"March",Table2[Income 1])</f>
        <v>500</v>
      </c>
      <c r="E29" s="29">
        <f>SUMIF(Table2[Month],"March",Table2[Income 2])</f>
        <v>200</v>
      </c>
      <c r="F29" s="29">
        <f>SUMIF(Table2[Month],"March",Table2[Income 3])</f>
        <v>200</v>
      </c>
      <c r="H29" s="28" t="s">
        <v>34</v>
      </c>
      <c r="I29" s="30">
        <f>SUM('Expenses Entry'!N4:V4)</f>
        <v>380</v>
      </c>
      <c r="J29" s="29">
        <f>SUMIF(Table2[Month],"March",Table2[Savings])</f>
        <v>250</v>
      </c>
      <c r="K29" s="30"/>
      <c r="L29" s="30"/>
      <c r="Q29" s="31"/>
    </row>
    <row r="30" spans="2:38" x14ac:dyDescent="0.3">
      <c r="B30" s="28" t="s">
        <v>35</v>
      </c>
      <c r="C30" s="29">
        <f t="shared" ref="C30:C38" si="0">SUM(C29:F29)-SUM(I29:J29)</f>
        <v>767.26000000000022</v>
      </c>
      <c r="D30" s="29">
        <f>SUMIF(Table2[Month],"April",Table2[Income 1])</f>
        <v>0</v>
      </c>
      <c r="E30" s="29">
        <f>SUMIF(Table2[Month],"April",Table2[Income 2])</f>
        <v>0</v>
      </c>
      <c r="F30" s="29">
        <f>SUMIF(Table2[Month],"April",Table2[Income 3])</f>
        <v>0</v>
      </c>
      <c r="H30" s="28" t="s">
        <v>35</v>
      </c>
      <c r="I30" s="30">
        <f>SUM('Expenses Entry'!N5:V5)</f>
        <v>0</v>
      </c>
      <c r="J30" s="29">
        <f>SUMIF(Table2[Month],"April",Table2[Savings])</f>
        <v>0</v>
      </c>
      <c r="K30" s="30"/>
      <c r="L30" s="30"/>
      <c r="P30" s="22"/>
      <c r="Q30" s="31"/>
    </row>
    <row r="31" spans="2:38" ht="16.5" customHeight="1" x14ac:dyDescent="0.3">
      <c r="B31" s="28" t="s">
        <v>27</v>
      </c>
      <c r="C31" s="29">
        <f t="shared" si="0"/>
        <v>767.26000000000022</v>
      </c>
      <c r="D31" s="29">
        <f>SUMIF(Table2[Month],"May",Table2[Income 1])</f>
        <v>0</v>
      </c>
      <c r="E31" s="29">
        <f>SUMIF(Table2[Month],"May",Table2[Income 2])</f>
        <v>0</v>
      </c>
      <c r="F31" s="29">
        <f>SUMIF(Table2[Month],"May",Table2[Income 3])</f>
        <v>0</v>
      </c>
      <c r="H31" s="28" t="s">
        <v>27</v>
      </c>
      <c r="I31" s="30">
        <f>SUM('Expenses Entry'!N6:V6)</f>
        <v>0</v>
      </c>
      <c r="J31" s="29">
        <f>SUMIF(Table2[Month],"May",Table2[Savings])</f>
        <v>0</v>
      </c>
      <c r="K31" s="30"/>
      <c r="L31" s="30"/>
      <c r="P31" s="22"/>
      <c r="Q31" s="31"/>
    </row>
    <row r="32" spans="2:38" ht="16.5" customHeight="1" x14ac:dyDescent="0.3">
      <c r="B32" s="28" t="s">
        <v>31</v>
      </c>
      <c r="C32" s="29">
        <f t="shared" si="0"/>
        <v>767.26000000000022</v>
      </c>
      <c r="D32" s="29">
        <f>SUMIF(Table2[Month],"June",Table2[Income 1])</f>
        <v>0</v>
      </c>
      <c r="E32" s="29">
        <f>SUMIF(Table2[Month],"June",Table2[Income 2])</f>
        <v>0</v>
      </c>
      <c r="F32" s="29">
        <f>SUMIF(Table2[Month],"June",Table2[Income 3])</f>
        <v>0</v>
      </c>
      <c r="H32" s="28" t="s">
        <v>31</v>
      </c>
      <c r="I32" s="30">
        <f>SUM('Expenses Entry'!N7:V7)</f>
        <v>0</v>
      </c>
      <c r="J32" s="29">
        <f>SUMIF(Table2[Month],"June",Table2[Savings])</f>
        <v>0</v>
      </c>
      <c r="K32" s="30"/>
      <c r="L32" s="30"/>
      <c r="P32" s="22"/>
    </row>
    <row r="33" spans="2:17" x14ac:dyDescent="0.3">
      <c r="B33" s="28" t="s">
        <v>32</v>
      </c>
      <c r="C33" s="29">
        <f t="shared" si="0"/>
        <v>767.26000000000022</v>
      </c>
      <c r="D33" s="29">
        <f>SUMIF(Table2[Month],"July",Table2[Income 1])</f>
        <v>0</v>
      </c>
      <c r="E33" s="29">
        <f>SUMIF(Table2[Month],"July",Table2[Income 2])</f>
        <v>0</v>
      </c>
      <c r="F33" s="29">
        <f>SUMIF(Table2[Month],"July",Table2[Income 3])</f>
        <v>0</v>
      </c>
      <c r="H33" s="28" t="s">
        <v>32</v>
      </c>
      <c r="I33" s="30">
        <f>SUM('Expenses Entry'!N8:V8)</f>
        <v>0</v>
      </c>
      <c r="J33" s="29">
        <f>SUMIF(Table2[Month],"July",Table2[Savings])</f>
        <v>0</v>
      </c>
      <c r="K33" s="30"/>
      <c r="L33" s="30"/>
      <c r="P33" s="22"/>
    </row>
    <row r="34" spans="2:17" x14ac:dyDescent="0.3">
      <c r="B34" s="28" t="s">
        <v>36</v>
      </c>
      <c r="C34" s="29">
        <f t="shared" si="0"/>
        <v>767.26000000000022</v>
      </c>
      <c r="D34" s="29">
        <f>SUMIF(Table2[Month],"August",Table2[Income 1])</f>
        <v>0</v>
      </c>
      <c r="E34" s="29">
        <f>SUMIF(Table2[Month],"August",Table2[Income 2])</f>
        <v>0</v>
      </c>
      <c r="F34" s="29">
        <f>SUMIF(Table2[Month],"August",Table2[Income 3])</f>
        <v>0</v>
      </c>
      <c r="H34" s="28" t="s">
        <v>36</v>
      </c>
      <c r="I34" s="30">
        <f>SUM('Expenses Entry'!N9:V9)</f>
        <v>0</v>
      </c>
      <c r="J34" s="29">
        <f>SUMIF(Table2[Month],"August",Table2[Savings])</f>
        <v>0</v>
      </c>
      <c r="K34" s="30"/>
      <c r="L34" s="30"/>
      <c r="P34" s="22"/>
    </row>
    <row r="35" spans="2:17" ht="16.5" customHeight="1" x14ac:dyDescent="0.3">
      <c r="B35" s="28" t="s">
        <v>37</v>
      </c>
      <c r="C35" s="29">
        <f t="shared" si="0"/>
        <v>767.26000000000022</v>
      </c>
      <c r="D35" s="29">
        <f>SUMIF(Table2[Month],"September",Table2[Income 1])</f>
        <v>0</v>
      </c>
      <c r="E35" s="29">
        <f>SUMIF(Table2[Month],"September",Table2[Income 2])</f>
        <v>0</v>
      </c>
      <c r="F35" s="29">
        <f>SUMIF(Table2[Month],"September",Table2[Income 3])</f>
        <v>0</v>
      </c>
      <c r="H35" s="28" t="s">
        <v>37</v>
      </c>
      <c r="I35" s="30">
        <f>SUM('Expenses Entry'!N10:V10)</f>
        <v>0</v>
      </c>
      <c r="J35" s="29">
        <f>SUMIF(Table2[Month],"September",Table2[Savings])</f>
        <v>0</v>
      </c>
      <c r="K35" s="30"/>
      <c r="L35" s="30"/>
      <c r="P35" s="22"/>
    </row>
    <row r="36" spans="2:17" ht="16.5" customHeight="1" x14ac:dyDescent="0.3">
      <c r="B36" s="28" t="s">
        <v>38</v>
      </c>
      <c r="C36" s="29">
        <f t="shared" si="0"/>
        <v>767.26000000000022</v>
      </c>
      <c r="D36" s="29">
        <f>SUMIF(Table2[Month],"October",Table2[Income 1])</f>
        <v>0</v>
      </c>
      <c r="E36" s="29">
        <f>SUMIF(Table2[Month],"October",Table2[Income 2])</f>
        <v>0</v>
      </c>
      <c r="F36" s="29">
        <f>SUMIF(Table2[Month],"October",Table2[Income 3])</f>
        <v>0</v>
      </c>
      <c r="H36" s="28" t="s">
        <v>38</v>
      </c>
      <c r="I36" s="30">
        <f>SUM('Expenses Entry'!N11:V11)</f>
        <v>0</v>
      </c>
      <c r="J36" s="29">
        <f>SUMIF(Table2[Month],"October",Table2[Savings])</f>
        <v>0</v>
      </c>
      <c r="K36" s="30"/>
      <c r="L36" s="30"/>
      <c r="P36" s="22"/>
    </row>
    <row r="37" spans="2:17" x14ac:dyDescent="0.3">
      <c r="B37" s="28" t="s">
        <v>39</v>
      </c>
      <c r="C37" s="29">
        <f t="shared" si="0"/>
        <v>767.26000000000022</v>
      </c>
      <c r="D37" s="29">
        <f>SUMIF(Table2[Month],"November",Table2[Income 1])</f>
        <v>0</v>
      </c>
      <c r="E37" s="29">
        <f>SUMIF(Table2[Month],"November",Table2[Income 2])</f>
        <v>0</v>
      </c>
      <c r="F37" s="29">
        <f>SUMIF(Table2[Month],"November",Table2[Income 3])</f>
        <v>0</v>
      </c>
      <c r="H37" s="28" t="s">
        <v>39</v>
      </c>
      <c r="I37" s="30">
        <f>SUM('Expenses Entry'!N12:V12)</f>
        <v>0</v>
      </c>
      <c r="J37" s="29">
        <f>SUMIF(Table2[Month],"November",Table2[Savings])</f>
        <v>0</v>
      </c>
      <c r="K37" s="30"/>
      <c r="L37" s="30"/>
      <c r="P37" s="22"/>
      <c r="Q37" s="22"/>
    </row>
    <row r="38" spans="2:17" x14ac:dyDescent="0.3">
      <c r="B38" s="28" t="s">
        <v>40</v>
      </c>
      <c r="C38" s="29">
        <f t="shared" si="0"/>
        <v>767.26000000000022</v>
      </c>
      <c r="D38" s="29">
        <f>SUMIF(Table2[Month],"December",Table2[Income 1])</f>
        <v>0</v>
      </c>
      <c r="E38" s="29">
        <f>SUMIF(Table2[Month],"December",Table2[Income 2])</f>
        <v>0</v>
      </c>
      <c r="F38" s="29">
        <f>SUMIF(Table2[Month],"December",Table2[Income 3])</f>
        <v>0</v>
      </c>
      <c r="H38" s="28" t="s">
        <v>40</v>
      </c>
      <c r="I38" s="30">
        <f>SUM('Expenses Entry'!N13:V13)</f>
        <v>0</v>
      </c>
      <c r="J38" s="29">
        <f>SUMIF(Table2[Month],"December",Table2[Savings])</f>
        <v>0</v>
      </c>
      <c r="K38" s="30"/>
      <c r="L38" s="30"/>
    </row>
    <row r="39" spans="2:17" x14ac:dyDescent="0.3">
      <c r="E39" s="32"/>
      <c r="F39" s="32"/>
      <c r="G39" s="32"/>
      <c r="J39" s="33"/>
    </row>
    <row r="40" spans="2:17" x14ac:dyDescent="0.3">
      <c r="E40" s="32"/>
      <c r="F40" s="32"/>
      <c r="G40" s="32"/>
      <c r="J40" s="33"/>
      <c r="K40" s="22"/>
    </row>
    <row r="41" spans="2:17" x14ac:dyDescent="0.3">
      <c r="E41" s="32"/>
      <c r="F41" s="32"/>
      <c r="G41" s="32"/>
      <c r="H41" s="32"/>
      <c r="I41" s="32"/>
      <c r="J41" s="32"/>
    </row>
    <row r="42" spans="2:17" x14ac:dyDescent="0.3">
      <c r="E42" s="32"/>
      <c r="F42" s="32"/>
      <c r="G42" s="32"/>
      <c r="H42" s="32"/>
      <c r="I42" s="32"/>
      <c r="J42" s="32"/>
      <c r="O42" s="22"/>
    </row>
    <row r="43" spans="2:17" x14ac:dyDescent="0.3">
      <c r="E43" s="32"/>
      <c r="F43" s="32"/>
      <c r="G43" s="32"/>
      <c r="H43" s="32"/>
      <c r="I43" s="32"/>
      <c r="J43" s="32"/>
    </row>
    <row r="44" spans="2:17" x14ac:dyDescent="0.3">
      <c r="E44" s="32"/>
      <c r="F44" s="32"/>
      <c r="G44" s="32"/>
      <c r="H44" s="32"/>
      <c r="I44" s="32"/>
      <c r="J44" s="32"/>
    </row>
    <row r="45" spans="2:17" x14ac:dyDescent="0.3">
      <c r="E45" s="32"/>
      <c r="F45" s="32"/>
      <c r="G45" s="32"/>
      <c r="H45" s="32"/>
      <c r="I45" s="32"/>
      <c r="J45" s="32"/>
    </row>
    <row r="46" spans="2:17" x14ac:dyDescent="0.3">
      <c r="E46" s="32"/>
      <c r="F46" s="32"/>
      <c r="G46" s="32"/>
      <c r="H46" s="32"/>
      <c r="I46" s="32"/>
      <c r="J46" s="32"/>
    </row>
    <row r="47" spans="2:17" x14ac:dyDescent="0.3">
      <c r="E47" s="32"/>
      <c r="F47" s="32"/>
      <c r="G47" s="32"/>
      <c r="H47" s="32"/>
      <c r="I47" s="32"/>
      <c r="J47" s="32"/>
    </row>
    <row r="48" spans="2:17" x14ac:dyDescent="0.3">
      <c r="E48" s="32"/>
      <c r="F48" s="32"/>
      <c r="G48" s="32"/>
      <c r="H48" s="32"/>
      <c r="I48" s="32"/>
      <c r="J48" s="32"/>
    </row>
    <row r="49" spans="5:15" x14ac:dyDescent="0.3">
      <c r="E49" s="32"/>
      <c r="F49" s="32"/>
      <c r="G49" s="32"/>
      <c r="H49" s="32"/>
      <c r="I49" s="32"/>
      <c r="J49" s="32"/>
    </row>
    <row r="57" spans="5:15" x14ac:dyDescent="0.3">
      <c r="O57" s="6" t="s">
        <v>41</v>
      </c>
    </row>
  </sheetData>
  <mergeCells count="1">
    <mergeCell ref="B1:D2"/>
  </mergeCells>
  <dataValidations count="1">
    <dataValidation type="list" allowBlank="1" showInputMessage="1" showErrorMessage="1" sqref="F7" xr:uid="{F3579C19-2601-427B-8A85-B3DF7C736771}">
      <formula1>"January, February, March, April, May, June, July, August, September, October, November, December"</formula1>
    </dataValidation>
  </dataValidations>
  <pageMargins left="0.7" right="0.7" top="0.75" bottom="0.75" header="0.3" footer="0.3"/>
  <drawing r:id="rId3"/>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06B46-5004-4426-A23E-F92B945F7B56}">
  <dimension ref="A1:V43"/>
  <sheetViews>
    <sheetView zoomScale="95" zoomScaleNormal="95" workbookViewId="0">
      <selection activeCell="E8" sqref="E8"/>
    </sheetView>
  </sheetViews>
  <sheetFormatPr defaultColWidth="14.28515625" defaultRowHeight="15" x14ac:dyDescent="0.25"/>
  <cols>
    <col min="1" max="2" width="11.85546875" customWidth="1"/>
    <col min="4" max="4" width="12.7109375" customWidth="1"/>
    <col min="6" max="6" width="12.5703125" customWidth="1"/>
    <col min="12" max="12" width="10.28515625" customWidth="1"/>
  </cols>
  <sheetData>
    <row r="1" spans="1:22" s="49" customFormat="1" ht="39" customHeight="1" x14ac:dyDescent="0.25">
      <c r="A1" s="48" t="s">
        <v>10</v>
      </c>
      <c r="B1" s="48" t="s">
        <v>48</v>
      </c>
      <c r="C1" s="48" t="s">
        <v>0</v>
      </c>
      <c r="D1" s="48" t="s">
        <v>1</v>
      </c>
      <c r="E1" s="48" t="s">
        <v>2</v>
      </c>
      <c r="F1" s="48" t="s">
        <v>3</v>
      </c>
      <c r="G1" s="48" t="s">
        <v>4</v>
      </c>
      <c r="H1" s="48" t="s">
        <v>5</v>
      </c>
      <c r="I1" s="48" t="s">
        <v>6</v>
      </c>
      <c r="J1" s="48" t="s">
        <v>25</v>
      </c>
      <c r="K1" s="48" t="s">
        <v>42</v>
      </c>
      <c r="M1" s="50" t="s">
        <v>10</v>
      </c>
      <c r="N1" s="50" t="s">
        <v>0</v>
      </c>
      <c r="O1" s="50" t="s">
        <v>1</v>
      </c>
      <c r="P1" s="50" t="s">
        <v>2</v>
      </c>
      <c r="Q1" s="50" t="s">
        <v>3</v>
      </c>
      <c r="R1" s="50" t="s">
        <v>4</v>
      </c>
      <c r="S1" s="50" t="s">
        <v>5</v>
      </c>
      <c r="T1" s="50" t="s">
        <v>6</v>
      </c>
      <c r="U1" s="51" t="s">
        <v>25</v>
      </c>
      <c r="V1" s="51" t="s">
        <v>7</v>
      </c>
    </row>
    <row r="2" spans="1:22" x14ac:dyDescent="0.25">
      <c r="A2" s="47" t="s">
        <v>11</v>
      </c>
      <c r="B2" s="53">
        <v>45296</v>
      </c>
      <c r="C2" s="45">
        <v>250</v>
      </c>
      <c r="D2" s="45">
        <v>560</v>
      </c>
      <c r="E2" s="45">
        <v>425.4</v>
      </c>
      <c r="F2" s="45">
        <v>109.99</v>
      </c>
      <c r="G2" s="45">
        <v>180.33</v>
      </c>
      <c r="H2" s="45">
        <v>177.32</v>
      </c>
      <c r="I2" s="45">
        <v>101.7</v>
      </c>
      <c r="J2" s="45">
        <v>91.63</v>
      </c>
      <c r="K2" s="45">
        <v>77.81</v>
      </c>
      <c r="M2" t="s">
        <v>11</v>
      </c>
      <c r="N2" s="41">
        <f>SUMIF(Table1[Month],M2,Table1[Mortgage])</f>
        <v>250</v>
      </c>
      <c r="O2" s="41">
        <f>SUMIF(Table1[Month],M2,Table1[Rent])</f>
        <v>560</v>
      </c>
      <c r="P2" s="41">
        <f>SUMIF(Table1[Month],M2,Table1[Car Insurance])</f>
        <v>425.4</v>
      </c>
      <c r="Q2" s="41">
        <f>SUMIF(Table1[Month],M2,Table1[Fuel])</f>
        <v>109.99</v>
      </c>
      <c r="R2" s="41">
        <f>SUMIF(Table1[Month],M2,Table1[Grocery])</f>
        <v>180.33</v>
      </c>
      <c r="S2" s="41">
        <f>SUMIF(Table1[Month],M2,Table1[Dine Out])</f>
        <v>203.57</v>
      </c>
      <c r="T2" s="41">
        <f>SUMIF(Table1[Month],M2,Table1[Shopping])</f>
        <v>101.7</v>
      </c>
      <c r="U2" s="41">
        <f>SUMIF(Table1[Month],M2,Table1[Phone Bill])</f>
        <v>91.63</v>
      </c>
      <c r="V2" s="41">
        <f>SUMIF(Table1[Month],M2,Table1[Micellaneous2])</f>
        <v>225.69</v>
      </c>
    </row>
    <row r="3" spans="1:22" x14ac:dyDescent="0.25">
      <c r="A3" s="47" t="s">
        <v>11</v>
      </c>
      <c r="B3" s="53">
        <v>45306</v>
      </c>
      <c r="C3" s="45"/>
      <c r="D3" s="45"/>
      <c r="E3" s="45"/>
      <c r="F3" s="45"/>
      <c r="G3" s="45"/>
      <c r="H3" s="45">
        <v>26.25</v>
      </c>
      <c r="I3" s="45"/>
      <c r="J3" s="45"/>
      <c r="K3" s="45">
        <v>147.88</v>
      </c>
      <c r="M3" t="s">
        <v>33</v>
      </c>
      <c r="N3" s="41">
        <f>SUMIF(Table1[Month],M3,Table1[Mortgage])</f>
        <v>0</v>
      </c>
      <c r="O3" s="41">
        <f>SUMIF(Table1[Month],M3,Table1[Rent])</f>
        <v>581.37</v>
      </c>
      <c r="P3" s="41">
        <f>SUMIF(Table1[Month],M3,Table1[Car Insurance])</f>
        <v>0</v>
      </c>
      <c r="Q3" s="41">
        <f>SUMIF(Table1[Month],M3,Table1[Fuel])</f>
        <v>55</v>
      </c>
      <c r="R3" s="41">
        <f>SUMIF(Table1[Month],M3,Table1[Grocery])</f>
        <v>55.85</v>
      </c>
      <c r="S3" s="41">
        <f>SUMIF(Table1[Month],M3,Table1[Dine Out])</f>
        <v>63.22</v>
      </c>
      <c r="T3" s="41">
        <f>SUMIF(Table1[Month],M3,Table1[Shopping])</f>
        <v>23</v>
      </c>
      <c r="U3" s="41">
        <f>SUMIF(Table1[Month],M3,Table1[Phone Bill])</f>
        <v>0</v>
      </c>
      <c r="V3" s="41">
        <f>SUMIF(Table1[Month],M3,Table1[Micellaneous2])</f>
        <v>177.53</v>
      </c>
    </row>
    <row r="4" spans="1:22" x14ac:dyDescent="0.25">
      <c r="A4" s="47" t="s">
        <v>33</v>
      </c>
      <c r="B4" s="53">
        <v>45323</v>
      </c>
      <c r="C4" s="45"/>
      <c r="D4" s="45">
        <v>581.37</v>
      </c>
      <c r="E4" s="45"/>
      <c r="F4" s="45"/>
      <c r="G4" s="45"/>
      <c r="H4" s="45"/>
      <c r="I4" s="45"/>
      <c r="J4" s="45"/>
      <c r="K4" s="45">
        <v>91.25</v>
      </c>
      <c r="M4" t="s">
        <v>34</v>
      </c>
      <c r="N4" s="41">
        <f>SUMIF(Table1[Month],M4,Table1[Mortgage])</f>
        <v>100</v>
      </c>
      <c r="O4" s="41">
        <f>SUMIF(Table1[Month],M4,Table1[Rent])</f>
        <v>200</v>
      </c>
      <c r="P4" s="41">
        <f>SUMIF(Table1[Month],M4,Table1[Car Insurance])</f>
        <v>50</v>
      </c>
      <c r="Q4" s="41">
        <f>SUMIF(Table1[Month],M4,Table1[Fuel])</f>
        <v>0</v>
      </c>
      <c r="R4" s="41">
        <f>SUMIF(Table1[Month],M4,Table1[Grocery])</f>
        <v>30</v>
      </c>
      <c r="S4" s="41">
        <f>SUMIF(Table1[Month],M4,Table1[Dine Out])</f>
        <v>0</v>
      </c>
      <c r="T4" s="41">
        <f>SUMIF(Table1[Month],M4,Table1[Shopping])</f>
        <v>0</v>
      </c>
      <c r="U4" s="41">
        <f>SUMIF(Table1[Month],M4,Table1[Phone Bill])</f>
        <v>0</v>
      </c>
      <c r="V4" s="41">
        <f>SUMIF(Table1[Month],M4,Table1[Micellaneous2])</f>
        <v>0</v>
      </c>
    </row>
    <row r="5" spans="1:22" x14ac:dyDescent="0.25">
      <c r="A5" s="47" t="s">
        <v>33</v>
      </c>
      <c r="B5" s="53">
        <v>45325</v>
      </c>
      <c r="C5" s="45"/>
      <c r="D5" s="45"/>
      <c r="E5" s="45"/>
      <c r="F5" s="45">
        <v>55</v>
      </c>
      <c r="G5" s="45"/>
      <c r="H5" s="45">
        <v>31.3</v>
      </c>
      <c r="I5" s="45"/>
      <c r="J5" s="45"/>
      <c r="K5" s="45">
        <v>66.28</v>
      </c>
      <c r="M5" t="s">
        <v>35</v>
      </c>
      <c r="N5" s="41">
        <f>SUMIF(Table1[Month],M5,Table1[Mortgage])</f>
        <v>0</v>
      </c>
      <c r="O5" s="41">
        <f>SUMIF(Table1[Month],M5,Table1[Rent])</f>
        <v>0</v>
      </c>
      <c r="P5" s="41">
        <f>SUMIF(Table1[Month],M5,Table1[Car Insurance])</f>
        <v>0</v>
      </c>
      <c r="Q5" s="41">
        <f>SUMIF(Table1[Month],M5,Table1[Fuel])</f>
        <v>0</v>
      </c>
      <c r="R5" s="41">
        <f>SUMIF(Table1[Month],M5,Table1[Grocery])</f>
        <v>0</v>
      </c>
      <c r="S5" s="41">
        <f>SUMIF(Table1[Month],M5,Table1[Dine Out])</f>
        <v>0</v>
      </c>
      <c r="T5" s="41">
        <f>SUMIF(Table1[Month],M5,Table1[Shopping])</f>
        <v>0</v>
      </c>
      <c r="U5" s="41">
        <f>SUMIF(Table1[Month],M5,Table1[Phone Bill])</f>
        <v>0</v>
      </c>
      <c r="V5" s="41">
        <f>SUMIF(Table1[Month],M5,Table1[Micellaneous2])</f>
        <v>0</v>
      </c>
    </row>
    <row r="6" spans="1:22" x14ac:dyDescent="0.25">
      <c r="A6" s="47" t="s">
        <v>33</v>
      </c>
      <c r="B6" s="53">
        <v>45327</v>
      </c>
      <c r="C6" s="45"/>
      <c r="D6" s="45"/>
      <c r="E6" s="45"/>
      <c r="F6" s="45"/>
      <c r="G6" s="45"/>
      <c r="H6" s="45">
        <v>1.92</v>
      </c>
      <c r="I6" s="45"/>
      <c r="J6" s="45"/>
      <c r="K6" s="45"/>
      <c r="M6" t="s">
        <v>27</v>
      </c>
      <c r="N6" s="41">
        <f>SUMIF(Table1[Month],M6,Table1[Mortgage])</f>
        <v>0</v>
      </c>
      <c r="O6" s="41">
        <f>SUMIF(Table1[Month],M6,Table1[Rent])</f>
        <v>0</v>
      </c>
      <c r="P6" s="41">
        <f>SUMIF(Table1[Month],M6,Table1[Car Insurance])</f>
        <v>0</v>
      </c>
      <c r="Q6" s="41">
        <f>SUMIF(Table1[Month],M6,Table1[Fuel])</f>
        <v>0</v>
      </c>
      <c r="R6" s="41">
        <f>SUMIF(Table1[Month],M6,Table1[Grocery])</f>
        <v>0</v>
      </c>
      <c r="S6" s="41">
        <f>SUMIF(Table1[Month],M6,Table1[Dine Out])</f>
        <v>0</v>
      </c>
      <c r="T6" s="41">
        <f>SUMIF(Table1[Month],M6,Table1[Shopping])</f>
        <v>0</v>
      </c>
      <c r="U6" s="41">
        <f>SUMIF(Table1[Month],M6,Table1[Phone Bill])</f>
        <v>0</v>
      </c>
      <c r="V6" s="41">
        <f>SUMIF(Table1[Month],M6,Table1[Micellaneous2])</f>
        <v>0</v>
      </c>
    </row>
    <row r="7" spans="1:22" x14ac:dyDescent="0.25">
      <c r="A7" s="47" t="s">
        <v>33</v>
      </c>
      <c r="B7" s="53">
        <v>45328</v>
      </c>
      <c r="C7" s="45"/>
      <c r="D7" s="45"/>
      <c r="E7" s="45"/>
      <c r="F7" s="45"/>
      <c r="G7" s="45">
        <v>55.85</v>
      </c>
      <c r="H7" s="45">
        <v>30</v>
      </c>
      <c r="I7" s="45">
        <v>23</v>
      </c>
      <c r="J7" s="45"/>
      <c r="K7" s="45">
        <v>20</v>
      </c>
      <c r="M7" t="s">
        <v>31</v>
      </c>
      <c r="N7" s="41">
        <f>SUMIF(Table1[Month],M7,Table1[Mortgage])</f>
        <v>0</v>
      </c>
      <c r="O7" s="41">
        <f>SUMIF(Table1[Month],M7,Table1[Rent])</f>
        <v>0</v>
      </c>
      <c r="P7" s="41">
        <f>SUMIF(Table1[Month],M7,Table1[Car Insurance])</f>
        <v>0</v>
      </c>
      <c r="Q7" s="41">
        <f>SUMIF(Table1[Month],M7,Table1[Fuel])</f>
        <v>0</v>
      </c>
      <c r="R7" s="41">
        <f>SUMIF(Table1[Month],M7,Table1[Grocery])</f>
        <v>0</v>
      </c>
      <c r="S7" s="41">
        <f>SUMIF(Table1[Month],M7,Table1[Dine Out])</f>
        <v>0</v>
      </c>
      <c r="T7" s="41">
        <f>SUMIF(Table1[Month],M7,Table1[Shopping])</f>
        <v>0</v>
      </c>
      <c r="U7" s="41">
        <f>SUMIF(Table1[Month],M7,Table1[Phone Bill])</f>
        <v>0</v>
      </c>
      <c r="V7" s="41">
        <f>SUMIF(Table1[Month],M7,Table1[Micellaneous2])</f>
        <v>0</v>
      </c>
    </row>
    <row r="8" spans="1:22" x14ac:dyDescent="0.25">
      <c r="A8" s="47" t="s">
        <v>34</v>
      </c>
      <c r="B8" s="53">
        <v>45352</v>
      </c>
      <c r="C8" s="45">
        <v>100</v>
      </c>
      <c r="D8" s="45">
        <v>200</v>
      </c>
      <c r="E8" s="45">
        <v>50</v>
      </c>
      <c r="F8" s="45"/>
      <c r="G8" s="45">
        <v>30</v>
      </c>
      <c r="H8" s="45"/>
      <c r="I8" s="45"/>
      <c r="J8" s="45"/>
      <c r="K8" s="45"/>
      <c r="M8" t="s">
        <v>32</v>
      </c>
      <c r="N8" s="41">
        <f>SUMIF(Table1[Month],M8,Table1[Mortgage])</f>
        <v>0</v>
      </c>
      <c r="O8" s="41">
        <f>SUMIF(Table1[Month],M8,Table1[Rent])</f>
        <v>0</v>
      </c>
      <c r="P8" s="41">
        <f>SUMIF(Table1[Month],M8,Table1[Car Insurance])</f>
        <v>0</v>
      </c>
      <c r="Q8" s="41">
        <f>SUMIF(Table1[Month],M8,Table1[Fuel])</f>
        <v>0</v>
      </c>
      <c r="R8" s="41">
        <f>SUMIF(Table1[Month],M8,Table1[Grocery])</f>
        <v>0</v>
      </c>
      <c r="S8" s="41">
        <f>SUMIF(Table1[Month],M8,Table1[Dine Out])</f>
        <v>0</v>
      </c>
      <c r="T8" s="41">
        <f>SUMIF(Table1[Month],M8,Table1[Shopping])</f>
        <v>0</v>
      </c>
      <c r="U8" s="41">
        <f>SUMIF(Table1[Month],M8,Table1[Phone Bill])</f>
        <v>0</v>
      </c>
      <c r="V8" s="41">
        <f>SUMIF(Table1[Month],M8,Table1[Micellaneous2])</f>
        <v>0</v>
      </c>
    </row>
    <row r="9" spans="1:22" x14ac:dyDescent="0.25">
      <c r="A9" s="47"/>
      <c r="B9" s="47"/>
      <c r="C9" s="45"/>
      <c r="D9" s="45"/>
      <c r="E9" s="45"/>
      <c r="F9" s="45"/>
      <c r="G9" s="45"/>
      <c r="H9" s="45"/>
      <c r="I9" s="45"/>
      <c r="J9" s="45"/>
      <c r="K9" s="45"/>
      <c r="M9" t="s">
        <v>36</v>
      </c>
      <c r="N9" s="41">
        <f>SUMIF(Table1[Month],M9,Table1[Mortgage])</f>
        <v>0</v>
      </c>
      <c r="O9" s="41">
        <f>SUMIF(Table1[Month],M9,Table1[Rent])</f>
        <v>0</v>
      </c>
      <c r="P9" s="41">
        <f>SUMIF(Table1[Month],M9,Table1[Car Insurance])</f>
        <v>0</v>
      </c>
      <c r="Q9" s="41">
        <f>SUMIF(Table1[Month],M9,Table1[Fuel])</f>
        <v>0</v>
      </c>
      <c r="R9" s="41">
        <f>SUMIF(Table1[Month],M9,Table1[Grocery])</f>
        <v>0</v>
      </c>
      <c r="S9" s="41">
        <f>SUMIF(Table1[Month],M9,Table1[Dine Out])</f>
        <v>0</v>
      </c>
      <c r="T9" s="41">
        <f>SUMIF(Table1[Month],M9,Table1[Shopping])</f>
        <v>0</v>
      </c>
      <c r="U9" s="41">
        <f>SUMIF(Table1[Month],M9,Table1[Phone Bill])</f>
        <v>0</v>
      </c>
      <c r="V9" s="41">
        <f>SUMIF(Table1[Month],M9,Table1[Micellaneous2])</f>
        <v>0</v>
      </c>
    </row>
    <row r="10" spans="1:22" x14ac:dyDescent="0.25">
      <c r="A10" s="47"/>
      <c r="B10" s="47"/>
      <c r="C10" s="45"/>
      <c r="D10" s="45"/>
      <c r="E10" s="45"/>
      <c r="F10" s="45"/>
      <c r="G10" s="45"/>
      <c r="H10" s="45"/>
      <c r="I10" s="45"/>
      <c r="J10" s="45"/>
      <c r="K10" s="45"/>
      <c r="M10" t="s">
        <v>37</v>
      </c>
      <c r="N10" s="41">
        <f>SUMIF(Table1[Month],M10,Table1[Mortgage])</f>
        <v>0</v>
      </c>
      <c r="O10" s="41">
        <f>SUMIF(Table1[Month],M10,Table1[Rent])</f>
        <v>0</v>
      </c>
      <c r="P10" s="41">
        <f>SUMIF(Table1[Month],M10,Table1[Car Insurance])</f>
        <v>0</v>
      </c>
      <c r="Q10" s="41">
        <f>SUMIF(Table1[Month],M10,Table1[Fuel])</f>
        <v>0</v>
      </c>
      <c r="R10" s="41">
        <f>SUMIF(Table1[Month],M10,Table1[Grocery])</f>
        <v>0</v>
      </c>
      <c r="S10" s="41">
        <f>SUMIF(Table1[Month],M10,Table1[Dine Out])</f>
        <v>0</v>
      </c>
      <c r="T10" s="41">
        <f>SUMIF(Table1[Month],M10,Table1[Shopping])</f>
        <v>0</v>
      </c>
      <c r="U10" s="41">
        <f>SUMIF(Table1[Month],M10,Table1[Phone Bill])</f>
        <v>0</v>
      </c>
      <c r="V10" s="41">
        <f>SUMIF(Table1[Month],M10,Table1[Micellaneous2])</f>
        <v>0</v>
      </c>
    </row>
    <row r="11" spans="1:22" x14ac:dyDescent="0.25">
      <c r="M11" t="s">
        <v>38</v>
      </c>
      <c r="N11" s="41">
        <f>SUMIF(Table1[Month],M11,Table1[Mortgage])</f>
        <v>0</v>
      </c>
      <c r="O11" s="41">
        <f>SUMIF(Table1[Month],M11,Table1[Rent])</f>
        <v>0</v>
      </c>
      <c r="P11" s="41">
        <f>SUMIF(Table1[Month],M11,Table1[Car Insurance])</f>
        <v>0</v>
      </c>
      <c r="Q11" s="41">
        <f>SUMIF(Table1[Month],M11,Table1[Fuel])</f>
        <v>0</v>
      </c>
      <c r="R11" s="41">
        <f>SUMIF(Table1[Month],M11,Table1[Grocery])</f>
        <v>0</v>
      </c>
      <c r="S11" s="41">
        <f>SUMIF(Table1[Month],M11,Table1[Dine Out])</f>
        <v>0</v>
      </c>
      <c r="T11" s="41">
        <f>SUMIF(Table1[Month],M11,Table1[Shopping])</f>
        <v>0</v>
      </c>
      <c r="U11" s="41">
        <f>SUMIF(Table1[Month],M11,Table1[Phone Bill])</f>
        <v>0</v>
      </c>
      <c r="V11" s="41">
        <f>SUMIF(Table1[Month],M11,Table1[Micellaneous2])</f>
        <v>0</v>
      </c>
    </row>
    <row r="12" spans="1:22" x14ac:dyDescent="0.25">
      <c r="M12" t="s">
        <v>39</v>
      </c>
      <c r="N12" s="41">
        <f>SUMIF(Table1[Month],M12,Table1[Mortgage])</f>
        <v>0</v>
      </c>
      <c r="O12" s="41">
        <f>SUMIF(Table1[Month],M12,Table1[Rent])</f>
        <v>0</v>
      </c>
      <c r="P12" s="41">
        <f>SUMIF(Table1[Month],M12,Table1[Car Insurance])</f>
        <v>0</v>
      </c>
      <c r="Q12" s="41">
        <f>SUMIF(Table1[Month],M12,Table1[Fuel])</f>
        <v>0</v>
      </c>
      <c r="R12" s="41">
        <f>SUMIF(Table1[Month],M12,Table1[Grocery])</f>
        <v>0</v>
      </c>
      <c r="S12" s="41">
        <f>SUMIF(Table1[Month],M12,Table1[Dine Out])</f>
        <v>0</v>
      </c>
      <c r="T12" s="41">
        <f>SUMIF(Table1[Month],M12,Table1[Shopping])</f>
        <v>0</v>
      </c>
      <c r="U12" s="41">
        <f>SUMIF(Table1[Month],M12,Table1[Phone Bill])</f>
        <v>0</v>
      </c>
      <c r="V12" s="41">
        <f>SUMIF(Table1[Month],M12,Table1[Micellaneous2])</f>
        <v>0</v>
      </c>
    </row>
    <row r="13" spans="1:22" x14ac:dyDescent="0.25">
      <c r="M13" t="s">
        <v>40</v>
      </c>
      <c r="N13" s="41">
        <f>SUMIF(Table1[Month],M13,Table1[Mortgage])</f>
        <v>0</v>
      </c>
      <c r="O13" s="41">
        <f>SUMIF(Table1[Month],M13,Table1[Rent])</f>
        <v>0</v>
      </c>
      <c r="P13" s="41">
        <f>SUMIF(Table1[Month],M13,Table1[Car Insurance])</f>
        <v>0</v>
      </c>
      <c r="Q13" s="41">
        <f>SUMIF(Table1[Month],M13,Table1[Fuel])</f>
        <v>0</v>
      </c>
      <c r="R13" s="41">
        <f>SUMIF(Table1[Month],M13,Table1[Grocery])</f>
        <v>0</v>
      </c>
      <c r="S13" s="41">
        <f>SUMIF(Table1[Month],M13,Table1[Dine Out])</f>
        <v>0</v>
      </c>
      <c r="T13" s="41">
        <f>SUMIF(Table1[Month],M13,Table1[Shopping])</f>
        <v>0</v>
      </c>
      <c r="U13" s="41">
        <f>SUMIF(Table1[Month],M13,Table1[Phone Bill])</f>
        <v>0</v>
      </c>
      <c r="V13" s="41">
        <f>SUMIF(Table1[Month],M13,Table1[Micellaneous2])</f>
        <v>0</v>
      </c>
    </row>
    <row r="14" spans="1:22" x14ac:dyDescent="0.25">
      <c r="M14" t="s">
        <v>46</v>
      </c>
      <c r="N14" s="41">
        <f>AVERAGE(N2:N13)</f>
        <v>29.166666666666668</v>
      </c>
      <c r="O14" s="41">
        <f t="shared" ref="O14:V14" si="0">AVERAGE(O2:O13)</f>
        <v>111.78083333333332</v>
      </c>
      <c r="P14" s="41">
        <f t="shared" si="0"/>
        <v>39.616666666666667</v>
      </c>
      <c r="Q14" s="41">
        <f t="shared" si="0"/>
        <v>13.749166666666667</v>
      </c>
      <c r="R14" s="41">
        <f t="shared" si="0"/>
        <v>22.181666666666668</v>
      </c>
      <c r="S14" s="41">
        <f t="shared" si="0"/>
        <v>22.232499999999998</v>
      </c>
      <c r="T14" s="41">
        <f t="shared" si="0"/>
        <v>10.391666666666667</v>
      </c>
      <c r="U14" s="41">
        <f t="shared" si="0"/>
        <v>7.6358333333333333</v>
      </c>
      <c r="V14" s="41">
        <f t="shared" si="0"/>
        <v>33.601666666666667</v>
      </c>
    </row>
    <row r="16" spans="1:22" x14ac:dyDescent="0.25">
      <c r="M16" s="1" t="s">
        <v>0</v>
      </c>
      <c r="N16" s="1" t="s">
        <v>1</v>
      </c>
      <c r="O16" s="1" t="s">
        <v>2</v>
      </c>
      <c r="P16" s="1" t="s">
        <v>3</v>
      </c>
      <c r="Q16" s="1" t="s">
        <v>4</v>
      </c>
      <c r="R16" s="1" t="s">
        <v>5</v>
      </c>
      <c r="S16" s="1" t="s">
        <v>6</v>
      </c>
      <c r="T16" s="2" t="s">
        <v>25</v>
      </c>
      <c r="U16" s="2" t="s">
        <v>7</v>
      </c>
    </row>
    <row r="17" spans="13:21" x14ac:dyDescent="0.25">
      <c r="M17" s="42">
        <v>20.833333333333332</v>
      </c>
      <c r="N17" s="42">
        <v>46.666666666666664</v>
      </c>
      <c r="O17" s="42">
        <v>35.416666666666664</v>
      </c>
      <c r="P17" s="42">
        <v>8.3333333333333339</v>
      </c>
      <c r="Q17" s="42">
        <v>12.5</v>
      </c>
      <c r="R17" s="42">
        <v>11.666666666666666</v>
      </c>
      <c r="S17" s="42">
        <v>0</v>
      </c>
      <c r="T17" s="42">
        <v>7.916666666666667</v>
      </c>
      <c r="U17" s="42">
        <v>16.666666666666668</v>
      </c>
    </row>
    <row r="19" spans="13:21" x14ac:dyDescent="0.25">
      <c r="M19" t="s">
        <v>10</v>
      </c>
      <c r="N19" t="s">
        <v>45</v>
      </c>
      <c r="O19" t="s">
        <v>16</v>
      </c>
    </row>
    <row r="20" spans="13:21" hidden="1" x14ac:dyDescent="0.25">
      <c r="M20" t="s">
        <v>11</v>
      </c>
      <c r="N20" t="s">
        <v>20</v>
      </c>
      <c r="O20" s="41">
        <f>Dashboard!I27</f>
        <v>2148.31</v>
      </c>
    </row>
    <row r="21" spans="13:21" hidden="1" x14ac:dyDescent="0.25">
      <c r="M21" t="s">
        <v>11</v>
      </c>
      <c r="N21" t="s">
        <v>22</v>
      </c>
      <c r="O21" s="41">
        <f>Dashboard!J27</f>
        <v>1489</v>
      </c>
    </row>
    <row r="22" spans="13:21" hidden="1" x14ac:dyDescent="0.25">
      <c r="M22" t="s">
        <v>33</v>
      </c>
      <c r="N22" t="s">
        <v>20</v>
      </c>
      <c r="O22" s="41">
        <f>Dashboard!I28</f>
        <v>955.97</v>
      </c>
    </row>
    <row r="23" spans="13:21" hidden="1" x14ac:dyDescent="0.25">
      <c r="M23" t="s">
        <v>33</v>
      </c>
      <c r="N23" t="s">
        <v>22</v>
      </c>
      <c r="O23" s="41">
        <f>Dashboard!J28</f>
        <v>350</v>
      </c>
    </row>
    <row r="24" spans="13:21" x14ac:dyDescent="0.25">
      <c r="M24" t="s">
        <v>34</v>
      </c>
      <c r="N24" t="s">
        <v>20</v>
      </c>
      <c r="O24" s="41">
        <f>Dashboard!I29</f>
        <v>380</v>
      </c>
    </row>
    <row r="25" spans="13:21" x14ac:dyDescent="0.25">
      <c r="M25" t="s">
        <v>34</v>
      </c>
      <c r="N25" t="s">
        <v>22</v>
      </c>
      <c r="O25" s="41">
        <f>Dashboard!J29</f>
        <v>250</v>
      </c>
    </row>
    <row r="26" spans="13:21" hidden="1" x14ac:dyDescent="0.25">
      <c r="M26" t="s">
        <v>35</v>
      </c>
      <c r="N26" t="s">
        <v>20</v>
      </c>
      <c r="O26" s="41">
        <f>Dashboard!I30</f>
        <v>0</v>
      </c>
    </row>
    <row r="27" spans="13:21" hidden="1" x14ac:dyDescent="0.25">
      <c r="M27" t="s">
        <v>35</v>
      </c>
      <c r="N27" t="s">
        <v>22</v>
      </c>
      <c r="O27" s="41">
        <f>Dashboard!J30</f>
        <v>0</v>
      </c>
    </row>
    <row r="28" spans="13:21" hidden="1" x14ac:dyDescent="0.25">
      <c r="M28" t="s">
        <v>27</v>
      </c>
      <c r="N28" t="s">
        <v>20</v>
      </c>
      <c r="O28" s="41">
        <f>Dashboard!I31</f>
        <v>0</v>
      </c>
    </row>
    <row r="29" spans="13:21" hidden="1" x14ac:dyDescent="0.25">
      <c r="M29" t="s">
        <v>27</v>
      </c>
      <c r="N29" t="s">
        <v>22</v>
      </c>
      <c r="O29" s="41">
        <f>Dashboard!J31</f>
        <v>0</v>
      </c>
    </row>
    <row r="30" spans="13:21" hidden="1" x14ac:dyDescent="0.25">
      <c r="M30" t="s">
        <v>31</v>
      </c>
      <c r="N30" t="s">
        <v>20</v>
      </c>
      <c r="O30" s="41">
        <f>Dashboard!I32</f>
        <v>0</v>
      </c>
    </row>
    <row r="31" spans="13:21" hidden="1" x14ac:dyDescent="0.25">
      <c r="M31" t="s">
        <v>31</v>
      </c>
      <c r="N31" t="s">
        <v>22</v>
      </c>
      <c r="O31" s="41">
        <f>Dashboard!J32</f>
        <v>0</v>
      </c>
    </row>
    <row r="32" spans="13:21" hidden="1" x14ac:dyDescent="0.25">
      <c r="M32" t="s">
        <v>32</v>
      </c>
      <c r="N32" t="s">
        <v>20</v>
      </c>
      <c r="O32" s="41">
        <f>Dashboard!I33</f>
        <v>0</v>
      </c>
    </row>
    <row r="33" spans="13:15" hidden="1" x14ac:dyDescent="0.25">
      <c r="M33" t="s">
        <v>32</v>
      </c>
      <c r="N33" t="s">
        <v>22</v>
      </c>
      <c r="O33" s="41">
        <f>Dashboard!J33</f>
        <v>0</v>
      </c>
    </row>
    <row r="34" spans="13:15" hidden="1" x14ac:dyDescent="0.25">
      <c r="M34" t="s">
        <v>36</v>
      </c>
      <c r="N34" t="s">
        <v>20</v>
      </c>
      <c r="O34" s="41">
        <f>Dashboard!I34</f>
        <v>0</v>
      </c>
    </row>
    <row r="35" spans="13:15" hidden="1" x14ac:dyDescent="0.25">
      <c r="M35" t="s">
        <v>36</v>
      </c>
      <c r="N35" t="s">
        <v>22</v>
      </c>
      <c r="O35" s="41">
        <f>Dashboard!J34</f>
        <v>0</v>
      </c>
    </row>
    <row r="36" spans="13:15" hidden="1" x14ac:dyDescent="0.25">
      <c r="M36" t="s">
        <v>37</v>
      </c>
      <c r="N36" t="s">
        <v>20</v>
      </c>
      <c r="O36" s="41">
        <f>Dashboard!I35</f>
        <v>0</v>
      </c>
    </row>
    <row r="37" spans="13:15" hidden="1" x14ac:dyDescent="0.25">
      <c r="M37" t="s">
        <v>37</v>
      </c>
      <c r="N37" t="s">
        <v>22</v>
      </c>
      <c r="O37" s="41">
        <f>Dashboard!J35</f>
        <v>0</v>
      </c>
    </row>
    <row r="38" spans="13:15" hidden="1" x14ac:dyDescent="0.25">
      <c r="M38" t="s">
        <v>38</v>
      </c>
      <c r="N38" t="s">
        <v>20</v>
      </c>
      <c r="O38" s="41">
        <f>Dashboard!I36</f>
        <v>0</v>
      </c>
    </row>
    <row r="39" spans="13:15" hidden="1" x14ac:dyDescent="0.25">
      <c r="M39" t="s">
        <v>38</v>
      </c>
      <c r="N39" t="s">
        <v>22</v>
      </c>
      <c r="O39" s="41">
        <f>Dashboard!J36</f>
        <v>0</v>
      </c>
    </row>
    <row r="40" spans="13:15" hidden="1" x14ac:dyDescent="0.25">
      <c r="M40" t="s">
        <v>39</v>
      </c>
      <c r="N40" t="s">
        <v>20</v>
      </c>
      <c r="O40" s="41">
        <f>Dashboard!I37</f>
        <v>0</v>
      </c>
    </row>
    <row r="41" spans="13:15" hidden="1" x14ac:dyDescent="0.25">
      <c r="M41" t="s">
        <v>39</v>
      </c>
      <c r="N41" t="s">
        <v>22</v>
      </c>
      <c r="O41" s="41">
        <f>Dashboard!J37</f>
        <v>0</v>
      </c>
    </row>
    <row r="42" spans="13:15" hidden="1" x14ac:dyDescent="0.25">
      <c r="M42" t="s">
        <v>40</v>
      </c>
      <c r="N42" t="s">
        <v>20</v>
      </c>
      <c r="O42" s="41">
        <f>Dashboard!I38</f>
        <v>0</v>
      </c>
    </row>
    <row r="43" spans="13:15" hidden="1" x14ac:dyDescent="0.25">
      <c r="M43" t="s">
        <v>40</v>
      </c>
      <c r="N43" t="s">
        <v>22</v>
      </c>
      <c r="O43" s="41">
        <f>Dashboard!J38</f>
        <v>0</v>
      </c>
    </row>
  </sheetData>
  <phoneticPr fontId="3" type="noConversion"/>
  <dataValidations count="1">
    <dataValidation type="decimal" operator="lessThanOrEqual" allowBlank="1" showInputMessage="1" showErrorMessage="1" sqref="C2:K10" xr:uid="{93969494-47DA-4E23-96D0-75CE25D5EDA2}">
      <formula1>1000000</formula1>
    </dataValidation>
  </dataValidations>
  <pageMargins left="0.7" right="0.7" top="0.75" bottom="0.75" header="0.3" footer="0.3"/>
  <pageSetup orientation="portrait" r:id="rId1"/>
  <ignoredErrors>
    <ignoredError sqref="N14:V14 K2:K6 K8:K10" calculatedColumn="1"/>
  </ignoredErrors>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A6A45-DDA0-4A7D-B340-777C3C077CD7}">
  <dimension ref="A1:F12"/>
  <sheetViews>
    <sheetView tabSelected="1" workbookViewId="0">
      <selection activeCell="E24" sqref="E24"/>
    </sheetView>
  </sheetViews>
  <sheetFormatPr defaultRowHeight="15" x14ac:dyDescent="0.25"/>
  <cols>
    <col min="1" max="1" width="9.28515625" bestFit="1" customWidth="1"/>
    <col min="2" max="2" width="9.28515625" customWidth="1"/>
    <col min="3" max="3" width="14.85546875" customWidth="1"/>
    <col min="4" max="4" width="18.140625" bestFit="1" customWidth="1"/>
    <col min="5" max="5" width="17.7109375" bestFit="1" customWidth="1"/>
    <col min="6" max="6" width="13.7109375" customWidth="1"/>
  </cols>
  <sheetData>
    <row r="1" spans="1:6" s="44" customFormat="1" ht="34.5" customHeight="1" x14ac:dyDescent="0.25">
      <c r="A1" s="48" t="s">
        <v>10</v>
      </c>
      <c r="B1" s="48" t="s">
        <v>48</v>
      </c>
      <c r="C1" s="48" t="s">
        <v>29</v>
      </c>
      <c r="D1" s="48" t="s">
        <v>30</v>
      </c>
      <c r="E1" s="48" t="s">
        <v>47</v>
      </c>
      <c r="F1" s="48" t="s">
        <v>43</v>
      </c>
    </row>
    <row r="2" spans="1:6" x14ac:dyDescent="0.25">
      <c r="A2" s="47" t="s">
        <v>11</v>
      </c>
      <c r="B2" s="53">
        <v>45292</v>
      </c>
      <c r="C2" s="46">
        <v>275</v>
      </c>
      <c r="D2" s="46">
        <v>412.37</v>
      </c>
      <c r="E2" s="46">
        <v>121.4</v>
      </c>
      <c r="F2" s="46">
        <v>335</v>
      </c>
    </row>
    <row r="3" spans="1:6" x14ac:dyDescent="0.25">
      <c r="A3" s="47" t="s">
        <v>11</v>
      </c>
      <c r="B3" s="53">
        <v>45298</v>
      </c>
      <c r="C3" s="46">
        <v>556.53</v>
      </c>
      <c r="D3" s="46">
        <v>618.74</v>
      </c>
      <c r="E3" s="46">
        <v>122</v>
      </c>
      <c r="F3" s="46">
        <v>620</v>
      </c>
    </row>
    <row r="4" spans="1:6" x14ac:dyDescent="0.25">
      <c r="A4" s="47" t="s">
        <v>11</v>
      </c>
      <c r="B4" s="53">
        <v>45301</v>
      </c>
      <c r="C4" s="46">
        <v>587.54</v>
      </c>
      <c r="D4" s="46">
        <v>511.95</v>
      </c>
      <c r="E4" s="46">
        <v>68.069999999999993</v>
      </c>
      <c r="F4" s="46">
        <v>512</v>
      </c>
    </row>
    <row r="5" spans="1:6" x14ac:dyDescent="0.25">
      <c r="A5" s="47" t="s">
        <v>11</v>
      </c>
      <c r="B5" s="53">
        <v>45306</v>
      </c>
      <c r="C5" s="46">
        <v>419.08</v>
      </c>
      <c r="D5" s="46"/>
      <c r="E5" s="46"/>
      <c r="F5" s="46">
        <v>-100</v>
      </c>
    </row>
    <row r="6" spans="1:6" x14ac:dyDescent="0.25">
      <c r="A6" s="47" t="s">
        <v>11</v>
      </c>
      <c r="B6" s="53">
        <v>45306</v>
      </c>
      <c r="C6" s="46">
        <v>483.75</v>
      </c>
      <c r="D6" s="46"/>
      <c r="E6" s="46"/>
      <c r="F6" s="46">
        <v>122</v>
      </c>
    </row>
    <row r="7" spans="1:6" x14ac:dyDescent="0.25">
      <c r="A7" s="47" t="s">
        <v>11</v>
      </c>
      <c r="B7" s="53">
        <v>45313</v>
      </c>
      <c r="C7" s="46">
        <v>231.95</v>
      </c>
      <c r="D7" s="46"/>
      <c r="E7" s="46"/>
      <c r="F7" s="46"/>
    </row>
    <row r="8" spans="1:6" x14ac:dyDescent="0.25">
      <c r="A8" s="47" t="s">
        <v>33</v>
      </c>
      <c r="B8" s="53">
        <v>45323</v>
      </c>
      <c r="C8" s="46">
        <v>478.49</v>
      </c>
      <c r="D8" s="46"/>
      <c r="E8" s="46"/>
      <c r="F8" s="46"/>
    </row>
    <row r="9" spans="1:6" x14ac:dyDescent="0.25">
      <c r="A9" s="47" t="s">
        <v>33</v>
      </c>
      <c r="B9" s="53">
        <v>45327</v>
      </c>
      <c r="C9" s="46">
        <v>239.45</v>
      </c>
      <c r="D9" s="46"/>
      <c r="E9" s="46">
        <v>109.5</v>
      </c>
      <c r="F9" s="46">
        <v>200</v>
      </c>
    </row>
    <row r="10" spans="1:6" x14ac:dyDescent="0.25">
      <c r="A10" s="47" t="s">
        <v>33</v>
      </c>
      <c r="B10" s="53">
        <v>45328</v>
      </c>
      <c r="C10" s="46">
        <v>400</v>
      </c>
      <c r="D10" s="46">
        <v>210.3</v>
      </c>
      <c r="E10" s="46"/>
      <c r="F10" s="46">
        <v>150</v>
      </c>
    </row>
    <row r="11" spans="1:6" x14ac:dyDescent="0.25">
      <c r="A11" s="47" t="s">
        <v>34</v>
      </c>
      <c r="B11" s="53">
        <v>45352</v>
      </c>
      <c r="C11" s="46">
        <v>500</v>
      </c>
      <c r="D11" s="46">
        <v>200</v>
      </c>
      <c r="E11" s="46">
        <v>200</v>
      </c>
      <c r="F11" s="46">
        <v>250</v>
      </c>
    </row>
    <row r="12" spans="1:6" x14ac:dyDescent="0.25">
      <c r="A12" s="47"/>
      <c r="B12" s="47"/>
      <c r="C12" s="46"/>
      <c r="D12" s="46"/>
      <c r="E12" s="46"/>
      <c r="F12" s="46">
        <v>22</v>
      </c>
    </row>
  </sheetData>
  <dataValidations count="1">
    <dataValidation type="decimal" operator="lessThanOrEqual" allowBlank="1" showInputMessage="1" showErrorMessage="1" sqref="C2:F12" xr:uid="{BDFA30A8-A7B2-4F6E-B634-486B21336751}">
      <formula1>100000</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Expenses Entry</vt:lpstr>
      <vt:lpstr>Pay 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 .</dc:creator>
  <cp:lastModifiedBy>shikha .</cp:lastModifiedBy>
  <dcterms:created xsi:type="dcterms:W3CDTF">2024-01-26T21:25:39Z</dcterms:created>
  <dcterms:modified xsi:type="dcterms:W3CDTF">2024-02-06T04:57:02Z</dcterms:modified>
</cp:coreProperties>
</file>