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1. Assignments\6. Ashiwini Mittal Sir- Nabcons\10. Cold storage room\"/>
    </mc:Choice>
  </mc:AlternateContent>
  <xr:revisionPtr revIDLastSave="0" documentId="13_ncr:1_{999AFCAA-2CB6-4032-B3A2-CFC0CAD627C0}" xr6:coauthVersionLast="47" xr6:coauthVersionMax="47" xr10:uidLastSave="{00000000-0000-0000-0000-000000000000}"/>
  <bookViews>
    <workbookView xWindow="-110" yWindow="-110" windowWidth="19420" windowHeight="11020" xr2:uid="{8B0049CE-B79C-4EF0-8FA8-FBBF9BECEBD1}"/>
  </bookViews>
  <sheets>
    <sheet name="Contents" sheetId="21" r:id="rId1"/>
    <sheet name="Ann 1" sheetId="1" r:id="rId2"/>
    <sheet name="Ann 2" sheetId="2" r:id="rId3"/>
    <sheet name="Ann 3" sheetId="3" r:id="rId4"/>
    <sheet name="Ann 4" sheetId="4" r:id="rId5"/>
    <sheet name="Ann 5" sheetId="7" r:id="rId6"/>
    <sheet name="Ann 6" sheetId="23" state="hidden" r:id="rId7"/>
    <sheet name="Ann 8" sheetId="9" r:id="rId8"/>
    <sheet name="Ann 9" sheetId="10" r:id="rId9"/>
    <sheet name="Ann 10" sheetId="13" r:id="rId10"/>
    <sheet name="Ann 11" sheetId="11" r:id="rId11"/>
    <sheet name="Ann 12" sheetId="12" state="hidden" r:id="rId12"/>
    <sheet name="Ann 13" sheetId="14" r:id="rId13"/>
    <sheet name="Ann 14" sheetId="18" r:id="rId14"/>
    <sheet name="Budgets" sheetId="19" r:id="rId15"/>
    <sheet name="For word file" sheetId="20" state="hidden" r:id="rId16"/>
    <sheet name="Assumptions" sheetId="22" r:id="rId17"/>
    <sheet name="Sheet1" sheetId="15" state="hidden"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5" i="11" l="1"/>
  <c r="C20" i="11"/>
  <c r="B11" i="19"/>
  <c r="B7" i="19" s="1"/>
  <c r="G9" i="3"/>
  <c r="G4" i="3"/>
  <c r="A16" i="21"/>
  <c r="A15" i="21"/>
  <c r="A13" i="21"/>
  <c r="A12" i="21"/>
  <c r="A8" i="21"/>
  <c r="A7" i="21"/>
  <c r="A6" i="21"/>
  <c r="A5" i="21"/>
  <c r="A4" i="21"/>
  <c r="D5" i="22"/>
  <c r="E4" i="22"/>
  <c r="E5" i="22" s="1"/>
  <c r="C38" i="4"/>
  <c r="C7" i="4" s="1"/>
  <c r="C26" i="4"/>
  <c r="B12" i="18"/>
  <c r="D22" i="4"/>
  <c r="E22" i="4"/>
  <c r="F22" i="4"/>
  <c r="G22" i="4"/>
  <c r="H22" i="4"/>
  <c r="I22" i="4"/>
  <c r="J22" i="4"/>
  <c r="K22" i="4"/>
  <c r="C22" i="4"/>
  <c r="D8" i="11" s="1"/>
  <c r="C7" i="2"/>
  <c r="B4" i="18" s="1"/>
  <c r="G14" i="3"/>
  <c r="C8" i="4" s="1"/>
  <c r="D8" i="4" s="1"/>
  <c r="E8" i="4" s="1"/>
  <c r="F8" i="4" s="1"/>
  <c r="G8" i="4" s="1"/>
  <c r="H8" i="4" s="1"/>
  <c r="I8" i="4" s="1"/>
  <c r="J8" i="4" s="1"/>
  <c r="K8" i="4" s="1"/>
  <c r="G6" i="3"/>
  <c r="C11" i="1" s="1"/>
  <c r="B13" i="23"/>
  <c r="B9" i="23"/>
  <c r="B15" i="23" l="1"/>
  <c r="B17" i="23" s="1"/>
  <c r="E15" i="11"/>
  <c r="C22" i="11"/>
  <c r="F4" i="22"/>
  <c r="B15" i="19"/>
  <c r="J6" i="19" l="1"/>
  <c r="F5" i="22"/>
  <c r="G4" i="22"/>
  <c r="F6" i="19"/>
  <c r="I6" i="19"/>
  <c r="G6" i="19"/>
  <c r="D6" i="19"/>
  <c r="B6" i="19"/>
  <c r="E6" i="19"/>
  <c r="H6" i="19"/>
  <c r="C6" i="19"/>
  <c r="A11" i="21"/>
  <c r="A10" i="21"/>
  <c r="A9" i="21"/>
  <c r="K46" i="7"/>
  <c r="J46" i="7"/>
  <c r="D22" i="7"/>
  <c r="E22" i="7"/>
  <c r="F22" i="7"/>
  <c r="G22" i="7"/>
  <c r="H22" i="7"/>
  <c r="I22" i="7"/>
  <c r="I33" i="7" s="1"/>
  <c r="J22" i="7"/>
  <c r="J33" i="7" s="1"/>
  <c r="K22" i="7"/>
  <c r="K33" i="7" s="1"/>
  <c r="C22" i="7"/>
  <c r="E8" i="9"/>
  <c r="A14" i="21"/>
  <c r="C21" i="11" l="1"/>
  <c r="C23" i="11"/>
  <c r="H4" i="22"/>
  <c r="G5" i="22"/>
  <c r="C23" i="18"/>
  <c r="K23" i="18"/>
  <c r="J23" i="18"/>
  <c r="I23" i="18"/>
  <c r="H23" i="18"/>
  <c r="G23" i="18"/>
  <c r="F23" i="18"/>
  <c r="E23" i="18"/>
  <c r="D23" i="18"/>
  <c r="C24" i="11" l="1"/>
  <c r="I4" i="22"/>
  <c r="H5" i="22"/>
  <c r="I40" i="7"/>
  <c r="J40" i="7"/>
  <c r="K40" i="7"/>
  <c r="I5" i="22" l="1"/>
  <c r="J4" i="22"/>
  <c r="C19" i="1"/>
  <c r="G16" i="3"/>
  <c r="D37" i="4"/>
  <c r="D38" i="4" s="1"/>
  <c r="D7" i="4" s="1"/>
  <c r="J5" i="22" l="1"/>
  <c r="K4" i="22"/>
  <c r="E37" i="4"/>
  <c r="E38" i="4" s="1"/>
  <c r="E7" i="4" s="1"/>
  <c r="K5" i="22" l="1"/>
  <c r="L4" i="22"/>
  <c r="L5" i="22" s="1"/>
  <c r="C7" i="19"/>
  <c r="D7" i="19" s="1"/>
  <c r="E7" i="19" s="1"/>
  <c r="F7" i="19" s="1"/>
  <c r="G7" i="19" s="1"/>
  <c r="H7" i="19" s="1"/>
  <c r="I7" i="19" s="1"/>
  <c r="J7" i="19" s="1"/>
  <c r="F37" i="4"/>
  <c r="F38" i="4" s="1"/>
  <c r="F7" i="4" s="1"/>
  <c r="K17" i="4" l="1"/>
  <c r="K9" i="4" s="1"/>
  <c r="C17" i="4"/>
  <c r="G37" i="4"/>
  <c r="G38" i="4" s="1"/>
  <c r="G7" i="4" s="1"/>
  <c r="C12" i="7" l="1"/>
  <c r="C8" i="18" s="1"/>
  <c r="C9" i="4"/>
  <c r="K12" i="7"/>
  <c r="E5" i="11"/>
  <c r="D7" i="11" s="1"/>
  <c r="E17" i="4"/>
  <c r="E9" i="4" s="1"/>
  <c r="I17" i="4"/>
  <c r="I9" i="4" s="1"/>
  <c r="J17" i="4"/>
  <c r="J9" i="4" s="1"/>
  <c r="D17" i="4"/>
  <c r="D9" i="4" s="1"/>
  <c r="F17" i="4"/>
  <c r="F9" i="4" s="1"/>
  <c r="G17" i="4"/>
  <c r="G9" i="4" s="1"/>
  <c r="H17" i="4"/>
  <c r="H9" i="4" s="1"/>
  <c r="J3" i="20"/>
  <c r="B3" i="20"/>
  <c r="H37" i="4"/>
  <c r="H38" i="4" s="1"/>
  <c r="H7" i="4" s="1"/>
  <c r="H12" i="7" l="1"/>
  <c r="G12" i="7"/>
  <c r="J12" i="7"/>
  <c r="I12" i="7"/>
  <c r="E12" i="7"/>
  <c r="E8" i="18" s="1"/>
  <c r="F12" i="7"/>
  <c r="D12" i="7"/>
  <c r="D8" i="18" s="1"/>
  <c r="G3" i="20"/>
  <c r="C3" i="20"/>
  <c r="D3" i="20"/>
  <c r="I3" i="20"/>
  <c r="H3" i="20"/>
  <c r="E3" i="20"/>
  <c r="F3" i="20"/>
  <c r="I37" i="4"/>
  <c r="I38" i="4" s="1"/>
  <c r="I7" i="4" s="1"/>
  <c r="J37" i="4" l="1"/>
  <c r="K37" i="4" l="1"/>
  <c r="K38" i="4" s="1"/>
  <c r="K7" i="4" s="1"/>
  <c r="J38" i="4"/>
  <c r="J7" i="4" s="1"/>
  <c r="C12" i="1"/>
  <c r="C35" i="1"/>
  <c r="J23" i="4"/>
  <c r="K23" i="4"/>
  <c r="K13" i="18" s="1"/>
  <c r="C6" i="10" l="1"/>
  <c r="D9" i="11"/>
  <c r="J13" i="18"/>
  <c r="J45" i="7"/>
  <c r="K45" i="7"/>
  <c r="E6" i="9"/>
  <c r="E17" i="9"/>
  <c r="E9" i="11" l="1"/>
  <c r="E10" i="11" s="1"/>
  <c r="D10" i="4" l="1"/>
  <c r="D11" i="4" s="1"/>
  <c r="E12" i="10"/>
  <c r="J47" i="7"/>
  <c r="K47" i="7"/>
  <c r="C12" i="10"/>
  <c r="C20" i="1"/>
  <c r="C16" i="1"/>
  <c r="F8" i="10"/>
  <c r="F7" i="10"/>
  <c r="E9" i="9"/>
  <c r="E7" i="9"/>
  <c r="C9" i="1"/>
  <c r="D6" i="10" l="1"/>
  <c r="D12" i="10" s="1"/>
  <c r="D13" i="10" s="1"/>
  <c r="C39" i="1"/>
  <c r="C8" i="2" s="1"/>
  <c r="D5" i="14" s="1"/>
  <c r="H27" i="4" s="1"/>
  <c r="F6" i="10"/>
  <c r="C28" i="4"/>
  <c r="D10" i="18"/>
  <c r="C7" i="15"/>
  <c r="E10" i="9"/>
  <c r="E12" i="9" s="1"/>
  <c r="E10" i="18"/>
  <c r="B10" i="13"/>
  <c r="C13" i="10"/>
  <c r="C3" i="15"/>
  <c r="E13" i="10"/>
  <c r="K6" i="12"/>
  <c r="E5" i="12"/>
  <c r="H6" i="12"/>
  <c r="E6" i="12"/>
  <c r="D6" i="12"/>
  <c r="F6" i="12"/>
  <c r="F5" i="12"/>
  <c r="G5" i="12"/>
  <c r="I6" i="12"/>
  <c r="D14" i="10" l="1"/>
  <c r="D15" i="10" s="1"/>
  <c r="D16" i="10" s="1"/>
  <c r="D17" i="10" s="1"/>
  <c r="C9" i="7"/>
  <c r="C10" i="7"/>
  <c r="F12" i="10"/>
  <c r="E13" i="11" s="1"/>
  <c r="C4" i="2"/>
  <c r="C6" i="2" s="1"/>
  <c r="F9" i="10"/>
  <c r="B7" i="18"/>
  <c r="F13" i="10"/>
  <c r="E10" i="4"/>
  <c r="E11" i="4" s="1"/>
  <c r="E13" i="9"/>
  <c r="F3" i="15"/>
  <c r="F10" i="18"/>
  <c r="C14" i="10"/>
  <c r="C10" i="13"/>
  <c r="D28" i="4"/>
  <c r="D10" i="7"/>
  <c r="E3" i="15"/>
  <c r="D3" i="15"/>
  <c r="E14" i="10"/>
  <c r="H5" i="12"/>
  <c r="J5" i="12"/>
  <c r="C6" i="12"/>
  <c r="J6" i="12"/>
  <c r="D5" i="12"/>
  <c r="I5" i="12"/>
  <c r="C5" i="12"/>
  <c r="G6" i="12"/>
  <c r="K5" i="12"/>
  <c r="C11" i="7" l="1"/>
  <c r="D9" i="7" s="1"/>
  <c r="F14" i="10"/>
  <c r="B26" i="18"/>
  <c r="B27" i="18" s="1"/>
  <c r="B6" i="18"/>
  <c r="D4" i="14"/>
  <c r="D12" i="14" s="1"/>
  <c r="E15" i="9"/>
  <c r="C13" i="4"/>
  <c r="E12" i="11" s="1"/>
  <c r="C17" i="7"/>
  <c r="B5" i="18" s="1"/>
  <c r="C39" i="7"/>
  <c r="F10" i="4"/>
  <c r="F11" i="4" s="1"/>
  <c r="G10" i="18"/>
  <c r="D11" i="7"/>
  <c r="D39" i="7" s="1"/>
  <c r="E28" i="4"/>
  <c r="E10" i="7"/>
  <c r="D10" i="13"/>
  <c r="C15" i="10"/>
  <c r="E15" i="10"/>
  <c r="D18" i="10"/>
  <c r="D13" i="14" l="1"/>
  <c r="D14" i="14" s="1"/>
  <c r="B20" i="18"/>
  <c r="C4" i="18" s="1"/>
  <c r="C24" i="18" s="1"/>
  <c r="C25" i="18" s="1"/>
  <c r="C10" i="14"/>
  <c r="E10" i="14" s="1"/>
  <c r="C11" i="14"/>
  <c r="E11" i="14" s="1"/>
  <c r="C12" i="14"/>
  <c r="D13" i="4"/>
  <c r="C23" i="7"/>
  <c r="B24" i="18"/>
  <c r="C14" i="4"/>
  <c r="F15" i="10"/>
  <c r="G10" i="4"/>
  <c r="G11" i="4" s="1"/>
  <c r="F8" i="18"/>
  <c r="H10" i="18"/>
  <c r="G3" i="15"/>
  <c r="E9" i="7"/>
  <c r="E11" i="7" s="1"/>
  <c r="E39" i="7" s="1"/>
  <c r="F10" i="7"/>
  <c r="E10" i="13"/>
  <c r="F28" i="4"/>
  <c r="C16" i="10"/>
  <c r="C17" i="10" s="1"/>
  <c r="E16" i="10"/>
  <c r="D19" i="10"/>
  <c r="D20" i="10" s="1"/>
  <c r="C46" i="7" l="1"/>
  <c r="D15" i="14"/>
  <c r="C19" i="18"/>
  <c r="E12" i="14"/>
  <c r="C13" i="14"/>
  <c r="E13" i="4"/>
  <c r="E14" i="4" s="1"/>
  <c r="D23" i="7"/>
  <c r="D9" i="18"/>
  <c r="C28" i="7"/>
  <c r="B29" i="18"/>
  <c r="B25" i="18"/>
  <c r="B30" i="18" s="1"/>
  <c r="D14" i="4"/>
  <c r="F16" i="10"/>
  <c r="H10" i="4"/>
  <c r="H11" i="4" s="1"/>
  <c r="G8" i="18"/>
  <c r="I10" i="18"/>
  <c r="H3" i="15"/>
  <c r="F9" i="7"/>
  <c r="F11" i="7" s="1"/>
  <c r="F39" i="7" s="1"/>
  <c r="G10" i="7"/>
  <c r="F10" i="13"/>
  <c r="G28" i="4"/>
  <c r="C18" i="10"/>
  <c r="E17" i="10"/>
  <c r="H28" i="4" s="1"/>
  <c r="E16" i="11" l="1"/>
  <c r="D16" i="14"/>
  <c r="D17" i="14" s="1"/>
  <c r="D18" i="14" s="1"/>
  <c r="E13" i="14"/>
  <c r="C14" i="14"/>
  <c r="D11" i="18"/>
  <c r="E9" i="18"/>
  <c r="D28" i="7"/>
  <c r="F13" i="4"/>
  <c r="E23" i="7"/>
  <c r="E11" i="18" s="1"/>
  <c r="D16" i="4"/>
  <c r="D18" i="4" s="1"/>
  <c r="D48" i="7" s="1"/>
  <c r="F17" i="10"/>
  <c r="E16" i="4"/>
  <c r="I10" i="4"/>
  <c r="I11" i="4" s="1"/>
  <c r="H8" i="18"/>
  <c r="J10" i="18"/>
  <c r="I3" i="15"/>
  <c r="G9" i="7"/>
  <c r="G11" i="7" s="1"/>
  <c r="H10" i="7"/>
  <c r="G10" i="13"/>
  <c r="C19" i="10"/>
  <c r="E18" i="10"/>
  <c r="E19" i="10" s="1"/>
  <c r="E17" i="11" l="1"/>
  <c r="D19" i="18"/>
  <c r="C21" i="4"/>
  <c r="C23" i="4" s="1"/>
  <c r="C13" i="18" s="1"/>
  <c r="D46" i="7"/>
  <c r="D19" i="14"/>
  <c r="D20" i="14" s="1"/>
  <c r="D21" i="14" s="1"/>
  <c r="D22" i="14" s="1"/>
  <c r="E14" i="14"/>
  <c r="C21" i="7"/>
  <c r="C15" i="14"/>
  <c r="F9" i="18"/>
  <c r="E28" i="7"/>
  <c r="G13" i="4"/>
  <c r="G14" i="4" s="1"/>
  <c r="F23" i="7"/>
  <c r="F14" i="4"/>
  <c r="F16" i="4" s="1"/>
  <c r="C4" i="20"/>
  <c r="C5" i="20" s="1"/>
  <c r="C6" i="20" s="1"/>
  <c r="F18" i="10"/>
  <c r="E18" i="4"/>
  <c r="E48" i="7" s="1"/>
  <c r="D4" i="20"/>
  <c r="C20" i="10"/>
  <c r="F19" i="10"/>
  <c r="J10" i="4"/>
  <c r="J11" i="4" s="1"/>
  <c r="K10" i="4"/>
  <c r="K11" i="4" s="1"/>
  <c r="I8" i="18"/>
  <c r="K10" i="18"/>
  <c r="G39" i="7"/>
  <c r="H9" i="7"/>
  <c r="H11" i="7" s="1"/>
  <c r="I10" i="7"/>
  <c r="I28" i="4"/>
  <c r="H10" i="13"/>
  <c r="I10" i="13"/>
  <c r="J10" i="7"/>
  <c r="J28" i="4"/>
  <c r="E20" i="10"/>
  <c r="C45" i="7" l="1"/>
  <c r="C47" i="7" s="1"/>
  <c r="E46" i="7"/>
  <c r="E19" i="18"/>
  <c r="D23" i="14"/>
  <c r="D24" i="14" s="1"/>
  <c r="D25" i="14" s="1"/>
  <c r="D26" i="14" s="1"/>
  <c r="F11" i="18"/>
  <c r="C40" i="7"/>
  <c r="C41" i="7" s="1"/>
  <c r="C33" i="7"/>
  <c r="E15" i="14"/>
  <c r="C16" i="14"/>
  <c r="G9" i="18"/>
  <c r="F28" i="7"/>
  <c r="H13" i="4"/>
  <c r="H14" i="4" s="1"/>
  <c r="G23" i="7"/>
  <c r="G11" i="18" s="1"/>
  <c r="F20" i="10"/>
  <c r="F18" i="4"/>
  <c r="F48" i="7" s="1"/>
  <c r="E4" i="20"/>
  <c r="E5" i="20" s="1"/>
  <c r="E6" i="20" s="1"/>
  <c r="D5" i="20"/>
  <c r="D6" i="20" s="1"/>
  <c r="K28" i="4"/>
  <c r="J10" i="13"/>
  <c r="G16" i="4"/>
  <c r="F4" i="20" s="1"/>
  <c r="F5" i="20" s="1"/>
  <c r="F6" i="20" s="1"/>
  <c r="J8" i="18"/>
  <c r="K8" i="18"/>
  <c r="H39" i="7"/>
  <c r="I9" i="7"/>
  <c r="I11" i="7" s="1"/>
  <c r="J9" i="7" s="1"/>
  <c r="J11" i="7" s="1"/>
  <c r="K10" i="7"/>
  <c r="F19" i="18" l="1"/>
  <c r="D27" i="14"/>
  <c r="D28" i="14" s="1"/>
  <c r="D29" i="14" s="1"/>
  <c r="F46" i="7"/>
  <c r="E16" i="14"/>
  <c r="C17" i="14"/>
  <c r="H9" i="18"/>
  <c r="G28" i="7"/>
  <c r="I13" i="4"/>
  <c r="I14" i="4" s="1"/>
  <c r="H23" i="7"/>
  <c r="H11" i="18" s="1"/>
  <c r="H16" i="4"/>
  <c r="G4" i="20" s="1"/>
  <c r="G5" i="20" s="1"/>
  <c r="G6" i="20" s="1"/>
  <c r="I39" i="7"/>
  <c r="J39" i="7"/>
  <c r="K9" i="7"/>
  <c r="K11" i="7" s="1"/>
  <c r="K39" i="7" s="1"/>
  <c r="G18" i="4"/>
  <c r="G48" i="7" s="1"/>
  <c r="G19" i="18" l="1"/>
  <c r="G46" i="7"/>
  <c r="E17" i="14"/>
  <c r="D21" i="4" s="1"/>
  <c r="D23" i="4" s="1"/>
  <c r="C18" i="14"/>
  <c r="I9" i="18"/>
  <c r="H28" i="7"/>
  <c r="J13" i="4"/>
  <c r="J14" i="4" s="1"/>
  <c r="I23" i="7"/>
  <c r="I11" i="18" s="1"/>
  <c r="I16" i="4"/>
  <c r="H4" i="20" s="1"/>
  <c r="H5" i="20" s="1"/>
  <c r="H6" i="20" s="1"/>
  <c r="E18" i="14" l="1"/>
  <c r="D21" i="7"/>
  <c r="C19" i="14"/>
  <c r="D13" i="18"/>
  <c r="D45" i="7"/>
  <c r="D47" i="7" s="1"/>
  <c r="D49" i="7" s="1"/>
  <c r="D25" i="4"/>
  <c r="J9" i="18"/>
  <c r="I28" i="7"/>
  <c r="K13" i="4"/>
  <c r="J23" i="7"/>
  <c r="J11" i="18" s="1"/>
  <c r="J16" i="4"/>
  <c r="I4" i="20" s="1"/>
  <c r="I5" i="20" s="1"/>
  <c r="I6" i="20" s="1"/>
  <c r="H18" i="4"/>
  <c r="H48" i="7" s="1"/>
  <c r="D33" i="14" l="1"/>
  <c r="D34" i="14" s="1"/>
  <c r="H19" i="18"/>
  <c r="D29" i="4"/>
  <c r="C7" i="13"/>
  <c r="C9" i="13" s="1"/>
  <c r="C11" i="13" s="1"/>
  <c r="C13" i="13" s="1"/>
  <c r="C14" i="13" s="1"/>
  <c r="D30" i="4" s="1"/>
  <c r="D15" i="18" s="1"/>
  <c r="E19" i="14"/>
  <c r="C20" i="14"/>
  <c r="D33" i="7"/>
  <c r="D40" i="7"/>
  <c r="D41" i="7" s="1"/>
  <c r="K9" i="18"/>
  <c r="J28" i="7"/>
  <c r="K23" i="7"/>
  <c r="K28" i="7" s="1"/>
  <c r="K14" i="4"/>
  <c r="H46" i="7" l="1"/>
  <c r="D35" i="14"/>
  <c r="D36" i="14" s="1"/>
  <c r="I46" i="7" s="1"/>
  <c r="E20" i="14"/>
  <c r="C21" i="14"/>
  <c r="C7" i="20"/>
  <c r="D31" i="4"/>
  <c r="K11" i="18"/>
  <c r="K16" i="4"/>
  <c r="J4" i="20" s="1"/>
  <c r="J5" i="20" s="1"/>
  <c r="J6" i="20" s="1"/>
  <c r="I18" i="4"/>
  <c r="I48" i="7" s="1"/>
  <c r="I19" i="18" l="1"/>
  <c r="D32" i="4"/>
  <c r="D17" i="18" s="1"/>
  <c r="D26" i="18" s="1"/>
  <c r="D27" i="18" s="1"/>
  <c r="C8" i="20"/>
  <c r="E21" i="14"/>
  <c r="E21" i="4" s="1"/>
  <c r="E23" i="4" s="1"/>
  <c r="C22" i="14"/>
  <c r="D33" i="4" l="1"/>
  <c r="D18" i="7" s="1"/>
  <c r="E25" i="4"/>
  <c r="E45" i="7"/>
  <c r="E47" i="7" s="1"/>
  <c r="E49" i="7" s="1"/>
  <c r="E13" i="18"/>
  <c r="E22" i="14"/>
  <c r="C23" i="14"/>
  <c r="E21" i="7"/>
  <c r="E33" i="7" l="1"/>
  <c r="E40" i="7"/>
  <c r="E41" i="7" s="1"/>
  <c r="E23" i="14"/>
  <c r="C24" i="14"/>
  <c r="E29" i="4"/>
  <c r="D7" i="13"/>
  <c r="D9" i="13" s="1"/>
  <c r="D11" i="13" s="1"/>
  <c r="D13" i="13" s="1"/>
  <c r="D14" i="13" s="1"/>
  <c r="E30" i="4" s="1"/>
  <c r="E15" i="18" s="1"/>
  <c r="J18" i="4"/>
  <c r="J3" i="15"/>
  <c r="K3" i="15"/>
  <c r="D7" i="20" l="1"/>
  <c r="E31" i="4"/>
  <c r="E24" i="14"/>
  <c r="C25" i="14"/>
  <c r="J25" i="4"/>
  <c r="J29" i="4" s="1"/>
  <c r="J48" i="7"/>
  <c r="K18" i="4"/>
  <c r="E25" i="14" l="1"/>
  <c r="F21" i="4" s="1"/>
  <c r="F23" i="4" s="1"/>
  <c r="C26" i="14"/>
  <c r="E32" i="4"/>
  <c r="E17" i="18" s="1"/>
  <c r="E26" i="18" s="1"/>
  <c r="E27" i="18" s="1"/>
  <c r="D8" i="20"/>
  <c r="I7" i="20"/>
  <c r="I7" i="13"/>
  <c r="I9" i="13" s="1"/>
  <c r="I11" i="13" s="1"/>
  <c r="I13" i="13" s="1"/>
  <c r="I14" i="13" s="1"/>
  <c r="J30" i="4" s="1"/>
  <c r="J15" i="18" s="1"/>
  <c r="K25" i="4"/>
  <c r="K29" i="4" s="1"/>
  <c r="K48" i="7"/>
  <c r="E33" i="4" l="1"/>
  <c r="E18" i="7" s="1"/>
  <c r="F45" i="7"/>
  <c r="F47" i="7" s="1"/>
  <c r="F49" i="7" s="1"/>
  <c r="F25" i="4"/>
  <c r="F13" i="18"/>
  <c r="E26" i="14"/>
  <c r="F21" i="7"/>
  <c r="C27" i="14"/>
  <c r="J7" i="20"/>
  <c r="J31" i="4"/>
  <c r="J32" i="4" s="1"/>
  <c r="J7" i="13"/>
  <c r="J9" i="13" s="1"/>
  <c r="J11" i="13" s="1"/>
  <c r="J13" i="13" s="1"/>
  <c r="J14" i="13" s="1"/>
  <c r="K30" i="4" s="1"/>
  <c r="E27" i="14" l="1"/>
  <c r="C28" i="14"/>
  <c r="F33" i="7"/>
  <c r="F40" i="7"/>
  <c r="F41" i="7" s="1"/>
  <c r="F29" i="4"/>
  <c r="E7" i="13"/>
  <c r="E9" i="13" s="1"/>
  <c r="E11" i="13" s="1"/>
  <c r="E13" i="13" s="1"/>
  <c r="E14" i="13" s="1"/>
  <c r="F30" i="4" s="1"/>
  <c r="F15" i="18" s="1"/>
  <c r="J33" i="4"/>
  <c r="J18" i="7" s="1"/>
  <c r="I8" i="20"/>
  <c r="K31" i="4"/>
  <c r="K32" i="4" s="1"/>
  <c r="K15" i="18"/>
  <c r="C29" i="14" l="1"/>
  <c r="E28" i="14"/>
  <c r="E7" i="20"/>
  <c r="F31" i="4"/>
  <c r="J17" i="18"/>
  <c r="J26" i="18" s="1"/>
  <c r="K33" i="4"/>
  <c r="K18" i="7" s="1"/>
  <c r="J8" i="20"/>
  <c r="F32" i="4" l="1"/>
  <c r="F17" i="18" s="1"/>
  <c r="F26" i="18" s="1"/>
  <c r="F27" i="18" s="1"/>
  <c r="E8" i="20"/>
  <c r="C30" i="14"/>
  <c r="E29" i="14"/>
  <c r="G21" i="4" s="1"/>
  <c r="G23" i="4" s="1"/>
  <c r="G21" i="7"/>
  <c r="J27" i="18"/>
  <c r="K17" i="18"/>
  <c r="K26" i="18" s="1"/>
  <c r="F33" i="4" l="1"/>
  <c r="F18" i="7" s="1"/>
  <c r="G40" i="7"/>
  <c r="G41" i="7" s="1"/>
  <c r="G33" i="7"/>
  <c r="C31" i="14"/>
  <c r="E30" i="14"/>
  <c r="G13" i="18"/>
  <c r="G45" i="7"/>
  <c r="G47" i="7" s="1"/>
  <c r="G49" i="7" s="1"/>
  <c r="G25" i="4"/>
  <c r="K27" i="18"/>
  <c r="G29" i="4" l="1"/>
  <c r="F7" i="13"/>
  <c r="F9" i="13" s="1"/>
  <c r="F11" i="13" s="1"/>
  <c r="F13" i="13" s="1"/>
  <c r="F14" i="13" s="1"/>
  <c r="G30" i="4" s="1"/>
  <c r="G15" i="18" s="1"/>
  <c r="C33" i="14" l="1"/>
  <c r="E32" i="14"/>
  <c r="F7" i="20"/>
  <c r="G31" i="4"/>
  <c r="G32" i="4" l="1"/>
  <c r="G17" i="18" s="1"/>
  <c r="G26" i="18" s="1"/>
  <c r="G27" i="18" s="1"/>
  <c r="F8" i="20"/>
  <c r="C34" i="14"/>
  <c r="E33" i="14"/>
  <c r="H21" i="4" s="1"/>
  <c r="H23" i="4" s="1"/>
  <c r="H21" i="7"/>
  <c r="G33" i="4" l="1"/>
  <c r="G18" i="7" s="1"/>
  <c r="H45" i="7"/>
  <c r="H47" i="7" s="1"/>
  <c r="H49" i="7" s="1"/>
  <c r="H25" i="4"/>
  <c r="H29" i="4" s="1"/>
  <c r="H13" i="18"/>
  <c r="H33" i="7"/>
  <c r="H40" i="7"/>
  <c r="F42" i="7" s="1"/>
  <c r="E34" i="14"/>
  <c r="C35" i="14"/>
  <c r="C36" i="14" l="1"/>
  <c r="E35" i="14"/>
  <c r="G7" i="13"/>
  <c r="G9" i="13" s="1"/>
  <c r="G11" i="13" s="1"/>
  <c r="G13" i="13" s="1"/>
  <c r="G14" i="13" s="1"/>
  <c r="H30" i="4" s="1"/>
  <c r="H15" i="18" s="1"/>
  <c r="G7" i="20" l="1"/>
  <c r="H31" i="4"/>
  <c r="C37" i="14"/>
  <c r="E37" i="14" s="1"/>
  <c r="E36" i="14"/>
  <c r="I21" i="4" s="1"/>
  <c r="I23" i="4" s="1"/>
  <c r="I45" i="7" l="1"/>
  <c r="I47" i="7" s="1"/>
  <c r="I25" i="4"/>
  <c r="I29" i="4" s="1"/>
  <c r="I13" i="18"/>
  <c r="H32" i="4"/>
  <c r="H17" i="18" s="1"/>
  <c r="H26" i="18" s="1"/>
  <c r="H27" i="18" s="1"/>
  <c r="G8" i="20"/>
  <c r="H33" i="4" l="1"/>
  <c r="H18" i="7" s="1"/>
  <c r="H7" i="13"/>
  <c r="H9" i="13" s="1"/>
  <c r="H11" i="13" s="1"/>
  <c r="H13" i="13" s="1"/>
  <c r="H14" i="13" s="1"/>
  <c r="I30" i="4" s="1"/>
  <c r="I15" i="18" s="1"/>
  <c r="H7" i="20" l="1"/>
  <c r="I31" i="4"/>
  <c r="I32" i="4" l="1"/>
  <c r="H8" i="20"/>
  <c r="C10" i="4"/>
  <c r="I17" i="18" l="1"/>
  <c r="I26" i="18" s="1"/>
  <c r="I27" i="18" s="1"/>
  <c r="I33" i="4"/>
  <c r="I18" i="7" s="1"/>
  <c r="C11" i="18"/>
  <c r="C14" i="18" s="1"/>
  <c r="C11" i="4"/>
  <c r="C16" i="4" s="1"/>
  <c r="C18" i="4" l="1"/>
  <c r="B4" i="20"/>
  <c r="B5" i="20" s="1"/>
  <c r="B6" i="20" s="1"/>
  <c r="C48" i="7" l="1"/>
  <c r="C49" i="7" s="1"/>
  <c r="F50" i="7" s="1"/>
  <c r="C25" i="4"/>
  <c r="C29" i="4" s="1"/>
  <c r="B7" i="13" l="1"/>
  <c r="B9" i="13" s="1"/>
  <c r="B11" i="13" s="1"/>
  <c r="B13" i="13" s="1"/>
  <c r="B14" i="13" s="1"/>
  <c r="C30" i="4" s="1"/>
  <c r="C15" i="18" s="1"/>
  <c r="C16" i="18" l="1"/>
  <c r="C31" i="4"/>
  <c r="C32" i="4" s="1"/>
  <c r="B7" i="20"/>
  <c r="B8" i="20" l="1"/>
  <c r="C17" i="18" l="1"/>
  <c r="C26" i="18" s="1"/>
  <c r="C33" i="4"/>
  <c r="C18" i="7" s="1"/>
  <c r="C20" i="7" s="1"/>
  <c r="C34" i="7" l="1"/>
  <c r="C35" i="7" s="1"/>
  <c r="C24" i="7"/>
  <c r="D17" i="7"/>
  <c r="D20" i="7" s="1"/>
  <c r="C18" i="18"/>
  <c r="C20" i="18" s="1"/>
  <c r="C13" i="7" s="1"/>
  <c r="D4" i="18" l="1"/>
  <c r="D14" i="18" s="1"/>
  <c r="C29" i="18"/>
  <c r="C30" i="18" s="1"/>
  <c r="C27" i="18"/>
  <c r="E17" i="7"/>
  <c r="E20" i="7" s="1"/>
  <c r="D24" i="7"/>
  <c r="D34" i="7"/>
  <c r="D35" i="7" s="1"/>
  <c r="E34" i="7" l="1"/>
  <c r="E35" i="7" s="1"/>
  <c r="F17" i="7"/>
  <c r="F20" i="7" s="1"/>
  <c r="E24" i="7"/>
  <c r="D24" i="18"/>
  <c r="D16" i="18"/>
  <c r="D18" i="18" s="1"/>
  <c r="D20" i="18" s="1"/>
  <c r="C14" i="7"/>
  <c r="C27" i="7"/>
  <c r="C29" i="7" s="1"/>
  <c r="E4" i="18" l="1"/>
  <c r="E14" i="18" s="1"/>
  <c r="D13" i="7"/>
  <c r="D29" i="18"/>
  <c r="D30" i="18" s="1"/>
  <c r="D25" i="18"/>
  <c r="F34" i="7"/>
  <c r="F35" i="7" s="1"/>
  <c r="F24" i="7"/>
  <c r="G17" i="7"/>
  <c r="G20" i="7" s="1"/>
  <c r="G34" i="7" l="1"/>
  <c r="G35" i="7" s="1"/>
  <c r="G24" i="7"/>
  <c r="H17" i="7"/>
  <c r="H20" i="7" s="1"/>
  <c r="D27" i="7"/>
  <c r="D29" i="7" s="1"/>
  <c r="D14" i="7"/>
  <c r="E16" i="18"/>
  <c r="E18" i="18" s="1"/>
  <c r="E20" i="18" s="1"/>
  <c r="E24" i="18"/>
  <c r="E13" i="7" l="1"/>
  <c r="F4" i="18"/>
  <c r="E25" i="18"/>
  <c r="E29" i="18"/>
  <c r="E30" i="18" s="1"/>
  <c r="I17" i="7"/>
  <c r="I20" i="7" s="1"/>
  <c r="H24" i="7"/>
  <c r="H34" i="7"/>
  <c r="H35" i="7" s="1"/>
  <c r="J17" i="7" l="1"/>
  <c r="J20" i="7" s="1"/>
  <c r="I34" i="7"/>
  <c r="I35" i="7" s="1"/>
  <c r="I24" i="7"/>
  <c r="F24" i="18"/>
  <c r="F14" i="18"/>
  <c r="F16" i="18" s="1"/>
  <c r="F18" i="18" s="1"/>
  <c r="F20" i="18" s="1"/>
  <c r="E27" i="7"/>
  <c r="E29" i="7" s="1"/>
  <c r="E14" i="7"/>
  <c r="F13" i="7" l="1"/>
  <c r="G4" i="18"/>
  <c r="F29" i="18"/>
  <c r="F30" i="18" s="1"/>
  <c r="F25" i="18"/>
  <c r="J24" i="7"/>
  <c r="K17" i="7"/>
  <c r="K20" i="7" s="1"/>
  <c r="J34" i="7"/>
  <c r="J35" i="7" s="1"/>
  <c r="K34" i="7" l="1"/>
  <c r="K35" i="7" s="1"/>
  <c r="F36" i="7" s="1"/>
  <c r="K24" i="7"/>
  <c r="G14" i="18"/>
  <c r="G16" i="18" s="1"/>
  <c r="G18" i="18" s="1"/>
  <c r="G20" i="18" s="1"/>
  <c r="G24" i="18"/>
  <c r="F14" i="7"/>
  <c r="F27" i="7"/>
  <c r="F29" i="7" s="1"/>
  <c r="G29" i="18" l="1"/>
  <c r="G30" i="18" s="1"/>
  <c r="G25" i="18"/>
  <c r="H4" i="18"/>
  <c r="G13" i="7"/>
  <c r="G27" i="7" l="1"/>
  <c r="G29" i="7" s="1"/>
  <c r="G14" i="7"/>
  <c r="H24" i="18"/>
  <c r="H14" i="18"/>
  <c r="H16" i="18" s="1"/>
  <c r="H18" i="18" s="1"/>
  <c r="H20" i="18" s="1"/>
  <c r="H25" i="18" l="1"/>
  <c r="H29" i="18"/>
  <c r="H30" i="18" s="1"/>
  <c r="I4" i="18"/>
  <c r="H13" i="7"/>
  <c r="H14" i="7" l="1"/>
  <c r="H27" i="7"/>
  <c r="H29" i="7" s="1"/>
  <c r="I24" i="18"/>
  <c r="I14" i="18"/>
  <c r="I16" i="18" s="1"/>
  <c r="I18" i="18" s="1"/>
  <c r="I20" i="18" s="1"/>
  <c r="J4" i="18" l="1"/>
  <c r="I13" i="7"/>
  <c r="I25" i="18"/>
  <c r="I29" i="18"/>
  <c r="I30" i="18" s="1"/>
  <c r="I14" i="7" l="1"/>
  <c r="I27" i="7"/>
  <c r="I29" i="7" s="1"/>
  <c r="J24" i="18"/>
  <c r="J14" i="18"/>
  <c r="J16" i="18" s="1"/>
  <c r="J18" i="18" s="1"/>
  <c r="J20" i="18" s="1"/>
  <c r="K4" i="18" l="1"/>
  <c r="J13" i="7"/>
  <c r="J29" i="18"/>
  <c r="J30" i="18" s="1"/>
  <c r="J25" i="18"/>
  <c r="J14" i="7" l="1"/>
  <c r="J27" i="7"/>
  <c r="J29" i="7" s="1"/>
  <c r="K24" i="18"/>
  <c r="K14" i="18"/>
  <c r="K16" i="18" s="1"/>
  <c r="K18" i="18" s="1"/>
  <c r="K20" i="18" s="1"/>
  <c r="K13" i="7" s="1"/>
  <c r="K27" i="7" l="1"/>
  <c r="K29" i="7" s="1"/>
  <c r="F30" i="7" s="1"/>
  <c r="K14" i="7"/>
  <c r="K29" i="18"/>
  <c r="K30" i="18" s="1"/>
  <c r="L30" i="18" s="1"/>
  <c r="K25" i="18"/>
</calcChain>
</file>

<file path=xl/sharedStrings.xml><?xml version="1.0" encoding="utf-8"?>
<sst xmlns="http://schemas.openxmlformats.org/spreadsheetml/2006/main" count="404" uniqueCount="291">
  <si>
    <t>Annexure 1 - Estimated cost of the project</t>
  </si>
  <si>
    <t>Estimated cost of project</t>
  </si>
  <si>
    <t xml:space="preserve">Sr. No. </t>
  </si>
  <si>
    <t>Particulars</t>
  </si>
  <si>
    <t>Grand Total (in lakhs)</t>
  </si>
  <si>
    <t>(a)</t>
  </si>
  <si>
    <t>Land and site development</t>
  </si>
  <si>
    <t>Land (Lease in name of company)</t>
  </si>
  <si>
    <t>Total</t>
  </si>
  <si>
    <t>Civil Work</t>
  </si>
  <si>
    <t>Plant and Machinery (indegenous)</t>
  </si>
  <si>
    <t>Plant and Machinery</t>
  </si>
  <si>
    <t>Miscellanoeus Fixed Assets</t>
  </si>
  <si>
    <t>Cost</t>
  </si>
  <si>
    <t>Working Capital Margin</t>
  </si>
  <si>
    <t>Preliminary Expenses</t>
  </si>
  <si>
    <t>Security Deposit</t>
  </si>
  <si>
    <t>Pre-Operative Expense</t>
  </si>
  <si>
    <t>(for 6 months upto the date od commencement of commercial production)</t>
  </si>
  <si>
    <t>Establisment and Travelling and Other Expenses</t>
  </si>
  <si>
    <t>(b)</t>
  </si>
  <si>
    <t>Legal and Misc Expense</t>
  </si>
  <si>
    <t>Total Cost of Project</t>
  </si>
  <si>
    <t>Annexure 2 - Means of Finance</t>
  </si>
  <si>
    <t>Sr. No.</t>
  </si>
  <si>
    <t>Item</t>
  </si>
  <si>
    <t>Promoter's equity</t>
  </si>
  <si>
    <t>Eligible Assistance</t>
  </si>
  <si>
    <t>Term Loan</t>
  </si>
  <si>
    <t>CC Limit</t>
  </si>
  <si>
    <t>Annexure 3 - Complete Estimate of Civil and Plant and Machinery</t>
  </si>
  <si>
    <t>Units</t>
  </si>
  <si>
    <t>Amt</t>
  </si>
  <si>
    <t>2. Plant and machinery</t>
  </si>
  <si>
    <t>Total Plant and Machinery</t>
  </si>
  <si>
    <t>Total fixed Assets</t>
  </si>
  <si>
    <t>Annexure 4 - Estimated Cost of Production</t>
  </si>
  <si>
    <t>Sr. No</t>
  </si>
  <si>
    <t>Description</t>
  </si>
  <si>
    <t>I</t>
  </si>
  <si>
    <t>II</t>
  </si>
  <si>
    <t>III</t>
  </si>
  <si>
    <t>IV</t>
  </si>
  <si>
    <t>V</t>
  </si>
  <si>
    <t>VI</t>
  </si>
  <si>
    <t>VII</t>
  </si>
  <si>
    <t>VIII</t>
  </si>
  <si>
    <t>IX</t>
  </si>
  <si>
    <t>Year ending March 31st</t>
  </si>
  <si>
    <t>No of Working months</t>
  </si>
  <si>
    <t>Sales</t>
  </si>
  <si>
    <t>Administrative salaries and wages</t>
  </si>
  <si>
    <t>S. No.</t>
  </si>
  <si>
    <t>Designation</t>
  </si>
  <si>
    <t>In no.</t>
  </si>
  <si>
    <t>Salary per person per month</t>
  </si>
  <si>
    <t>i.</t>
  </si>
  <si>
    <t>ii.</t>
  </si>
  <si>
    <t>Total annual wages</t>
  </si>
  <si>
    <t>Annual increase in wages</t>
  </si>
  <si>
    <t>Accountant</t>
  </si>
  <si>
    <t>iii.</t>
  </si>
  <si>
    <t>Computation of Depreciation</t>
  </si>
  <si>
    <t>Annexure 9 - Computation of Depreciation</t>
  </si>
  <si>
    <t>Pre operatives</t>
  </si>
  <si>
    <t>Contingencies</t>
  </si>
  <si>
    <t>Building and civil work</t>
  </si>
  <si>
    <t>Misc Fixed Asset</t>
  </si>
  <si>
    <t>Amount in lakhs</t>
  </si>
  <si>
    <t>Rates of Depreciation</t>
  </si>
  <si>
    <t>Year</t>
  </si>
  <si>
    <t>Annexure 11- Break even analysis (At maximum capacity utilization)</t>
  </si>
  <si>
    <t>Variable cost</t>
  </si>
  <si>
    <t>- Running and maintenance cost</t>
  </si>
  <si>
    <t>- Interest on Working capital</t>
  </si>
  <si>
    <t>Contribution</t>
  </si>
  <si>
    <t>Wages and salaries</t>
  </si>
  <si>
    <t>- electricity expense</t>
  </si>
  <si>
    <t>Depreciation</t>
  </si>
  <si>
    <t>Fixed cost</t>
  </si>
  <si>
    <t>Sales price per kg</t>
  </si>
  <si>
    <t>Annexure 12 - Profitability statement</t>
  </si>
  <si>
    <t>Years</t>
  </si>
  <si>
    <t>Vegetable procument expense</t>
  </si>
  <si>
    <t>Fruits procurement expense</t>
  </si>
  <si>
    <t>Direct Expenses</t>
  </si>
  <si>
    <t>Cost of Sales</t>
  </si>
  <si>
    <t>Expected sales revenue</t>
  </si>
  <si>
    <t>Gross Profit</t>
  </si>
  <si>
    <t>Financial expense</t>
  </si>
  <si>
    <t>Interest on Term Loan</t>
  </si>
  <si>
    <t>Annexure 13 - Repayment schedule</t>
  </si>
  <si>
    <t>Repayment schedule</t>
  </si>
  <si>
    <t>Amount of Loan (in lakhs)</t>
  </si>
  <si>
    <t>Rate of interest</t>
  </si>
  <si>
    <t>Moratorium period</t>
  </si>
  <si>
    <t>Quarter</t>
  </si>
  <si>
    <t>Balance outstanding</t>
  </si>
  <si>
    <t>Interest</t>
  </si>
  <si>
    <t>Principal instalment</t>
  </si>
  <si>
    <t>total</t>
  </si>
  <si>
    <t>Operating profits (PBT)</t>
  </si>
  <si>
    <t>depreciation</t>
  </si>
  <si>
    <t>Net Profit before Tax</t>
  </si>
  <si>
    <t>Income Tax</t>
  </si>
  <si>
    <t>Profits after Tax</t>
  </si>
  <si>
    <t>Annexure 10 - Calculation of Income tax</t>
  </si>
  <si>
    <t>Calculation of Income Tax</t>
  </si>
  <si>
    <t>Net profit before tax</t>
  </si>
  <si>
    <t>Add- dep on SLM</t>
  </si>
  <si>
    <t>Sub total</t>
  </si>
  <si>
    <t>Less- Dep on WDV</t>
  </si>
  <si>
    <t>Less - Deductions</t>
  </si>
  <si>
    <t>Taxable profits</t>
  </si>
  <si>
    <t>Income tax @30%</t>
  </si>
  <si>
    <t>Profit transfer to balance sheet</t>
  </si>
  <si>
    <t>Annexure 5- Projected balance sheet</t>
  </si>
  <si>
    <t>Projected Baalance sheet</t>
  </si>
  <si>
    <t>Asset</t>
  </si>
  <si>
    <t>Fixed Capital expenditure</t>
  </si>
  <si>
    <t>Gross Block</t>
  </si>
  <si>
    <t>Less- Depreciation</t>
  </si>
  <si>
    <t>net Block</t>
  </si>
  <si>
    <t>Sundry debtors</t>
  </si>
  <si>
    <t>Cash/ bank balance</t>
  </si>
  <si>
    <t>Liabilities</t>
  </si>
  <si>
    <t>Capital</t>
  </si>
  <si>
    <t>Add- Profit</t>
  </si>
  <si>
    <t>Less- Drawings</t>
  </si>
  <si>
    <t>Closing capital</t>
  </si>
  <si>
    <t>term Loan</t>
  </si>
  <si>
    <t>Total liabilities</t>
  </si>
  <si>
    <t>Total assets</t>
  </si>
  <si>
    <t>Current Ratio</t>
  </si>
  <si>
    <t>Current Assets</t>
  </si>
  <si>
    <t>Current Liabilities</t>
  </si>
  <si>
    <t>2. assumed that 30 days of sales are average debtors maintained by the business</t>
  </si>
  <si>
    <t>Debt Equity ratio</t>
  </si>
  <si>
    <t>Debt</t>
  </si>
  <si>
    <t>Equity</t>
  </si>
  <si>
    <t>Ratio</t>
  </si>
  <si>
    <t>cash flow statement</t>
  </si>
  <si>
    <t>Sales realized</t>
  </si>
  <si>
    <t>Term loan</t>
  </si>
  <si>
    <t>assisstance</t>
  </si>
  <si>
    <t>less- Purchase of assets</t>
  </si>
  <si>
    <t>Debt service coverage ratio</t>
  </si>
  <si>
    <t>Interest on loan (TL + WC)</t>
  </si>
  <si>
    <t>Net operating income</t>
  </si>
  <si>
    <t>ratio</t>
  </si>
  <si>
    <t>Instalment of loan</t>
  </si>
  <si>
    <t>A</t>
  </si>
  <si>
    <t>B</t>
  </si>
  <si>
    <t>Average</t>
  </si>
  <si>
    <t>Fixed asset coverage ratio</t>
  </si>
  <si>
    <t>Fixed assets</t>
  </si>
  <si>
    <t>6 months</t>
  </si>
  <si>
    <t>Details of Manpower</t>
  </si>
  <si>
    <t>Security</t>
  </si>
  <si>
    <t>Creditors</t>
  </si>
  <si>
    <t>Total manpower</t>
  </si>
  <si>
    <t>opening balance</t>
  </si>
  <si>
    <t>Add: Sales realizations</t>
  </si>
  <si>
    <t>Less: Interest payments</t>
  </si>
  <si>
    <t>Working capital</t>
  </si>
  <si>
    <t>Interest on WC Loan</t>
  </si>
  <si>
    <t>E mandi expense</t>
  </si>
  <si>
    <t>Site Development</t>
  </si>
  <si>
    <t>Sales Budget</t>
  </si>
  <si>
    <t>Sales qty</t>
  </si>
  <si>
    <t>Production budget</t>
  </si>
  <si>
    <t>Products</t>
  </si>
  <si>
    <t>Production at 100% capacity</t>
  </si>
  <si>
    <t>Output</t>
  </si>
  <si>
    <t>Electricity expense</t>
  </si>
  <si>
    <t>Usage in units</t>
  </si>
  <si>
    <t>4. Electricity usage in units is given below</t>
  </si>
  <si>
    <t>Cost of Production</t>
  </si>
  <si>
    <t>Sub Total</t>
  </si>
  <si>
    <t>Total depreciation for the year</t>
  </si>
  <si>
    <t>Machine operators</t>
  </si>
  <si>
    <t>Preliminary Expense</t>
  </si>
  <si>
    <t>Less: Payment made to creditors of previos year</t>
  </si>
  <si>
    <t>Add: Receipts from debtors of previos year</t>
  </si>
  <si>
    <t>Less: Payments made for current year purchase</t>
  </si>
  <si>
    <t>Less: Distrubutions made from profits</t>
  </si>
  <si>
    <t>Less: Income tax</t>
  </si>
  <si>
    <t>Less: Principal repayment of loan</t>
  </si>
  <si>
    <t>Closing cash balance</t>
  </si>
  <si>
    <t>PV dicounting rate</t>
  </si>
  <si>
    <t>PVF</t>
  </si>
  <si>
    <t>Inflows</t>
  </si>
  <si>
    <t>PV of Inflows</t>
  </si>
  <si>
    <t>Outflows</t>
  </si>
  <si>
    <t>PV of Outflows</t>
  </si>
  <si>
    <t>Net cash inflow</t>
  </si>
  <si>
    <t>Net Present value</t>
  </si>
  <si>
    <t>Turnover</t>
  </si>
  <si>
    <t>Cost Of operations</t>
  </si>
  <si>
    <t>Gross profit</t>
  </si>
  <si>
    <t>EBITDA</t>
  </si>
  <si>
    <t>Profit before tax</t>
  </si>
  <si>
    <t>Profit after tax</t>
  </si>
  <si>
    <t>Total BEP %</t>
  </si>
  <si>
    <t>Interest on TL</t>
  </si>
  <si>
    <t>Add: Capital</t>
  </si>
  <si>
    <t>Add: Loan disbursement</t>
  </si>
  <si>
    <t>Less: Purchase of asset</t>
  </si>
  <si>
    <t>Contents Table</t>
  </si>
  <si>
    <t>Contents</t>
  </si>
  <si>
    <t>Link</t>
  </si>
  <si>
    <t>Ann 1'!A1</t>
  </si>
  <si>
    <t>Ann 2'!A1</t>
  </si>
  <si>
    <t>Ann 4'!A1</t>
  </si>
  <si>
    <t>Ann 5'!A1</t>
  </si>
  <si>
    <t>Ann 8'!A1</t>
  </si>
  <si>
    <t>Ann 9'!A1</t>
  </si>
  <si>
    <t>Ann 10'!A1</t>
  </si>
  <si>
    <t>Ann 11'!A1</t>
  </si>
  <si>
    <t>Ann 13'!A1</t>
  </si>
  <si>
    <t>Assumptions!A1</t>
  </si>
  <si>
    <t>Budgets!A1</t>
  </si>
  <si>
    <t>S. no.</t>
  </si>
  <si>
    <t>Assumptions</t>
  </si>
  <si>
    <t>Electricity usage in units is given below</t>
  </si>
  <si>
    <t>iv.</t>
  </si>
  <si>
    <t>Labour/ helper</t>
  </si>
  <si>
    <t>Annual cost</t>
  </si>
  <si>
    <t>1. asssumed that 60 days of purchases are average creditors maintained</t>
  </si>
  <si>
    <t>Ann 3'!A1</t>
  </si>
  <si>
    <t>Break-even point is the condition when an entity generate sufficient revenue that it can meet its fixed expense after deducting any variable expense, i.e., the point where contribution is equal to the fixed expense.</t>
  </si>
  <si>
    <t>Annexure 6 - requirement of Power and Fuel</t>
  </si>
  <si>
    <t>Fuel</t>
  </si>
  <si>
    <t>Mileage</t>
  </si>
  <si>
    <t>requirement of Fuel</t>
  </si>
  <si>
    <t>Speed of tractor</t>
  </si>
  <si>
    <t>Fuel requirement as per the operative hours</t>
  </si>
  <si>
    <t xml:space="preserve"> km per litre</t>
  </si>
  <si>
    <t xml:space="preserve"> km per hour</t>
  </si>
  <si>
    <t>litres</t>
  </si>
  <si>
    <t>- For Tractor</t>
  </si>
  <si>
    <t>- For Pwer tiller</t>
  </si>
  <si>
    <t>Litre per hour</t>
  </si>
  <si>
    <t>Fuel requirement during the year for 30 units</t>
  </si>
  <si>
    <t>Litres</t>
  </si>
  <si>
    <t>Total fuel requirement</t>
  </si>
  <si>
    <t>Fuel cost per litre</t>
  </si>
  <si>
    <t>Total fuel cost at 100% capacity utilization</t>
  </si>
  <si>
    <t>Distribution of profits (50%)</t>
  </si>
  <si>
    <t>Asssumed that 30 days of purchases are average creditors maintained</t>
  </si>
  <si>
    <t>1. Civil Work</t>
  </si>
  <si>
    <t>Building, steel and wooden work</t>
  </si>
  <si>
    <t>PUF Panel and insulated doors</t>
  </si>
  <si>
    <t>Total Civil Work</t>
  </si>
  <si>
    <t>Per annum capacity in kgs</t>
  </si>
  <si>
    <t>Estimated ocupational capacity</t>
  </si>
  <si>
    <t>Operational days/ months</t>
  </si>
  <si>
    <t>Less: Pre incorporation expense</t>
  </si>
  <si>
    <t>Electricity fixed charge</t>
  </si>
  <si>
    <t>Add: benefits @ 20%</t>
  </si>
  <si>
    <t>BEP in kgs</t>
  </si>
  <si>
    <t>Less: Fixed costs</t>
  </si>
  <si>
    <t>Assumed that 60 days of sales are average debtors maintained by the business</t>
  </si>
  <si>
    <t>Insurance cost @ 7% of purchase cost</t>
  </si>
  <si>
    <t>It is assumed that insuarance cost is 7% of purchase price and this will increase 5% annually</t>
  </si>
  <si>
    <t>3. Electricity are semi-fixed cost. Rs. 700,000 pa is fixed, balance is variable at Rs. 14 per unit usage</t>
  </si>
  <si>
    <t>Annexure 8 - Details of Manpower</t>
  </si>
  <si>
    <t>Ann 14 - Cash flow statement</t>
  </si>
  <si>
    <t>Ann 14'!A1</t>
  </si>
  <si>
    <t>Cold store chamber</t>
  </si>
  <si>
    <t>Generator accessories and plastic crates</t>
  </si>
  <si>
    <t>Electrification and stabiloizers</t>
  </si>
  <si>
    <t>Misc.</t>
  </si>
  <si>
    <t>Dock leveler</t>
  </si>
  <si>
    <t>200 days</t>
  </si>
  <si>
    <t>sales prices per kg per day</t>
  </si>
  <si>
    <t>Running and Manintenance expense @15% of sales</t>
  </si>
  <si>
    <t>Contribution per kg</t>
  </si>
  <si>
    <t>Insurance</t>
  </si>
  <si>
    <t>Interest on WC</t>
  </si>
  <si>
    <t>Running and maintence</t>
  </si>
  <si>
    <t>Break even capacity at maximum capacity utilization</t>
  </si>
  <si>
    <t>Rs. per kg (per month)</t>
  </si>
  <si>
    <t>For the first year of operation the break-even capacity comes at 32.14% capacity, it is because of the fact that in the Initial year the fixed expense of consultancy for project is taken in to consideration for calculation of BEP. considering our operational capacity in year 1 to be 75% which is more than the BEP, hence we can conclude that the project is sound enough to cover its fixed expense.</t>
  </si>
  <si>
    <t>Electricity are semi-fixed cost. Rs. 750,000 pa is fixed, balance is variable at Rs. 14 per unit usage</t>
  </si>
  <si>
    <t>DPR with subsidy</t>
  </si>
  <si>
    <t>Amount of subsidy (in lakhs)</t>
  </si>
  <si>
    <t>Subsidy is available maximum 35%</t>
  </si>
  <si>
    <t>In case of Capital subsidy, the amount vary depending on location of unit and scheme offered by the government at that time. Thus it is assumed here that 35% of cost of project(Rs. 26.675 lakhs)is sourced through back end subsidy.</t>
  </si>
  <si>
    <t>The amount Rs. 26.675 lakhs is sourced by Government subsidy. Since this is a back end subsidy, the amount is funded to bank at the end of repayment schedule.</t>
  </si>
  <si>
    <t>Other income - subsidy for loan repayment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</si>
</sst>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_(* #,##0.000000000_);_(* \(#,##0.000000000\);_(* &quot;-&quot;??_);_(@_)"/>
    <numFmt numFmtId="167" formatCode="0.0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b/>
      <sz val="11"/>
      <color theme="1"/>
      <name val="Adobe Devanagari"/>
      <family val="1"/>
    </font>
    <font>
      <sz val="11"/>
      <color theme="1"/>
      <name val="Adobe Devanagari"/>
      <family val="1"/>
    </font>
    <font>
      <u/>
      <sz val="11"/>
      <color theme="10"/>
      <name val="Adobe Devanagari"/>
      <family val="1"/>
    </font>
    <font>
      <u/>
      <sz val="11"/>
      <color theme="1"/>
      <name val="Adobe Devanagari"/>
      <family val="1"/>
    </font>
    <font>
      <b/>
      <u/>
      <sz val="11"/>
      <color theme="1"/>
      <name val="Adobe Devanagari"/>
      <family val="1"/>
    </font>
    <font>
      <b/>
      <sz val="11"/>
      <name val="Adobe Devanagari"/>
      <family val="1"/>
    </font>
    <font>
      <sz val="11"/>
      <name val="Adobe Devanagari"/>
      <family val="1"/>
    </font>
    <font>
      <sz val="11"/>
      <color theme="0"/>
      <name val="Adobe Devanagari"/>
      <family val="1"/>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28">
    <xf numFmtId="0" fontId="0" fillId="0" borderId="0" xfId="0"/>
    <xf numFmtId="0" fontId="3" fillId="0" borderId="0" xfId="0" applyFont="1"/>
    <xf numFmtId="0" fontId="2" fillId="0" borderId="0" xfId="0" applyFont="1"/>
    <xf numFmtId="0" fontId="0" fillId="0" borderId="0" xfId="0" quotePrefix="1"/>
    <xf numFmtId="43" fontId="0" fillId="0" borderId="0" xfId="1" applyFont="1"/>
    <xf numFmtId="0" fontId="5" fillId="0" borderId="0" xfId="0" applyFont="1"/>
    <xf numFmtId="0" fontId="6" fillId="0" borderId="0" xfId="0" applyFont="1"/>
    <xf numFmtId="0" fontId="6" fillId="0" borderId="1" xfId="0" applyFont="1" applyBorder="1"/>
    <xf numFmtId="0" fontId="7" fillId="0" borderId="1" xfId="3" quotePrefix="1" applyFont="1" applyBorder="1"/>
    <xf numFmtId="0" fontId="7" fillId="0" borderId="1" xfId="3" applyFont="1" applyBorder="1"/>
    <xf numFmtId="0" fontId="5" fillId="3" borderId="1" xfId="0" applyFont="1" applyFill="1" applyBorder="1"/>
    <xf numFmtId="0" fontId="6" fillId="0" borderId="11" xfId="0" applyFont="1" applyBorder="1" applyAlignment="1">
      <alignment horizontal="left"/>
    </xf>
    <xf numFmtId="0" fontId="6" fillId="0" borderId="11" xfId="0" applyFont="1" applyBorder="1"/>
    <xf numFmtId="0" fontId="6" fillId="0" borderId="9" xfId="0" applyFont="1" applyBorder="1"/>
    <xf numFmtId="43" fontId="6" fillId="0" borderId="9" xfId="1" applyFont="1" applyBorder="1"/>
    <xf numFmtId="43" fontId="6" fillId="0" borderId="9" xfId="1" applyNumberFormat="1" applyFont="1" applyBorder="1"/>
    <xf numFmtId="43" fontId="6" fillId="0" borderId="9" xfId="0" applyNumberFormat="1" applyFont="1" applyBorder="1"/>
    <xf numFmtId="0" fontId="6" fillId="0" borderId="11" xfId="0" applyFont="1" applyBorder="1" applyAlignment="1">
      <alignment wrapText="1"/>
    </xf>
    <xf numFmtId="0" fontId="6" fillId="0" borderId="12" xfId="0" applyFont="1" applyBorder="1" applyAlignment="1">
      <alignment horizontal="left"/>
    </xf>
    <xf numFmtId="0" fontId="6" fillId="0" borderId="12" xfId="0" applyFont="1" applyBorder="1"/>
    <xf numFmtId="43" fontId="6" fillId="0" borderId="10" xfId="0" applyNumberFormat="1" applyFont="1" applyBorder="1"/>
    <xf numFmtId="0" fontId="6" fillId="0" borderId="0" xfId="0" applyFont="1" applyAlignment="1">
      <alignment horizontal="left"/>
    </xf>
    <xf numFmtId="0" fontId="6" fillId="3" borderId="3" xfId="0" applyFont="1" applyFill="1" applyBorder="1"/>
    <xf numFmtId="0" fontId="6" fillId="3" borderId="4" xfId="0" applyFont="1" applyFill="1" applyBorder="1"/>
    <xf numFmtId="0" fontId="6" fillId="3" borderId="1" xfId="0" applyFont="1" applyFill="1" applyBorder="1"/>
    <xf numFmtId="0" fontId="6" fillId="3" borderId="1" xfId="0" applyFont="1" applyFill="1" applyBorder="1" applyAlignment="1">
      <alignment wrapText="1"/>
    </xf>
    <xf numFmtId="0" fontId="9" fillId="3" borderId="2" xfId="0" applyFont="1" applyFill="1" applyBorder="1"/>
    <xf numFmtId="0" fontId="5" fillId="3" borderId="3" xfId="0" applyFont="1" applyFill="1" applyBorder="1"/>
    <xf numFmtId="0" fontId="5" fillId="3" borderId="4" xfId="0" applyFont="1" applyFill="1" applyBorder="1"/>
    <xf numFmtId="0" fontId="6" fillId="0" borderId="8" xfId="0" applyFont="1" applyBorder="1"/>
    <xf numFmtId="0" fontId="6" fillId="0" borderId="0" xfId="0" applyFont="1" applyBorder="1"/>
    <xf numFmtId="10" fontId="6" fillId="0" borderId="0" xfId="2" applyNumberFormat="1" applyFont="1"/>
    <xf numFmtId="2" fontId="6" fillId="0" borderId="0" xfId="0" applyNumberFormat="1" applyFont="1"/>
    <xf numFmtId="0" fontId="6" fillId="0" borderId="2" xfId="0" applyFont="1" applyBorder="1"/>
    <xf numFmtId="0" fontId="6" fillId="0" borderId="3" xfId="0" applyFont="1" applyBorder="1"/>
    <xf numFmtId="43" fontId="6" fillId="0" borderId="4" xfId="0" applyNumberFormat="1" applyFont="1" applyBorder="1"/>
    <xf numFmtId="0" fontId="6" fillId="3" borderId="2" xfId="0" applyFont="1" applyFill="1" applyBorder="1"/>
    <xf numFmtId="0" fontId="5" fillId="3" borderId="2" xfId="0" applyFont="1" applyFill="1" applyBorder="1"/>
    <xf numFmtId="0" fontId="6" fillId="0" borderId="5" xfId="0" applyFont="1" applyBorder="1"/>
    <xf numFmtId="0" fontId="6" fillId="0" borderId="6" xfId="0" applyFont="1" applyBorder="1" applyAlignment="1">
      <alignment horizontal="left" wrapText="1"/>
    </xf>
    <xf numFmtId="0" fontId="6" fillId="0" borderId="6" xfId="0" applyFont="1" applyBorder="1"/>
    <xf numFmtId="0" fontId="6" fillId="0" borderId="6" xfId="0" applyFont="1" applyBorder="1" applyAlignment="1">
      <alignment horizontal="left"/>
    </xf>
    <xf numFmtId="164" fontId="6" fillId="0" borderId="6" xfId="1" applyNumberFormat="1" applyFont="1" applyBorder="1"/>
    <xf numFmtId="164" fontId="6" fillId="0" borderId="7" xfId="1" applyNumberFormat="1" applyFont="1" applyBorder="1" applyAlignment="1">
      <alignment horizontal="left"/>
    </xf>
    <xf numFmtId="0" fontId="6" fillId="0" borderId="13" xfId="0" applyFont="1" applyBorder="1"/>
    <xf numFmtId="0" fontId="6" fillId="0" borderId="14" xfId="0" applyFont="1" applyBorder="1" applyAlignment="1">
      <alignment horizontal="left"/>
    </xf>
    <xf numFmtId="0" fontId="6" fillId="0" borderId="14" xfId="0" applyFont="1" applyBorder="1"/>
    <xf numFmtId="164" fontId="6" fillId="0" borderId="14" xfId="1" applyNumberFormat="1" applyFont="1" applyBorder="1"/>
    <xf numFmtId="164" fontId="6" fillId="0" borderId="10" xfId="1" applyNumberFormat="1" applyFont="1" applyBorder="1" applyAlignment="1">
      <alignment horizontal="left"/>
    </xf>
    <xf numFmtId="0" fontId="5" fillId="0" borderId="13" xfId="0" applyFont="1" applyBorder="1"/>
    <xf numFmtId="0" fontId="5" fillId="0" borderId="14" xfId="0" applyFont="1" applyBorder="1"/>
    <xf numFmtId="164" fontId="5" fillId="0" borderId="10" xfId="0" applyNumberFormat="1" applyFont="1" applyBorder="1"/>
    <xf numFmtId="0" fontId="6" fillId="0" borderId="4" xfId="0" applyFont="1" applyBorder="1"/>
    <xf numFmtId="164" fontId="6" fillId="0" borderId="0" xfId="1" applyNumberFormat="1" applyFont="1" applyBorder="1"/>
    <xf numFmtId="164" fontId="6" fillId="0" borderId="9" xfId="1" applyNumberFormat="1" applyFont="1" applyBorder="1" applyAlignment="1">
      <alignment horizontal="left"/>
    </xf>
    <xf numFmtId="0" fontId="5" fillId="0" borderId="2" xfId="0" applyFont="1" applyBorder="1"/>
    <xf numFmtId="0" fontId="5" fillId="0" borderId="3" xfId="0" applyFont="1" applyBorder="1"/>
    <xf numFmtId="164" fontId="5" fillId="0" borderId="4" xfId="0" applyNumberFormat="1" applyFont="1" applyBorder="1"/>
    <xf numFmtId="43" fontId="6" fillId="0" borderId="0" xfId="0" applyNumberFormat="1" applyFont="1"/>
    <xf numFmtId="164" fontId="6" fillId="0" borderId="0" xfId="0" applyNumberFormat="1" applyFont="1"/>
    <xf numFmtId="164" fontId="6" fillId="0" borderId="1" xfId="1" applyNumberFormat="1" applyFont="1" applyBorder="1"/>
    <xf numFmtId="0" fontId="6" fillId="0" borderId="1" xfId="0" applyFont="1" applyFill="1" applyBorder="1"/>
    <xf numFmtId="0" fontId="5" fillId="3" borderId="1" xfId="0" applyFont="1" applyFill="1" applyBorder="1" applyAlignment="1">
      <alignment horizontal="center"/>
    </xf>
    <xf numFmtId="0" fontId="5" fillId="0" borderId="6" xfId="0" applyFont="1" applyBorder="1"/>
    <xf numFmtId="0" fontId="6" fillId="0" borderId="15" xfId="0" applyFont="1" applyBorder="1"/>
    <xf numFmtId="0" fontId="6" fillId="0" borderId="7" xfId="0" applyFont="1" applyBorder="1"/>
    <xf numFmtId="164" fontId="6" fillId="0" borderId="11" xfId="0" applyNumberFormat="1" applyFont="1" applyBorder="1"/>
    <xf numFmtId="43" fontId="6" fillId="0" borderId="11" xfId="0" applyNumberFormat="1" applyFont="1" applyBorder="1"/>
    <xf numFmtId="164" fontId="6" fillId="0" borderId="11" xfId="1" applyNumberFormat="1" applyFont="1" applyBorder="1"/>
    <xf numFmtId="164" fontId="6" fillId="0" borderId="9" xfId="0" applyNumberFormat="1" applyFont="1" applyBorder="1"/>
    <xf numFmtId="0" fontId="5" fillId="0" borderId="0" xfId="0" applyFont="1" applyBorder="1"/>
    <xf numFmtId="164" fontId="6" fillId="0" borderId="9" xfId="1" applyNumberFormat="1" applyFont="1" applyBorder="1"/>
    <xf numFmtId="0" fontId="6" fillId="0" borderId="0" xfId="0" applyFont="1" applyFill="1" applyBorder="1"/>
    <xf numFmtId="164" fontId="6" fillId="0" borderId="8" xfId="0" applyNumberFormat="1" applyFont="1" applyFill="1" applyBorder="1"/>
    <xf numFmtId="0" fontId="6" fillId="0" borderId="10" xfId="0" applyFont="1" applyBorder="1"/>
    <xf numFmtId="0" fontId="6" fillId="3" borderId="8" xfId="0" applyFont="1" applyFill="1" applyBorder="1"/>
    <xf numFmtId="0" fontId="6" fillId="3" borderId="0" xfId="0" applyFont="1" applyFill="1" applyBorder="1"/>
    <xf numFmtId="0" fontId="6" fillId="3" borderId="11" xfId="0" applyFont="1" applyFill="1" applyBorder="1"/>
    <xf numFmtId="0" fontId="6" fillId="3" borderId="9" xfId="0" applyFont="1" applyFill="1" applyBorder="1"/>
    <xf numFmtId="164" fontId="6" fillId="3" borderId="9" xfId="0" applyNumberFormat="1" applyFont="1" applyFill="1" applyBorder="1"/>
    <xf numFmtId="0" fontId="6" fillId="3" borderId="1" xfId="0" applyFont="1" applyFill="1" applyBorder="1" applyAlignment="1">
      <alignment horizontal="center" vertical="center"/>
    </xf>
    <xf numFmtId="0" fontId="8" fillId="0" borderId="0" xfId="0" applyFont="1"/>
    <xf numFmtId="0" fontId="6" fillId="0" borderId="1" xfId="0" applyFont="1" applyBorder="1" applyAlignment="1">
      <alignment horizontal="left"/>
    </xf>
    <xf numFmtId="164" fontId="6" fillId="0" borderId="1" xfId="0" applyNumberFormat="1" applyFont="1" applyBorder="1"/>
    <xf numFmtId="164" fontId="6" fillId="0" borderId="10" xfId="0" applyNumberFormat="1" applyFont="1" applyBorder="1"/>
    <xf numFmtId="164" fontId="6" fillId="0" borderId="4" xfId="0" applyNumberFormat="1" applyFont="1" applyBorder="1"/>
    <xf numFmtId="9" fontId="6" fillId="0" borderId="0" xfId="0" applyNumberFormat="1" applyFont="1"/>
    <xf numFmtId="0" fontId="10" fillId="0" borderId="0" xfId="0" applyFont="1"/>
    <xf numFmtId="0" fontId="11" fillId="0" borderId="0" xfId="0" applyFont="1"/>
    <xf numFmtId="0" fontId="11" fillId="0" borderId="1" xfId="0" applyFont="1" applyBorder="1"/>
    <xf numFmtId="164" fontId="11" fillId="0" borderId="1" xfId="1" applyNumberFormat="1" applyFont="1" applyBorder="1"/>
    <xf numFmtId="164" fontId="12" fillId="0" borderId="0" xfId="1" applyNumberFormat="1" applyFont="1"/>
    <xf numFmtId="10" fontId="12" fillId="0" borderId="0" xfId="1" applyNumberFormat="1" applyFont="1"/>
    <xf numFmtId="0" fontId="12" fillId="0" borderId="0" xfId="0" applyFont="1"/>
    <xf numFmtId="166" fontId="12" fillId="0" borderId="0" xfId="1" applyNumberFormat="1" applyFont="1"/>
    <xf numFmtId="164" fontId="12" fillId="0" borderId="0" xfId="0" applyNumberFormat="1" applyFont="1"/>
    <xf numFmtId="0" fontId="11" fillId="3" borderId="1" xfId="0" applyFont="1" applyFill="1" applyBorder="1" applyAlignment="1">
      <alignment horizontal="center" vertical="center"/>
    </xf>
    <xf numFmtId="9" fontId="6" fillId="0" borderId="1" xfId="0" applyNumberFormat="1" applyFont="1" applyBorder="1"/>
    <xf numFmtId="43" fontId="6" fillId="0" borderId="1" xfId="1" applyFont="1" applyBorder="1"/>
    <xf numFmtId="164" fontId="6" fillId="0" borderId="0" xfId="1" applyNumberFormat="1" applyFont="1"/>
    <xf numFmtId="0" fontId="6" fillId="0" borderId="1" xfId="0" applyFont="1" applyBorder="1" applyAlignment="1">
      <alignment vertical="top"/>
    </xf>
    <xf numFmtId="0" fontId="6" fillId="0" borderId="1" xfId="0" applyFont="1" applyBorder="1" applyAlignment="1">
      <alignment vertical="top" wrapText="1"/>
    </xf>
    <xf numFmtId="0" fontId="6" fillId="0" borderId="0" xfId="0" applyFont="1" applyAlignment="1">
      <alignment vertical="top"/>
    </xf>
    <xf numFmtId="164" fontId="6" fillId="0" borderId="1" xfId="0" applyNumberFormat="1" applyFont="1" applyBorder="1" applyAlignment="1">
      <alignment vertical="top"/>
    </xf>
    <xf numFmtId="165" fontId="6" fillId="0" borderId="1" xfId="0" applyNumberFormat="1" applyFont="1" applyBorder="1" applyAlignment="1">
      <alignment vertical="top" wrapText="1"/>
    </xf>
    <xf numFmtId="0" fontId="6" fillId="0" borderId="0" xfId="0" applyFont="1" applyBorder="1" applyAlignment="1">
      <alignment vertical="top" wrapText="1"/>
    </xf>
    <xf numFmtId="0" fontId="6" fillId="3" borderId="1" xfId="0" applyFont="1" applyFill="1" applyBorder="1" applyAlignment="1">
      <alignment horizontal="center"/>
    </xf>
    <xf numFmtId="2" fontId="6" fillId="0" borderId="1" xfId="0" applyNumberFormat="1" applyFont="1" applyBorder="1"/>
    <xf numFmtId="2" fontId="6" fillId="0" borderId="1" xfId="1" applyNumberFormat="1" applyFont="1" applyBorder="1"/>
    <xf numFmtId="0" fontId="6" fillId="0" borderId="1" xfId="0" applyFont="1" applyBorder="1" applyAlignment="1">
      <alignment horizontal="right"/>
    </xf>
    <xf numFmtId="43" fontId="6" fillId="0" borderId="1" xfId="0" applyNumberFormat="1" applyFont="1" applyBorder="1"/>
    <xf numFmtId="0" fontId="6" fillId="0" borderId="0" xfId="0" applyFont="1" applyAlignment="1">
      <alignment horizontal="right"/>
    </xf>
    <xf numFmtId="10" fontId="6" fillId="2" borderId="0" xfId="0" applyNumberFormat="1" applyFont="1" applyFill="1"/>
    <xf numFmtId="0" fontId="6" fillId="2" borderId="0" xfId="0" applyFont="1" applyFill="1" applyAlignment="1">
      <alignment horizontal="right"/>
    </xf>
    <xf numFmtId="0" fontId="6" fillId="3" borderId="1" xfId="0" applyFont="1" applyFill="1" applyBorder="1" applyAlignment="1">
      <alignment horizontal="center" vertical="center"/>
    </xf>
    <xf numFmtId="0" fontId="6" fillId="0" borderId="0" xfId="0" quotePrefix="1" applyFont="1"/>
    <xf numFmtId="0" fontId="8" fillId="3" borderId="0" xfId="0" applyFont="1" applyFill="1"/>
    <xf numFmtId="0" fontId="6" fillId="3" borderId="0" xfId="0" applyFont="1" applyFill="1"/>
    <xf numFmtId="10" fontId="6" fillId="0" borderId="1" xfId="2" applyNumberFormat="1" applyFont="1" applyBorder="1"/>
    <xf numFmtId="167" fontId="6" fillId="0" borderId="0" xfId="0" applyNumberFormat="1" applyFont="1"/>
    <xf numFmtId="0" fontId="5" fillId="3" borderId="1" xfId="0" applyFont="1" applyFill="1" applyBorder="1" applyAlignment="1">
      <alignment horizont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left"/>
    </xf>
    <xf numFmtId="0" fontId="6" fillId="0" borderId="0" xfId="0" applyFont="1" applyAlignment="1">
      <alignment horizontal="left" wrapText="1"/>
    </xf>
    <xf numFmtId="0" fontId="0" fillId="0" borderId="0" xfId="0" applyAlignment="1">
      <alignment horizontal="center"/>
    </xf>
    <xf numFmtId="0" fontId="6" fillId="0" borderId="1" xfId="0" applyFont="1" applyBorder="1" applyAlignment="1">
      <alignment horizontal="center" vertical="center"/>
    </xf>
    <xf numFmtId="0" fontId="6" fillId="3" borderId="1" xfId="0"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AC8BE-60EA-43EA-96F6-72E97A57CA2D}">
  <dimension ref="A1:B16"/>
  <sheetViews>
    <sheetView tabSelected="1" workbookViewId="0">
      <selection activeCell="A3" sqref="A3"/>
    </sheetView>
  </sheetViews>
  <sheetFormatPr defaultRowHeight="17" x14ac:dyDescent="0.6"/>
  <cols>
    <col min="1" max="1" width="57.90625" style="6" bestFit="1" customWidth="1"/>
    <col min="2" max="2" width="14.453125" style="6" bestFit="1" customWidth="1"/>
    <col min="3" max="16384" width="8.7265625" style="6"/>
  </cols>
  <sheetData>
    <row r="1" spans="1:2" x14ac:dyDescent="0.6">
      <c r="A1" s="5" t="s">
        <v>208</v>
      </c>
    </row>
    <row r="3" spans="1:2" x14ac:dyDescent="0.6">
      <c r="A3" s="10" t="s">
        <v>209</v>
      </c>
      <c r="B3" s="10" t="s">
        <v>210</v>
      </c>
    </row>
    <row r="4" spans="1:2" x14ac:dyDescent="0.6">
      <c r="A4" s="7" t="str">
        <f>'Ann 1'!A3</f>
        <v>Annexure 1 - Estimated cost of the project</v>
      </c>
      <c r="B4" s="8" t="s">
        <v>211</v>
      </c>
    </row>
    <row r="5" spans="1:2" x14ac:dyDescent="0.6">
      <c r="A5" s="7" t="str">
        <f>'Ann 2'!A1</f>
        <v>Annexure 2 - Means of Finance</v>
      </c>
      <c r="B5" s="8" t="s">
        <v>212</v>
      </c>
    </row>
    <row r="6" spans="1:2" x14ac:dyDescent="0.6">
      <c r="A6" s="7" t="str">
        <f>'Ann 3'!A1</f>
        <v>Annexure 3 - Complete Estimate of Civil and Plant and Machinery</v>
      </c>
      <c r="B6" s="8" t="s">
        <v>229</v>
      </c>
    </row>
    <row r="7" spans="1:2" x14ac:dyDescent="0.6">
      <c r="A7" s="7" t="str">
        <f>'Ann 4'!A1</f>
        <v>Annexure 4 - Estimated Cost of Production</v>
      </c>
      <c r="B7" s="8" t="s">
        <v>213</v>
      </c>
    </row>
    <row r="8" spans="1:2" x14ac:dyDescent="0.6">
      <c r="A8" s="7" t="str">
        <f>'Ann 5'!A1</f>
        <v>Annexure 5- Projected balance sheet</v>
      </c>
      <c r="B8" s="8" t="s">
        <v>214</v>
      </c>
    </row>
    <row r="9" spans="1:2" x14ac:dyDescent="0.6">
      <c r="A9" s="7" t="str">
        <f>'Ann 8'!A1</f>
        <v>Annexure 8 - Details of Manpower</v>
      </c>
      <c r="B9" s="8" t="s">
        <v>215</v>
      </c>
    </row>
    <row r="10" spans="1:2" x14ac:dyDescent="0.6">
      <c r="A10" s="7" t="str">
        <f>'Ann 9'!A1</f>
        <v>Annexure 9 - Computation of Depreciation</v>
      </c>
      <c r="B10" s="8" t="s">
        <v>216</v>
      </c>
    </row>
    <row r="11" spans="1:2" x14ac:dyDescent="0.6">
      <c r="A11" s="7" t="str">
        <f>'Ann 10'!A1</f>
        <v>Annexure 10 - Calculation of Income tax</v>
      </c>
      <c r="B11" s="8" t="s">
        <v>217</v>
      </c>
    </row>
    <row r="12" spans="1:2" x14ac:dyDescent="0.6">
      <c r="A12" s="7" t="str">
        <f>'Ann 11'!A1</f>
        <v>Annexure 11- Break even analysis (At maximum capacity utilization)</v>
      </c>
      <c r="B12" s="8" t="s">
        <v>218</v>
      </c>
    </row>
    <row r="13" spans="1:2" x14ac:dyDescent="0.6">
      <c r="A13" s="7" t="str">
        <f>'Ann 13'!A1</f>
        <v>Annexure 13 - Repayment schedule</v>
      </c>
      <c r="B13" s="8" t="s">
        <v>219</v>
      </c>
    </row>
    <row r="14" spans="1:2" x14ac:dyDescent="0.6">
      <c r="A14" s="7" t="str">
        <f>'Ann 14'!A1</f>
        <v>Ann 14 - Cash flow statement</v>
      </c>
      <c r="B14" s="8" t="s">
        <v>268</v>
      </c>
    </row>
    <row r="15" spans="1:2" x14ac:dyDescent="0.6">
      <c r="A15" s="7" t="str">
        <f>Assumptions!B1</f>
        <v>Assumptions</v>
      </c>
      <c r="B15" s="9" t="s">
        <v>220</v>
      </c>
    </row>
    <row r="16" spans="1:2" x14ac:dyDescent="0.6">
      <c r="A16" s="7" t="str">
        <f>Budgets!A1</f>
        <v>Sales Budget</v>
      </c>
      <c r="B16" s="9" t="s">
        <v>221</v>
      </c>
    </row>
  </sheetData>
  <hyperlinks>
    <hyperlink ref="B4" location="'Ann 1'!A1" display="Ann 1'!A1" xr:uid="{8392AB6D-212E-479A-A76E-720E2C0CDF1A}"/>
    <hyperlink ref="B5" location="'Ann 2'!A1" display="Ann 2'!A1" xr:uid="{B4E13D04-8C42-46A6-BAFD-20DB089CE0CE}"/>
    <hyperlink ref="B7" location="'Ann 4'!A1" display="Ann 4'!A1" xr:uid="{13CD8BC8-123F-4B27-B558-7700BF617505}"/>
    <hyperlink ref="B8" location="'Ann 5'!A1" display="Ann 5'!A1" xr:uid="{48243C34-7BE1-4B2C-9BAF-A4BEE1FA52A7}"/>
    <hyperlink ref="B9" location="'Ann 8'!A1" display="Ann 8'!A1" xr:uid="{4BFF2D8E-3B2F-47B1-821E-2A9D5F3C599D}"/>
    <hyperlink ref="B10" location="'Ann 9'!A1" display="Ann 9'!A1" xr:uid="{E91052E2-C8F3-4E24-802C-38C31EA75505}"/>
    <hyperlink ref="B11" location="'Ann 10'!A1" display="Ann 10'!A1" xr:uid="{6A4B47E0-EA66-439F-8C5A-E0DF1C723C34}"/>
    <hyperlink ref="B12" location="'Ann 11'!A1" display="Ann 11'!A1" xr:uid="{91648EFB-F5F2-42E9-8853-705ACD4F62EF}"/>
    <hyperlink ref="B13" location="'Ann 13'!A1" display="Ann 13'!A1" xr:uid="{D748CAF8-9377-4D17-A5F2-F1A083E6D389}"/>
    <hyperlink ref="B15" location="Assumptions!A1" display="Assumptions!A1" xr:uid="{E978F649-0532-497D-92AA-EF316AAFA8E7}"/>
    <hyperlink ref="B16" location="Budgets!A1" display="Budgets!A1" xr:uid="{4CD23AF4-AE8A-40D8-A5ED-3F33524C9974}"/>
    <hyperlink ref="B6" location="'Ann 3'!A1" display="Ann 3'!A1" xr:uid="{103D0423-931A-4127-89EA-F0D3EE7C4F91}"/>
    <hyperlink ref="B14" location="'Ann 14'!A1" display="'Ann 14'!A1" xr:uid="{41C3E646-E574-48DC-9782-41901E29E72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521A-756D-4D90-8C99-73BDFD6A7811}">
  <sheetPr>
    <pageSetUpPr fitToPage="1"/>
  </sheetPr>
  <dimension ref="A1:J14"/>
  <sheetViews>
    <sheetView workbookViewId="0">
      <selection activeCell="B6" sqref="B6"/>
    </sheetView>
  </sheetViews>
  <sheetFormatPr defaultRowHeight="17" x14ac:dyDescent="0.6"/>
  <cols>
    <col min="1" max="1" width="20.90625" style="6" customWidth="1"/>
    <col min="2" max="10" width="13.6328125" style="6" bestFit="1" customWidth="1"/>
    <col min="11" max="16384" width="8.7265625" style="6"/>
  </cols>
  <sheetData>
    <row r="1" spans="1:10" x14ac:dyDescent="0.6">
      <c r="A1" s="5" t="s">
        <v>106</v>
      </c>
    </row>
    <row r="3" spans="1:10" x14ac:dyDescent="0.6">
      <c r="A3" s="81" t="s">
        <v>107</v>
      </c>
    </row>
    <row r="5" spans="1:10" x14ac:dyDescent="0.6">
      <c r="A5" s="122" t="s">
        <v>3</v>
      </c>
      <c r="B5" s="122" t="s">
        <v>48</v>
      </c>
      <c r="C5" s="122"/>
      <c r="D5" s="122"/>
      <c r="E5" s="122"/>
      <c r="F5" s="122"/>
      <c r="G5" s="122"/>
      <c r="H5" s="122"/>
      <c r="I5" s="122"/>
      <c r="J5" s="122"/>
    </row>
    <row r="6" spans="1:10" x14ac:dyDescent="0.6">
      <c r="A6" s="122"/>
      <c r="B6" s="114" t="s">
        <v>39</v>
      </c>
      <c r="C6" s="114" t="s">
        <v>40</v>
      </c>
      <c r="D6" s="114" t="s">
        <v>41</v>
      </c>
      <c r="E6" s="114" t="s">
        <v>42</v>
      </c>
      <c r="F6" s="114" t="s">
        <v>43</v>
      </c>
      <c r="G6" s="114" t="s">
        <v>44</v>
      </c>
      <c r="H6" s="114" t="s">
        <v>45</v>
      </c>
      <c r="I6" s="114" t="s">
        <v>46</v>
      </c>
      <c r="J6" s="114" t="s">
        <v>47</v>
      </c>
    </row>
    <row r="7" spans="1:10" x14ac:dyDescent="0.6">
      <c r="A7" s="7" t="s">
        <v>108</v>
      </c>
      <c r="B7" s="60">
        <f>'Ann 4'!C25</f>
        <v>8177192.307692308</v>
      </c>
      <c r="C7" s="60">
        <f>'Ann 4'!D25</f>
        <v>8142363.307692308</v>
      </c>
      <c r="D7" s="60">
        <f>'Ann 4'!E25</f>
        <v>8103248.1007692292</v>
      </c>
      <c r="E7" s="60">
        <f>'Ann 4'!F25</f>
        <v>8041759.9897461534</v>
      </c>
      <c r="F7" s="60">
        <f>'Ann 4'!G25</f>
        <v>7956178.898586073</v>
      </c>
      <c r="G7" s="60">
        <f>'Ann 4'!H25</f>
        <v>7943528.5897534471</v>
      </c>
      <c r="H7" s="60">
        <f>'Ann 4'!I25</f>
        <v>7760184.1531804632</v>
      </c>
      <c r="I7" s="60">
        <f>'Ann 4'!J25</f>
        <v>7709284.4617539775</v>
      </c>
      <c r="J7" s="60">
        <f>'Ann 4'!K25</f>
        <v>7636471.5735054761</v>
      </c>
    </row>
    <row r="8" spans="1:10" x14ac:dyDescent="0.6">
      <c r="A8" s="7" t="s">
        <v>109</v>
      </c>
      <c r="B8" s="60">
        <v>0</v>
      </c>
      <c r="C8" s="60">
        <v>0</v>
      </c>
      <c r="D8" s="60">
        <v>0</v>
      </c>
      <c r="E8" s="60">
        <v>0</v>
      </c>
      <c r="F8" s="60">
        <v>0</v>
      </c>
      <c r="G8" s="60">
        <v>0</v>
      </c>
      <c r="H8" s="60">
        <v>0</v>
      </c>
      <c r="I8" s="60">
        <v>0</v>
      </c>
      <c r="J8" s="60">
        <v>0</v>
      </c>
    </row>
    <row r="9" spans="1:10" x14ac:dyDescent="0.6">
      <c r="A9" s="7" t="s">
        <v>110</v>
      </c>
      <c r="B9" s="60">
        <f>B7+B8</f>
        <v>8177192.307692308</v>
      </c>
      <c r="C9" s="60">
        <f t="shared" ref="C9:J9" si="0">C7+C8</f>
        <v>8142363.307692308</v>
      </c>
      <c r="D9" s="60">
        <f t="shared" si="0"/>
        <v>8103248.1007692292</v>
      </c>
      <c r="E9" s="60">
        <f t="shared" si="0"/>
        <v>8041759.9897461534</v>
      </c>
      <c r="F9" s="60">
        <f t="shared" si="0"/>
        <v>7956178.898586073</v>
      </c>
      <c r="G9" s="60">
        <f t="shared" si="0"/>
        <v>7943528.5897534471</v>
      </c>
      <c r="H9" s="60">
        <f t="shared" si="0"/>
        <v>7760184.1531804632</v>
      </c>
      <c r="I9" s="60">
        <f t="shared" si="0"/>
        <v>7709284.4617539775</v>
      </c>
      <c r="J9" s="60">
        <f t="shared" si="0"/>
        <v>7636471.5735054761</v>
      </c>
    </row>
    <row r="10" spans="1:10" x14ac:dyDescent="0.6">
      <c r="A10" s="7" t="s">
        <v>111</v>
      </c>
      <c r="B10" s="60">
        <f>SUM('Ann 9'!C12:E12)</f>
        <v>1490500</v>
      </c>
      <c r="C10" s="60">
        <f>SUM('Ann 9'!C13:E13)</f>
        <v>1277925</v>
      </c>
      <c r="D10" s="60">
        <f>SUM('Ann 9'!C14:E14)</f>
        <v>1096136.25</v>
      </c>
      <c r="E10" s="60">
        <f>SUM('Ann 9'!C15:E15)</f>
        <v>940625.8125</v>
      </c>
      <c r="F10" s="60">
        <f>SUM('Ann 9'!C16:E16)</f>
        <v>807550.94062499993</v>
      </c>
      <c r="G10" s="60">
        <f>SUM('Ann 9'!C17:E17)</f>
        <v>693635.39953125</v>
      </c>
      <c r="H10" s="60">
        <f>SUM('Ann 9'!C18:E18)</f>
        <v>596085.47960156249</v>
      </c>
      <c r="I10" s="60">
        <f>SUM('Ann 9'!C19:E19)</f>
        <v>512518.50866132812</v>
      </c>
      <c r="J10" s="60">
        <f>SUM('Ann 9'!C20:E20)</f>
        <v>440901.99826212891</v>
      </c>
    </row>
    <row r="11" spans="1:10" x14ac:dyDescent="0.6">
      <c r="A11" s="7" t="s">
        <v>110</v>
      </c>
      <c r="B11" s="60">
        <f>B9-B10</f>
        <v>6686692.307692308</v>
      </c>
      <c r="C11" s="60">
        <f t="shared" ref="C11:J11" si="1">C9-C10</f>
        <v>6864438.307692308</v>
      </c>
      <c r="D11" s="60">
        <f t="shared" si="1"/>
        <v>7007111.8507692292</v>
      </c>
      <c r="E11" s="60">
        <f t="shared" si="1"/>
        <v>7101134.1772461534</v>
      </c>
      <c r="F11" s="60">
        <f t="shared" si="1"/>
        <v>7148627.9579610731</v>
      </c>
      <c r="G11" s="60">
        <f t="shared" si="1"/>
        <v>7249893.1902221972</v>
      </c>
      <c r="H11" s="60">
        <f t="shared" si="1"/>
        <v>7164098.6735789012</v>
      </c>
      <c r="I11" s="60">
        <f t="shared" si="1"/>
        <v>7196765.9530926496</v>
      </c>
      <c r="J11" s="60">
        <f t="shared" si="1"/>
        <v>7195569.5752433473</v>
      </c>
    </row>
    <row r="12" spans="1:10" x14ac:dyDescent="0.6">
      <c r="A12" s="7" t="s">
        <v>112</v>
      </c>
      <c r="B12" s="98">
        <v>0</v>
      </c>
      <c r="C12" s="98">
        <v>0</v>
      </c>
      <c r="D12" s="98">
        <v>0</v>
      </c>
      <c r="E12" s="98">
        <v>0</v>
      </c>
      <c r="F12" s="98">
        <v>0</v>
      </c>
      <c r="G12" s="98">
        <v>0</v>
      </c>
      <c r="H12" s="98">
        <v>0</v>
      </c>
      <c r="I12" s="98">
        <v>0</v>
      </c>
      <c r="J12" s="98">
        <v>0</v>
      </c>
    </row>
    <row r="13" spans="1:10" x14ac:dyDescent="0.6">
      <c r="A13" s="7" t="s">
        <v>113</v>
      </c>
      <c r="B13" s="83">
        <f>B11</f>
        <v>6686692.307692308</v>
      </c>
      <c r="C13" s="83">
        <f t="shared" ref="C13:J13" si="2">C11</f>
        <v>6864438.307692308</v>
      </c>
      <c r="D13" s="83">
        <f t="shared" si="2"/>
        <v>7007111.8507692292</v>
      </c>
      <c r="E13" s="83">
        <f t="shared" si="2"/>
        <v>7101134.1772461534</v>
      </c>
      <c r="F13" s="83">
        <f t="shared" si="2"/>
        <v>7148627.9579610731</v>
      </c>
      <c r="G13" s="83">
        <f t="shared" si="2"/>
        <v>7249893.1902221972</v>
      </c>
      <c r="H13" s="83">
        <f t="shared" si="2"/>
        <v>7164098.6735789012</v>
      </c>
      <c r="I13" s="83">
        <f t="shared" si="2"/>
        <v>7196765.9530926496</v>
      </c>
      <c r="J13" s="83">
        <f t="shared" si="2"/>
        <v>7195569.5752433473</v>
      </c>
    </row>
    <row r="14" spans="1:10" x14ac:dyDescent="0.6">
      <c r="A14" s="7" t="s">
        <v>114</v>
      </c>
      <c r="B14" s="83">
        <f>B13*30%</f>
        <v>2006007.6923076923</v>
      </c>
      <c r="C14" s="83">
        <f t="shared" ref="C14:J14" si="3">C13*30%</f>
        <v>2059331.4923076923</v>
      </c>
      <c r="D14" s="83">
        <f t="shared" si="3"/>
        <v>2102133.5552307689</v>
      </c>
      <c r="E14" s="83">
        <f t="shared" si="3"/>
        <v>2130340.2531738458</v>
      </c>
      <c r="F14" s="83">
        <f t="shared" si="3"/>
        <v>2144588.387388322</v>
      </c>
      <c r="G14" s="83">
        <f t="shared" si="3"/>
        <v>2174967.9570666589</v>
      </c>
      <c r="H14" s="83">
        <f t="shared" si="3"/>
        <v>2149229.6020736704</v>
      </c>
      <c r="I14" s="83">
        <f t="shared" si="3"/>
        <v>2159029.7859277949</v>
      </c>
      <c r="J14" s="83">
        <f t="shared" si="3"/>
        <v>2158670.8725730041</v>
      </c>
    </row>
  </sheetData>
  <mergeCells count="2">
    <mergeCell ref="B5:J5"/>
    <mergeCell ref="A5:A6"/>
  </mergeCells>
  <pageMargins left="0.7" right="0.7" top="0.75" bottom="0.75" header="0.3" footer="0.3"/>
  <pageSetup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239D-A793-4055-957C-367EF6B7112E}">
  <sheetPr>
    <pageSetUpPr fitToPage="1"/>
  </sheetPr>
  <dimension ref="A1:G29"/>
  <sheetViews>
    <sheetView topLeftCell="A15" workbookViewId="0">
      <selection activeCell="A29" sqref="A29:E29"/>
    </sheetView>
  </sheetViews>
  <sheetFormatPr defaultRowHeight="17" x14ac:dyDescent="0.6"/>
  <cols>
    <col min="1" max="1" width="8.7265625" style="6"/>
    <col min="2" max="2" width="26.7265625" style="6" bestFit="1" customWidth="1"/>
    <col min="3" max="3" width="18" style="6" bestFit="1" customWidth="1"/>
    <col min="4" max="4" width="13.54296875" style="6" bestFit="1" customWidth="1"/>
    <col min="5" max="5" width="13.6328125" style="6" bestFit="1" customWidth="1"/>
    <col min="6" max="14" width="8.7265625" style="6"/>
    <col min="15" max="15" width="13.6328125" style="6" bestFit="1" customWidth="1"/>
    <col min="16" max="16" width="12.54296875" style="6" bestFit="1" customWidth="1"/>
    <col min="17" max="16384" width="8.7265625" style="6"/>
  </cols>
  <sheetData>
    <row r="1" spans="1:7" x14ac:dyDescent="0.6">
      <c r="A1" s="5" t="s">
        <v>71</v>
      </c>
    </row>
    <row r="3" spans="1:7" x14ac:dyDescent="0.6">
      <c r="A3" s="116" t="s">
        <v>281</v>
      </c>
      <c r="B3" s="117"/>
      <c r="C3" s="117"/>
      <c r="D3" s="117"/>
      <c r="E3" s="117"/>
    </row>
    <row r="5" spans="1:7" x14ac:dyDescent="0.6">
      <c r="B5" s="6" t="s">
        <v>50</v>
      </c>
      <c r="E5" s="99">
        <f>'Ann 4'!C17/70%</f>
        <v>28571428.571428575</v>
      </c>
    </row>
    <row r="6" spans="1:7" x14ac:dyDescent="0.6">
      <c r="B6" s="6" t="s">
        <v>72</v>
      </c>
    </row>
    <row r="7" spans="1:7" x14ac:dyDescent="0.6">
      <c r="B7" s="115" t="s">
        <v>73</v>
      </c>
      <c r="D7" s="59">
        <f>E5*15%</f>
        <v>4285714.2857142864</v>
      </c>
    </row>
    <row r="8" spans="1:7" x14ac:dyDescent="0.6">
      <c r="B8" s="115" t="s">
        <v>74</v>
      </c>
      <c r="D8" s="59">
        <f>'Ann 4'!C22</f>
        <v>83000.000000000015</v>
      </c>
      <c r="E8" s="59"/>
    </row>
    <row r="9" spans="1:7" x14ac:dyDescent="0.6">
      <c r="B9" s="115" t="s">
        <v>77</v>
      </c>
      <c r="D9" s="59">
        <f>'Ann 4'!K38</f>
        <v>4127494.573125001</v>
      </c>
      <c r="E9" s="59">
        <f>SUM(D7:D9)</f>
        <v>8496208.8588392884</v>
      </c>
      <c r="G9" s="58"/>
    </row>
    <row r="10" spans="1:7" x14ac:dyDescent="0.6">
      <c r="B10" s="6" t="s">
        <v>75</v>
      </c>
      <c r="E10" s="59">
        <f>E5-E9</f>
        <v>20075219.712589286</v>
      </c>
    </row>
    <row r="11" spans="1:7" x14ac:dyDescent="0.6">
      <c r="B11" s="6" t="s">
        <v>261</v>
      </c>
    </row>
    <row r="12" spans="1:7" x14ac:dyDescent="0.6">
      <c r="B12" s="6" t="s">
        <v>76</v>
      </c>
      <c r="E12" s="59">
        <f>'Ann 4'!C13</f>
        <v>3751200</v>
      </c>
    </row>
    <row r="13" spans="1:7" x14ac:dyDescent="0.6">
      <c r="B13" s="6" t="s">
        <v>78</v>
      </c>
      <c r="E13" s="59">
        <f>'Ann 9'!F12</f>
        <v>1490500</v>
      </c>
    </row>
    <row r="14" spans="1:7" x14ac:dyDescent="0.6">
      <c r="B14" s="6" t="s">
        <v>258</v>
      </c>
      <c r="E14" s="59">
        <v>750000</v>
      </c>
    </row>
    <row r="15" spans="1:7" x14ac:dyDescent="0.6">
      <c r="B15" s="6" t="s">
        <v>278</v>
      </c>
      <c r="E15" s="59">
        <f>'Ann 4'!C8</f>
        <v>592900</v>
      </c>
    </row>
    <row r="16" spans="1:7" x14ac:dyDescent="0.6">
      <c r="B16" s="6" t="s">
        <v>204</v>
      </c>
      <c r="E16" s="59">
        <f>SUM('Ann 13'!E10:E13)*100000</f>
        <v>565707.69230769237</v>
      </c>
    </row>
    <row r="17" spans="1:5" x14ac:dyDescent="0.6">
      <c r="B17" s="6" t="s">
        <v>79</v>
      </c>
      <c r="E17" s="59">
        <f>SUM(E12:E16)</f>
        <v>7150307.692307692</v>
      </c>
    </row>
    <row r="19" spans="1:5" x14ac:dyDescent="0.6">
      <c r="B19" s="7" t="s">
        <v>3</v>
      </c>
      <c r="C19" s="7" t="s">
        <v>282</v>
      </c>
    </row>
    <row r="20" spans="1:5" x14ac:dyDescent="0.6">
      <c r="B20" s="7" t="s">
        <v>80</v>
      </c>
      <c r="C20" s="7">
        <f>Budgets!C15*30</f>
        <v>3</v>
      </c>
    </row>
    <row r="21" spans="1:5" x14ac:dyDescent="0.6">
      <c r="B21" s="7" t="s">
        <v>174</v>
      </c>
      <c r="C21" s="7">
        <f>'Ann 4'!C38/(Budgets!B6*12)</f>
        <v>0.36666666666666664</v>
      </c>
    </row>
    <row r="22" spans="1:5" x14ac:dyDescent="0.6">
      <c r="B22" s="7" t="s">
        <v>280</v>
      </c>
      <c r="C22" s="7">
        <f>C20*15%</f>
        <v>0.44999999999999996</v>
      </c>
    </row>
    <row r="23" spans="1:5" x14ac:dyDescent="0.6">
      <c r="B23" s="7" t="s">
        <v>279</v>
      </c>
      <c r="C23" s="7">
        <f>'Ann 4'!C22/(Budgets!B6*12)</f>
        <v>9.8809523809523826E-3</v>
      </c>
    </row>
    <row r="24" spans="1:5" x14ac:dyDescent="0.6">
      <c r="B24" s="7" t="s">
        <v>277</v>
      </c>
      <c r="C24" s="7">
        <f>C20-C21-C23-C22</f>
        <v>2.1734523809523809</v>
      </c>
    </row>
    <row r="25" spans="1:5" x14ac:dyDescent="0.6">
      <c r="B25" s="7" t="s">
        <v>260</v>
      </c>
      <c r="C25" s="98">
        <f>C26*Budgets!B11</f>
        <v>321400</v>
      </c>
    </row>
    <row r="26" spans="1:5" x14ac:dyDescent="0.6">
      <c r="B26" s="7" t="s">
        <v>203</v>
      </c>
      <c r="C26" s="118">
        <v>0.32140000000000002</v>
      </c>
    </row>
    <row r="27" spans="1:5" x14ac:dyDescent="0.6">
      <c r="C27" s="31"/>
    </row>
    <row r="28" spans="1:5" ht="49" customHeight="1" x14ac:dyDescent="0.6">
      <c r="A28" s="124" t="s">
        <v>230</v>
      </c>
      <c r="B28" s="124"/>
      <c r="C28" s="124"/>
      <c r="D28" s="124"/>
      <c r="E28" s="124"/>
    </row>
    <row r="29" spans="1:5" ht="86.5" customHeight="1" x14ac:dyDescent="0.6">
      <c r="A29" s="124" t="s">
        <v>283</v>
      </c>
      <c r="B29" s="124"/>
      <c r="C29" s="124"/>
      <c r="D29" s="124"/>
      <c r="E29" s="124"/>
    </row>
  </sheetData>
  <mergeCells count="2">
    <mergeCell ref="A28:E28"/>
    <mergeCell ref="A29:E2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8098D-FBA0-4F7E-BF3C-624224F47C27}">
  <dimension ref="A1:K7"/>
  <sheetViews>
    <sheetView workbookViewId="0">
      <selection activeCell="A8" sqref="A8"/>
    </sheetView>
  </sheetViews>
  <sheetFormatPr defaultRowHeight="14.5" x14ac:dyDescent="0.35"/>
  <sheetData>
    <row r="1" spans="1:11" x14ac:dyDescent="0.35">
      <c r="A1" t="s">
        <v>81</v>
      </c>
    </row>
    <row r="3" spans="1:11" x14ac:dyDescent="0.35">
      <c r="C3" s="125" t="s">
        <v>82</v>
      </c>
      <c r="D3" s="125"/>
      <c r="E3" s="125"/>
      <c r="F3" s="125"/>
      <c r="G3" s="125"/>
      <c r="H3" s="125"/>
      <c r="I3" s="125"/>
      <c r="J3" s="125"/>
      <c r="K3" s="125"/>
    </row>
    <row r="4" spans="1:11" x14ac:dyDescent="0.35">
      <c r="C4">
        <v>1</v>
      </c>
      <c r="D4">
        <v>2</v>
      </c>
      <c r="E4">
        <v>3</v>
      </c>
      <c r="F4">
        <v>4</v>
      </c>
      <c r="G4">
        <v>5</v>
      </c>
      <c r="H4">
        <v>6</v>
      </c>
      <c r="I4">
        <v>7</v>
      </c>
      <c r="J4">
        <v>8</v>
      </c>
      <c r="K4">
        <v>9</v>
      </c>
    </row>
    <row r="5" spans="1:11" x14ac:dyDescent="0.35">
      <c r="A5" t="s">
        <v>83</v>
      </c>
      <c r="C5" t="e">
        <f>'Ann 4'!#REF!</f>
        <v>#REF!</v>
      </c>
      <c r="D5" t="e">
        <f>'Ann 4'!#REF!</f>
        <v>#REF!</v>
      </c>
      <c r="E5" t="e">
        <f>'Ann 4'!#REF!</f>
        <v>#REF!</v>
      </c>
      <c r="F5" t="e">
        <f>'Ann 4'!#REF!</f>
        <v>#REF!</v>
      </c>
      <c r="G5" t="e">
        <f>'Ann 4'!#REF!</f>
        <v>#REF!</v>
      </c>
      <c r="H5" t="e">
        <f>'Ann 4'!#REF!</f>
        <v>#REF!</v>
      </c>
      <c r="I5" t="e">
        <f>'Ann 4'!#REF!</f>
        <v>#REF!</v>
      </c>
      <c r="J5" t="e">
        <f>'Ann 4'!#REF!</f>
        <v>#REF!</v>
      </c>
      <c r="K5" t="e">
        <f>'Ann 4'!#REF!</f>
        <v>#REF!</v>
      </c>
    </row>
    <row r="6" spans="1:11" x14ac:dyDescent="0.35">
      <c r="A6" t="s">
        <v>84</v>
      </c>
      <c r="C6" t="e">
        <f>'Ann 4'!#REF!</f>
        <v>#REF!</v>
      </c>
      <c r="D6" t="e">
        <f>'Ann 4'!#REF!</f>
        <v>#REF!</v>
      </c>
      <c r="E6" t="e">
        <f>'Ann 4'!#REF!</f>
        <v>#REF!</v>
      </c>
      <c r="F6" t="e">
        <f>'Ann 4'!#REF!</f>
        <v>#REF!</v>
      </c>
      <c r="G6" t="e">
        <f>'Ann 4'!#REF!</f>
        <v>#REF!</v>
      </c>
      <c r="H6" t="e">
        <f>'Ann 4'!#REF!</f>
        <v>#REF!</v>
      </c>
      <c r="I6" t="e">
        <f>'Ann 4'!#REF!</f>
        <v>#REF!</v>
      </c>
      <c r="J6" t="e">
        <f>'Ann 4'!#REF!</f>
        <v>#REF!</v>
      </c>
      <c r="K6" t="e">
        <f>'Ann 4'!#REF!</f>
        <v>#REF!</v>
      </c>
    </row>
    <row r="7" spans="1:11" x14ac:dyDescent="0.35">
      <c r="A7" t="s">
        <v>85</v>
      </c>
    </row>
  </sheetData>
  <mergeCells count="1">
    <mergeCell ref="C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F0C2-594D-4936-9810-7D289B91BEE1}">
  <sheetPr>
    <pageSetUpPr fitToPage="1"/>
  </sheetPr>
  <dimension ref="A1:G41"/>
  <sheetViews>
    <sheetView workbookViewId="0">
      <selection activeCell="D4" sqref="D4"/>
    </sheetView>
  </sheetViews>
  <sheetFormatPr defaultRowHeight="17" x14ac:dyDescent="0.6"/>
  <cols>
    <col min="1" max="1" width="4.54296875" style="6" bestFit="1" customWidth="1"/>
    <col min="2" max="2" width="7.36328125" style="6" bestFit="1" customWidth="1"/>
    <col min="3" max="3" width="17.81640625" style="6" bestFit="1" customWidth="1"/>
    <col min="4" max="4" width="17.36328125" style="6" bestFit="1" customWidth="1"/>
    <col min="5" max="5" width="7.26953125" style="6" bestFit="1" customWidth="1"/>
    <col min="6" max="16384" width="8.7265625" style="6"/>
  </cols>
  <sheetData>
    <row r="1" spans="1:7" x14ac:dyDescent="0.6">
      <c r="A1" s="5" t="s">
        <v>91</v>
      </c>
    </row>
    <row r="3" spans="1:7" x14ac:dyDescent="0.6">
      <c r="A3" s="81" t="s">
        <v>92</v>
      </c>
    </row>
    <row r="4" spans="1:7" x14ac:dyDescent="0.6">
      <c r="A4" s="6" t="s">
        <v>93</v>
      </c>
      <c r="D4" s="32">
        <f>'Ann 2'!C6</f>
        <v>95.2</v>
      </c>
    </row>
    <row r="5" spans="1:7" x14ac:dyDescent="0.6">
      <c r="A5" s="6" t="s">
        <v>286</v>
      </c>
      <c r="D5" s="32">
        <f>25%*('Ann 2'!C8-'Ann 2'!C7)</f>
        <v>26.675000000000001</v>
      </c>
    </row>
    <row r="6" spans="1:7" x14ac:dyDescent="0.6">
      <c r="A6" s="6" t="s">
        <v>94</v>
      </c>
      <c r="D6" s="112">
        <v>0.06</v>
      </c>
    </row>
    <row r="7" spans="1:7" x14ac:dyDescent="0.6">
      <c r="A7" s="6" t="s">
        <v>95</v>
      </c>
      <c r="D7" s="113" t="s">
        <v>156</v>
      </c>
    </row>
    <row r="9" spans="1:7" x14ac:dyDescent="0.6">
      <c r="A9" s="24" t="s">
        <v>70</v>
      </c>
      <c r="B9" s="24" t="s">
        <v>96</v>
      </c>
      <c r="C9" s="24" t="s">
        <v>97</v>
      </c>
      <c r="D9" s="24" t="s">
        <v>99</v>
      </c>
      <c r="E9" s="24" t="s">
        <v>98</v>
      </c>
    </row>
    <row r="10" spans="1:7" x14ac:dyDescent="0.6">
      <c r="A10" s="126">
        <v>1</v>
      </c>
      <c r="B10" s="7">
        <v>1</v>
      </c>
      <c r="C10" s="107">
        <f>$D$4</f>
        <v>95.2</v>
      </c>
      <c r="D10" s="7">
        <v>0</v>
      </c>
      <c r="E10" s="7">
        <f>C10*$D$6/4</f>
        <v>1.4279999999999999</v>
      </c>
    </row>
    <row r="11" spans="1:7" x14ac:dyDescent="0.6">
      <c r="A11" s="126"/>
      <c r="B11" s="7">
        <v>2</v>
      </c>
      <c r="C11" s="107">
        <f>$D$4</f>
        <v>95.2</v>
      </c>
      <c r="D11" s="7">
        <v>0</v>
      </c>
      <c r="E11" s="7">
        <f t="shared" ref="E11:E37" si="0">C11*$D$6/4</f>
        <v>1.4279999999999999</v>
      </c>
      <c r="G11" s="88"/>
    </row>
    <row r="12" spans="1:7" x14ac:dyDescent="0.6">
      <c r="A12" s="126"/>
      <c r="B12" s="7">
        <v>3</v>
      </c>
      <c r="C12" s="107">
        <f>$D$4</f>
        <v>95.2</v>
      </c>
      <c r="D12" s="7">
        <f>D4/26</f>
        <v>3.6615384615384619</v>
      </c>
      <c r="E12" s="7">
        <f t="shared" si="0"/>
        <v>1.4279999999999999</v>
      </c>
    </row>
    <row r="13" spans="1:7" x14ac:dyDescent="0.6">
      <c r="A13" s="126"/>
      <c r="B13" s="7">
        <v>4</v>
      </c>
      <c r="C13" s="7">
        <f t="shared" ref="C13:C18" si="1">C12-D12</f>
        <v>91.538461538461547</v>
      </c>
      <c r="D13" s="7">
        <f>D12</f>
        <v>3.6615384615384619</v>
      </c>
      <c r="E13" s="7">
        <f t="shared" si="0"/>
        <v>1.3730769230769231</v>
      </c>
    </row>
    <row r="14" spans="1:7" x14ac:dyDescent="0.6">
      <c r="A14" s="126">
        <v>2</v>
      </c>
      <c r="B14" s="7">
        <v>1</v>
      </c>
      <c r="C14" s="7">
        <f t="shared" si="1"/>
        <v>87.876923076923092</v>
      </c>
      <c r="D14" s="7">
        <f t="shared" ref="D14:D36" si="2">D13</f>
        <v>3.6615384615384619</v>
      </c>
      <c r="E14" s="7">
        <f t="shared" si="0"/>
        <v>1.3181538461538462</v>
      </c>
    </row>
    <row r="15" spans="1:7" x14ac:dyDescent="0.6">
      <c r="A15" s="126"/>
      <c r="B15" s="7">
        <v>2</v>
      </c>
      <c r="C15" s="7">
        <f t="shared" si="1"/>
        <v>84.215384615384636</v>
      </c>
      <c r="D15" s="7">
        <f t="shared" si="2"/>
        <v>3.6615384615384619</v>
      </c>
      <c r="E15" s="7">
        <f t="shared" si="0"/>
        <v>1.2632307692307696</v>
      </c>
    </row>
    <row r="16" spans="1:7" x14ac:dyDescent="0.6">
      <c r="A16" s="126"/>
      <c r="B16" s="7">
        <v>3</v>
      </c>
      <c r="C16" s="7">
        <f t="shared" si="1"/>
        <v>80.55384615384618</v>
      </c>
      <c r="D16" s="7">
        <f t="shared" si="2"/>
        <v>3.6615384615384619</v>
      </c>
      <c r="E16" s="7">
        <f t="shared" si="0"/>
        <v>1.2083076923076927</v>
      </c>
    </row>
    <row r="17" spans="1:6" x14ac:dyDescent="0.6">
      <c r="A17" s="126"/>
      <c r="B17" s="7">
        <v>4</v>
      </c>
      <c r="C17" s="7">
        <f t="shared" si="1"/>
        <v>76.892307692307725</v>
      </c>
      <c r="D17" s="7">
        <f t="shared" si="2"/>
        <v>3.6615384615384619</v>
      </c>
      <c r="E17" s="7">
        <f t="shared" si="0"/>
        <v>1.1533846153846159</v>
      </c>
    </row>
    <row r="18" spans="1:6" x14ac:dyDescent="0.6">
      <c r="A18" s="126">
        <v>3</v>
      </c>
      <c r="B18" s="7">
        <v>1</v>
      </c>
      <c r="C18" s="7">
        <f t="shared" si="1"/>
        <v>73.230769230769269</v>
      </c>
      <c r="D18" s="7">
        <f t="shared" si="2"/>
        <v>3.6615384615384619</v>
      </c>
      <c r="E18" s="7">
        <f t="shared" si="0"/>
        <v>1.098461538461539</v>
      </c>
    </row>
    <row r="19" spans="1:6" x14ac:dyDescent="0.6">
      <c r="A19" s="126"/>
      <c r="B19" s="7">
        <v>2</v>
      </c>
      <c r="C19" s="7">
        <f t="shared" ref="C19:C37" si="3">C18-D18</f>
        <v>69.569230769230813</v>
      </c>
      <c r="D19" s="7">
        <f t="shared" si="2"/>
        <v>3.6615384615384619</v>
      </c>
      <c r="E19" s="7">
        <f t="shared" si="0"/>
        <v>1.0435384615384622</v>
      </c>
    </row>
    <row r="20" spans="1:6" x14ac:dyDescent="0.6">
      <c r="A20" s="126"/>
      <c r="B20" s="7">
        <v>3</v>
      </c>
      <c r="C20" s="7">
        <f t="shared" si="3"/>
        <v>65.907692307692358</v>
      </c>
      <c r="D20" s="7">
        <f t="shared" si="2"/>
        <v>3.6615384615384619</v>
      </c>
      <c r="E20" s="7">
        <f t="shared" si="0"/>
        <v>0.98861538461538534</v>
      </c>
    </row>
    <row r="21" spans="1:6" x14ac:dyDescent="0.6">
      <c r="A21" s="126"/>
      <c r="B21" s="7">
        <v>4</v>
      </c>
      <c r="C21" s="7">
        <f t="shared" si="3"/>
        <v>62.246153846153895</v>
      </c>
      <c r="D21" s="7">
        <f t="shared" si="2"/>
        <v>3.6615384615384619</v>
      </c>
      <c r="E21" s="7">
        <f t="shared" si="0"/>
        <v>0.93369230769230838</v>
      </c>
    </row>
    <row r="22" spans="1:6" x14ac:dyDescent="0.6">
      <c r="A22" s="126">
        <v>4</v>
      </c>
      <c r="B22" s="7">
        <v>1</v>
      </c>
      <c r="C22" s="7">
        <f t="shared" si="3"/>
        <v>58.584615384615432</v>
      </c>
      <c r="D22" s="7">
        <f t="shared" si="2"/>
        <v>3.6615384615384619</v>
      </c>
      <c r="E22" s="7">
        <f t="shared" si="0"/>
        <v>0.87876923076923141</v>
      </c>
    </row>
    <row r="23" spans="1:6" x14ac:dyDescent="0.6">
      <c r="A23" s="126"/>
      <c r="B23" s="7">
        <v>2</v>
      </c>
      <c r="C23" s="7">
        <f t="shared" si="3"/>
        <v>54.92307692307697</v>
      </c>
      <c r="D23" s="7">
        <f t="shared" si="2"/>
        <v>3.6615384615384619</v>
      </c>
      <c r="E23" s="7">
        <f t="shared" si="0"/>
        <v>0.82384615384615456</v>
      </c>
    </row>
    <row r="24" spans="1:6" x14ac:dyDescent="0.6">
      <c r="A24" s="126"/>
      <c r="B24" s="7">
        <v>3</v>
      </c>
      <c r="C24" s="7">
        <f t="shared" si="3"/>
        <v>51.261538461538507</v>
      </c>
      <c r="D24" s="7">
        <f t="shared" si="2"/>
        <v>3.6615384615384619</v>
      </c>
      <c r="E24" s="7">
        <f t="shared" si="0"/>
        <v>0.7689230769230776</v>
      </c>
    </row>
    <row r="25" spans="1:6" x14ac:dyDescent="0.6">
      <c r="A25" s="126"/>
      <c r="B25" s="7">
        <v>4</v>
      </c>
      <c r="C25" s="7">
        <f t="shared" si="3"/>
        <v>47.600000000000044</v>
      </c>
      <c r="D25" s="7">
        <f t="shared" si="2"/>
        <v>3.6615384615384619</v>
      </c>
      <c r="E25" s="7">
        <f t="shared" si="0"/>
        <v>0.71400000000000063</v>
      </c>
    </row>
    <row r="26" spans="1:6" x14ac:dyDescent="0.6">
      <c r="A26" s="126">
        <v>5</v>
      </c>
      <c r="B26" s="7">
        <v>1</v>
      </c>
      <c r="C26" s="7">
        <f t="shared" si="3"/>
        <v>43.938461538461581</v>
      </c>
      <c r="D26" s="7">
        <f t="shared" si="2"/>
        <v>3.6615384615384619</v>
      </c>
      <c r="E26" s="7">
        <f t="shared" si="0"/>
        <v>0.65907692307692367</v>
      </c>
    </row>
    <row r="27" spans="1:6" x14ac:dyDescent="0.6">
      <c r="A27" s="126"/>
      <c r="B27" s="7">
        <v>2</v>
      </c>
      <c r="C27" s="7">
        <f t="shared" si="3"/>
        <v>40.276923076923119</v>
      </c>
      <c r="D27" s="7">
        <f t="shared" si="2"/>
        <v>3.6615384615384619</v>
      </c>
      <c r="E27" s="7">
        <f t="shared" si="0"/>
        <v>0.60415384615384671</v>
      </c>
    </row>
    <row r="28" spans="1:6" x14ac:dyDescent="0.6">
      <c r="A28" s="126"/>
      <c r="B28" s="7">
        <v>3</v>
      </c>
      <c r="C28" s="7">
        <f t="shared" si="3"/>
        <v>36.615384615384656</v>
      </c>
      <c r="D28" s="7">
        <f t="shared" si="2"/>
        <v>3.6615384615384619</v>
      </c>
      <c r="E28" s="7">
        <f t="shared" si="0"/>
        <v>0.54923076923076986</v>
      </c>
    </row>
    <row r="29" spans="1:6" x14ac:dyDescent="0.6">
      <c r="A29" s="126"/>
      <c r="B29" s="7">
        <v>4</v>
      </c>
      <c r="C29" s="7">
        <f t="shared" si="3"/>
        <v>32.953846153846193</v>
      </c>
      <c r="D29" s="7">
        <f t="shared" si="2"/>
        <v>3.6615384615384619</v>
      </c>
      <c r="E29" s="7">
        <f t="shared" si="0"/>
        <v>0.49430769230769289</v>
      </c>
    </row>
    <row r="30" spans="1:6" x14ac:dyDescent="0.6">
      <c r="A30" s="126">
        <v>6</v>
      </c>
      <c r="B30" s="7">
        <v>1</v>
      </c>
      <c r="C30" s="7">
        <f t="shared" si="3"/>
        <v>29.29230769230773</v>
      </c>
      <c r="D30" s="7">
        <v>2.6173076923077296</v>
      </c>
      <c r="E30" s="7">
        <f t="shared" si="0"/>
        <v>0.43938461538461593</v>
      </c>
      <c r="F30" s="32"/>
    </row>
    <row r="31" spans="1:6" x14ac:dyDescent="0.6">
      <c r="A31" s="126"/>
      <c r="B31" s="7">
        <v>2</v>
      </c>
      <c r="C31" s="7">
        <f t="shared" si="3"/>
        <v>26.675000000000001</v>
      </c>
      <c r="D31" s="7">
        <v>0</v>
      </c>
      <c r="E31" s="7">
        <v>0</v>
      </c>
    </row>
    <row r="32" spans="1:6" x14ac:dyDescent="0.6">
      <c r="A32" s="126"/>
      <c r="B32" s="7">
        <v>3</v>
      </c>
      <c r="C32" s="7">
        <v>0</v>
      </c>
      <c r="D32" s="7">
        <v>0</v>
      </c>
      <c r="E32" s="7">
        <f t="shared" si="0"/>
        <v>0</v>
      </c>
    </row>
    <row r="33" spans="1:5" x14ac:dyDescent="0.6">
      <c r="A33" s="126"/>
      <c r="B33" s="7">
        <v>4</v>
      </c>
      <c r="C33" s="7">
        <f t="shared" si="3"/>
        <v>0</v>
      </c>
      <c r="D33" s="7">
        <f t="shared" si="2"/>
        <v>0</v>
      </c>
      <c r="E33" s="7">
        <f t="shared" si="0"/>
        <v>0</v>
      </c>
    </row>
    <row r="34" spans="1:5" x14ac:dyDescent="0.6">
      <c r="A34" s="126">
        <v>7</v>
      </c>
      <c r="B34" s="7">
        <v>1</v>
      </c>
      <c r="C34" s="7">
        <f t="shared" si="3"/>
        <v>0</v>
      </c>
      <c r="D34" s="7">
        <f t="shared" si="2"/>
        <v>0</v>
      </c>
      <c r="E34" s="7">
        <f t="shared" si="0"/>
        <v>0</v>
      </c>
    </row>
    <row r="35" spans="1:5" x14ac:dyDescent="0.6">
      <c r="A35" s="126"/>
      <c r="B35" s="7">
        <v>2</v>
      </c>
      <c r="C35" s="7">
        <f t="shared" si="3"/>
        <v>0</v>
      </c>
      <c r="D35" s="7">
        <f t="shared" si="2"/>
        <v>0</v>
      </c>
      <c r="E35" s="7">
        <f t="shared" si="0"/>
        <v>0</v>
      </c>
    </row>
    <row r="36" spans="1:5" x14ac:dyDescent="0.6">
      <c r="A36" s="126"/>
      <c r="B36" s="7">
        <v>3</v>
      </c>
      <c r="C36" s="7">
        <f t="shared" si="3"/>
        <v>0</v>
      </c>
      <c r="D36" s="7">
        <f t="shared" si="2"/>
        <v>0</v>
      </c>
      <c r="E36" s="7">
        <f t="shared" si="0"/>
        <v>0</v>
      </c>
    </row>
    <row r="37" spans="1:5" x14ac:dyDescent="0.6">
      <c r="A37" s="126"/>
      <c r="B37" s="7">
        <v>4</v>
      </c>
      <c r="C37" s="7">
        <f t="shared" si="3"/>
        <v>0</v>
      </c>
      <c r="D37" s="107">
        <v>0</v>
      </c>
      <c r="E37" s="7">
        <f t="shared" si="0"/>
        <v>0</v>
      </c>
    </row>
    <row r="39" spans="1:5" ht="51.5" customHeight="1" x14ac:dyDescent="0.6">
      <c r="A39" s="124" t="s">
        <v>288</v>
      </c>
      <c r="B39" s="124"/>
      <c r="C39" s="124"/>
      <c r="D39" s="124"/>
      <c r="E39" s="124"/>
    </row>
    <row r="40" spans="1:5" ht="51.5" customHeight="1" x14ac:dyDescent="0.6">
      <c r="A40" s="124" t="s">
        <v>289</v>
      </c>
      <c r="B40" s="124"/>
      <c r="C40" s="124"/>
      <c r="D40" s="124"/>
      <c r="E40" s="124"/>
    </row>
    <row r="41" spans="1:5" x14ac:dyDescent="0.6">
      <c r="A41" s="124" t="s">
        <v>287</v>
      </c>
      <c r="B41" s="124"/>
      <c r="C41" s="124"/>
      <c r="D41" s="124"/>
      <c r="E41" s="124"/>
    </row>
  </sheetData>
  <mergeCells count="10">
    <mergeCell ref="A39:E39"/>
    <mergeCell ref="A40:E40"/>
    <mergeCell ref="A41:E41"/>
    <mergeCell ref="A34:A37"/>
    <mergeCell ref="A10:A13"/>
    <mergeCell ref="A14:A17"/>
    <mergeCell ref="A18:A21"/>
    <mergeCell ref="A22:A25"/>
    <mergeCell ref="A26:A29"/>
    <mergeCell ref="A30:A33"/>
  </mergeCells>
  <pageMargins left="0.7" right="0.7" top="0.75" bottom="0.75" header="0.3" footer="0.3"/>
  <pageSetup scale="8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1C3B-78D2-43F9-ABE8-F6A84BAA4AE1}">
  <sheetPr>
    <pageSetUpPr fitToPage="1"/>
  </sheetPr>
  <dimension ref="A1:L31"/>
  <sheetViews>
    <sheetView workbookViewId="0"/>
  </sheetViews>
  <sheetFormatPr defaultRowHeight="17" x14ac:dyDescent="0.6"/>
  <cols>
    <col min="1" max="1" width="41.1796875" style="88" bestFit="1" customWidth="1"/>
    <col min="2" max="2" width="14.7265625" style="88" customWidth="1"/>
    <col min="3" max="11" width="14.7265625" style="88" bestFit="1" customWidth="1"/>
    <col min="12" max="12" width="13.6328125" style="88" bestFit="1" customWidth="1"/>
    <col min="13" max="16384" width="8.7265625" style="88"/>
  </cols>
  <sheetData>
    <row r="1" spans="1:11" x14ac:dyDescent="0.6">
      <c r="A1" s="87" t="s">
        <v>267</v>
      </c>
      <c r="B1" s="87"/>
    </row>
    <row r="2" spans="1:11" x14ac:dyDescent="0.6">
      <c r="A2" s="87"/>
      <c r="B2" s="87"/>
    </row>
    <row r="3" spans="1:11" x14ac:dyDescent="0.6">
      <c r="A3" s="96" t="s">
        <v>3</v>
      </c>
      <c r="B3" s="96">
        <v>0</v>
      </c>
      <c r="C3" s="96" t="s">
        <v>39</v>
      </c>
      <c r="D3" s="96" t="s">
        <v>40</v>
      </c>
      <c r="E3" s="96" t="s">
        <v>41</v>
      </c>
      <c r="F3" s="96" t="s">
        <v>42</v>
      </c>
      <c r="G3" s="96" t="s">
        <v>43</v>
      </c>
      <c r="H3" s="96" t="s">
        <v>44</v>
      </c>
      <c r="I3" s="96" t="s">
        <v>45</v>
      </c>
      <c r="J3" s="96" t="s">
        <v>46</v>
      </c>
      <c r="K3" s="96" t="s">
        <v>47</v>
      </c>
    </row>
    <row r="4" spans="1:11" x14ac:dyDescent="0.6">
      <c r="A4" s="89" t="s">
        <v>161</v>
      </c>
      <c r="B4" s="90">
        <f>'Ann 2'!C7*100000</f>
        <v>830000.00000000012</v>
      </c>
      <c r="C4" s="90">
        <f>B20</f>
        <v>830000</v>
      </c>
      <c r="D4" s="90">
        <f>C20</f>
        <v>3337843.7062937091</v>
      </c>
      <c r="E4" s="90">
        <f t="shared" ref="E4:K4" si="0">D20</f>
        <v>5575994.7293706303</v>
      </c>
      <c r="F4" s="90">
        <f t="shared" si="0"/>
        <v>7685125.6297972007</v>
      </c>
      <c r="G4" s="90">
        <f t="shared" si="0"/>
        <v>9674710.55091797</v>
      </c>
      <c r="H4" s="90">
        <f t="shared" si="0"/>
        <v>11551139.996052504</v>
      </c>
      <c r="I4" s="90">
        <f t="shared" si="0"/>
        <v>13221785.162401631</v>
      </c>
      <c r="J4" s="90">
        <f t="shared" si="0"/>
        <v>16364162.692520564</v>
      </c>
      <c r="K4" s="90">
        <f t="shared" si="0"/>
        <v>19438532.019312128</v>
      </c>
    </row>
    <row r="5" spans="1:11" x14ac:dyDescent="0.6">
      <c r="A5" s="89" t="s">
        <v>205</v>
      </c>
      <c r="B5" s="90">
        <f>'Ann 5'!C17</f>
        <v>1150000</v>
      </c>
      <c r="C5" s="90">
        <v>0</v>
      </c>
      <c r="D5" s="90">
        <v>0</v>
      </c>
      <c r="E5" s="90">
        <v>0</v>
      </c>
      <c r="F5" s="90">
        <v>0</v>
      </c>
      <c r="G5" s="90">
        <v>0</v>
      </c>
      <c r="H5" s="90">
        <v>0</v>
      </c>
      <c r="I5" s="90">
        <v>0</v>
      </c>
      <c r="J5" s="90">
        <v>0</v>
      </c>
      <c r="K5" s="90">
        <v>0</v>
      </c>
    </row>
    <row r="6" spans="1:11" x14ac:dyDescent="0.6">
      <c r="A6" s="89" t="s">
        <v>206</v>
      </c>
      <c r="B6" s="90">
        <f>'Ann 2'!C6*100000</f>
        <v>9520000</v>
      </c>
      <c r="C6" s="90">
        <v>0</v>
      </c>
      <c r="D6" s="90">
        <v>0</v>
      </c>
      <c r="E6" s="90">
        <v>0</v>
      </c>
      <c r="F6" s="90">
        <v>0</v>
      </c>
      <c r="G6" s="90">
        <v>0</v>
      </c>
      <c r="H6" s="90">
        <v>0</v>
      </c>
      <c r="I6" s="90">
        <v>0</v>
      </c>
      <c r="J6" s="90">
        <v>0</v>
      </c>
      <c r="K6" s="90">
        <v>0</v>
      </c>
    </row>
    <row r="7" spans="1:11" x14ac:dyDescent="0.6">
      <c r="A7" s="89" t="s">
        <v>207</v>
      </c>
      <c r="B7" s="90">
        <f>'Ann 9'!F6*100000</f>
        <v>10670000</v>
      </c>
      <c r="C7" s="90">
        <v>0</v>
      </c>
      <c r="D7" s="90">
        <v>0</v>
      </c>
      <c r="E7" s="90">
        <v>0</v>
      </c>
      <c r="F7" s="90">
        <v>0</v>
      </c>
      <c r="G7" s="90">
        <v>0</v>
      </c>
      <c r="H7" s="90">
        <v>0</v>
      </c>
      <c r="I7" s="90">
        <v>0</v>
      </c>
      <c r="J7" s="90">
        <v>0</v>
      </c>
      <c r="K7" s="90">
        <v>0</v>
      </c>
    </row>
    <row r="8" spans="1:11" x14ac:dyDescent="0.6">
      <c r="A8" s="89" t="s">
        <v>162</v>
      </c>
      <c r="B8" s="90"/>
      <c r="C8" s="90">
        <f>'Ann 4'!C17-'Ann 5'!C12</f>
        <v>18181818.181818184</v>
      </c>
      <c r="D8" s="90">
        <f>'Ann 4'!D17-'Ann 5'!D12</f>
        <v>18545454.545454547</v>
      </c>
      <c r="E8" s="90">
        <f>'Ann 4'!E17-'Ann 5'!E12</f>
        <v>18916363.636363637</v>
      </c>
      <c r="F8" s="90">
        <f>'Ann 4'!F17-'Ann 5'!F12</f>
        <v>19294690.90909091</v>
      </c>
      <c r="G8" s="90">
        <f>'Ann 4'!G17-'Ann 5'!G12</f>
        <v>19680584.727272727</v>
      </c>
      <c r="H8" s="90">
        <f>'Ann 4'!H17-'Ann 5'!H12</f>
        <v>20074196.421818182</v>
      </c>
      <c r="I8" s="90">
        <f>'Ann 4'!I17-'Ann 5'!I12</f>
        <v>20475680.350254543</v>
      </c>
      <c r="J8" s="90">
        <f>'Ann 4'!J17-'Ann 5'!J12</f>
        <v>20885193.957259636</v>
      </c>
      <c r="K8" s="90">
        <f>'Ann 4'!K17-'Ann 5'!K12</f>
        <v>21302897.83640483</v>
      </c>
    </row>
    <row r="9" spans="1:11" x14ac:dyDescent="0.6">
      <c r="A9" s="89" t="s">
        <v>182</v>
      </c>
      <c r="B9" s="90">
        <v>0</v>
      </c>
      <c r="C9" s="90">
        <v>0</v>
      </c>
      <c r="D9" s="90">
        <f>'Ann 5'!C23</f>
        <v>1227490.9090909092</v>
      </c>
      <c r="E9" s="90">
        <f>'Ann 5'!D23</f>
        <v>1286142.5454545454</v>
      </c>
      <c r="F9" s="90">
        <f>'Ann 5'!E23</f>
        <v>1348354.341818182</v>
      </c>
      <c r="G9" s="90">
        <f>'Ann 5'!F23</f>
        <v>1414364.6002909094</v>
      </c>
      <c r="H9" s="90">
        <f>'Ann 5'!G23</f>
        <v>1484428.0859476365</v>
      </c>
      <c r="I9" s="90">
        <f>'Ann 5'!H23</f>
        <v>1558817.1748730622</v>
      </c>
      <c r="J9" s="90">
        <f>'Ann 5'!I23</f>
        <v>1637823.0824814492</v>
      </c>
      <c r="K9" s="90">
        <f>'Ann 5'!J23</f>
        <v>1721757.1777297689</v>
      </c>
    </row>
    <row r="10" spans="1:11" x14ac:dyDescent="0.6">
      <c r="A10" s="89" t="s">
        <v>183</v>
      </c>
      <c r="B10" s="90">
        <v>0</v>
      </c>
      <c r="C10" s="90">
        <v>0</v>
      </c>
      <c r="D10" s="90">
        <f>'Ann 5'!C12</f>
        <v>1818181.8181818181</v>
      </c>
      <c r="E10" s="90">
        <f>'Ann 5'!D12</f>
        <v>1854545.4545454546</v>
      </c>
      <c r="F10" s="90">
        <f>'Ann 5'!E12</f>
        <v>1891636.3636363635</v>
      </c>
      <c r="G10" s="90">
        <f>'Ann 5'!F12</f>
        <v>1929469.0909090908</v>
      </c>
      <c r="H10" s="90">
        <f>'Ann 5'!G12</f>
        <v>1968058.4727272727</v>
      </c>
      <c r="I10" s="90">
        <f>'Ann 5'!H12</f>
        <v>2007419.6421818181</v>
      </c>
      <c r="J10" s="90">
        <f>'Ann 5'!I12</f>
        <v>2047568.0350254544</v>
      </c>
      <c r="K10" s="90">
        <f>'Ann 5'!J12</f>
        <v>2088519.3957259634</v>
      </c>
    </row>
    <row r="11" spans="1:11" x14ac:dyDescent="0.6">
      <c r="A11" s="89" t="s">
        <v>184</v>
      </c>
      <c r="B11" s="90">
        <v>0</v>
      </c>
      <c r="C11" s="90">
        <f>'Ann 4'!C10+'Ann 4'!C14-'Ann 5'!C23</f>
        <v>9946609.0909090899</v>
      </c>
      <c r="D11" s="90">
        <f>'Ann 4'!D10+'Ann 4'!D14-'Ann 5'!D23</f>
        <v>10394186.454545455</v>
      </c>
      <c r="E11" s="90">
        <f>'Ann 4'!E10+'Ann 4'!E14-'Ann 5'!E23</f>
        <v>10866966.788181819</v>
      </c>
      <c r="F11" s="90">
        <f>'Ann 4'!F10+'Ann 4'!F14-'Ann 5'!F23</f>
        <v>11366481.563809091</v>
      </c>
      <c r="G11" s="90">
        <f>'Ann 4'!G10+'Ann 4'!G14-'Ann 5'!G23</f>
        <v>11894359.292389367</v>
      </c>
      <c r="H11" s="90">
        <f>'Ann 4'!H10+'Ann 4'!H14-'Ann 5'!H23</f>
        <v>12452331.837835029</v>
      </c>
      <c r="I11" s="90">
        <f>'Ann 4'!I10+'Ann 4'!I14-'Ann 5'!I23</f>
        <v>13042241.149618085</v>
      </c>
      <c r="J11" s="90">
        <f>'Ann 4'!J10+'Ann 4'!J14-'Ann 5'!J23</f>
        <v>13459671.713501852</v>
      </c>
      <c r="K11" s="90">
        <f>'Ann 4'!K10+'Ann 4'!K14-'Ann 5'!K23</f>
        <v>13902763.657304872</v>
      </c>
    </row>
    <row r="12" spans="1:11" x14ac:dyDescent="0.6">
      <c r="A12" s="89" t="s">
        <v>257</v>
      </c>
      <c r="B12" s="90">
        <f>'Ann 1'!C27*100000</f>
        <v>0</v>
      </c>
      <c r="C12" s="90"/>
      <c r="D12" s="90"/>
      <c r="E12" s="90"/>
      <c r="F12" s="90"/>
      <c r="G12" s="90"/>
      <c r="H12" s="90"/>
      <c r="I12" s="90"/>
      <c r="J12" s="90"/>
      <c r="K12" s="90"/>
    </row>
    <row r="13" spans="1:11" x14ac:dyDescent="0.6">
      <c r="A13" s="89" t="s">
        <v>163</v>
      </c>
      <c r="B13" s="90">
        <v>0</v>
      </c>
      <c r="C13" s="90">
        <f>'Ann 4'!C23</f>
        <v>648707.69230769237</v>
      </c>
      <c r="D13" s="90">
        <f>'Ann 4'!D23</f>
        <v>577307.69230769249</v>
      </c>
      <c r="E13" s="90">
        <f>'Ann 4'!E23</f>
        <v>489430.76923076948</v>
      </c>
      <c r="F13" s="90">
        <f>'Ann 4'!F23</f>
        <v>401553.84615384648</v>
      </c>
      <c r="G13" s="90">
        <f>'Ann 4'!G23</f>
        <v>313676.92307692335</v>
      </c>
      <c r="H13" s="90">
        <f>'Ann 4'!H23</f>
        <v>126938.4615384616</v>
      </c>
      <c r="I13" s="90">
        <f>'Ann 4'!I23</f>
        <v>83000.000000000015</v>
      </c>
      <c r="J13" s="90">
        <f>'Ann 4'!J23</f>
        <v>83000.000000000015</v>
      </c>
      <c r="K13" s="90">
        <f>'Ann 4'!K23</f>
        <v>83000.000000000015</v>
      </c>
    </row>
    <row r="14" spans="1:11" x14ac:dyDescent="0.6">
      <c r="A14" s="89"/>
      <c r="B14" s="90">
        <v>0</v>
      </c>
      <c r="C14" s="90">
        <f>C4+C8-C9+C10-C11-C13+C5+C6-C7</f>
        <v>8416501.3986014016</v>
      </c>
      <c r="D14" s="90">
        <f>D4+D8-D9+D10-D11-D13+D5+D6-D7</f>
        <v>11502495.013986016</v>
      </c>
      <c r="E14" s="90">
        <f>E4+E8-E9+E10-E11-E13+E5+E6-E7</f>
        <v>13704363.717412585</v>
      </c>
      <c r="F14" s="90">
        <f t="shared" ref="F14:K14" si="1">F4+F8-F9+F10-F11-F13+F5+F6-F7</f>
        <v>15755063.150743354</v>
      </c>
      <c r="G14" s="90">
        <f t="shared" si="1"/>
        <v>17662363.553342585</v>
      </c>
      <c r="H14" s="90">
        <f t="shared" si="1"/>
        <v>19529696.505276833</v>
      </c>
      <c r="I14" s="90">
        <f t="shared" si="1"/>
        <v>21020826.830346849</v>
      </c>
      <c r="J14" s="90">
        <f t="shared" si="1"/>
        <v>24116429.888822351</v>
      </c>
      <c r="K14" s="90">
        <f t="shared" si="1"/>
        <v>27122428.416408282</v>
      </c>
    </row>
    <row r="15" spans="1:11" x14ac:dyDescent="0.6">
      <c r="A15" s="89" t="s">
        <v>186</v>
      </c>
      <c r="B15" s="90">
        <v>0</v>
      </c>
      <c r="C15" s="90">
        <f>'Ann 4'!C30</f>
        <v>2006007.6923076923</v>
      </c>
      <c r="D15" s="90">
        <f>'Ann 4'!D30</f>
        <v>2059331.4923076923</v>
      </c>
      <c r="E15" s="90">
        <f>'Ann 4'!E30</f>
        <v>2102133.5552307689</v>
      </c>
      <c r="F15" s="90">
        <f>'Ann 4'!F30</f>
        <v>2130340.2531738458</v>
      </c>
      <c r="G15" s="90">
        <f>'Ann 4'!G30</f>
        <v>2144588.387388322</v>
      </c>
      <c r="H15" s="90">
        <f>'Ann 4'!H30</f>
        <v>2174967.9570666589</v>
      </c>
      <c r="I15" s="90">
        <f>'Ann 4'!I30</f>
        <v>2149229.6020736704</v>
      </c>
      <c r="J15" s="90">
        <f>'Ann 4'!J30</f>
        <v>2159029.7859277949</v>
      </c>
      <c r="K15" s="90">
        <f>'Ann 4'!K30</f>
        <v>2158670.8725730041</v>
      </c>
    </row>
    <row r="16" spans="1:11" x14ac:dyDescent="0.6">
      <c r="A16" s="89"/>
      <c r="B16" s="90">
        <v>0</v>
      </c>
      <c r="C16" s="90">
        <f>C14-C15</f>
        <v>6410493.7062937096</v>
      </c>
      <c r="D16" s="90">
        <f t="shared" ref="D16:K16" si="2">D14-D15</f>
        <v>9443163.5216783229</v>
      </c>
      <c r="E16" s="90">
        <f t="shared" si="2"/>
        <v>11602230.162181817</v>
      </c>
      <c r="F16" s="90">
        <f t="shared" si="2"/>
        <v>13624722.897569507</v>
      </c>
      <c r="G16" s="90">
        <f t="shared" si="2"/>
        <v>15517775.165954262</v>
      </c>
      <c r="H16" s="90">
        <f t="shared" si="2"/>
        <v>17354728.548210174</v>
      </c>
      <c r="I16" s="90">
        <f t="shared" si="2"/>
        <v>18871597.228273179</v>
      </c>
      <c r="J16" s="90">
        <f t="shared" si="2"/>
        <v>21957400.102894556</v>
      </c>
      <c r="K16" s="90">
        <f t="shared" si="2"/>
        <v>24963757.543835279</v>
      </c>
    </row>
    <row r="17" spans="1:12" x14ac:dyDescent="0.6">
      <c r="A17" s="89" t="s">
        <v>185</v>
      </c>
      <c r="B17" s="90">
        <v>0</v>
      </c>
      <c r="C17" s="90">
        <f>'Ann 4'!C32</f>
        <v>2340342.307692308</v>
      </c>
      <c r="D17" s="90">
        <f>'Ann 4'!D32</f>
        <v>2402553.4076923076</v>
      </c>
      <c r="E17" s="90">
        <f>'Ann 4'!E32</f>
        <v>2452489.1477692304</v>
      </c>
      <c r="F17" s="90">
        <f>'Ann 4'!F32</f>
        <v>2485396.9620361538</v>
      </c>
      <c r="G17" s="90">
        <f>'Ann 4'!G32</f>
        <v>2502019.7852863753</v>
      </c>
      <c r="H17" s="90">
        <f>'Ann 4'!H32</f>
        <v>3871212.6165777687</v>
      </c>
      <c r="I17" s="90">
        <f>'Ann 4'!I32</f>
        <v>2507434.5357526154</v>
      </c>
      <c r="J17" s="90">
        <f>'Ann 4'!J32</f>
        <v>2518868.0835824274</v>
      </c>
      <c r="K17" s="90">
        <f>'Ann 4'!K32</f>
        <v>2518449.3513351716</v>
      </c>
    </row>
    <row r="18" spans="1:12" x14ac:dyDescent="0.6">
      <c r="A18" s="89"/>
      <c r="B18" s="90">
        <v>0</v>
      </c>
      <c r="C18" s="90">
        <f>C16-C17</f>
        <v>4070151.3986014016</v>
      </c>
      <c r="D18" s="90">
        <f t="shared" ref="D18:K18" si="3">D16-D17</f>
        <v>7040610.1139860153</v>
      </c>
      <c r="E18" s="90">
        <f t="shared" si="3"/>
        <v>9149741.0144125856</v>
      </c>
      <c r="F18" s="90">
        <f t="shared" si="3"/>
        <v>11139325.935533354</v>
      </c>
      <c r="G18" s="90">
        <f t="shared" si="3"/>
        <v>13015755.380667888</v>
      </c>
      <c r="H18" s="90">
        <f t="shared" si="3"/>
        <v>13483515.931632405</v>
      </c>
      <c r="I18" s="90">
        <f t="shared" si="3"/>
        <v>16364162.692520564</v>
      </c>
      <c r="J18" s="90">
        <f t="shared" si="3"/>
        <v>19438532.019312128</v>
      </c>
      <c r="K18" s="90">
        <f t="shared" si="3"/>
        <v>22445308.192500107</v>
      </c>
    </row>
    <row r="19" spans="1:12" x14ac:dyDescent="0.6">
      <c r="A19" s="89" t="s">
        <v>187</v>
      </c>
      <c r="B19" s="90">
        <v>0</v>
      </c>
      <c r="C19" s="90">
        <f>SUM('Ann 13'!D10:D13)*100000</f>
        <v>732307.69230769237</v>
      </c>
      <c r="D19" s="90">
        <f>SUM('Ann 13'!D14:D17)*100000</f>
        <v>1464615.3846153847</v>
      </c>
      <c r="E19" s="90">
        <f>SUM('Ann 13'!D18:D21)*100000</f>
        <v>1464615.3846153847</v>
      </c>
      <c r="F19" s="90">
        <f>SUM('Ann 13'!D22:D25)*100000</f>
        <v>1464615.3846153847</v>
      </c>
      <c r="G19" s="90">
        <f>SUM('Ann 13'!D26:D29)*100000</f>
        <v>1464615.3846153847</v>
      </c>
      <c r="H19" s="90">
        <f>SUM('Ann 13'!D30:D33)*100000</f>
        <v>261730.76923077297</v>
      </c>
      <c r="I19" s="90">
        <f>SUM('Ann 13'!D34:D37)*100000</f>
        <v>0</v>
      </c>
      <c r="J19" s="90">
        <v>0</v>
      </c>
      <c r="K19" s="90">
        <v>0</v>
      </c>
    </row>
    <row r="20" spans="1:12" x14ac:dyDescent="0.6">
      <c r="A20" s="89" t="s">
        <v>188</v>
      </c>
      <c r="B20" s="90">
        <f>B4+B5+B6-B7-B12</f>
        <v>830000</v>
      </c>
      <c r="C20" s="90">
        <f>C18-C19</f>
        <v>3337843.7062937091</v>
      </c>
      <c r="D20" s="90">
        <f>D18-D19</f>
        <v>5575994.7293706303</v>
      </c>
      <c r="E20" s="90">
        <f>E18-E19</f>
        <v>7685125.6297972007</v>
      </c>
      <c r="F20" s="90">
        <f t="shared" ref="F20:K20" si="4">F18-F19</f>
        <v>9674710.55091797</v>
      </c>
      <c r="G20" s="90">
        <f t="shared" si="4"/>
        <v>11551139.996052504</v>
      </c>
      <c r="H20" s="90">
        <f t="shared" si="4"/>
        <v>13221785.162401631</v>
      </c>
      <c r="I20" s="90">
        <f t="shared" si="4"/>
        <v>16364162.692520564</v>
      </c>
      <c r="J20" s="90">
        <f t="shared" si="4"/>
        <v>19438532.019312128</v>
      </c>
      <c r="K20" s="90">
        <f t="shared" si="4"/>
        <v>22445308.192500107</v>
      </c>
    </row>
    <row r="22" spans="1:12" x14ac:dyDescent="0.6">
      <c r="A22" s="91" t="s">
        <v>189</v>
      </c>
      <c r="B22" s="92">
        <v>0.06</v>
      </c>
      <c r="C22" s="93"/>
      <c r="D22" s="91"/>
      <c r="E22" s="91"/>
      <c r="F22" s="91"/>
      <c r="G22" s="91"/>
      <c r="H22" s="91"/>
      <c r="I22" s="91"/>
      <c r="J22" s="91"/>
      <c r="K22" s="91"/>
      <c r="L22" s="91"/>
    </row>
    <row r="23" spans="1:12" x14ac:dyDescent="0.6">
      <c r="A23" s="91" t="s">
        <v>190</v>
      </c>
      <c r="B23" s="91">
        <v>1</v>
      </c>
      <c r="C23" s="94">
        <f>1/(1+$B$22)</f>
        <v>0.94339622641509424</v>
      </c>
      <c r="D23" s="94">
        <f>1/((1+$B$22)*(1+$B$22))</f>
        <v>0.88999644001423983</v>
      </c>
      <c r="E23" s="94">
        <f>1/((1+$B$22)*(1+$B$22)*(1+$B$22))</f>
        <v>0.8396192830323016</v>
      </c>
      <c r="F23" s="94">
        <f>1/((1+$B$22)*(1+$B$22)*(1+$B$22)*(1+$B$22))</f>
        <v>0.79209366323802044</v>
      </c>
      <c r="G23" s="94">
        <f>1/((1+$B$22)*(1+$B$22)*(1+$B$22)*(1+$B$22)*(1+$B$22))</f>
        <v>0.74725817286605689</v>
      </c>
      <c r="H23" s="94">
        <f>1/((1+$B$22)*(1+$B$22)*(1+$B$22)*(1+$B$22)*(1+$B$22)*(1+$B$22))</f>
        <v>0.70496054043967626</v>
      </c>
      <c r="I23" s="94">
        <f>1/((1+$B$22)*(1+$B$22)*(1+$B$22)*(1+$B$22)*(1+$B$22)*(1+$B$22)*(1+$B$22))</f>
        <v>0.6650571136223361</v>
      </c>
      <c r="J23" s="94">
        <f>1/((1+$B$22)*(1+$B$22)*(1+$B$22)*(1+$B$22)*(1+$B$22)*(1+$B$22)*(1+$B$22)*(1+$B$22))</f>
        <v>0.62741237134182648</v>
      </c>
      <c r="K23" s="94">
        <f>1/((1+$B$22)*(1+$B$22)*(1+$B$22)*(1+$B$22)*(1+$B$22)*(1+$B$22)*(1+$B$22)*(1+$B$22)*(1+$B$22))</f>
        <v>0.59189846353002495</v>
      </c>
      <c r="L23" s="91"/>
    </row>
    <row r="24" spans="1:12" x14ac:dyDescent="0.6">
      <c r="A24" s="91" t="s">
        <v>191</v>
      </c>
      <c r="B24" s="91">
        <f>B4+B8+B10+B5+B6</f>
        <v>11500000</v>
      </c>
      <c r="C24" s="91">
        <f>C4+C8+C10+C5+C6</f>
        <v>19011818.181818184</v>
      </c>
      <c r="D24" s="91">
        <f t="shared" ref="D24:K24" si="5">D4+D8+D10</f>
        <v>23701480.069930073</v>
      </c>
      <c r="E24" s="91">
        <f t="shared" si="5"/>
        <v>26346903.820279721</v>
      </c>
      <c r="F24" s="91">
        <f t="shared" si="5"/>
        <v>28871452.902524475</v>
      </c>
      <c r="G24" s="91">
        <f t="shared" si="5"/>
        <v>31284764.369099785</v>
      </c>
      <c r="H24" s="91">
        <f t="shared" si="5"/>
        <v>33593394.890597954</v>
      </c>
      <c r="I24" s="91">
        <f t="shared" si="5"/>
        <v>35704885.154837996</v>
      </c>
      <c r="J24" s="91">
        <f t="shared" si="5"/>
        <v>39296924.684805654</v>
      </c>
      <c r="K24" s="91">
        <f t="shared" si="5"/>
        <v>42829949.251442924</v>
      </c>
      <c r="L24" s="91"/>
    </row>
    <row r="25" spans="1:12" x14ac:dyDescent="0.6">
      <c r="A25" s="91" t="s">
        <v>192</v>
      </c>
      <c r="B25" s="91">
        <f>B24*B23</f>
        <v>11500000</v>
      </c>
      <c r="C25" s="91">
        <f>C24*C23</f>
        <v>17935677.530017152</v>
      </c>
      <c r="D25" s="91">
        <f t="shared" ref="D25:K25" si="6">D24*D23</f>
        <v>21094232.885306221</v>
      </c>
      <c r="E25" s="91">
        <f t="shared" si="6"/>
        <v>22121368.495704267</v>
      </c>
      <c r="F25" s="91">
        <f t="shared" si="6"/>
        <v>22868894.892564591</v>
      </c>
      <c r="G25" s="91">
        <f t="shared" si="6"/>
        <v>23377795.860998623</v>
      </c>
      <c r="H25" s="91">
        <f t="shared" si="6"/>
        <v>23682017.817279395</v>
      </c>
      <c r="I25" s="91">
        <f t="shared" si="6"/>
        <v>23745787.863293555</v>
      </c>
      <c r="J25" s="91">
        <f t="shared" si="6"/>
        <v>24655376.702935074</v>
      </c>
      <c r="K25" s="91">
        <f t="shared" si="6"/>
        <v>25350981.154998008</v>
      </c>
      <c r="L25" s="91"/>
    </row>
    <row r="26" spans="1:12" x14ac:dyDescent="0.6">
      <c r="A26" s="91" t="s">
        <v>193</v>
      </c>
      <c r="B26" s="91">
        <f>B9+B11+B13+B15+B17+B19+B7+B12</f>
        <v>10670000</v>
      </c>
      <c r="C26" s="91">
        <f t="shared" ref="C26:K26" si="7">C9+C11+C13+C15+C17+C19+C7+C12</f>
        <v>15673974.475524474</v>
      </c>
      <c r="D26" s="91">
        <f t="shared" si="7"/>
        <v>18125485.340559442</v>
      </c>
      <c r="E26" s="91">
        <f t="shared" si="7"/>
        <v>18661778.190482516</v>
      </c>
      <c r="F26" s="91">
        <f t="shared" si="7"/>
        <v>19196742.351606503</v>
      </c>
      <c r="G26" s="91">
        <f t="shared" si="7"/>
        <v>19733624.373047281</v>
      </c>
      <c r="H26" s="91">
        <f t="shared" si="7"/>
        <v>20371609.728196327</v>
      </c>
      <c r="I26" s="91">
        <f t="shared" si="7"/>
        <v>19340722.462317433</v>
      </c>
      <c r="J26" s="91">
        <f t="shared" si="7"/>
        <v>19858392.665493522</v>
      </c>
      <c r="K26" s="91">
        <f t="shared" si="7"/>
        <v>20384641.058942817</v>
      </c>
      <c r="L26" s="91"/>
    </row>
    <row r="27" spans="1:12" x14ac:dyDescent="0.6">
      <c r="A27" s="91" t="s">
        <v>194</v>
      </c>
      <c r="B27" s="91">
        <f>B26*B23</f>
        <v>10670000</v>
      </c>
      <c r="C27" s="91">
        <f>C26*C23</f>
        <v>14786768.373136295</v>
      </c>
      <c r="D27" s="91">
        <f t="shared" ref="D27:K27" si="8">D26*D23</f>
        <v>16131617.426628195</v>
      </c>
      <c r="E27" s="91">
        <f t="shared" si="8"/>
        <v>15668788.824400773</v>
      </c>
      <c r="F27" s="91">
        <f t="shared" si="8"/>
        <v>15205617.971520446</v>
      </c>
      <c r="G27" s="91">
        <f t="shared" si="8"/>
        <v>14746112.093028398</v>
      </c>
      <c r="H27" s="91">
        <f t="shared" si="8"/>
        <v>14361181.003615448</v>
      </c>
      <c r="I27" s="91">
        <f t="shared" si="8"/>
        <v>12862685.056159513</v>
      </c>
      <c r="J27" s="91">
        <f t="shared" si="8"/>
        <v>12459401.233294426</v>
      </c>
      <c r="K27" s="91">
        <f t="shared" si="8"/>
        <v>12065637.722399315</v>
      </c>
      <c r="L27" s="91"/>
    </row>
    <row r="28" spans="1:12" x14ac:dyDescent="0.6">
      <c r="A28" s="91"/>
      <c r="B28" s="91"/>
      <c r="C28" s="91"/>
      <c r="D28" s="91"/>
      <c r="E28" s="91"/>
      <c r="F28" s="91"/>
      <c r="G28" s="91"/>
      <c r="H28" s="91"/>
      <c r="I28" s="91"/>
      <c r="J28" s="91"/>
      <c r="K28" s="91"/>
      <c r="L28" s="91"/>
    </row>
    <row r="29" spans="1:12" x14ac:dyDescent="0.6">
      <c r="A29" s="91" t="s">
        <v>195</v>
      </c>
      <c r="B29" s="91">
        <f>B24-B26</f>
        <v>830000</v>
      </c>
      <c r="C29" s="91">
        <f>C24-C26</f>
        <v>3337843.7062937096</v>
      </c>
      <c r="D29" s="91">
        <f>D24-D26</f>
        <v>5575994.7293706313</v>
      </c>
      <c r="E29" s="91">
        <f t="shared" ref="E29:K29" si="9">E24-E26</f>
        <v>7685125.6297972053</v>
      </c>
      <c r="F29" s="91">
        <f t="shared" si="9"/>
        <v>9674710.5509179719</v>
      </c>
      <c r="G29" s="91">
        <f t="shared" si="9"/>
        <v>11551139.996052504</v>
      </c>
      <c r="H29" s="91">
        <f t="shared" si="9"/>
        <v>13221785.162401628</v>
      </c>
      <c r="I29" s="91">
        <f t="shared" si="9"/>
        <v>16364162.692520563</v>
      </c>
      <c r="J29" s="91">
        <f t="shared" si="9"/>
        <v>19438532.019312132</v>
      </c>
      <c r="K29" s="91">
        <f t="shared" si="9"/>
        <v>22445308.192500107</v>
      </c>
      <c r="L29" s="91"/>
    </row>
    <row r="30" spans="1:12" x14ac:dyDescent="0.6">
      <c r="A30" s="91" t="s">
        <v>196</v>
      </c>
      <c r="B30" s="91">
        <f>B25-B27</f>
        <v>830000</v>
      </c>
      <c r="C30" s="91">
        <f>C29*C23</f>
        <v>3148909.1568808579</v>
      </c>
      <c r="D30" s="91">
        <f t="shared" ref="D30:K30" si="10">D29*D23</f>
        <v>4962615.4586780267</v>
      </c>
      <c r="E30" s="91">
        <f t="shared" si="10"/>
        <v>6452579.6713034948</v>
      </c>
      <c r="F30" s="91">
        <f t="shared" si="10"/>
        <v>7663276.9210441429</v>
      </c>
      <c r="G30" s="91">
        <f t="shared" si="10"/>
        <v>8631683.7679702248</v>
      </c>
      <c r="H30" s="91">
        <f t="shared" si="10"/>
        <v>9320836.8136639446</v>
      </c>
      <c r="I30" s="91">
        <f t="shared" si="10"/>
        <v>10883102.807134042</v>
      </c>
      <c r="J30" s="91">
        <f t="shared" si="10"/>
        <v>12195975.469640648</v>
      </c>
      <c r="K30" s="91">
        <f t="shared" si="10"/>
        <v>13285343.432598695</v>
      </c>
      <c r="L30" s="91">
        <f>SUM(B30:K30)</f>
        <v>77374323.498914078</v>
      </c>
    </row>
    <row r="31" spans="1:12" x14ac:dyDescent="0.6">
      <c r="A31" s="93"/>
      <c r="B31" s="93"/>
      <c r="C31" s="95"/>
      <c r="D31" s="95"/>
      <c r="E31" s="95"/>
      <c r="F31" s="95"/>
      <c r="G31" s="95"/>
      <c r="H31" s="93"/>
      <c r="I31" s="93"/>
      <c r="J31" s="93"/>
      <c r="K31" s="93"/>
      <c r="L31" s="93"/>
    </row>
  </sheetData>
  <pageMargins left="0.7" right="0.7" top="0.75" bottom="0.75" header="0.3" footer="0.3"/>
  <pageSetup scale="6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ADB1-212F-431E-A926-791FC9CE0F57}">
  <sheetPr>
    <pageSetUpPr fitToPage="1"/>
  </sheetPr>
  <dimension ref="A1:J15"/>
  <sheetViews>
    <sheetView workbookViewId="0">
      <selection activeCell="C13" sqref="C13"/>
    </sheetView>
  </sheetViews>
  <sheetFormatPr defaultRowHeight="17" x14ac:dyDescent="0.6"/>
  <cols>
    <col min="1" max="1" width="26.08984375" style="6" bestFit="1" customWidth="1"/>
    <col min="2" max="2" width="17.08984375" style="6" bestFit="1" customWidth="1"/>
    <col min="3" max="10" width="14.54296875" style="6" bestFit="1" customWidth="1"/>
    <col min="11" max="11" width="12.54296875" style="6" bestFit="1" customWidth="1"/>
    <col min="12" max="16384" width="8.7265625" style="6"/>
  </cols>
  <sheetData>
    <row r="1" spans="1:10" x14ac:dyDescent="0.6">
      <c r="A1" s="5" t="s">
        <v>168</v>
      </c>
    </row>
    <row r="2" spans="1:10" x14ac:dyDescent="0.6">
      <c r="A2" s="5"/>
    </row>
    <row r="3" spans="1:10" x14ac:dyDescent="0.6">
      <c r="A3" s="122" t="s">
        <v>3</v>
      </c>
      <c r="B3" s="127" t="s">
        <v>48</v>
      </c>
      <c r="C3" s="127"/>
      <c r="D3" s="127"/>
      <c r="E3" s="127"/>
      <c r="F3" s="127"/>
      <c r="G3" s="127"/>
      <c r="H3" s="127"/>
      <c r="I3" s="127"/>
      <c r="J3" s="127"/>
    </row>
    <row r="4" spans="1:10" x14ac:dyDescent="0.6">
      <c r="A4" s="122"/>
      <c r="B4" s="106" t="s">
        <v>39</v>
      </c>
      <c r="C4" s="106" t="s">
        <v>40</v>
      </c>
      <c r="D4" s="106" t="s">
        <v>41</v>
      </c>
      <c r="E4" s="106" t="s">
        <v>42</v>
      </c>
      <c r="F4" s="106" t="s">
        <v>43</v>
      </c>
      <c r="G4" s="106" t="s">
        <v>44</v>
      </c>
      <c r="H4" s="106" t="s">
        <v>45</v>
      </c>
      <c r="I4" s="106" t="s">
        <v>46</v>
      </c>
      <c r="J4" s="106" t="s">
        <v>47</v>
      </c>
    </row>
    <row r="5" spans="1:10" x14ac:dyDescent="0.6">
      <c r="A5" s="7" t="s">
        <v>255</v>
      </c>
      <c r="B5" s="97">
        <v>0.7</v>
      </c>
      <c r="C5" s="97">
        <v>0.75</v>
      </c>
      <c r="D5" s="97">
        <v>0.8</v>
      </c>
      <c r="E5" s="97">
        <v>0.85</v>
      </c>
      <c r="F5" s="97">
        <v>0.9</v>
      </c>
      <c r="G5" s="97">
        <v>0.95</v>
      </c>
      <c r="H5" s="97">
        <v>1</v>
      </c>
      <c r="I5" s="97">
        <v>1</v>
      </c>
      <c r="J5" s="97">
        <v>1</v>
      </c>
    </row>
    <row r="6" spans="1:10" x14ac:dyDescent="0.6">
      <c r="A6" s="7" t="s">
        <v>169</v>
      </c>
      <c r="B6" s="60">
        <f>$B$15*B5</f>
        <v>700000</v>
      </c>
      <c r="C6" s="60">
        <f t="shared" ref="C6:J6" si="0">$B$15*C5</f>
        <v>750000</v>
      </c>
      <c r="D6" s="60">
        <f t="shared" si="0"/>
        <v>800000</v>
      </c>
      <c r="E6" s="60">
        <f t="shared" si="0"/>
        <v>850000</v>
      </c>
      <c r="F6" s="60">
        <f t="shared" si="0"/>
        <v>900000</v>
      </c>
      <c r="G6" s="60">
        <f t="shared" si="0"/>
        <v>950000</v>
      </c>
      <c r="H6" s="60">
        <f t="shared" si="0"/>
        <v>1000000</v>
      </c>
      <c r="I6" s="60">
        <f t="shared" si="0"/>
        <v>1000000</v>
      </c>
      <c r="J6" s="60">
        <f t="shared" si="0"/>
        <v>1000000</v>
      </c>
    </row>
    <row r="7" spans="1:10" x14ac:dyDescent="0.6">
      <c r="A7" s="7" t="s">
        <v>50</v>
      </c>
      <c r="B7" s="98">
        <f>$B$11*200*$C$15</f>
        <v>20000000</v>
      </c>
      <c r="C7" s="98">
        <f>B7*1.02</f>
        <v>20400000</v>
      </c>
      <c r="D7" s="98">
        <f t="shared" ref="D7:J7" si="1">C7*1.02</f>
        <v>20808000</v>
      </c>
      <c r="E7" s="98">
        <f t="shared" si="1"/>
        <v>21224160</v>
      </c>
      <c r="F7" s="98">
        <f t="shared" si="1"/>
        <v>21648643.199999999</v>
      </c>
      <c r="G7" s="98">
        <f t="shared" si="1"/>
        <v>22081616.063999999</v>
      </c>
      <c r="H7" s="98">
        <f t="shared" si="1"/>
        <v>22523248.385279998</v>
      </c>
      <c r="I7" s="98">
        <f t="shared" si="1"/>
        <v>22973713.352985598</v>
      </c>
      <c r="J7" s="98">
        <f t="shared" si="1"/>
        <v>23433187.620045312</v>
      </c>
    </row>
    <row r="8" spans="1:10" x14ac:dyDescent="0.6">
      <c r="B8" s="32"/>
      <c r="C8" s="32"/>
      <c r="D8" s="32"/>
      <c r="E8" s="32"/>
      <c r="F8" s="32"/>
      <c r="G8" s="32"/>
      <c r="H8" s="32"/>
      <c r="I8" s="32"/>
      <c r="J8" s="32"/>
    </row>
    <row r="9" spans="1:10" x14ac:dyDescent="0.6">
      <c r="A9" s="5" t="s">
        <v>170</v>
      </c>
    </row>
    <row r="11" spans="1:10" x14ac:dyDescent="0.6">
      <c r="A11" s="6" t="s">
        <v>254</v>
      </c>
      <c r="B11" s="99">
        <f>1000*1000</f>
        <v>1000000</v>
      </c>
    </row>
    <row r="12" spans="1:10" x14ac:dyDescent="0.6">
      <c r="A12" s="6" t="s">
        <v>256</v>
      </c>
      <c r="B12" s="99" t="s">
        <v>274</v>
      </c>
    </row>
    <row r="14" spans="1:10" s="102" customFormat="1" ht="34" x14ac:dyDescent="0.35">
      <c r="A14" s="100" t="s">
        <v>171</v>
      </c>
      <c r="B14" s="101" t="s">
        <v>172</v>
      </c>
      <c r="C14" s="101" t="s">
        <v>275</v>
      </c>
    </row>
    <row r="15" spans="1:10" s="102" customFormat="1" x14ac:dyDescent="0.35">
      <c r="A15" s="100" t="s">
        <v>173</v>
      </c>
      <c r="B15" s="103">
        <f>B11</f>
        <v>1000000</v>
      </c>
      <c r="C15" s="104">
        <v>0.1</v>
      </c>
      <c r="D15" s="105"/>
    </row>
  </sheetData>
  <mergeCells count="2">
    <mergeCell ref="B3:J3"/>
    <mergeCell ref="A3:A4"/>
  </mergeCells>
  <pageMargins left="0.7" right="0.7" top="0.75" bottom="0.75" header="0.3" footer="0.3"/>
  <pageSetup scale="7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B69F-8F0D-45BD-B703-60FCEF10A70F}">
  <dimension ref="A2:J8"/>
  <sheetViews>
    <sheetView workbookViewId="0">
      <selection activeCell="B3" sqref="B3:F8"/>
    </sheetView>
  </sheetViews>
  <sheetFormatPr defaultRowHeight="17" x14ac:dyDescent="0.6"/>
  <cols>
    <col min="1" max="1" width="16.453125" style="6" bestFit="1" customWidth="1"/>
    <col min="2" max="16384" width="8.7265625" style="6"/>
  </cols>
  <sheetData>
    <row r="2" spans="1:10" x14ac:dyDescent="0.6">
      <c r="B2" s="6" t="s">
        <v>39</v>
      </c>
      <c r="C2" s="6" t="s">
        <v>40</v>
      </c>
      <c r="D2" s="6" t="s">
        <v>41</v>
      </c>
      <c r="E2" s="6" t="s">
        <v>42</v>
      </c>
      <c r="F2" s="6" t="s">
        <v>43</v>
      </c>
      <c r="G2" s="6" t="s">
        <v>44</v>
      </c>
      <c r="H2" s="6" t="s">
        <v>45</v>
      </c>
      <c r="I2" s="6" t="s">
        <v>46</v>
      </c>
      <c r="J2" s="6" t="s">
        <v>47</v>
      </c>
    </row>
    <row r="3" spans="1:10" x14ac:dyDescent="0.6">
      <c r="A3" s="6" t="s">
        <v>197</v>
      </c>
      <c r="B3" s="32">
        <f>'Ann 4'!C17/100000</f>
        <v>200</v>
      </c>
      <c r="C3" s="32">
        <f>'Ann 4'!D17/100000</f>
        <v>204</v>
      </c>
      <c r="D3" s="32">
        <f>'Ann 4'!E17/100000</f>
        <v>208.08</v>
      </c>
      <c r="E3" s="32">
        <f>'Ann 4'!F17/100000</f>
        <v>212.24160000000001</v>
      </c>
      <c r="F3" s="32">
        <f>'Ann 4'!G17/100000</f>
        <v>216.48643199999998</v>
      </c>
      <c r="G3" s="32">
        <f>'Ann 4'!H17/100000</f>
        <v>220.81616063999999</v>
      </c>
      <c r="H3" s="32">
        <f>'Ann 4'!I17/100000</f>
        <v>225.23248385279999</v>
      </c>
      <c r="I3" s="32">
        <f>'Ann 4'!J17/100000</f>
        <v>229.73713352985598</v>
      </c>
      <c r="J3" s="32">
        <f>'Ann 4'!K17/100000</f>
        <v>234.33187620045311</v>
      </c>
    </row>
    <row r="4" spans="1:10" x14ac:dyDescent="0.6">
      <c r="A4" s="6" t="s">
        <v>198</v>
      </c>
      <c r="B4" s="32">
        <f>'Ann 4'!C16/100000</f>
        <v>111.741</v>
      </c>
      <c r="C4" s="32">
        <f>'Ann 4'!D16/100000</f>
        <v>116.80329</v>
      </c>
      <c r="D4" s="32">
        <f>'Ann 4'!E16/100000</f>
        <v>122.15321130000001</v>
      </c>
      <c r="E4" s="32">
        <f>'Ann 4'!F16/100000</f>
        <v>127.80846164100001</v>
      </c>
      <c r="F4" s="32">
        <f>'Ann 4'!G16/100000</f>
        <v>133.78787378337003</v>
      </c>
      <c r="G4" s="32">
        <f>'Ann 4'!H16/100000</f>
        <v>140.11149012708091</v>
      </c>
      <c r="H4" s="32">
        <f>'Ann 4'!I16/100000</f>
        <v>146.80064232099534</v>
      </c>
      <c r="I4" s="32">
        <f>'Ann 4'!J16/100000</f>
        <v>151.81428891231621</v>
      </c>
      <c r="J4" s="32">
        <f>'Ann 4'!K16/100000</f>
        <v>157.13716046539835</v>
      </c>
    </row>
    <row r="5" spans="1:10" x14ac:dyDescent="0.6">
      <c r="A5" s="6" t="s">
        <v>199</v>
      </c>
      <c r="B5" s="32">
        <f>B3-B4</f>
        <v>88.259</v>
      </c>
      <c r="C5" s="32">
        <f t="shared" ref="C5:J5" si="0">C3-C4</f>
        <v>87.196709999999996</v>
      </c>
      <c r="D5" s="32">
        <f t="shared" si="0"/>
        <v>85.926788700000003</v>
      </c>
      <c r="E5" s="32">
        <f t="shared" si="0"/>
        <v>84.433138358999997</v>
      </c>
      <c r="F5" s="32">
        <f t="shared" si="0"/>
        <v>82.698558216629948</v>
      </c>
      <c r="G5" s="32">
        <f t="shared" si="0"/>
        <v>80.70467051291908</v>
      </c>
      <c r="H5" s="32">
        <f t="shared" si="0"/>
        <v>78.43184153180465</v>
      </c>
      <c r="I5" s="32">
        <f t="shared" si="0"/>
        <v>77.922844617539766</v>
      </c>
      <c r="J5" s="32">
        <f t="shared" si="0"/>
        <v>77.194715735054757</v>
      </c>
    </row>
    <row r="6" spans="1:10" x14ac:dyDescent="0.6">
      <c r="A6" s="6" t="s">
        <v>200</v>
      </c>
      <c r="B6" s="32">
        <f>B5</f>
        <v>88.259</v>
      </c>
      <c r="C6" s="32">
        <f t="shared" ref="C6:J6" si="1">C5</f>
        <v>87.196709999999996</v>
      </c>
      <c r="D6" s="32">
        <f t="shared" si="1"/>
        <v>85.926788700000003</v>
      </c>
      <c r="E6" s="32">
        <f t="shared" si="1"/>
        <v>84.433138358999997</v>
      </c>
      <c r="F6" s="32">
        <f t="shared" si="1"/>
        <v>82.698558216629948</v>
      </c>
      <c r="G6" s="32">
        <f t="shared" si="1"/>
        <v>80.70467051291908</v>
      </c>
      <c r="H6" s="32">
        <f t="shared" si="1"/>
        <v>78.43184153180465</v>
      </c>
      <c r="I6" s="32">
        <f t="shared" si="1"/>
        <v>77.922844617539766</v>
      </c>
      <c r="J6" s="32">
        <f t="shared" si="1"/>
        <v>77.194715735054757</v>
      </c>
    </row>
    <row r="7" spans="1:10" x14ac:dyDescent="0.6">
      <c r="A7" s="6" t="s">
        <v>201</v>
      </c>
      <c r="B7" s="119">
        <f>'Ann 4'!C29/100000</f>
        <v>66.866923076923086</v>
      </c>
      <c r="C7" s="119">
        <f>'Ann 4'!D29/100000</f>
        <v>68.644383076923077</v>
      </c>
      <c r="D7" s="119">
        <f>'Ann 4'!E29/100000</f>
        <v>70.07111850769229</v>
      </c>
      <c r="E7" s="119">
        <f>'Ann 4'!F29/100000</f>
        <v>71.011341772461535</v>
      </c>
      <c r="F7" s="119">
        <f>'Ann 4'!G29/100000</f>
        <v>71.486279579610738</v>
      </c>
      <c r="G7" s="119">
        <f>'Ann 4'!H29/100000</f>
        <v>99.173931902221966</v>
      </c>
      <c r="H7" s="119">
        <f>'Ann 4'!I29/100000</f>
        <v>71.640986735789014</v>
      </c>
      <c r="I7" s="119">
        <f>'Ann 4'!J29/100000</f>
        <v>71.967659530926497</v>
      </c>
      <c r="J7" s="119">
        <f>'Ann 4'!K29/100000</f>
        <v>71.955695752433471</v>
      </c>
    </row>
    <row r="8" spans="1:10" x14ac:dyDescent="0.6">
      <c r="A8" s="6" t="s">
        <v>202</v>
      </c>
      <c r="B8" s="119">
        <f>'Ann 4'!C31/100000</f>
        <v>46.806846153846159</v>
      </c>
      <c r="C8" s="119">
        <f>'Ann 4'!D31/100000</f>
        <v>48.051068153846153</v>
      </c>
      <c r="D8" s="119">
        <f>'Ann 4'!E31/100000</f>
        <v>49.049782955384607</v>
      </c>
      <c r="E8" s="119">
        <f>'Ann 4'!F31/100000</f>
        <v>49.707939240723078</v>
      </c>
      <c r="F8" s="119">
        <f>'Ann 4'!G31/100000</f>
        <v>50.040395705727505</v>
      </c>
      <c r="G8" s="119">
        <f>'Ann 4'!H31/100000</f>
        <v>77.42425233155538</v>
      </c>
      <c r="H8" s="119">
        <f>'Ann 4'!I31/100000</f>
        <v>50.148690715052311</v>
      </c>
      <c r="I8" s="119">
        <f>'Ann 4'!J31/100000</f>
        <v>50.377361671648544</v>
      </c>
      <c r="J8" s="119">
        <f>'Ann 4'!K31/100000</f>
        <v>50.368987026703429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5DA7-00E0-4D15-8196-E2CB4C255341}">
  <sheetPr>
    <pageSetUpPr fitToPage="1"/>
  </sheetPr>
  <dimension ref="A1:L8"/>
  <sheetViews>
    <sheetView workbookViewId="0">
      <selection activeCell="B8" sqref="B8"/>
    </sheetView>
  </sheetViews>
  <sheetFormatPr defaultRowHeight="17" x14ac:dyDescent="0.6"/>
  <cols>
    <col min="1" max="1" width="8.7265625" style="6"/>
    <col min="2" max="2" width="84" style="6" bestFit="1" customWidth="1"/>
    <col min="3" max="3" width="12.36328125" style="6" bestFit="1" customWidth="1"/>
    <col min="4" max="12" width="12.54296875" style="6" bestFit="1" customWidth="1"/>
    <col min="13" max="16384" width="8.7265625" style="6"/>
  </cols>
  <sheetData>
    <row r="1" spans="1:12" x14ac:dyDescent="0.6">
      <c r="A1" s="5" t="s">
        <v>222</v>
      </c>
      <c r="B1" s="5" t="s">
        <v>223</v>
      </c>
    </row>
    <row r="2" spans="1:12" x14ac:dyDescent="0.6">
      <c r="A2" s="6">
        <v>1</v>
      </c>
      <c r="B2" s="6" t="s">
        <v>284</v>
      </c>
    </row>
    <row r="3" spans="1:12" x14ac:dyDescent="0.6">
      <c r="A3" s="6">
        <v>2</v>
      </c>
      <c r="B3" s="6" t="s">
        <v>224</v>
      </c>
    </row>
    <row r="4" spans="1:12" x14ac:dyDescent="0.6">
      <c r="C4" s="6" t="s">
        <v>175</v>
      </c>
      <c r="D4" s="6">
        <v>220000</v>
      </c>
      <c r="E4" s="6">
        <f>D4*1.05</f>
        <v>231000</v>
      </c>
      <c r="F4" s="6">
        <f t="shared" ref="F4:J4" si="0">E4*1.05</f>
        <v>242550</v>
      </c>
      <c r="G4" s="6">
        <f t="shared" si="0"/>
        <v>254677.5</v>
      </c>
      <c r="H4" s="6">
        <f t="shared" si="0"/>
        <v>267411.375</v>
      </c>
      <c r="I4" s="6">
        <f t="shared" si="0"/>
        <v>280781.94375000003</v>
      </c>
      <c r="J4" s="6">
        <f t="shared" si="0"/>
        <v>294821.04093750007</v>
      </c>
      <c r="K4" s="6">
        <f>J4</f>
        <v>294821.04093750007</v>
      </c>
      <c r="L4" s="6">
        <f>K4</f>
        <v>294821.04093750007</v>
      </c>
    </row>
    <row r="5" spans="1:12" x14ac:dyDescent="0.6">
      <c r="C5" s="6" t="s">
        <v>72</v>
      </c>
      <c r="D5" s="6">
        <f>D4*14</f>
        <v>3080000</v>
      </c>
      <c r="E5" s="6">
        <f t="shared" ref="E5:L5" si="1">E4*14</f>
        <v>3234000</v>
      </c>
      <c r="F5" s="6">
        <f t="shared" si="1"/>
        <v>3395700</v>
      </c>
      <c r="G5" s="6">
        <f t="shared" si="1"/>
        <v>3565485</v>
      </c>
      <c r="H5" s="6">
        <f t="shared" si="1"/>
        <v>3743759.25</v>
      </c>
      <c r="I5" s="6">
        <f t="shared" si="1"/>
        <v>3930947.2125000004</v>
      </c>
      <c r="J5" s="6">
        <f t="shared" si="1"/>
        <v>4127494.573125001</v>
      </c>
      <c r="K5" s="6">
        <f t="shared" si="1"/>
        <v>4127494.573125001</v>
      </c>
      <c r="L5" s="6">
        <f t="shared" si="1"/>
        <v>4127494.573125001</v>
      </c>
    </row>
    <row r="6" spans="1:12" x14ac:dyDescent="0.6">
      <c r="A6" s="6">
        <v>3</v>
      </c>
      <c r="B6" s="6" t="s">
        <v>249</v>
      </c>
    </row>
    <row r="7" spans="1:12" x14ac:dyDescent="0.6">
      <c r="A7" s="6">
        <v>4</v>
      </c>
      <c r="B7" s="6" t="s">
        <v>262</v>
      </c>
    </row>
    <row r="8" spans="1:12" x14ac:dyDescent="0.6">
      <c r="A8" s="6">
        <v>5</v>
      </c>
      <c r="B8" s="6" t="s">
        <v>264</v>
      </c>
    </row>
  </sheetData>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8DE0-72C3-4C7B-BCE1-80ED309267B8}">
  <dimension ref="A1:K7"/>
  <sheetViews>
    <sheetView workbookViewId="0">
      <selection activeCell="C5" sqref="C5"/>
    </sheetView>
  </sheetViews>
  <sheetFormatPr defaultRowHeight="14.5" x14ac:dyDescent="0.35"/>
  <cols>
    <col min="3" max="3" width="8.81640625" bestFit="1" customWidth="1"/>
    <col min="4" max="5" width="11.81640625" bestFit="1" customWidth="1"/>
    <col min="6" max="6" width="9.81640625" bestFit="1" customWidth="1"/>
    <col min="7" max="11" width="11.81640625" bestFit="1" customWidth="1"/>
  </cols>
  <sheetData>
    <row r="1" spans="1:11" x14ac:dyDescent="0.35">
      <c r="A1" t="s">
        <v>141</v>
      </c>
    </row>
    <row r="2" spans="1:11" x14ac:dyDescent="0.35">
      <c r="C2" t="s">
        <v>39</v>
      </c>
      <c r="D2" t="s">
        <v>40</v>
      </c>
      <c r="E2" t="s">
        <v>41</v>
      </c>
      <c r="F2" t="s">
        <v>42</v>
      </c>
      <c r="G2" t="s">
        <v>43</v>
      </c>
      <c r="H2" t="s">
        <v>44</v>
      </c>
      <c r="I2" t="s">
        <v>45</v>
      </c>
      <c r="J2" t="s">
        <v>46</v>
      </c>
      <c r="K2" t="s">
        <v>47</v>
      </c>
    </row>
    <row r="3" spans="1:11" x14ac:dyDescent="0.35">
      <c r="A3" t="s">
        <v>142</v>
      </c>
      <c r="C3">
        <f>'Ann 4'!C17/300*270</f>
        <v>18000000</v>
      </c>
      <c r="D3">
        <f>'Ann 4'!D17/300*270</f>
        <v>18360000</v>
      </c>
      <c r="E3">
        <f>'Ann 4'!E17/300*270</f>
        <v>18727200</v>
      </c>
      <c r="F3">
        <f>'Ann 4'!F17/300*270</f>
        <v>19101744</v>
      </c>
      <c r="G3">
        <f>'Ann 4'!G17/300*270</f>
        <v>19483778.879999999</v>
      </c>
      <c r="H3">
        <f>'Ann 4'!H17/300*270</f>
        <v>19873454.457599998</v>
      </c>
      <c r="I3">
        <f>'Ann 4'!I17/300*270</f>
        <v>20270923.546751998</v>
      </c>
      <c r="J3">
        <f>'Ann 4'!J17/300*270</f>
        <v>20676342.017687041</v>
      </c>
      <c r="K3">
        <f>'Ann 4'!K17/300*270</f>
        <v>21089868.85804078</v>
      </c>
    </row>
    <row r="4" spans="1:11" x14ac:dyDescent="0.35">
      <c r="A4" t="s">
        <v>143</v>
      </c>
      <c r="C4">
        <v>5000000</v>
      </c>
    </row>
    <row r="5" spans="1:11" x14ac:dyDescent="0.35">
      <c r="A5" t="s">
        <v>144</v>
      </c>
      <c r="C5">
        <v>21492978</v>
      </c>
    </row>
    <row r="7" spans="1:11" x14ac:dyDescent="0.35">
      <c r="A7" t="s">
        <v>145</v>
      </c>
      <c r="C7">
        <f>'Ann 3'!G16</f>
        <v>10670000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A738-A431-4FFB-9E48-2908CC4F126C}">
  <sheetPr>
    <pageSetUpPr fitToPage="1"/>
  </sheetPr>
  <dimension ref="A1:C42"/>
  <sheetViews>
    <sheetView topLeftCell="A3" workbookViewId="0">
      <selection activeCell="C11" sqref="C11"/>
    </sheetView>
  </sheetViews>
  <sheetFormatPr defaultRowHeight="17" x14ac:dyDescent="0.6"/>
  <cols>
    <col min="1" max="1" width="8.7265625" style="6"/>
    <col min="2" max="2" width="44.90625" style="6" customWidth="1"/>
    <col min="3" max="3" width="13.26953125" style="6" customWidth="1"/>
    <col min="4" max="16384" width="8.7265625" style="6"/>
  </cols>
  <sheetData>
    <row r="1" spans="1:3" x14ac:dyDescent="0.6">
      <c r="A1" s="5" t="s">
        <v>285</v>
      </c>
    </row>
    <row r="3" spans="1:3" x14ac:dyDescent="0.6">
      <c r="A3" s="5" t="s">
        <v>0</v>
      </c>
    </row>
    <row r="5" spans="1:3" s="5" customFormat="1" x14ac:dyDescent="0.6">
      <c r="A5" s="26" t="s">
        <v>1</v>
      </c>
      <c r="B5" s="27"/>
      <c r="C5" s="28"/>
    </row>
    <row r="6" spans="1:3" ht="34" x14ac:dyDescent="0.6">
      <c r="A6" s="24" t="s">
        <v>2</v>
      </c>
      <c r="B6" s="24" t="s">
        <v>3</v>
      </c>
      <c r="C6" s="25" t="s">
        <v>4</v>
      </c>
    </row>
    <row r="7" spans="1:3" x14ac:dyDescent="0.6">
      <c r="A7" s="11">
        <v>1</v>
      </c>
      <c r="B7" s="12" t="s">
        <v>6</v>
      </c>
      <c r="C7" s="13"/>
    </row>
    <row r="8" spans="1:3" x14ac:dyDescent="0.6">
      <c r="A8" s="11" t="s">
        <v>5</v>
      </c>
      <c r="B8" s="12" t="s">
        <v>7</v>
      </c>
      <c r="C8" s="14">
        <v>0</v>
      </c>
    </row>
    <row r="9" spans="1:3" x14ac:dyDescent="0.6">
      <c r="A9" s="11"/>
      <c r="B9" s="12" t="s">
        <v>8</v>
      </c>
      <c r="C9" s="14">
        <f>SUM(C8)</f>
        <v>0</v>
      </c>
    </row>
    <row r="10" spans="1:3" x14ac:dyDescent="0.6">
      <c r="A10" s="11"/>
      <c r="B10" s="12"/>
      <c r="C10" s="13"/>
    </row>
    <row r="11" spans="1:3" x14ac:dyDescent="0.6">
      <c r="A11" s="11">
        <v>2</v>
      </c>
      <c r="B11" s="12" t="s">
        <v>167</v>
      </c>
      <c r="C11" s="14">
        <f>'Ann 3'!G6/100000</f>
        <v>22</v>
      </c>
    </row>
    <row r="12" spans="1:3" x14ac:dyDescent="0.6">
      <c r="A12" s="11" t="s">
        <v>5</v>
      </c>
      <c r="B12" s="12" t="s">
        <v>8</v>
      </c>
      <c r="C12" s="14">
        <f>C11</f>
        <v>22</v>
      </c>
    </row>
    <row r="13" spans="1:3" x14ac:dyDescent="0.6">
      <c r="A13" s="11"/>
      <c r="B13" s="12"/>
      <c r="C13" s="13"/>
    </row>
    <row r="14" spans="1:3" x14ac:dyDescent="0.6">
      <c r="A14" s="11">
        <v>3</v>
      </c>
      <c r="B14" s="12" t="s">
        <v>9</v>
      </c>
      <c r="C14" s="13"/>
    </row>
    <row r="15" spans="1:3" x14ac:dyDescent="0.6">
      <c r="A15" s="11" t="s">
        <v>5</v>
      </c>
      <c r="B15" s="12" t="s">
        <v>9</v>
      </c>
      <c r="C15" s="15"/>
    </row>
    <row r="16" spans="1:3" x14ac:dyDescent="0.6">
      <c r="A16" s="11"/>
      <c r="B16" s="12" t="s">
        <v>8</v>
      </c>
      <c r="C16" s="15">
        <f>C15</f>
        <v>0</v>
      </c>
    </row>
    <row r="17" spans="1:3" x14ac:dyDescent="0.6">
      <c r="A17" s="11"/>
      <c r="B17" s="12"/>
      <c r="C17" s="13"/>
    </row>
    <row r="18" spans="1:3" x14ac:dyDescent="0.6">
      <c r="A18" s="11">
        <v>4</v>
      </c>
      <c r="B18" s="12" t="s">
        <v>10</v>
      </c>
      <c r="C18" s="13"/>
    </row>
    <row r="19" spans="1:3" x14ac:dyDescent="0.6">
      <c r="A19" s="11" t="s">
        <v>5</v>
      </c>
      <c r="B19" s="12" t="s">
        <v>11</v>
      </c>
      <c r="C19" s="15">
        <f>'Ann 3'!G14/100000</f>
        <v>84.7</v>
      </c>
    </row>
    <row r="20" spans="1:3" x14ac:dyDescent="0.6">
      <c r="A20" s="11"/>
      <c r="B20" s="12" t="s">
        <v>8</v>
      </c>
      <c r="C20" s="16">
        <f>C19</f>
        <v>84.7</v>
      </c>
    </row>
    <row r="21" spans="1:3" x14ac:dyDescent="0.6">
      <c r="A21" s="11"/>
      <c r="B21" s="12"/>
      <c r="C21" s="13"/>
    </row>
    <row r="22" spans="1:3" x14ac:dyDescent="0.6">
      <c r="A22" s="11">
        <v>5</v>
      </c>
      <c r="B22" s="12" t="s">
        <v>12</v>
      </c>
      <c r="C22" s="13"/>
    </row>
    <row r="23" spans="1:3" x14ac:dyDescent="0.6">
      <c r="A23" s="11" t="s">
        <v>5</v>
      </c>
      <c r="B23" s="12" t="s">
        <v>13</v>
      </c>
      <c r="C23" s="14">
        <v>0</v>
      </c>
    </row>
    <row r="24" spans="1:3" x14ac:dyDescent="0.6">
      <c r="A24" s="11"/>
      <c r="B24" s="12"/>
      <c r="C24" s="14"/>
    </row>
    <row r="25" spans="1:3" x14ac:dyDescent="0.6">
      <c r="A25" s="11">
        <v>6</v>
      </c>
      <c r="B25" s="12" t="s">
        <v>14</v>
      </c>
      <c r="C25" s="14">
        <v>8.3000000000000007</v>
      </c>
    </row>
    <row r="26" spans="1:3" x14ac:dyDescent="0.6">
      <c r="A26" s="11"/>
      <c r="B26" s="12"/>
      <c r="C26" s="14"/>
    </row>
    <row r="27" spans="1:3" x14ac:dyDescent="0.6">
      <c r="A27" s="11">
        <v>7</v>
      </c>
      <c r="B27" s="12" t="s">
        <v>15</v>
      </c>
      <c r="C27" s="14"/>
    </row>
    <row r="28" spans="1:3" x14ac:dyDescent="0.6">
      <c r="A28" s="11" t="s">
        <v>5</v>
      </c>
      <c r="B28" s="12" t="s">
        <v>16</v>
      </c>
      <c r="C28" s="14">
        <v>0</v>
      </c>
    </row>
    <row r="29" spans="1:3" x14ac:dyDescent="0.6">
      <c r="A29" s="11"/>
      <c r="B29" s="12" t="s">
        <v>8</v>
      </c>
      <c r="C29" s="14"/>
    </row>
    <row r="30" spans="1:3" x14ac:dyDescent="0.6">
      <c r="A30" s="11"/>
      <c r="B30" s="12"/>
      <c r="C30" s="14"/>
    </row>
    <row r="31" spans="1:3" x14ac:dyDescent="0.6">
      <c r="A31" s="11">
        <v>8</v>
      </c>
      <c r="B31" s="12" t="s">
        <v>17</v>
      </c>
      <c r="C31" s="13"/>
    </row>
    <row r="32" spans="1:3" ht="34" x14ac:dyDescent="0.6">
      <c r="A32" s="11"/>
      <c r="B32" s="17" t="s">
        <v>18</v>
      </c>
      <c r="C32" s="13"/>
    </row>
    <row r="33" spans="1:3" x14ac:dyDescent="0.6">
      <c r="A33" s="11" t="s">
        <v>5</v>
      </c>
      <c r="B33" s="12" t="s">
        <v>19</v>
      </c>
      <c r="C33" s="14">
        <v>0</v>
      </c>
    </row>
    <row r="34" spans="1:3" x14ac:dyDescent="0.6">
      <c r="A34" s="11" t="s">
        <v>20</v>
      </c>
      <c r="B34" s="12" t="s">
        <v>21</v>
      </c>
      <c r="C34" s="14">
        <v>0</v>
      </c>
    </row>
    <row r="35" spans="1:3" x14ac:dyDescent="0.6">
      <c r="A35" s="11"/>
      <c r="B35" s="12" t="s">
        <v>8</v>
      </c>
      <c r="C35" s="14">
        <f>SUM(C33:C34)</f>
        <v>0</v>
      </c>
    </row>
    <row r="36" spans="1:3" x14ac:dyDescent="0.6">
      <c r="A36" s="11"/>
      <c r="B36" s="12"/>
      <c r="C36" s="14"/>
    </row>
    <row r="37" spans="1:3" x14ac:dyDescent="0.6">
      <c r="A37" s="11">
        <v>9</v>
      </c>
      <c r="B37" s="12" t="s">
        <v>166</v>
      </c>
      <c r="C37" s="14">
        <v>0</v>
      </c>
    </row>
    <row r="38" spans="1:3" x14ac:dyDescent="0.6">
      <c r="A38" s="11"/>
      <c r="B38" s="12"/>
      <c r="C38" s="13"/>
    </row>
    <row r="39" spans="1:3" x14ac:dyDescent="0.6">
      <c r="A39" s="18"/>
      <c r="B39" s="19" t="s">
        <v>22</v>
      </c>
      <c r="C39" s="20">
        <f>C35+C27+C25+C20+C16+C23+C37+C12</f>
        <v>115</v>
      </c>
    </row>
    <row r="40" spans="1:3" x14ac:dyDescent="0.6">
      <c r="A40" s="21"/>
    </row>
    <row r="41" spans="1:3" x14ac:dyDescent="0.6">
      <c r="A41" s="21"/>
    </row>
    <row r="42" spans="1:3" x14ac:dyDescent="0.6">
      <c r="A42" s="21"/>
    </row>
  </sheetData>
  <pageMargins left="0.7" right="0.7" top="0.75" bottom="0.75" header="0.3" footer="0.3"/>
  <pageSetup scale="9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81CD-D127-4212-A91B-7CC6FC2C782F}">
  <dimension ref="A1:D8"/>
  <sheetViews>
    <sheetView workbookViewId="0">
      <selection activeCell="C5" sqref="C5"/>
    </sheetView>
  </sheetViews>
  <sheetFormatPr defaultRowHeight="17" x14ac:dyDescent="0.6"/>
  <cols>
    <col min="1" max="1" width="8.7265625" style="6"/>
    <col min="2" max="2" width="22.08984375" style="6" customWidth="1"/>
    <col min="3" max="3" width="18.81640625" style="6" bestFit="1" customWidth="1"/>
    <col min="4" max="16384" width="8.7265625" style="6"/>
  </cols>
  <sheetData>
    <row r="1" spans="1:4" x14ac:dyDescent="0.6">
      <c r="A1" s="5" t="s">
        <v>23</v>
      </c>
    </row>
    <row r="3" spans="1:4" s="5" customFormat="1" x14ac:dyDescent="0.6">
      <c r="A3" s="37" t="s">
        <v>24</v>
      </c>
      <c r="B3" s="27" t="s">
        <v>25</v>
      </c>
      <c r="C3" s="28" t="s">
        <v>4</v>
      </c>
    </row>
    <row r="4" spans="1:4" x14ac:dyDescent="0.6">
      <c r="A4" s="29">
        <v>1</v>
      </c>
      <c r="B4" s="30" t="s">
        <v>26</v>
      </c>
      <c r="C4" s="16">
        <f>C8*10%</f>
        <v>11.5</v>
      </c>
      <c r="D4" s="31"/>
    </row>
    <row r="5" spans="1:4" x14ac:dyDescent="0.6">
      <c r="A5" s="29">
        <v>2</v>
      </c>
      <c r="B5" s="30" t="s">
        <v>27</v>
      </c>
      <c r="C5" s="16">
        <v>0</v>
      </c>
      <c r="D5" s="32"/>
    </row>
    <row r="6" spans="1:4" x14ac:dyDescent="0.6">
      <c r="A6" s="29">
        <v>3</v>
      </c>
      <c r="B6" s="30" t="s">
        <v>28</v>
      </c>
      <c r="C6" s="14">
        <f>C8-C4-C7</f>
        <v>95.2</v>
      </c>
      <c r="D6" s="31"/>
    </row>
    <row r="7" spans="1:4" x14ac:dyDescent="0.6">
      <c r="A7" s="29">
        <v>4</v>
      </c>
      <c r="B7" s="30" t="s">
        <v>29</v>
      </c>
      <c r="C7" s="14">
        <f>'Ann 1'!C25</f>
        <v>8.3000000000000007</v>
      </c>
    </row>
    <row r="8" spans="1:4" x14ac:dyDescent="0.6">
      <c r="A8" s="33"/>
      <c r="B8" s="34" t="s">
        <v>8</v>
      </c>
      <c r="C8" s="35">
        <f>'Ann 1'!C39</f>
        <v>115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858-CA67-4C56-BFC5-E2781F80B181}">
  <dimension ref="A1:G18"/>
  <sheetViews>
    <sheetView workbookViewId="0">
      <selection activeCell="G4" sqref="G4"/>
    </sheetView>
  </sheetViews>
  <sheetFormatPr defaultRowHeight="17" x14ac:dyDescent="0.6"/>
  <cols>
    <col min="1" max="1" width="3.6328125" style="6" customWidth="1"/>
    <col min="2" max="2" width="33.54296875" style="6" customWidth="1"/>
    <col min="3" max="3" width="8.7265625" style="6"/>
    <col min="4" max="4" width="12.7265625" style="6" bestFit="1" customWidth="1"/>
    <col min="5" max="5" width="8.7265625" style="6"/>
    <col min="6" max="6" width="10.54296875" style="6" customWidth="1"/>
    <col min="7" max="7" width="12.1796875" style="6" bestFit="1" customWidth="1"/>
    <col min="8" max="8" width="8.7265625" style="6"/>
    <col min="9" max="9" width="9.1796875" style="6" bestFit="1" customWidth="1"/>
    <col min="10" max="16384" width="8.7265625" style="6"/>
  </cols>
  <sheetData>
    <row r="1" spans="1:7" x14ac:dyDescent="0.6">
      <c r="A1" s="5" t="s">
        <v>30</v>
      </c>
    </row>
    <row r="3" spans="1:7" x14ac:dyDescent="0.6">
      <c r="A3" s="36" t="s">
        <v>250</v>
      </c>
      <c r="B3" s="22"/>
      <c r="C3" s="22"/>
      <c r="D3" s="22"/>
      <c r="E3" s="22" t="s">
        <v>31</v>
      </c>
      <c r="F3" s="22"/>
      <c r="G3" s="23" t="s">
        <v>32</v>
      </c>
    </row>
    <row r="4" spans="1:7" x14ac:dyDescent="0.6">
      <c r="A4" s="38">
        <v>1</v>
      </c>
      <c r="B4" s="39" t="s">
        <v>251</v>
      </c>
      <c r="C4" s="40"/>
      <c r="D4" s="41"/>
      <c r="E4" s="41">
        <v>1</v>
      </c>
      <c r="F4" s="42"/>
      <c r="G4" s="43">
        <f>5000*400</f>
        <v>2000000</v>
      </c>
    </row>
    <row r="5" spans="1:7" x14ac:dyDescent="0.6">
      <c r="A5" s="44">
        <v>2</v>
      </c>
      <c r="B5" s="45" t="s">
        <v>252</v>
      </c>
      <c r="C5" s="46"/>
      <c r="D5" s="45"/>
      <c r="E5" s="45"/>
      <c r="F5" s="47"/>
      <c r="G5" s="48">
        <v>200000</v>
      </c>
    </row>
    <row r="6" spans="1:7" x14ac:dyDescent="0.6">
      <c r="A6" s="49" t="s">
        <v>253</v>
      </c>
      <c r="B6" s="50"/>
      <c r="C6" s="50"/>
      <c r="D6" s="50"/>
      <c r="E6" s="50"/>
      <c r="F6" s="50"/>
      <c r="G6" s="51">
        <f>SUM(G4:G5)</f>
        <v>2200000</v>
      </c>
    </row>
    <row r="7" spans="1:7" x14ac:dyDescent="0.6">
      <c r="A7" s="33"/>
      <c r="B7" s="34"/>
      <c r="C7" s="34"/>
      <c r="D7" s="34"/>
      <c r="E7" s="34"/>
      <c r="F7" s="34"/>
      <c r="G7" s="52"/>
    </row>
    <row r="8" spans="1:7" x14ac:dyDescent="0.6">
      <c r="A8" s="36" t="s">
        <v>33</v>
      </c>
      <c r="B8" s="22"/>
      <c r="C8" s="22"/>
      <c r="D8" s="22"/>
      <c r="E8" s="22" t="s">
        <v>31</v>
      </c>
      <c r="F8" s="22"/>
      <c r="G8" s="23" t="s">
        <v>32</v>
      </c>
    </row>
    <row r="9" spans="1:7" x14ac:dyDescent="0.6">
      <c r="A9" s="6">
        <v>1</v>
      </c>
      <c r="B9" s="21" t="s">
        <v>269</v>
      </c>
      <c r="D9" s="21"/>
      <c r="E9" s="21"/>
      <c r="F9" s="53"/>
      <c r="G9" s="54">
        <f>8000*1000</f>
        <v>8000000</v>
      </c>
    </row>
    <row r="10" spans="1:7" x14ac:dyDescent="0.6">
      <c r="A10" s="6">
        <v>2</v>
      </c>
      <c r="B10" s="21" t="s">
        <v>270</v>
      </c>
      <c r="D10" s="21"/>
      <c r="E10" s="21">
        <v>1</v>
      </c>
      <c r="F10" s="53"/>
      <c r="G10" s="54">
        <v>350000</v>
      </c>
    </row>
    <row r="11" spans="1:7" x14ac:dyDescent="0.6">
      <c r="A11" s="6">
        <v>3</v>
      </c>
      <c r="B11" s="21" t="s">
        <v>271</v>
      </c>
      <c r="D11" s="21"/>
      <c r="E11" s="21">
        <v>1</v>
      </c>
      <c r="F11" s="53"/>
      <c r="G11" s="54">
        <v>50000</v>
      </c>
    </row>
    <row r="12" spans="1:7" x14ac:dyDescent="0.6">
      <c r="A12" s="6">
        <v>4</v>
      </c>
      <c r="B12" s="21" t="s">
        <v>272</v>
      </c>
      <c r="D12" s="21"/>
      <c r="E12" s="21">
        <v>1</v>
      </c>
      <c r="F12" s="53"/>
      <c r="G12" s="54">
        <v>50000</v>
      </c>
    </row>
    <row r="13" spans="1:7" x14ac:dyDescent="0.6">
      <c r="A13" s="6">
        <v>5</v>
      </c>
      <c r="B13" s="21" t="s">
        <v>273</v>
      </c>
      <c r="D13" s="21"/>
      <c r="E13" s="21">
        <v>1</v>
      </c>
      <c r="F13" s="53"/>
      <c r="G13" s="54">
        <v>20000</v>
      </c>
    </row>
    <row r="14" spans="1:7" s="5" customFormat="1" x14ac:dyDescent="0.6">
      <c r="A14" s="55" t="s">
        <v>34</v>
      </c>
      <c r="B14" s="56"/>
      <c r="C14" s="56"/>
      <c r="D14" s="56"/>
      <c r="E14" s="56"/>
      <c r="F14" s="56"/>
      <c r="G14" s="57">
        <f>SUM(G9:G13)</f>
        <v>8470000</v>
      </c>
    </row>
    <row r="15" spans="1:7" x14ac:dyDescent="0.6">
      <c r="A15" s="29"/>
      <c r="B15" s="30"/>
      <c r="C15" s="30"/>
      <c r="D15" s="30"/>
      <c r="E15" s="30"/>
      <c r="F15" s="30"/>
      <c r="G15" s="13"/>
    </row>
    <row r="16" spans="1:7" s="5" customFormat="1" x14ac:dyDescent="0.6">
      <c r="A16" s="55" t="s">
        <v>35</v>
      </c>
      <c r="B16" s="56"/>
      <c r="C16" s="56"/>
      <c r="D16" s="56"/>
      <c r="E16" s="56"/>
      <c r="F16" s="56"/>
      <c r="G16" s="57">
        <f>G14+G6</f>
        <v>10670000</v>
      </c>
    </row>
    <row r="17" spans="7:7" x14ac:dyDescent="0.6">
      <c r="G17" s="58"/>
    </row>
    <row r="18" spans="7:7" x14ac:dyDescent="0.6">
      <c r="G18" s="5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6FA6-76E6-4673-8AD3-A2A7C9EA52B0}">
  <sheetPr>
    <pageSetUpPr fitToPage="1"/>
  </sheetPr>
  <dimension ref="A1:K39"/>
  <sheetViews>
    <sheetView topLeftCell="A14" workbookViewId="0">
      <selection activeCell="B31" sqref="B31"/>
    </sheetView>
  </sheetViews>
  <sheetFormatPr defaultRowHeight="17" x14ac:dyDescent="0.6"/>
  <cols>
    <col min="1" max="1" width="8.7265625" style="6"/>
    <col min="2" max="2" width="55.7265625" style="6" bestFit="1" customWidth="1"/>
    <col min="3" max="11" width="15.6328125" style="6" bestFit="1" customWidth="1"/>
    <col min="12" max="16384" width="8.7265625" style="6"/>
  </cols>
  <sheetData>
    <row r="1" spans="1:11" x14ac:dyDescent="0.6">
      <c r="A1" s="5" t="s">
        <v>36</v>
      </c>
    </row>
    <row r="3" spans="1:11" s="5" customFormat="1" x14ac:dyDescent="0.6">
      <c r="A3" s="121" t="s">
        <v>37</v>
      </c>
      <c r="B3" s="121" t="s">
        <v>38</v>
      </c>
      <c r="C3" s="120" t="s">
        <v>48</v>
      </c>
      <c r="D3" s="120"/>
      <c r="E3" s="120"/>
      <c r="F3" s="120"/>
      <c r="G3" s="120"/>
      <c r="H3" s="120"/>
      <c r="I3" s="120"/>
      <c r="J3" s="120"/>
      <c r="K3" s="120"/>
    </row>
    <row r="4" spans="1:11" s="5" customFormat="1" x14ac:dyDescent="0.6">
      <c r="A4" s="121"/>
      <c r="B4" s="121"/>
      <c r="C4" s="62" t="s">
        <v>39</v>
      </c>
      <c r="D4" s="62" t="s">
        <v>40</v>
      </c>
      <c r="E4" s="62" t="s">
        <v>41</v>
      </c>
      <c r="F4" s="62" t="s">
        <v>42</v>
      </c>
      <c r="G4" s="62" t="s">
        <v>43</v>
      </c>
      <c r="H4" s="62" t="s">
        <v>44</v>
      </c>
      <c r="I4" s="62" t="s">
        <v>45</v>
      </c>
      <c r="J4" s="62" t="s">
        <v>46</v>
      </c>
      <c r="K4" s="62" t="s">
        <v>47</v>
      </c>
    </row>
    <row r="5" spans="1:11" x14ac:dyDescent="0.6">
      <c r="A5" s="7"/>
      <c r="B5" s="7" t="s">
        <v>49</v>
      </c>
      <c r="C5" s="7">
        <v>12</v>
      </c>
      <c r="D5" s="7">
        <v>12</v>
      </c>
      <c r="E5" s="7">
        <v>12</v>
      </c>
      <c r="F5" s="7">
        <v>12</v>
      </c>
      <c r="G5" s="7">
        <v>12</v>
      </c>
      <c r="H5" s="7">
        <v>12</v>
      </c>
      <c r="I5" s="7">
        <v>12</v>
      </c>
      <c r="J5" s="7">
        <v>12</v>
      </c>
      <c r="K5" s="7">
        <v>12</v>
      </c>
    </row>
    <row r="6" spans="1:11" x14ac:dyDescent="0.6">
      <c r="A6" s="7"/>
      <c r="B6" s="7"/>
      <c r="C6" s="7"/>
      <c r="D6" s="7"/>
      <c r="E6" s="7"/>
      <c r="F6" s="7"/>
      <c r="G6" s="7"/>
      <c r="H6" s="7"/>
      <c r="I6" s="7"/>
      <c r="J6" s="7"/>
      <c r="K6" s="7"/>
    </row>
    <row r="7" spans="1:11" x14ac:dyDescent="0.6">
      <c r="A7" s="7"/>
      <c r="B7" s="7" t="s">
        <v>174</v>
      </c>
      <c r="C7" s="60">
        <f>750000+C38</f>
        <v>3830000</v>
      </c>
      <c r="D7" s="60">
        <f t="shared" ref="D7:K7" si="0">750000+D38</f>
        <v>3984000</v>
      </c>
      <c r="E7" s="60">
        <f t="shared" si="0"/>
        <v>4145700</v>
      </c>
      <c r="F7" s="60">
        <f t="shared" si="0"/>
        <v>4315485</v>
      </c>
      <c r="G7" s="60">
        <f t="shared" si="0"/>
        <v>4493759.25</v>
      </c>
      <c r="H7" s="60">
        <f t="shared" si="0"/>
        <v>4680947.2125000004</v>
      </c>
      <c r="I7" s="60">
        <f t="shared" si="0"/>
        <v>4877494.573125001</v>
      </c>
      <c r="J7" s="60">
        <f t="shared" si="0"/>
        <v>4877494.573125001</v>
      </c>
      <c r="K7" s="60">
        <f t="shared" si="0"/>
        <v>4877494.573125001</v>
      </c>
    </row>
    <row r="8" spans="1:11" x14ac:dyDescent="0.6">
      <c r="A8" s="7"/>
      <c r="B8" s="7" t="s">
        <v>263</v>
      </c>
      <c r="C8" s="60">
        <f>7%*'Ann 3'!G14</f>
        <v>592900</v>
      </c>
      <c r="D8" s="60">
        <f>C8*1.05</f>
        <v>622545</v>
      </c>
      <c r="E8" s="60">
        <f t="shared" ref="E8:K8" si="1">D8*1.05</f>
        <v>653672.25</v>
      </c>
      <c r="F8" s="60">
        <f t="shared" si="1"/>
        <v>686355.86250000005</v>
      </c>
      <c r="G8" s="60">
        <f t="shared" si="1"/>
        <v>720673.65562500013</v>
      </c>
      <c r="H8" s="60">
        <f t="shared" si="1"/>
        <v>756707.33840625011</v>
      </c>
      <c r="I8" s="60">
        <f t="shared" si="1"/>
        <v>794542.70532656263</v>
      </c>
      <c r="J8" s="60">
        <f t="shared" si="1"/>
        <v>834269.84059289075</v>
      </c>
      <c r="K8" s="60">
        <f t="shared" si="1"/>
        <v>875983.33262253529</v>
      </c>
    </row>
    <row r="9" spans="1:11" x14ac:dyDescent="0.6">
      <c r="A9" s="7"/>
      <c r="B9" s="7" t="s">
        <v>276</v>
      </c>
      <c r="C9" s="60">
        <f>C17*15%</f>
        <v>3000000</v>
      </c>
      <c r="D9" s="60">
        <f t="shared" ref="D9:K9" si="2">D17*15%</f>
        <v>3060000</v>
      </c>
      <c r="E9" s="60">
        <f t="shared" si="2"/>
        <v>3121200</v>
      </c>
      <c r="F9" s="60">
        <f t="shared" si="2"/>
        <v>3183624</v>
      </c>
      <c r="G9" s="60">
        <f t="shared" si="2"/>
        <v>3247296.48</v>
      </c>
      <c r="H9" s="60">
        <f t="shared" si="2"/>
        <v>3312242.4095999999</v>
      </c>
      <c r="I9" s="60">
        <f t="shared" si="2"/>
        <v>3378487.2577919997</v>
      </c>
      <c r="J9" s="60">
        <f t="shared" si="2"/>
        <v>3446057.0029478394</v>
      </c>
      <c r="K9" s="60">
        <f t="shared" si="2"/>
        <v>3514978.1430067965</v>
      </c>
    </row>
    <row r="10" spans="1:11" x14ac:dyDescent="0.6">
      <c r="A10" s="7"/>
      <c r="B10" s="7" t="s">
        <v>177</v>
      </c>
      <c r="C10" s="60">
        <f t="shared" ref="C10:K10" si="3">SUM(C7:C9)</f>
        <v>7422900</v>
      </c>
      <c r="D10" s="60">
        <f t="shared" si="3"/>
        <v>7666545</v>
      </c>
      <c r="E10" s="60">
        <f t="shared" si="3"/>
        <v>7920572.25</v>
      </c>
      <c r="F10" s="60">
        <f t="shared" si="3"/>
        <v>8185464.8624999998</v>
      </c>
      <c r="G10" s="60">
        <f t="shared" si="3"/>
        <v>8461729.385625001</v>
      </c>
      <c r="H10" s="60">
        <f t="shared" si="3"/>
        <v>8749896.9605062492</v>
      </c>
      <c r="I10" s="60">
        <f t="shared" si="3"/>
        <v>9050524.5362435635</v>
      </c>
      <c r="J10" s="60">
        <f t="shared" si="3"/>
        <v>9157821.416665731</v>
      </c>
      <c r="K10" s="60">
        <f t="shared" si="3"/>
        <v>9268456.0487543326</v>
      </c>
    </row>
    <row r="11" spans="1:11" x14ac:dyDescent="0.6">
      <c r="A11" s="7"/>
      <c r="B11" s="7" t="s">
        <v>178</v>
      </c>
      <c r="C11" s="60">
        <f>SUM(C10)</f>
        <v>7422900</v>
      </c>
      <c r="D11" s="60">
        <f t="shared" ref="D11:K11" si="4">SUM(D10)</f>
        <v>7666545</v>
      </c>
      <c r="E11" s="60">
        <f t="shared" si="4"/>
        <v>7920572.25</v>
      </c>
      <c r="F11" s="60">
        <f t="shared" si="4"/>
        <v>8185464.8624999998</v>
      </c>
      <c r="G11" s="60">
        <f t="shared" si="4"/>
        <v>8461729.385625001</v>
      </c>
      <c r="H11" s="60">
        <f t="shared" si="4"/>
        <v>8749896.9605062492</v>
      </c>
      <c r="I11" s="60">
        <f t="shared" si="4"/>
        <v>9050524.5362435635</v>
      </c>
      <c r="J11" s="60">
        <f t="shared" si="4"/>
        <v>9157821.416665731</v>
      </c>
      <c r="K11" s="60">
        <f t="shared" si="4"/>
        <v>9268456.0487543326</v>
      </c>
    </row>
    <row r="12" spans="1:11" x14ac:dyDescent="0.6">
      <c r="A12" s="7"/>
      <c r="B12" s="7"/>
      <c r="C12" s="60"/>
      <c r="D12" s="60"/>
      <c r="E12" s="60"/>
      <c r="F12" s="60"/>
      <c r="G12" s="60"/>
      <c r="H12" s="60"/>
      <c r="I12" s="60"/>
      <c r="J12" s="60"/>
      <c r="K12" s="60"/>
    </row>
    <row r="13" spans="1:11" x14ac:dyDescent="0.6">
      <c r="A13" s="7"/>
      <c r="B13" s="7" t="s">
        <v>51</v>
      </c>
      <c r="C13" s="60">
        <f>'Ann 8'!E13</f>
        <v>3751200</v>
      </c>
      <c r="D13" s="60">
        <f>1.07*C13</f>
        <v>4013784.0000000005</v>
      </c>
      <c r="E13" s="60">
        <f t="shared" ref="E13:K13" si="5">1.07*D13</f>
        <v>4294748.8800000008</v>
      </c>
      <c r="F13" s="60">
        <f t="shared" si="5"/>
        <v>4595381.3016000008</v>
      </c>
      <c r="G13" s="60">
        <f t="shared" si="5"/>
        <v>4917057.9927120013</v>
      </c>
      <c r="H13" s="60">
        <f t="shared" si="5"/>
        <v>5261252.052201842</v>
      </c>
      <c r="I13" s="60">
        <f t="shared" si="5"/>
        <v>5629539.6958559714</v>
      </c>
      <c r="J13" s="60">
        <f t="shared" si="5"/>
        <v>6023607.4745658897</v>
      </c>
      <c r="K13" s="60">
        <f t="shared" si="5"/>
        <v>6445259.9977855021</v>
      </c>
    </row>
    <row r="14" spans="1:11" x14ac:dyDescent="0.6">
      <c r="A14" s="7"/>
      <c r="B14" s="7" t="s">
        <v>8</v>
      </c>
      <c r="C14" s="60">
        <f t="shared" ref="C14:K14" si="6">SUM(C13:C13)</f>
        <v>3751200</v>
      </c>
      <c r="D14" s="60">
        <f t="shared" si="6"/>
        <v>4013784.0000000005</v>
      </c>
      <c r="E14" s="60">
        <f t="shared" si="6"/>
        <v>4294748.8800000008</v>
      </c>
      <c r="F14" s="60">
        <f t="shared" si="6"/>
        <v>4595381.3016000008</v>
      </c>
      <c r="G14" s="60">
        <f t="shared" si="6"/>
        <v>4917057.9927120013</v>
      </c>
      <c r="H14" s="60">
        <f t="shared" si="6"/>
        <v>5261252.052201842</v>
      </c>
      <c r="I14" s="60">
        <f t="shared" si="6"/>
        <v>5629539.6958559714</v>
      </c>
      <c r="J14" s="60">
        <f t="shared" si="6"/>
        <v>6023607.4745658897</v>
      </c>
      <c r="K14" s="60">
        <f t="shared" si="6"/>
        <v>6445259.9977855021</v>
      </c>
    </row>
    <row r="15" spans="1:11" x14ac:dyDescent="0.6">
      <c r="A15" s="7"/>
      <c r="B15" s="7"/>
      <c r="C15" s="60"/>
      <c r="D15" s="60"/>
      <c r="E15" s="60"/>
      <c r="F15" s="60"/>
      <c r="G15" s="60"/>
      <c r="H15" s="60"/>
      <c r="I15" s="60"/>
      <c r="J15" s="60"/>
      <c r="K15" s="60"/>
    </row>
    <row r="16" spans="1:11" x14ac:dyDescent="0.6">
      <c r="A16" s="7"/>
      <c r="B16" s="7" t="s">
        <v>86</v>
      </c>
      <c r="C16" s="60">
        <f t="shared" ref="C16:K16" si="7">C14+C11</f>
        <v>11174100</v>
      </c>
      <c r="D16" s="60">
        <f t="shared" si="7"/>
        <v>11680329</v>
      </c>
      <c r="E16" s="60">
        <f t="shared" si="7"/>
        <v>12215321.130000001</v>
      </c>
      <c r="F16" s="60">
        <f t="shared" si="7"/>
        <v>12780846.164100001</v>
      </c>
      <c r="G16" s="60">
        <f t="shared" si="7"/>
        <v>13378787.378337003</v>
      </c>
      <c r="H16" s="60">
        <f t="shared" si="7"/>
        <v>14011149.01270809</v>
      </c>
      <c r="I16" s="60">
        <f t="shared" si="7"/>
        <v>14680064.232099535</v>
      </c>
      <c r="J16" s="60">
        <f t="shared" si="7"/>
        <v>15181428.891231621</v>
      </c>
      <c r="K16" s="60">
        <f t="shared" si="7"/>
        <v>15713716.046539836</v>
      </c>
    </row>
    <row r="17" spans="1:11" x14ac:dyDescent="0.6">
      <c r="A17" s="7"/>
      <c r="B17" s="7" t="s">
        <v>87</v>
      </c>
      <c r="C17" s="60">
        <f>Budgets!B7</f>
        <v>20000000</v>
      </c>
      <c r="D17" s="60">
        <f>Budgets!C7</f>
        <v>20400000</v>
      </c>
      <c r="E17" s="60">
        <f>Budgets!D7</f>
        <v>20808000</v>
      </c>
      <c r="F17" s="60">
        <f>Budgets!E7</f>
        <v>21224160</v>
      </c>
      <c r="G17" s="60">
        <f>Budgets!F7</f>
        <v>21648643.199999999</v>
      </c>
      <c r="H17" s="60">
        <f>Budgets!G7</f>
        <v>22081616.063999999</v>
      </c>
      <c r="I17" s="60">
        <f>Budgets!H7</f>
        <v>22523248.385279998</v>
      </c>
      <c r="J17" s="60">
        <f>Budgets!I7</f>
        <v>22973713.352985598</v>
      </c>
      <c r="K17" s="60">
        <f>Budgets!J7</f>
        <v>23433187.620045312</v>
      </c>
    </row>
    <row r="18" spans="1:11" x14ac:dyDescent="0.6">
      <c r="A18" s="7"/>
      <c r="B18" s="7" t="s">
        <v>88</v>
      </c>
      <c r="C18" s="60">
        <f>C17-C16</f>
        <v>8825900</v>
      </c>
      <c r="D18" s="60">
        <f t="shared" ref="D18:K18" si="8">D17-D16</f>
        <v>8719671</v>
      </c>
      <c r="E18" s="60">
        <f t="shared" si="8"/>
        <v>8592678.8699999992</v>
      </c>
      <c r="F18" s="60">
        <f t="shared" si="8"/>
        <v>8443313.8358999994</v>
      </c>
      <c r="G18" s="60">
        <f t="shared" si="8"/>
        <v>8269855.821662996</v>
      </c>
      <c r="H18" s="60">
        <f t="shared" si="8"/>
        <v>8070467.0512919091</v>
      </c>
      <c r="I18" s="60">
        <f t="shared" si="8"/>
        <v>7843184.1531804632</v>
      </c>
      <c r="J18" s="60">
        <f t="shared" si="8"/>
        <v>7792284.4617539775</v>
      </c>
      <c r="K18" s="60">
        <f t="shared" si="8"/>
        <v>7719471.5735054761</v>
      </c>
    </row>
    <row r="19" spans="1:11" x14ac:dyDescent="0.6">
      <c r="A19" s="7"/>
      <c r="B19" s="7"/>
      <c r="C19" s="60"/>
      <c r="D19" s="60"/>
      <c r="E19" s="60"/>
      <c r="F19" s="60"/>
      <c r="G19" s="60"/>
      <c r="H19" s="60"/>
      <c r="I19" s="60"/>
      <c r="J19" s="60"/>
      <c r="K19" s="60"/>
    </row>
    <row r="20" spans="1:11" x14ac:dyDescent="0.6">
      <c r="A20" s="7"/>
      <c r="B20" s="7" t="s">
        <v>89</v>
      </c>
      <c r="C20" s="60"/>
      <c r="D20" s="60"/>
      <c r="E20" s="60"/>
      <c r="F20" s="60"/>
      <c r="G20" s="60"/>
      <c r="H20" s="60"/>
      <c r="I20" s="60"/>
      <c r="J20" s="60"/>
      <c r="K20" s="60"/>
    </row>
    <row r="21" spans="1:11" x14ac:dyDescent="0.6">
      <c r="A21" s="7"/>
      <c r="B21" s="7" t="s">
        <v>90</v>
      </c>
      <c r="C21" s="60">
        <f>SUM('Ann 13'!E10:E13)*100000</f>
        <v>565707.69230769237</v>
      </c>
      <c r="D21" s="60">
        <f>SUM('Ann 13'!E14:E17)*100000</f>
        <v>494307.69230769249</v>
      </c>
      <c r="E21" s="60">
        <f>SUM('Ann 13'!E18:E21)*100000</f>
        <v>406430.76923076948</v>
      </c>
      <c r="F21" s="60">
        <f>SUM('Ann 13'!E22:E25)*100000</f>
        <v>318553.84615384648</v>
      </c>
      <c r="G21" s="60">
        <f>SUM('Ann 13'!E26:E29)*100000</f>
        <v>230676.92307692333</v>
      </c>
      <c r="H21" s="60">
        <f>SUM('Ann 13'!E30:E33)*100000</f>
        <v>43938.46153846159</v>
      </c>
      <c r="I21" s="60">
        <f>SUM('Ann 13'!E34:E37)*100000</f>
        <v>0</v>
      </c>
      <c r="J21" s="60">
        <v>0</v>
      </c>
      <c r="K21" s="60">
        <v>0</v>
      </c>
    </row>
    <row r="22" spans="1:11" x14ac:dyDescent="0.6">
      <c r="A22" s="7"/>
      <c r="B22" s="7" t="s">
        <v>165</v>
      </c>
      <c r="C22" s="60">
        <f>'Ann 1'!$C$25*100000*10%</f>
        <v>83000.000000000015</v>
      </c>
      <c r="D22" s="60">
        <f>'Ann 1'!$C$25*100000*10%</f>
        <v>83000.000000000015</v>
      </c>
      <c r="E22" s="60">
        <f>'Ann 1'!$C$25*100000*10%</f>
        <v>83000.000000000015</v>
      </c>
      <c r="F22" s="60">
        <f>'Ann 1'!$C$25*100000*10%</f>
        <v>83000.000000000015</v>
      </c>
      <c r="G22" s="60">
        <f>'Ann 1'!$C$25*100000*10%</f>
        <v>83000.000000000015</v>
      </c>
      <c r="H22" s="60">
        <f>'Ann 1'!$C$25*100000*10%</f>
        <v>83000.000000000015</v>
      </c>
      <c r="I22" s="60">
        <f>'Ann 1'!$C$25*100000*10%</f>
        <v>83000.000000000015</v>
      </c>
      <c r="J22" s="60">
        <f>'Ann 1'!$C$25*100000*10%</f>
        <v>83000.000000000015</v>
      </c>
      <c r="K22" s="60">
        <f>'Ann 1'!$C$25*100000*10%</f>
        <v>83000.000000000015</v>
      </c>
    </row>
    <row r="23" spans="1:11" x14ac:dyDescent="0.6">
      <c r="A23" s="7"/>
      <c r="B23" s="61" t="s">
        <v>100</v>
      </c>
      <c r="C23" s="60">
        <f>SUM(C21:C22)</f>
        <v>648707.69230769237</v>
      </c>
      <c r="D23" s="60">
        <f t="shared" ref="D23:K23" si="9">SUM(D21:D22)</f>
        <v>577307.69230769249</v>
      </c>
      <c r="E23" s="60">
        <f t="shared" si="9"/>
        <v>489430.76923076948</v>
      </c>
      <c r="F23" s="60">
        <f t="shared" si="9"/>
        <v>401553.84615384648</v>
      </c>
      <c r="G23" s="60">
        <f t="shared" si="9"/>
        <v>313676.92307692335</v>
      </c>
      <c r="H23" s="60">
        <f t="shared" si="9"/>
        <v>126938.4615384616</v>
      </c>
      <c r="I23" s="60">
        <f t="shared" si="9"/>
        <v>83000.000000000015</v>
      </c>
      <c r="J23" s="60">
        <f t="shared" si="9"/>
        <v>83000.000000000015</v>
      </c>
      <c r="K23" s="60">
        <f t="shared" si="9"/>
        <v>83000.000000000015</v>
      </c>
    </row>
    <row r="24" spans="1:11" x14ac:dyDescent="0.6">
      <c r="A24" s="7"/>
      <c r="B24" s="7"/>
      <c r="C24" s="60"/>
      <c r="D24" s="60"/>
      <c r="E24" s="60"/>
      <c r="F24" s="60"/>
      <c r="G24" s="60"/>
      <c r="H24" s="60"/>
      <c r="I24" s="60"/>
      <c r="J24" s="60"/>
      <c r="K24" s="60"/>
    </row>
    <row r="25" spans="1:11" x14ac:dyDescent="0.6">
      <c r="A25" s="7"/>
      <c r="B25" s="7" t="s">
        <v>101</v>
      </c>
      <c r="C25" s="60">
        <f t="shared" ref="C25:K25" si="10">C18-C23</f>
        <v>8177192.307692308</v>
      </c>
      <c r="D25" s="60">
        <f t="shared" si="10"/>
        <v>8142363.307692308</v>
      </c>
      <c r="E25" s="60">
        <f t="shared" si="10"/>
        <v>8103248.1007692292</v>
      </c>
      <c r="F25" s="60">
        <f t="shared" si="10"/>
        <v>8041759.9897461534</v>
      </c>
      <c r="G25" s="60">
        <f t="shared" si="10"/>
        <v>7956178.898586073</v>
      </c>
      <c r="H25" s="60">
        <f t="shared" si="10"/>
        <v>7943528.5897534471</v>
      </c>
      <c r="I25" s="60">
        <f t="shared" si="10"/>
        <v>7760184.1531804632</v>
      </c>
      <c r="J25" s="60">
        <f t="shared" si="10"/>
        <v>7709284.4617539775</v>
      </c>
      <c r="K25" s="60">
        <f t="shared" si="10"/>
        <v>7636471.5735054761</v>
      </c>
    </row>
    <row r="26" spans="1:11" x14ac:dyDescent="0.6">
      <c r="A26" s="7"/>
      <c r="B26" s="7" t="s">
        <v>181</v>
      </c>
      <c r="C26" s="60">
        <f>'Ann 1'!C27*100000</f>
        <v>0</v>
      </c>
      <c r="D26" s="60">
        <v>0</v>
      </c>
      <c r="E26" s="60">
        <v>0</v>
      </c>
      <c r="F26" s="60">
        <v>0</v>
      </c>
      <c r="G26" s="60">
        <v>0</v>
      </c>
      <c r="H26" s="60">
        <v>0</v>
      </c>
      <c r="I26" s="60">
        <v>0</v>
      </c>
      <c r="J26" s="60">
        <v>0</v>
      </c>
      <c r="K26" s="60">
        <v>0</v>
      </c>
    </row>
    <row r="27" spans="1:11" x14ac:dyDescent="0.6">
      <c r="A27" s="7"/>
      <c r="B27" s="7" t="s">
        <v>290</v>
      </c>
      <c r="C27" s="60">
        <v>0</v>
      </c>
      <c r="D27" s="60">
        <v>0</v>
      </c>
      <c r="E27" s="60">
        <v>0</v>
      </c>
      <c r="F27" s="60">
        <v>0</v>
      </c>
      <c r="G27" s="60">
        <v>0</v>
      </c>
      <c r="H27" s="60">
        <f>'Ann 13'!D5*100000</f>
        <v>2667500</v>
      </c>
      <c r="I27" s="60">
        <v>0</v>
      </c>
      <c r="J27" s="60">
        <v>0</v>
      </c>
      <c r="K27" s="60">
        <v>0</v>
      </c>
    </row>
    <row r="28" spans="1:11" x14ac:dyDescent="0.6">
      <c r="A28" s="7"/>
      <c r="B28" s="61" t="s">
        <v>102</v>
      </c>
      <c r="C28" s="60">
        <f>'Ann 9'!C12+'Ann 9'!D12+'Ann 9'!E12</f>
        <v>1490500</v>
      </c>
      <c r="D28" s="60">
        <f>'Ann 9'!C13+'Ann 9'!D13+'Ann 9'!E13</f>
        <v>1277925</v>
      </c>
      <c r="E28" s="60">
        <f>'Ann 9'!C14+'Ann 9'!D14+'Ann 9'!E14</f>
        <v>1096136.25</v>
      </c>
      <c r="F28" s="60">
        <f>'Ann 9'!C15+'Ann 9'!D15+'Ann 9'!E15</f>
        <v>940625.8125</v>
      </c>
      <c r="G28" s="60">
        <f>'Ann 9'!C16+'Ann 9'!D16+'Ann 9'!E16</f>
        <v>807550.94062499993</v>
      </c>
      <c r="H28" s="60">
        <f>'Ann 9'!C17+'Ann 9'!D17+'Ann 9'!E17</f>
        <v>693635.39953125</v>
      </c>
      <c r="I28" s="60">
        <f>'Ann 9'!C18+'Ann 9'!D18+'Ann 9'!E18</f>
        <v>596085.47960156249</v>
      </c>
      <c r="J28" s="60">
        <f>'Ann 9'!C19+'Ann 9'!D19+'Ann 9'!E19</f>
        <v>512518.50866132812</v>
      </c>
      <c r="K28" s="60">
        <f>'Ann 9'!C20+'Ann 9'!D20+'Ann 9'!E20</f>
        <v>440901.99826212891</v>
      </c>
    </row>
    <row r="29" spans="1:11" x14ac:dyDescent="0.6">
      <c r="A29" s="7"/>
      <c r="B29" s="61" t="s">
        <v>103</v>
      </c>
      <c r="C29" s="60">
        <f>C25-C26-C28</f>
        <v>6686692.307692308</v>
      </c>
      <c r="D29" s="60">
        <f t="shared" ref="D29:G29" si="11">D25-D26-D28</f>
        <v>6864438.307692308</v>
      </c>
      <c r="E29" s="60">
        <f t="shared" si="11"/>
        <v>7007111.8507692292</v>
      </c>
      <c r="F29" s="60">
        <f t="shared" si="11"/>
        <v>7101134.1772461534</v>
      </c>
      <c r="G29" s="60">
        <f t="shared" si="11"/>
        <v>7148627.9579610731</v>
      </c>
      <c r="H29" s="60">
        <f>H25-H26-H28+H27</f>
        <v>9917393.1902221963</v>
      </c>
      <c r="I29" s="60">
        <f t="shared" ref="I29:K29" si="12">I25-I26-I28+I27</f>
        <v>7164098.6735789012</v>
      </c>
      <c r="J29" s="60">
        <f t="shared" si="12"/>
        <v>7196765.9530926496</v>
      </c>
      <c r="K29" s="60">
        <f t="shared" si="12"/>
        <v>7195569.5752433473</v>
      </c>
    </row>
    <row r="30" spans="1:11" x14ac:dyDescent="0.6">
      <c r="A30" s="7"/>
      <c r="B30" s="61" t="s">
        <v>104</v>
      </c>
      <c r="C30" s="60">
        <f>'Ann 10'!B14</f>
        <v>2006007.6923076923</v>
      </c>
      <c r="D30" s="60">
        <f>'Ann 10'!C14</f>
        <v>2059331.4923076923</v>
      </c>
      <c r="E30" s="60">
        <f>'Ann 10'!D14</f>
        <v>2102133.5552307689</v>
      </c>
      <c r="F30" s="60">
        <f>'Ann 10'!E14</f>
        <v>2130340.2531738458</v>
      </c>
      <c r="G30" s="60">
        <f>'Ann 10'!F14</f>
        <v>2144588.387388322</v>
      </c>
      <c r="H30" s="60">
        <f>'Ann 10'!G14</f>
        <v>2174967.9570666589</v>
      </c>
      <c r="I30" s="60">
        <f>'Ann 10'!H14</f>
        <v>2149229.6020736704</v>
      </c>
      <c r="J30" s="60">
        <f>'Ann 10'!I14</f>
        <v>2159029.7859277949</v>
      </c>
      <c r="K30" s="60">
        <f>'Ann 10'!J14</f>
        <v>2158670.8725730041</v>
      </c>
    </row>
    <row r="31" spans="1:11" x14ac:dyDescent="0.6">
      <c r="A31" s="7"/>
      <c r="B31" s="61" t="s">
        <v>105</v>
      </c>
      <c r="C31" s="60">
        <f>C29-C30</f>
        <v>4680684.615384616</v>
      </c>
      <c r="D31" s="60">
        <f>D29-D30</f>
        <v>4805106.8153846152</v>
      </c>
      <c r="E31" s="60">
        <f t="shared" ref="E31:K31" si="13">E29-E30</f>
        <v>4904978.2955384608</v>
      </c>
      <c r="F31" s="60">
        <f t="shared" si="13"/>
        <v>4970793.9240723075</v>
      </c>
      <c r="G31" s="60">
        <f t="shared" si="13"/>
        <v>5004039.5705727506</v>
      </c>
      <c r="H31" s="60">
        <f t="shared" si="13"/>
        <v>7742425.2331555374</v>
      </c>
      <c r="I31" s="60">
        <f t="shared" si="13"/>
        <v>5014869.0715052309</v>
      </c>
      <c r="J31" s="60">
        <f t="shared" si="13"/>
        <v>5037736.1671648547</v>
      </c>
      <c r="K31" s="60">
        <f t="shared" si="13"/>
        <v>5036898.7026703432</v>
      </c>
    </row>
    <row r="32" spans="1:11" x14ac:dyDescent="0.6">
      <c r="A32" s="7"/>
      <c r="B32" s="61" t="s">
        <v>248</v>
      </c>
      <c r="C32" s="60">
        <f>C31*50%</f>
        <v>2340342.307692308</v>
      </c>
      <c r="D32" s="60">
        <f t="shared" ref="D32:K32" si="14">D31*50%</f>
        <v>2402553.4076923076</v>
      </c>
      <c r="E32" s="60">
        <f t="shared" si="14"/>
        <v>2452489.1477692304</v>
      </c>
      <c r="F32" s="60">
        <f t="shared" si="14"/>
        <v>2485396.9620361538</v>
      </c>
      <c r="G32" s="60">
        <f t="shared" si="14"/>
        <v>2502019.7852863753</v>
      </c>
      <c r="H32" s="60">
        <f t="shared" si="14"/>
        <v>3871212.6165777687</v>
      </c>
      <c r="I32" s="60">
        <f t="shared" si="14"/>
        <v>2507434.5357526154</v>
      </c>
      <c r="J32" s="60">
        <f t="shared" si="14"/>
        <v>2518868.0835824274</v>
      </c>
      <c r="K32" s="60">
        <f t="shared" si="14"/>
        <v>2518449.3513351716</v>
      </c>
    </row>
    <row r="33" spans="1:11" x14ac:dyDescent="0.6">
      <c r="A33" s="7"/>
      <c r="B33" s="61" t="s">
        <v>115</v>
      </c>
      <c r="C33" s="60">
        <f>C31-C32</f>
        <v>2340342.307692308</v>
      </c>
      <c r="D33" s="60">
        <f t="shared" ref="D33:K33" si="15">D31-D32</f>
        <v>2402553.4076923076</v>
      </c>
      <c r="E33" s="60">
        <f t="shared" si="15"/>
        <v>2452489.1477692304</v>
      </c>
      <c r="F33" s="60">
        <f t="shared" si="15"/>
        <v>2485396.9620361538</v>
      </c>
      <c r="G33" s="60">
        <f t="shared" si="15"/>
        <v>2502019.7852863753</v>
      </c>
      <c r="H33" s="60">
        <f t="shared" si="15"/>
        <v>3871212.6165777687</v>
      </c>
      <c r="I33" s="60">
        <f t="shared" si="15"/>
        <v>2507434.5357526154</v>
      </c>
      <c r="J33" s="60">
        <f t="shared" si="15"/>
        <v>2518868.0835824274</v>
      </c>
      <c r="K33" s="60">
        <f t="shared" si="15"/>
        <v>2518449.3513351716</v>
      </c>
    </row>
    <row r="35" spans="1:11" x14ac:dyDescent="0.6">
      <c r="A35" s="6" t="s">
        <v>265</v>
      </c>
    </row>
    <row r="36" spans="1:11" x14ac:dyDescent="0.6">
      <c r="A36" s="6" t="s">
        <v>176</v>
      </c>
    </row>
    <row r="37" spans="1:11" x14ac:dyDescent="0.6">
      <c r="B37" s="6" t="s">
        <v>175</v>
      </c>
      <c r="C37" s="6">
        <v>220000</v>
      </c>
      <c r="D37" s="6">
        <f>C37*1.05</f>
        <v>231000</v>
      </c>
      <c r="E37" s="6">
        <f t="shared" ref="E37:I37" si="16">D37*1.05</f>
        <v>242550</v>
      </c>
      <c r="F37" s="6">
        <f t="shared" si="16"/>
        <v>254677.5</v>
      </c>
      <c r="G37" s="6">
        <f t="shared" si="16"/>
        <v>267411.375</v>
      </c>
      <c r="H37" s="6">
        <f t="shared" si="16"/>
        <v>280781.94375000003</v>
      </c>
      <c r="I37" s="6">
        <f t="shared" si="16"/>
        <v>294821.04093750007</v>
      </c>
      <c r="J37" s="6">
        <f>I37</f>
        <v>294821.04093750007</v>
      </c>
      <c r="K37" s="6">
        <f>J37</f>
        <v>294821.04093750007</v>
      </c>
    </row>
    <row r="38" spans="1:11" x14ac:dyDescent="0.6">
      <c r="B38" s="6" t="s">
        <v>72</v>
      </c>
      <c r="C38" s="6">
        <f>C37*14</f>
        <v>3080000</v>
      </c>
      <c r="D38" s="6">
        <f t="shared" ref="D38:K38" si="17">D37*14</f>
        <v>3234000</v>
      </c>
      <c r="E38" s="6">
        <f t="shared" si="17"/>
        <v>3395700</v>
      </c>
      <c r="F38" s="6">
        <f t="shared" si="17"/>
        <v>3565485</v>
      </c>
      <c r="G38" s="6">
        <f t="shared" si="17"/>
        <v>3743759.25</v>
      </c>
      <c r="H38" s="6">
        <f t="shared" si="17"/>
        <v>3930947.2125000004</v>
      </c>
      <c r="I38" s="6">
        <f t="shared" si="17"/>
        <v>4127494.573125001</v>
      </c>
      <c r="J38" s="6">
        <f t="shared" si="17"/>
        <v>4127494.573125001</v>
      </c>
      <c r="K38" s="6">
        <f t="shared" si="17"/>
        <v>4127494.573125001</v>
      </c>
    </row>
    <row r="39" spans="1:11" x14ac:dyDescent="0.6">
      <c r="A39" s="6" t="s">
        <v>264</v>
      </c>
    </row>
  </sheetData>
  <mergeCells count="3">
    <mergeCell ref="C3:K3"/>
    <mergeCell ref="B3:B4"/>
    <mergeCell ref="A3:A4"/>
  </mergeCells>
  <pageMargins left="0.7" right="0.7" top="0.75" bottom="0.75" header="0.3" footer="0.3"/>
  <pageSetup scale="59" fitToHeight="0" orientation="landscape" r:id="rId1"/>
  <ignoredErrors>
    <ignoredError sqref="D2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C10C-E414-4E29-98C1-5FAEC5C52CAE}">
  <sheetPr>
    <pageSetUpPr fitToPage="1"/>
  </sheetPr>
  <dimension ref="A1:M54"/>
  <sheetViews>
    <sheetView workbookViewId="0"/>
  </sheetViews>
  <sheetFormatPr defaultRowHeight="17" x14ac:dyDescent="0.6"/>
  <cols>
    <col min="1" max="1" width="8.7265625" style="6"/>
    <col min="2" max="2" width="28.26953125" style="6" customWidth="1"/>
    <col min="3" max="3" width="15.6328125" style="6" bestFit="1" customWidth="1"/>
    <col min="4" max="10" width="13.7265625" style="6" bestFit="1" customWidth="1"/>
    <col min="11" max="11" width="13.6328125" style="6" bestFit="1" customWidth="1"/>
    <col min="12" max="12" width="10" style="6" bestFit="1" customWidth="1"/>
    <col min="13" max="16384" width="8.7265625" style="6"/>
  </cols>
  <sheetData>
    <row r="1" spans="1:11" x14ac:dyDescent="0.6">
      <c r="A1" s="5" t="s">
        <v>116</v>
      </c>
    </row>
    <row r="3" spans="1:11" x14ac:dyDescent="0.6">
      <c r="A3" s="6" t="s">
        <v>117</v>
      </c>
    </row>
    <row r="5" spans="1:11" x14ac:dyDescent="0.6">
      <c r="A5" s="122" t="s">
        <v>37</v>
      </c>
      <c r="B5" s="122" t="s">
        <v>38</v>
      </c>
      <c r="C5" s="122" t="s">
        <v>48</v>
      </c>
      <c r="D5" s="122"/>
      <c r="E5" s="122"/>
      <c r="F5" s="122"/>
      <c r="G5" s="122"/>
      <c r="H5" s="122"/>
      <c r="I5" s="122"/>
      <c r="J5" s="122"/>
      <c r="K5" s="122"/>
    </row>
    <row r="6" spans="1:11" x14ac:dyDescent="0.6">
      <c r="A6" s="122"/>
      <c r="B6" s="122"/>
      <c r="C6" s="80" t="s">
        <v>39</v>
      </c>
      <c r="D6" s="80" t="s">
        <v>40</v>
      </c>
      <c r="E6" s="80" t="s">
        <v>41</v>
      </c>
      <c r="F6" s="80" t="s">
        <v>42</v>
      </c>
      <c r="G6" s="80" t="s">
        <v>43</v>
      </c>
      <c r="H6" s="80" t="s">
        <v>44</v>
      </c>
      <c r="I6" s="80" t="s">
        <v>45</v>
      </c>
      <c r="J6" s="80" t="s">
        <v>46</v>
      </c>
      <c r="K6" s="80" t="s">
        <v>47</v>
      </c>
    </row>
    <row r="7" spans="1:11" x14ac:dyDescent="0.6">
      <c r="A7" s="38" t="s">
        <v>151</v>
      </c>
      <c r="B7" s="63" t="s">
        <v>118</v>
      </c>
      <c r="C7" s="64"/>
      <c r="D7" s="64"/>
      <c r="E7" s="65"/>
      <c r="F7" s="65"/>
      <c r="G7" s="65"/>
      <c r="H7" s="65"/>
      <c r="I7" s="65"/>
      <c r="J7" s="65"/>
      <c r="K7" s="65"/>
    </row>
    <row r="8" spans="1:11" x14ac:dyDescent="0.6">
      <c r="A8" s="29">
        <v>1</v>
      </c>
      <c r="B8" s="30" t="s">
        <v>119</v>
      </c>
      <c r="C8" s="12"/>
      <c r="D8" s="12"/>
      <c r="E8" s="13"/>
      <c r="F8" s="13"/>
      <c r="G8" s="13"/>
      <c r="H8" s="13"/>
      <c r="I8" s="13"/>
      <c r="J8" s="13"/>
      <c r="K8" s="13"/>
    </row>
    <row r="9" spans="1:11" x14ac:dyDescent="0.6">
      <c r="A9" s="29"/>
      <c r="B9" s="30" t="s">
        <v>120</v>
      </c>
      <c r="C9" s="66">
        <f>'Ann 9'!C6+'Ann 9'!D6+'Ann 9'!E6</f>
        <v>10670000</v>
      </c>
      <c r="D9" s="67">
        <f>C11</f>
        <v>9179500</v>
      </c>
      <c r="E9" s="16">
        <f t="shared" ref="E9:K9" si="0">D11</f>
        <v>7901575</v>
      </c>
      <c r="F9" s="16">
        <f t="shared" si="0"/>
        <v>6805438.75</v>
      </c>
      <c r="G9" s="16">
        <f t="shared" si="0"/>
        <v>5864812.9375</v>
      </c>
      <c r="H9" s="16">
        <f t="shared" si="0"/>
        <v>5057261.9968750002</v>
      </c>
      <c r="I9" s="16">
        <f t="shared" si="0"/>
        <v>4363626.5973437503</v>
      </c>
      <c r="J9" s="16">
        <f t="shared" si="0"/>
        <v>3767541.1177421878</v>
      </c>
      <c r="K9" s="16">
        <f t="shared" si="0"/>
        <v>3255022.6090808595</v>
      </c>
    </row>
    <row r="10" spans="1:11" x14ac:dyDescent="0.6">
      <c r="A10" s="29"/>
      <c r="B10" s="30" t="s">
        <v>121</v>
      </c>
      <c r="C10" s="66">
        <f>'Ann 9'!C12+'Ann 9'!D12+'Ann 9'!E12</f>
        <v>1490500</v>
      </c>
      <c r="D10" s="67">
        <f>'Ann 9'!C13+'Ann 9'!D13+'Ann 9'!E13</f>
        <v>1277925</v>
      </c>
      <c r="E10" s="16">
        <f>'Ann 9'!C14+'Ann 9'!D14+'Ann 9'!E14</f>
        <v>1096136.25</v>
      </c>
      <c r="F10" s="16">
        <f>'Ann 9'!C15+'Ann 9'!D15+'Ann 9'!E15</f>
        <v>940625.8125</v>
      </c>
      <c r="G10" s="16">
        <f>'Ann 9'!C16+'Ann 9'!D16+'Ann 9'!E16</f>
        <v>807550.94062499993</v>
      </c>
      <c r="H10" s="16">
        <f>'Ann 9'!C17+'Ann 9'!D17+'Ann 9'!E17</f>
        <v>693635.39953125</v>
      </c>
      <c r="I10" s="16">
        <f>+'Ann 9'!C18+'Ann 9'!D18+'Ann 9'!E18</f>
        <v>596085.47960156249</v>
      </c>
      <c r="J10" s="16">
        <f>'Ann 9'!C19+'Ann 9'!D19+'Ann 9'!E19</f>
        <v>512518.50866132812</v>
      </c>
      <c r="K10" s="16">
        <f>+'Ann 9'!C20+'Ann 9'!D20+'Ann 9'!E20</f>
        <v>440901.99826212891</v>
      </c>
    </row>
    <row r="11" spans="1:11" x14ac:dyDescent="0.6">
      <c r="A11" s="29"/>
      <c r="B11" s="30" t="s">
        <v>122</v>
      </c>
      <c r="C11" s="66">
        <f>C9-C10</f>
        <v>9179500</v>
      </c>
      <c r="D11" s="67">
        <f>D9-D10</f>
        <v>7901575</v>
      </c>
      <c r="E11" s="16">
        <f t="shared" ref="E11:K11" si="1">E9-E10</f>
        <v>6805438.75</v>
      </c>
      <c r="F11" s="16">
        <f t="shared" si="1"/>
        <v>5864812.9375</v>
      </c>
      <c r="G11" s="16">
        <f t="shared" si="1"/>
        <v>5057261.9968750002</v>
      </c>
      <c r="H11" s="16">
        <f t="shared" si="1"/>
        <v>4363626.5973437503</v>
      </c>
      <c r="I11" s="16">
        <f t="shared" si="1"/>
        <v>3767541.1177421878</v>
      </c>
      <c r="J11" s="16">
        <f t="shared" si="1"/>
        <v>3255022.6090808595</v>
      </c>
      <c r="K11" s="16">
        <f t="shared" si="1"/>
        <v>2814120.6108187307</v>
      </c>
    </row>
    <row r="12" spans="1:11" x14ac:dyDescent="0.6">
      <c r="A12" s="29">
        <v>2</v>
      </c>
      <c r="B12" s="30" t="s">
        <v>123</v>
      </c>
      <c r="C12" s="66">
        <f>'Ann 4'!C17*30/330</f>
        <v>1818181.8181818181</v>
      </c>
      <c r="D12" s="66">
        <f>'Ann 4'!D17*30/330</f>
        <v>1854545.4545454546</v>
      </c>
      <c r="E12" s="66">
        <f>'Ann 4'!E17*30/330</f>
        <v>1891636.3636363635</v>
      </c>
      <c r="F12" s="66">
        <f>'Ann 4'!F17*30/330</f>
        <v>1929469.0909090908</v>
      </c>
      <c r="G12" s="66">
        <f>'Ann 4'!G17*30/330</f>
        <v>1968058.4727272727</v>
      </c>
      <c r="H12" s="66">
        <f>'Ann 4'!H17*30/330</f>
        <v>2007419.6421818181</v>
      </c>
      <c r="I12" s="66">
        <f>'Ann 4'!I17*30/330</f>
        <v>2047568.0350254544</v>
      </c>
      <c r="J12" s="66">
        <f>'Ann 4'!J17*30/330</f>
        <v>2088519.3957259634</v>
      </c>
      <c r="K12" s="66">
        <f>'Ann 4'!K17*30/330</f>
        <v>2130289.7836404829</v>
      </c>
    </row>
    <row r="13" spans="1:11" x14ac:dyDescent="0.6">
      <c r="A13" s="29">
        <v>3</v>
      </c>
      <c r="B13" s="30" t="s">
        <v>124</v>
      </c>
      <c r="C13" s="68">
        <f>'Ann 14'!C20</f>
        <v>3337843.7062937091</v>
      </c>
      <c r="D13" s="68">
        <f>'Ann 14'!D20</f>
        <v>5575994.7293706303</v>
      </c>
      <c r="E13" s="68">
        <f>'Ann 14'!E20</f>
        <v>7685125.6297972007</v>
      </c>
      <c r="F13" s="68">
        <f>'Ann 14'!F20</f>
        <v>9674710.55091797</v>
      </c>
      <c r="G13" s="68">
        <f>'Ann 14'!G20</f>
        <v>11551139.996052504</v>
      </c>
      <c r="H13" s="68">
        <f>'Ann 14'!H20</f>
        <v>13221785.162401631</v>
      </c>
      <c r="I13" s="68">
        <f>'Ann 14'!I20</f>
        <v>16364162.692520564</v>
      </c>
      <c r="J13" s="68">
        <f>'Ann 14'!J20</f>
        <v>19438532.019312128</v>
      </c>
      <c r="K13" s="68">
        <f>'Ann 14'!K20</f>
        <v>22445308.192500107</v>
      </c>
    </row>
    <row r="14" spans="1:11" x14ac:dyDescent="0.6">
      <c r="A14" s="29"/>
      <c r="B14" s="30" t="s">
        <v>132</v>
      </c>
      <c r="C14" s="66">
        <f t="shared" ref="C14:K14" si="2">SUM(C11:C13)</f>
        <v>14335525.524475528</v>
      </c>
      <c r="D14" s="66">
        <f t="shared" si="2"/>
        <v>15332115.183916084</v>
      </c>
      <c r="E14" s="69">
        <f t="shared" si="2"/>
        <v>16382200.743433565</v>
      </c>
      <c r="F14" s="69">
        <f t="shared" si="2"/>
        <v>17468992.579327062</v>
      </c>
      <c r="G14" s="69">
        <f t="shared" si="2"/>
        <v>18576460.465654776</v>
      </c>
      <c r="H14" s="69">
        <f t="shared" si="2"/>
        <v>19592831.401927199</v>
      </c>
      <c r="I14" s="69">
        <f t="shared" si="2"/>
        <v>22179271.845288206</v>
      </c>
      <c r="J14" s="69">
        <f t="shared" si="2"/>
        <v>24782074.024118952</v>
      </c>
      <c r="K14" s="69">
        <f t="shared" si="2"/>
        <v>27389718.586959321</v>
      </c>
    </row>
    <row r="15" spans="1:11" x14ac:dyDescent="0.6">
      <c r="A15" s="29"/>
      <c r="B15" s="30"/>
      <c r="C15" s="66"/>
      <c r="D15" s="66"/>
      <c r="E15" s="69"/>
      <c r="F15" s="69"/>
      <c r="G15" s="69"/>
      <c r="H15" s="69"/>
      <c r="I15" s="69"/>
      <c r="J15" s="69"/>
      <c r="K15" s="69"/>
    </row>
    <row r="16" spans="1:11" x14ac:dyDescent="0.6">
      <c r="A16" s="29" t="s">
        <v>152</v>
      </c>
      <c r="B16" s="70" t="s">
        <v>125</v>
      </c>
      <c r="C16" s="12"/>
      <c r="D16" s="12"/>
      <c r="E16" s="13"/>
      <c r="F16" s="13"/>
      <c r="G16" s="13"/>
      <c r="H16" s="13"/>
      <c r="I16" s="13"/>
      <c r="J16" s="13"/>
      <c r="K16" s="13"/>
    </row>
    <row r="17" spans="1:13" x14ac:dyDescent="0.6">
      <c r="A17" s="29">
        <v>1</v>
      </c>
      <c r="B17" s="30" t="s">
        <v>126</v>
      </c>
      <c r="C17" s="68">
        <f>'Ann 2'!C4*100000</f>
        <v>1150000</v>
      </c>
      <c r="D17" s="68">
        <f>C20</f>
        <v>3490342.307692308</v>
      </c>
      <c r="E17" s="71">
        <f t="shared" ref="E17:K17" si="3">D20</f>
        <v>5892895.7153846156</v>
      </c>
      <c r="F17" s="71">
        <f t="shared" si="3"/>
        <v>8345384.863153846</v>
      </c>
      <c r="G17" s="71">
        <f t="shared" si="3"/>
        <v>10830781.82519</v>
      </c>
      <c r="H17" s="71">
        <f t="shared" si="3"/>
        <v>13332801.610476375</v>
      </c>
      <c r="I17" s="71">
        <f t="shared" si="3"/>
        <v>17204014.227054141</v>
      </c>
      <c r="J17" s="71">
        <f t="shared" si="3"/>
        <v>19711448.762806758</v>
      </c>
      <c r="K17" s="71">
        <f t="shared" si="3"/>
        <v>22230316.846389186</v>
      </c>
    </row>
    <row r="18" spans="1:13" x14ac:dyDescent="0.6">
      <c r="A18" s="29"/>
      <c r="B18" s="30" t="s">
        <v>127</v>
      </c>
      <c r="C18" s="68">
        <f>'Ann 4'!C33</f>
        <v>2340342.307692308</v>
      </c>
      <c r="D18" s="68">
        <f>'Ann 4'!D33</f>
        <v>2402553.4076923076</v>
      </c>
      <c r="E18" s="71">
        <f>'Ann 4'!E33</f>
        <v>2452489.1477692304</v>
      </c>
      <c r="F18" s="71">
        <f>'Ann 4'!F33</f>
        <v>2485396.9620361538</v>
      </c>
      <c r="G18" s="71">
        <f>'Ann 4'!G33</f>
        <v>2502019.7852863753</v>
      </c>
      <c r="H18" s="71">
        <f>'Ann 4'!H33</f>
        <v>3871212.6165777687</v>
      </c>
      <c r="I18" s="71">
        <f>'Ann 4'!I33</f>
        <v>2507434.5357526154</v>
      </c>
      <c r="J18" s="71">
        <f>'Ann 4'!J33</f>
        <v>2518868.0835824274</v>
      </c>
      <c r="K18" s="71">
        <f>'Ann 4'!K33</f>
        <v>2518449.3513351716</v>
      </c>
    </row>
    <row r="19" spans="1:13" x14ac:dyDescent="0.6">
      <c r="A19" s="29"/>
      <c r="B19" s="30" t="s">
        <v>128</v>
      </c>
      <c r="C19" s="68">
        <v>0</v>
      </c>
      <c r="D19" s="68">
        <v>0</v>
      </c>
      <c r="E19" s="71">
        <v>0</v>
      </c>
      <c r="F19" s="71">
        <v>0</v>
      </c>
      <c r="G19" s="71">
        <v>0</v>
      </c>
      <c r="H19" s="71">
        <v>0</v>
      </c>
      <c r="I19" s="71">
        <v>0</v>
      </c>
      <c r="J19" s="71">
        <v>0</v>
      </c>
      <c r="K19" s="71">
        <v>0</v>
      </c>
    </row>
    <row r="20" spans="1:13" x14ac:dyDescent="0.6">
      <c r="A20" s="29"/>
      <c r="B20" s="30" t="s">
        <v>129</v>
      </c>
      <c r="C20" s="68">
        <f>C17+C18</f>
        <v>3490342.307692308</v>
      </c>
      <c r="D20" s="68">
        <f t="shared" ref="D20:K20" si="4">D17+D18</f>
        <v>5892895.7153846156</v>
      </c>
      <c r="E20" s="71">
        <f t="shared" si="4"/>
        <v>8345384.863153846</v>
      </c>
      <c r="F20" s="71">
        <f t="shared" si="4"/>
        <v>10830781.82519</v>
      </c>
      <c r="G20" s="71">
        <f t="shared" si="4"/>
        <v>13332801.610476375</v>
      </c>
      <c r="H20" s="71">
        <f t="shared" si="4"/>
        <v>17204014.227054141</v>
      </c>
      <c r="I20" s="71">
        <f t="shared" si="4"/>
        <v>19711448.762806758</v>
      </c>
      <c r="J20" s="71">
        <f t="shared" si="4"/>
        <v>22230316.846389186</v>
      </c>
      <c r="K20" s="71">
        <f t="shared" si="4"/>
        <v>24748766.197724357</v>
      </c>
    </row>
    <row r="21" spans="1:13" x14ac:dyDescent="0.6">
      <c r="A21" s="29">
        <v>2</v>
      </c>
      <c r="B21" s="30" t="s">
        <v>130</v>
      </c>
      <c r="C21" s="68">
        <f>'Ann 13'!C14*100000</f>
        <v>8787692.3076923098</v>
      </c>
      <c r="D21" s="68">
        <f>'Ann 13'!C18*100000</f>
        <v>7323076.9230769267</v>
      </c>
      <c r="E21" s="68">
        <f>'Ann 13'!C22*100000</f>
        <v>5858461.5384615436</v>
      </c>
      <c r="F21" s="68">
        <f>'Ann 13'!C26*100000</f>
        <v>4393846.1538461577</v>
      </c>
      <c r="G21" s="71">
        <f>('Ann 13'!C29-'Ann 13'!D29)*100000</f>
        <v>2929230.7692307732</v>
      </c>
      <c r="H21" s="71">
        <f>('Ann 13'!C33-'Ann 13'!D33)*100000</f>
        <v>0</v>
      </c>
      <c r="I21" s="71">
        <v>0</v>
      </c>
      <c r="J21" s="71">
        <v>0</v>
      </c>
      <c r="K21" s="71">
        <v>0</v>
      </c>
    </row>
    <row r="22" spans="1:13" x14ac:dyDescent="0.6">
      <c r="A22" s="29">
        <v>3</v>
      </c>
      <c r="B22" s="72" t="s">
        <v>164</v>
      </c>
      <c r="C22" s="68">
        <f>'Ann 2'!$C$7*100000</f>
        <v>830000.00000000012</v>
      </c>
      <c r="D22" s="68">
        <f>'Ann 2'!$C$7*100000</f>
        <v>830000.00000000012</v>
      </c>
      <c r="E22" s="68">
        <f>'Ann 2'!$C$7*100000</f>
        <v>830000.00000000012</v>
      </c>
      <c r="F22" s="68">
        <f>'Ann 2'!$C$7*100000</f>
        <v>830000.00000000012</v>
      </c>
      <c r="G22" s="68">
        <f>'Ann 2'!$C$7*100000</f>
        <v>830000.00000000012</v>
      </c>
      <c r="H22" s="68">
        <f>'Ann 2'!$C$7*100000</f>
        <v>830000.00000000012</v>
      </c>
      <c r="I22" s="68">
        <f>'Ann 2'!$C$7*100000</f>
        <v>830000.00000000012</v>
      </c>
      <c r="J22" s="68">
        <f>'Ann 2'!$C$7*100000</f>
        <v>830000.00000000012</v>
      </c>
      <c r="K22" s="68">
        <f>'Ann 2'!$C$7*100000</f>
        <v>830000.00000000012</v>
      </c>
    </row>
    <row r="23" spans="1:13" x14ac:dyDescent="0.6">
      <c r="A23" s="29">
        <v>4</v>
      </c>
      <c r="B23" s="72" t="s">
        <v>159</v>
      </c>
      <c r="C23" s="68">
        <f>('Ann 4'!C9+'Ann 4'!C13)*60/330</f>
        <v>1227490.9090909092</v>
      </c>
      <c r="D23" s="68">
        <f>('Ann 4'!D9+'Ann 4'!D13)*60/330</f>
        <v>1286142.5454545454</v>
      </c>
      <c r="E23" s="68">
        <f>('Ann 4'!E9+'Ann 4'!E13)*60/330</f>
        <v>1348354.341818182</v>
      </c>
      <c r="F23" s="68">
        <f>('Ann 4'!F9+'Ann 4'!F13)*60/330</f>
        <v>1414364.6002909094</v>
      </c>
      <c r="G23" s="68">
        <f>('Ann 4'!G9+'Ann 4'!G13)*60/330</f>
        <v>1484428.0859476365</v>
      </c>
      <c r="H23" s="68">
        <f>('Ann 4'!H9+'Ann 4'!H13)*60/330</f>
        <v>1558817.1748730622</v>
      </c>
      <c r="I23" s="68">
        <f>('Ann 4'!I9+'Ann 4'!I13)*60/330</f>
        <v>1637823.0824814492</v>
      </c>
      <c r="J23" s="68">
        <f>('Ann 4'!J9+'Ann 4'!J13)*60/330</f>
        <v>1721757.1777297689</v>
      </c>
      <c r="K23" s="68">
        <f>('Ann 4'!K9+'Ann 4'!K13)*60/330</f>
        <v>1810952.3892349633</v>
      </c>
    </row>
    <row r="24" spans="1:13" x14ac:dyDescent="0.6">
      <c r="A24" s="29"/>
      <c r="B24" s="30" t="s">
        <v>131</v>
      </c>
      <c r="C24" s="66">
        <f t="shared" ref="C24:K24" si="5">SUM(C20:C23)</f>
        <v>14335525.524475526</v>
      </c>
      <c r="D24" s="66">
        <f t="shared" si="5"/>
        <v>15332115.183916086</v>
      </c>
      <c r="E24" s="66">
        <f t="shared" si="5"/>
        <v>16382200.74343357</v>
      </c>
      <c r="F24" s="66">
        <f t="shared" si="5"/>
        <v>17468992.579327069</v>
      </c>
      <c r="G24" s="66">
        <f t="shared" si="5"/>
        <v>18576460.465654787</v>
      </c>
      <c r="H24" s="66">
        <f t="shared" si="5"/>
        <v>19592831.401927203</v>
      </c>
      <c r="I24" s="66">
        <f t="shared" si="5"/>
        <v>22179271.845288206</v>
      </c>
      <c r="J24" s="66">
        <f t="shared" si="5"/>
        <v>24782074.024118956</v>
      </c>
      <c r="K24" s="66">
        <f t="shared" si="5"/>
        <v>27389718.586959321</v>
      </c>
    </row>
    <row r="25" spans="1:13" x14ac:dyDescent="0.6">
      <c r="A25" s="29"/>
      <c r="B25" s="30"/>
      <c r="C25" s="66"/>
      <c r="D25" s="66"/>
      <c r="E25" s="66"/>
      <c r="F25" s="66"/>
      <c r="G25" s="66"/>
      <c r="H25" s="66"/>
      <c r="I25" s="66"/>
      <c r="J25" s="66"/>
      <c r="K25" s="66"/>
      <c r="L25" s="73"/>
      <c r="M25" s="30"/>
    </row>
    <row r="26" spans="1:13" x14ac:dyDescent="0.6">
      <c r="A26" s="75"/>
      <c r="B26" s="76" t="s">
        <v>133</v>
      </c>
      <c r="C26" s="77"/>
      <c r="D26" s="77"/>
      <c r="E26" s="78"/>
      <c r="F26" s="78"/>
      <c r="G26" s="78"/>
      <c r="H26" s="78"/>
      <c r="I26" s="78"/>
      <c r="J26" s="78"/>
      <c r="K26" s="78"/>
    </row>
    <row r="27" spans="1:13" x14ac:dyDescent="0.6">
      <c r="A27" s="29"/>
      <c r="B27" s="30" t="s">
        <v>134</v>
      </c>
      <c r="C27" s="66">
        <f t="shared" ref="C27:K27" si="6">SUM(C12:C13)</f>
        <v>5156025.524475527</v>
      </c>
      <c r="D27" s="66">
        <f t="shared" si="6"/>
        <v>7430540.1839160845</v>
      </c>
      <c r="E27" s="69">
        <f t="shared" si="6"/>
        <v>9576761.9934335649</v>
      </c>
      <c r="F27" s="69">
        <f t="shared" si="6"/>
        <v>11604179.641827062</v>
      </c>
      <c r="G27" s="69">
        <f t="shared" si="6"/>
        <v>13519198.468779776</v>
      </c>
      <c r="H27" s="69">
        <f t="shared" si="6"/>
        <v>15229204.804583449</v>
      </c>
      <c r="I27" s="69">
        <f t="shared" si="6"/>
        <v>18411730.727546018</v>
      </c>
      <c r="J27" s="69">
        <f t="shared" si="6"/>
        <v>21527051.41503809</v>
      </c>
      <c r="K27" s="69">
        <f t="shared" si="6"/>
        <v>24575597.976140589</v>
      </c>
    </row>
    <row r="28" spans="1:13" x14ac:dyDescent="0.6">
      <c r="A28" s="29"/>
      <c r="B28" s="30" t="s">
        <v>135</v>
      </c>
      <c r="C28" s="66">
        <f>C23</f>
        <v>1227490.9090909092</v>
      </c>
      <c r="D28" s="66">
        <f t="shared" ref="D28:K28" si="7">D23</f>
        <v>1286142.5454545454</v>
      </c>
      <c r="E28" s="66">
        <f t="shared" si="7"/>
        <v>1348354.341818182</v>
      </c>
      <c r="F28" s="66">
        <f t="shared" si="7"/>
        <v>1414364.6002909094</v>
      </c>
      <c r="G28" s="66">
        <f t="shared" si="7"/>
        <v>1484428.0859476365</v>
      </c>
      <c r="H28" s="66">
        <f t="shared" si="7"/>
        <v>1558817.1748730622</v>
      </c>
      <c r="I28" s="66">
        <f t="shared" si="7"/>
        <v>1637823.0824814492</v>
      </c>
      <c r="J28" s="66">
        <f t="shared" si="7"/>
        <v>1721757.1777297689</v>
      </c>
      <c r="K28" s="66">
        <f t="shared" si="7"/>
        <v>1810952.3892349633</v>
      </c>
    </row>
    <row r="29" spans="1:13" x14ac:dyDescent="0.6">
      <c r="A29" s="29"/>
      <c r="B29" s="30" t="s">
        <v>140</v>
      </c>
      <c r="C29" s="12">
        <f>C27/C28</f>
        <v>4.2004592345976119</v>
      </c>
      <c r="D29" s="12">
        <f>D27/D28</f>
        <v>5.7773846376336158</v>
      </c>
      <c r="E29" s="13">
        <f t="shared" ref="E29:K29" si="8">E27/E28</f>
        <v>7.1025558315181643</v>
      </c>
      <c r="F29" s="13">
        <f t="shared" si="8"/>
        <v>8.2045178728598618</v>
      </c>
      <c r="G29" s="13">
        <f t="shared" si="8"/>
        <v>9.1073448399147772</v>
      </c>
      <c r="H29" s="13">
        <f t="shared" si="8"/>
        <v>9.7697183801067595</v>
      </c>
      <c r="I29" s="13">
        <f t="shared" si="8"/>
        <v>11.24158703371709</v>
      </c>
      <c r="J29" s="13">
        <f t="shared" si="8"/>
        <v>12.502954361672931</v>
      </c>
      <c r="K29" s="13">
        <f t="shared" si="8"/>
        <v>13.570537868487282</v>
      </c>
    </row>
    <row r="30" spans="1:13" x14ac:dyDescent="0.6">
      <c r="A30" s="29"/>
      <c r="B30" s="72" t="s">
        <v>153</v>
      </c>
      <c r="C30" s="12"/>
      <c r="D30" s="12"/>
      <c r="E30" s="13"/>
      <c r="F30" s="13">
        <f>AVERAGE(C29:K29)</f>
        <v>9.0530066733897883</v>
      </c>
      <c r="G30" s="13"/>
      <c r="H30" s="13"/>
      <c r="I30" s="13"/>
      <c r="J30" s="13"/>
      <c r="K30" s="13"/>
    </row>
    <row r="31" spans="1:13" x14ac:dyDescent="0.6">
      <c r="A31" s="29"/>
      <c r="B31" s="30"/>
      <c r="C31" s="12"/>
      <c r="D31" s="12"/>
      <c r="E31" s="13"/>
      <c r="F31" s="13"/>
      <c r="G31" s="13"/>
      <c r="H31" s="13"/>
      <c r="I31" s="13"/>
      <c r="J31" s="13"/>
      <c r="K31" s="13"/>
    </row>
    <row r="32" spans="1:13" x14ac:dyDescent="0.6">
      <c r="A32" s="75"/>
      <c r="B32" s="76" t="s">
        <v>137</v>
      </c>
      <c r="C32" s="77"/>
      <c r="D32" s="77"/>
      <c r="E32" s="78"/>
      <c r="F32" s="78"/>
      <c r="G32" s="78"/>
      <c r="H32" s="78"/>
      <c r="I32" s="78"/>
      <c r="J32" s="78"/>
      <c r="K32" s="78"/>
    </row>
    <row r="33" spans="1:11" x14ac:dyDescent="0.6">
      <c r="A33" s="29"/>
      <c r="B33" s="30" t="s">
        <v>138</v>
      </c>
      <c r="C33" s="66">
        <f>C21+C22</f>
        <v>9617692.3076923098</v>
      </c>
      <c r="D33" s="66">
        <f t="shared" ref="D33:K33" si="9">D21+D22</f>
        <v>8153076.9230769267</v>
      </c>
      <c r="E33" s="66">
        <f t="shared" si="9"/>
        <v>6688461.5384615436</v>
      </c>
      <c r="F33" s="66">
        <f t="shared" si="9"/>
        <v>5223846.1538461577</v>
      </c>
      <c r="G33" s="66">
        <f t="shared" si="9"/>
        <v>3759230.7692307732</v>
      </c>
      <c r="H33" s="66">
        <f t="shared" si="9"/>
        <v>830000.00000000012</v>
      </c>
      <c r="I33" s="66">
        <f t="shared" si="9"/>
        <v>830000.00000000012</v>
      </c>
      <c r="J33" s="66">
        <f t="shared" si="9"/>
        <v>830000.00000000012</v>
      </c>
      <c r="K33" s="66">
        <f t="shared" si="9"/>
        <v>830000.00000000012</v>
      </c>
    </row>
    <row r="34" spans="1:11" x14ac:dyDescent="0.6">
      <c r="A34" s="29"/>
      <c r="B34" s="30" t="s">
        <v>139</v>
      </c>
      <c r="C34" s="66">
        <f t="shared" ref="C34:K34" si="10">C20</f>
        <v>3490342.307692308</v>
      </c>
      <c r="D34" s="66">
        <f t="shared" si="10"/>
        <v>5892895.7153846156</v>
      </c>
      <c r="E34" s="69">
        <f t="shared" si="10"/>
        <v>8345384.863153846</v>
      </c>
      <c r="F34" s="69">
        <f t="shared" si="10"/>
        <v>10830781.82519</v>
      </c>
      <c r="G34" s="69">
        <f t="shared" si="10"/>
        <v>13332801.610476375</v>
      </c>
      <c r="H34" s="69">
        <f t="shared" si="10"/>
        <v>17204014.227054141</v>
      </c>
      <c r="I34" s="69">
        <f t="shared" si="10"/>
        <v>19711448.762806758</v>
      </c>
      <c r="J34" s="69">
        <f t="shared" si="10"/>
        <v>22230316.846389186</v>
      </c>
      <c r="K34" s="69">
        <f t="shared" si="10"/>
        <v>24748766.197724357</v>
      </c>
    </row>
    <row r="35" spans="1:11" x14ac:dyDescent="0.6">
      <c r="A35" s="29"/>
      <c r="B35" s="30" t="s">
        <v>140</v>
      </c>
      <c r="C35" s="12">
        <f>C33/C34</f>
        <v>2.7555154938517163</v>
      </c>
      <c r="D35" s="12">
        <f t="shared" ref="D35:K35" si="11">D33/D34</f>
        <v>1.3835433913740649</v>
      </c>
      <c r="E35" s="13">
        <f t="shared" si="11"/>
        <v>0.80145633162972829</v>
      </c>
      <c r="F35" s="13">
        <f t="shared" si="11"/>
        <v>0.48231478005554945</v>
      </c>
      <c r="G35" s="13">
        <f t="shared" si="11"/>
        <v>0.28195355177841408</v>
      </c>
      <c r="H35" s="13">
        <f t="shared" si="11"/>
        <v>4.8244554383987032E-2</v>
      </c>
      <c r="I35" s="13">
        <f t="shared" si="11"/>
        <v>4.2107508686328267E-2</v>
      </c>
      <c r="J35" s="13">
        <f t="shared" si="11"/>
        <v>3.7336399914372563E-2</v>
      </c>
      <c r="K35" s="13">
        <f t="shared" si="11"/>
        <v>3.3537025376089998E-2</v>
      </c>
    </row>
    <row r="36" spans="1:11" x14ac:dyDescent="0.6">
      <c r="A36" s="29"/>
      <c r="B36" s="72" t="s">
        <v>153</v>
      </c>
      <c r="C36" s="12"/>
      <c r="D36" s="12"/>
      <c r="E36" s="13"/>
      <c r="F36" s="13">
        <f>AVERAGE(C35:K35)</f>
        <v>0.65177878189447225</v>
      </c>
      <c r="G36" s="13"/>
      <c r="H36" s="13"/>
      <c r="I36" s="69"/>
      <c r="J36" s="69"/>
      <c r="K36" s="69"/>
    </row>
    <row r="37" spans="1:11" x14ac:dyDescent="0.6">
      <c r="A37" s="29"/>
      <c r="B37" s="30"/>
      <c r="C37" s="12"/>
      <c r="D37" s="12"/>
      <c r="E37" s="13"/>
      <c r="F37" s="13"/>
      <c r="G37" s="13"/>
      <c r="H37" s="13"/>
      <c r="I37" s="69"/>
      <c r="J37" s="69"/>
      <c r="K37" s="69"/>
    </row>
    <row r="38" spans="1:11" x14ac:dyDescent="0.6">
      <c r="A38" s="75"/>
      <c r="B38" s="76" t="s">
        <v>154</v>
      </c>
      <c r="C38" s="77"/>
      <c r="D38" s="77"/>
      <c r="E38" s="78"/>
      <c r="F38" s="78"/>
      <c r="G38" s="78"/>
      <c r="H38" s="78"/>
      <c r="I38" s="79"/>
      <c r="J38" s="79"/>
      <c r="K38" s="79"/>
    </row>
    <row r="39" spans="1:11" x14ac:dyDescent="0.6">
      <c r="A39" s="29"/>
      <c r="B39" s="72" t="s">
        <v>155</v>
      </c>
      <c r="C39" s="66">
        <f t="shared" ref="C39:K39" si="12">C11</f>
        <v>9179500</v>
      </c>
      <c r="D39" s="66">
        <f t="shared" si="12"/>
        <v>7901575</v>
      </c>
      <c r="E39" s="66">
        <f t="shared" si="12"/>
        <v>6805438.75</v>
      </c>
      <c r="F39" s="66">
        <f t="shared" si="12"/>
        <v>5864812.9375</v>
      </c>
      <c r="G39" s="66">
        <f t="shared" si="12"/>
        <v>5057261.9968750002</v>
      </c>
      <c r="H39" s="66">
        <f t="shared" si="12"/>
        <v>4363626.5973437503</v>
      </c>
      <c r="I39" s="66">
        <f t="shared" si="12"/>
        <v>3767541.1177421878</v>
      </c>
      <c r="J39" s="66">
        <f t="shared" si="12"/>
        <v>3255022.6090808595</v>
      </c>
      <c r="K39" s="66">
        <f t="shared" si="12"/>
        <v>2814120.6108187307</v>
      </c>
    </row>
    <row r="40" spans="1:11" x14ac:dyDescent="0.6">
      <c r="A40" s="29"/>
      <c r="B40" s="72" t="s">
        <v>138</v>
      </c>
      <c r="C40" s="66">
        <f t="shared" ref="C40:K40" si="13">C21+C22</f>
        <v>9617692.3076923098</v>
      </c>
      <c r="D40" s="66">
        <f t="shared" si="13"/>
        <v>8153076.9230769267</v>
      </c>
      <c r="E40" s="66">
        <f t="shared" si="13"/>
        <v>6688461.5384615436</v>
      </c>
      <c r="F40" s="66">
        <f t="shared" si="13"/>
        <v>5223846.1538461577</v>
      </c>
      <c r="G40" s="66">
        <f t="shared" si="13"/>
        <v>3759230.7692307732</v>
      </c>
      <c r="H40" s="66">
        <f t="shared" si="13"/>
        <v>830000.00000000012</v>
      </c>
      <c r="I40" s="66">
        <f t="shared" si="13"/>
        <v>830000.00000000012</v>
      </c>
      <c r="J40" s="66">
        <f t="shared" si="13"/>
        <v>830000.00000000012</v>
      </c>
      <c r="K40" s="66">
        <f t="shared" si="13"/>
        <v>830000.00000000012</v>
      </c>
    </row>
    <row r="41" spans="1:11" x14ac:dyDescent="0.6">
      <c r="A41" s="29"/>
      <c r="B41" s="72" t="s">
        <v>149</v>
      </c>
      <c r="C41" s="12">
        <f>C39/C40</f>
        <v>0.95443893465568241</v>
      </c>
      <c r="D41" s="12">
        <f t="shared" ref="D41:G41" si="14">D39/D40</f>
        <v>0.96915251438814942</v>
      </c>
      <c r="E41" s="12">
        <f t="shared" si="14"/>
        <v>1.0174894048303615</v>
      </c>
      <c r="F41" s="12">
        <f t="shared" si="14"/>
        <v>1.1227001647400963</v>
      </c>
      <c r="G41" s="12">
        <f t="shared" si="14"/>
        <v>1.3452917118758938</v>
      </c>
      <c r="H41" s="66">
        <v>0</v>
      </c>
      <c r="I41" s="66">
        <v>0</v>
      </c>
      <c r="J41" s="66">
        <v>0</v>
      </c>
      <c r="K41" s="66">
        <v>0</v>
      </c>
    </row>
    <row r="42" spans="1:11" x14ac:dyDescent="0.6">
      <c r="A42" s="29"/>
      <c r="B42" s="72"/>
      <c r="C42" s="12"/>
      <c r="D42" s="12"/>
      <c r="E42" s="13"/>
      <c r="F42" s="13">
        <f>AVERAGE(C41:K41)</f>
        <v>0.60100808116557591</v>
      </c>
      <c r="G42" s="13"/>
      <c r="H42" s="13"/>
      <c r="I42" s="13"/>
      <c r="J42" s="13"/>
      <c r="K42" s="13"/>
    </row>
    <row r="43" spans="1:11" x14ac:dyDescent="0.6">
      <c r="A43" s="29"/>
      <c r="B43" s="30"/>
      <c r="C43" s="12"/>
      <c r="D43" s="12"/>
      <c r="E43" s="13"/>
      <c r="F43" s="13"/>
      <c r="G43" s="13"/>
      <c r="H43" s="13"/>
      <c r="I43" s="69"/>
      <c r="J43" s="69"/>
      <c r="K43" s="69"/>
    </row>
    <row r="44" spans="1:11" x14ac:dyDescent="0.6">
      <c r="A44" s="75"/>
      <c r="B44" s="76" t="s">
        <v>146</v>
      </c>
      <c r="C44" s="77"/>
      <c r="D44" s="77"/>
      <c r="E44" s="78"/>
      <c r="F44" s="78"/>
      <c r="G44" s="78"/>
      <c r="H44" s="78"/>
      <c r="I44" s="79"/>
      <c r="J44" s="79"/>
      <c r="K44" s="79"/>
    </row>
    <row r="45" spans="1:11" x14ac:dyDescent="0.6">
      <c r="A45" s="29"/>
      <c r="B45" s="30" t="s">
        <v>147</v>
      </c>
      <c r="C45" s="68">
        <f>'Ann 4'!C23</f>
        <v>648707.69230769237</v>
      </c>
      <c r="D45" s="68">
        <f>'Ann 4'!D23</f>
        <v>577307.69230769249</v>
      </c>
      <c r="E45" s="68">
        <f>'Ann 4'!E23</f>
        <v>489430.76923076948</v>
      </c>
      <c r="F45" s="68">
        <f>'Ann 4'!F23</f>
        <v>401553.84615384648</v>
      </c>
      <c r="G45" s="68">
        <f>'Ann 4'!G23</f>
        <v>313676.92307692335</v>
      </c>
      <c r="H45" s="68">
        <f>'Ann 4'!H23</f>
        <v>126938.4615384616</v>
      </c>
      <c r="I45" s="68">
        <f>'Ann 4'!I23</f>
        <v>83000.000000000015</v>
      </c>
      <c r="J45" s="68">
        <f>'Ann 4'!J23</f>
        <v>83000.000000000015</v>
      </c>
      <c r="K45" s="68">
        <f>'Ann 4'!K23</f>
        <v>83000.000000000015</v>
      </c>
    </row>
    <row r="46" spans="1:11" x14ac:dyDescent="0.6">
      <c r="A46" s="29"/>
      <c r="B46" s="30" t="s">
        <v>150</v>
      </c>
      <c r="C46" s="68">
        <f>(SUM('Ann 13'!D10:D13)*100000)+('Ann 1'!$C$25*100000)</f>
        <v>1562307.6923076925</v>
      </c>
      <c r="D46" s="68">
        <f>(SUM('Ann 13'!D14:D17)*100000)+('Ann 1'!$C$25*100000)</f>
        <v>2294615.384615385</v>
      </c>
      <c r="E46" s="68">
        <f>(SUM('Ann 13'!D18:D21)*100000)+('Ann 1'!$C$25*100000)</f>
        <v>2294615.384615385</v>
      </c>
      <c r="F46" s="68">
        <f>(SUM('Ann 13'!D22:D25)*100000)+('Ann 1'!$C$25*100000)</f>
        <v>2294615.384615385</v>
      </c>
      <c r="G46" s="68">
        <f>(SUM('Ann 13'!D26:D29)*100000)+('Ann 1'!$C$25*100000)</f>
        <v>2294615.384615385</v>
      </c>
      <c r="H46" s="68">
        <f>(SUM('Ann 13'!D30:D33)*100000)+('Ann 1'!$C$25*100000)</f>
        <v>1091730.7692307732</v>
      </c>
      <c r="I46" s="68">
        <f>(SUM('Ann 13'!D34:D37)*100000)+('Ann 1'!$C$25*100000)</f>
        <v>830000.00000000012</v>
      </c>
      <c r="J46" s="68">
        <f>(SUM('Ann 13'!D38:D38)*100000)+('Ann 1'!$C$25*100000)</f>
        <v>830000.00000000012</v>
      </c>
      <c r="K46" s="68">
        <f>(SUM('Ann 13'!D39:D40)*100000)+('Ann 1'!$C$25*100000)</f>
        <v>830000.00000000012</v>
      </c>
    </row>
    <row r="47" spans="1:11" x14ac:dyDescent="0.6">
      <c r="A47" s="29"/>
      <c r="B47" s="30" t="s">
        <v>8</v>
      </c>
      <c r="C47" s="68">
        <f>SUM(C45:C46)</f>
        <v>2211015.384615385</v>
      </c>
      <c r="D47" s="68">
        <f t="shared" ref="D47:K47" si="15">SUM(D45:D46)</f>
        <v>2871923.0769230775</v>
      </c>
      <c r="E47" s="71">
        <f t="shared" si="15"/>
        <v>2784046.1538461545</v>
      </c>
      <c r="F47" s="71">
        <f t="shared" si="15"/>
        <v>2696169.2307692314</v>
      </c>
      <c r="G47" s="71">
        <f t="shared" si="15"/>
        <v>2608292.3076923084</v>
      </c>
      <c r="H47" s="71">
        <f t="shared" si="15"/>
        <v>1218669.2307692347</v>
      </c>
      <c r="I47" s="71">
        <f t="shared" si="15"/>
        <v>913000.00000000012</v>
      </c>
      <c r="J47" s="71">
        <f t="shared" si="15"/>
        <v>913000.00000000012</v>
      </c>
      <c r="K47" s="71">
        <f t="shared" si="15"/>
        <v>913000.00000000012</v>
      </c>
    </row>
    <row r="48" spans="1:11" x14ac:dyDescent="0.6">
      <c r="A48" s="29"/>
      <c r="B48" s="30" t="s">
        <v>148</v>
      </c>
      <c r="C48" s="68">
        <f>'Ann 4'!C18</f>
        <v>8825900</v>
      </c>
      <c r="D48" s="68">
        <f>'Ann 4'!D18</f>
        <v>8719671</v>
      </c>
      <c r="E48" s="71">
        <f>'Ann 4'!E18</f>
        <v>8592678.8699999992</v>
      </c>
      <c r="F48" s="71">
        <f>'Ann 4'!F18</f>
        <v>8443313.8358999994</v>
      </c>
      <c r="G48" s="71">
        <f>'Ann 4'!G18</f>
        <v>8269855.821662996</v>
      </c>
      <c r="H48" s="71">
        <f>'Ann 4'!H18</f>
        <v>8070467.0512919091</v>
      </c>
      <c r="I48" s="71">
        <f>'Ann 4'!I18</f>
        <v>7843184.1531804632</v>
      </c>
      <c r="J48" s="71">
        <f>'Ann 4'!J18</f>
        <v>7792284.4617539775</v>
      </c>
      <c r="K48" s="71">
        <f>'Ann 4'!K18</f>
        <v>7719471.5735054761</v>
      </c>
    </row>
    <row r="49" spans="1:11" x14ac:dyDescent="0.6">
      <c r="A49" s="44"/>
      <c r="B49" s="46" t="s">
        <v>149</v>
      </c>
      <c r="C49" s="19">
        <f>C48/C47</f>
        <v>3.9917858832697815</v>
      </c>
      <c r="D49" s="19">
        <f t="shared" ref="D49:H49" si="16">D48/D47</f>
        <v>3.0361784652470867</v>
      </c>
      <c r="E49" s="74">
        <f t="shared" si="16"/>
        <v>3.0863995764327505</v>
      </c>
      <c r="F49" s="74">
        <f t="shared" si="16"/>
        <v>3.1315963922231531</v>
      </c>
      <c r="G49" s="74">
        <f t="shared" si="16"/>
        <v>3.1706016220934097</v>
      </c>
      <c r="H49" s="74">
        <f t="shared" si="16"/>
        <v>6.6223605614443546</v>
      </c>
      <c r="I49" s="74">
        <v>0</v>
      </c>
      <c r="J49" s="74">
        <v>0</v>
      </c>
      <c r="K49" s="74">
        <v>0</v>
      </c>
    </row>
    <row r="50" spans="1:11" x14ac:dyDescent="0.6">
      <c r="A50" s="30"/>
      <c r="B50" s="72" t="s">
        <v>153</v>
      </c>
      <c r="C50" s="30"/>
      <c r="D50" s="30"/>
      <c r="E50" s="30"/>
      <c r="F50" s="30">
        <f>AVERAGE(C49:G49)</f>
        <v>3.2833123878532362</v>
      </c>
      <c r="G50" s="30"/>
      <c r="H50" s="30"/>
      <c r="I50" s="30"/>
      <c r="J50" s="30"/>
      <c r="K50" s="30"/>
    </row>
    <row r="51" spans="1:11" x14ac:dyDescent="0.6">
      <c r="I51" s="59"/>
      <c r="J51" s="59"/>
      <c r="K51" s="59"/>
    </row>
    <row r="53" spans="1:11" x14ac:dyDescent="0.6">
      <c r="A53" s="6" t="s">
        <v>228</v>
      </c>
    </row>
    <row r="54" spans="1:11" x14ac:dyDescent="0.6">
      <c r="A54" s="6" t="s">
        <v>136</v>
      </c>
    </row>
  </sheetData>
  <mergeCells count="3">
    <mergeCell ref="A5:A6"/>
    <mergeCell ref="B5:B6"/>
    <mergeCell ref="C5:K5"/>
  </mergeCells>
  <pageMargins left="0.7" right="0.7" top="0.75" bottom="0.75" header="0.3" footer="0.3"/>
  <pageSetup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A480-223F-4A3F-891A-2F2B726FC76B}">
  <dimension ref="A1:C17"/>
  <sheetViews>
    <sheetView workbookViewId="0">
      <selection activeCell="B18" sqref="B18"/>
    </sheetView>
  </sheetViews>
  <sheetFormatPr defaultRowHeight="14.5" x14ac:dyDescent="0.35"/>
  <cols>
    <col min="1" max="1" width="53.453125" bestFit="1" customWidth="1"/>
    <col min="2" max="2" width="13.6328125" bestFit="1" customWidth="1"/>
    <col min="3" max="3" width="11.1796875" bestFit="1" customWidth="1"/>
    <col min="4" max="4" width="12.54296875" bestFit="1" customWidth="1"/>
  </cols>
  <sheetData>
    <row r="1" spans="1:3" x14ac:dyDescent="0.35">
      <c r="A1" s="2" t="s">
        <v>231</v>
      </c>
    </row>
    <row r="3" spans="1:3" x14ac:dyDescent="0.35">
      <c r="A3" s="1" t="s">
        <v>234</v>
      </c>
    </row>
    <row r="5" spans="1:3" x14ac:dyDescent="0.35">
      <c r="A5" s="2" t="s">
        <v>232</v>
      </c>
    </row>
    <row r="6" spans="1:3" x14ac:dyDescent="0.35">
      <c r="A6" s="3" t="s">
        <v>240</v>
      </c>
    </row>
    <row r="7" spans="1:3" x14ac:dyDescent="0.35">
      <c r="A7" t="s">
        <v>233</v>
      </c>
      <c r="B7">
        <v>5</v>
      </c>
      <c r="C7" t="s">
        <v>237</v>
      </c>
    </row>
    <row r="8" spans="1:3" x14ac:dyDescent="0.35">
      <c r="A8" t="s">
        <v>235</v>
      </c>
      <c r="B8">
        <v>30</v>
      </c>
      <c r="C8" t="s">
        <v>238</v>
      </c>
    </row>
    <row r="9" spans="1:3" x14ac:dyDescent="0.35">
      <c r="A9" t="s">
        <v>236</v>
      </c>
      <c r="B9">
        <f>B8*3000*20/B7</f>
        <v>360000</v>
      </c>
      <c r="C9" t="s">
        <v>239</v>
      </c>
    </row>
    <row r="11" spans="1:3" x14ac:dyDescent="0.35">
      <c r="A11" s="3" t="s">
        <v>241</v>
      </c>
    </row>
    <row r="12" spans="1:3" x14ac:dyDescent="0.35">
      <c r="A12" s="3" t="s">
        <v>233</v>
      </c>
      <c r="B12">
        <v>0.5</v>
      </c>
      <c r="C12" t="s">
        <v>242</v>
      </c>
    </row>
    <row r="13" spans="1:3" x14ac:dyDescent="0.35">
      <c r="A13" s="3" t="s">
        <v>243</v>
      </c>
      <c r="B13">
        <f>B12*3000*30</f>
        <v>45000</v>
      </c>
      <c r="C13" t="s">
        <v>244</v>
      </c>
    </row>
    <row r="15" spans="1:3" x14ac:dyDescent="0.35">
      <c r="A15" t="s">
        <v>245</v>
      </c>
      <c r="B15">
        <f>B13+B9</f>
        <v>405000</v>
      </c>
    </row>
    <row r="16" spans="1:3" x14ac:dyDescent="0.35">
      <c r="A16" t="s">
        <v>246</v>
      </c>
      <c r="B16">
        <v>75</v>
      </c>
    </row>
    <row r="17" spans="1:2" x14ac:dyDescent="0.35">
      <c r="A17" t="s">
        <v>247</v>
      </c>
      <c r="B17" s="4">
        <f>B15*B16</f>
        <v>30375000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1FBF-6FFA-405B-9A95-302F8FAA33B6}">
  <dimension ref="A1:E17"/>
  <sheetViews>
    <sheetView workbookViewId="0">
      <selection activeCell="A12" sqref="A12"/>
    </sheetView>
  </sheetViews>
  <sheetFormatPr defaultRowHeight="17" x14ac:dyDescent="0.6"/>
  <cols>
    <col min="1" max="1" width="5.6328125" style="6" bestFit="1" customWidth="1"/>
    <col min="2" max="2" width="26.08984375" style="6" bestFit="1" customWidth="1"/>
    <col min="3" max="3" width="8.7265625" style="6"/>
    <col min="4" max="4" width="25" style="6" bestFit="1" customWidth="1"/>
    <col min="5" max="5" width="12.54296875" style="6" bestFit="1" customWidth="1"/>
    <col min="6" max="16384" width="8.7265625" style="6"/>
  </cols>
  <sheetData>
    <row r="1" spans="1:5" x14ac:dyDescent="0.6">
      <c r="A1" s="5" t="s">
        <v>266</v>
      </c>
    </row>
    <row r="3" spans="1:5" x14ac:dyDescent="0.6">
      <c r="A3" s="81" t="s">
        <v>157</v>
      </c>
    </row>
    <row r="5" spans="1:5" x14ac:dyDescent="0.6">
      <c r="A5" s="10" t="s">
        <v>52</v>
      </c>
      <c r="B5" s="10" t="s">
        <v>53</v>
      </c>
      <c r="C5" s="10" t="s">
        <v>54</v>
      </c>
      <c r="D5" s="10" t="s">
        <v>55</v>
      </c>
      <c r="E5" s="10" t="s">
        <v>227</v>
      </c>
    </row>
    <row r="6" spans="1:5" x14ac:dyDescent="0.6">
      <c r="A6" s="61" t="s">
        <v>56</v>
      </c>
      <c r="B6" s="61" t="s">
        <v>180</v>
      </c>
      <c r="C6" s="61">
        <v>4</v>
      </c>
      <c r="D6" s="60">
        <v>20000</v>
      </c>
      <c r="E6" s="60">
        <f>D6*C6*12</f>
        <v>960000</v>
      </c>
    </row>
    <row r="7" spans="1:5" x14ac:dyDescent="0.6">
      <c r="A7" s="7" t="s">
        <v>57</v>
      </c>
      <c r="B7" s="7" t="s">
        <v>60</v>
      </c>
      <c r="C7" s="7">
        <v>1</v>
      </c>
      <c r="D7" s="60">
        <v>29000</v>
      </c>
      <c r="E7" s="60">
        <f>D7*C7*12</f>
        <v>348000</v>
      </c>
    </row>
    <row r="8" spans="1:5" x14ac:dyDescent="0.6">
      <c r="A8" s="7" t="s">
        <v>61</v>
      </c>
      <c r="B8" s="7" t="s">
        <v>226</v>
      </c>
      <c r="C8" s="7">
        <v>10</v>
      </c>
      <c r="D8" s="60">
        <v>12000</v>
      </c>
      <c r="E8" s="60">
        <f>D8*C8*12</f>
        <v>1440000</v>
      </c>
    </row>
    <row r="9" spans="1:5" x14ac:dyDescent="0.6">
      <c r="A9" s="7" t="s">
        <v>225</v>
      </c>
      <c r="B9" s="7" t="s">
        <v>158</v>
      </c>
      <c r="C9" s="7">
        <v>3</v>
      </c>
      <c r="D9" s="60">
        <v>10500</v>
      </c>
      <c r="E9" s="60">
        <f>D9*C9*12</f>
        <v>378000</v>
      </c>
    </row>
    <row r="10" spans="1:5" x14ac:dyDescent="0.6">
      <c r="A10" s="123" t="s">
        <v>8</v>
      </c>
      <c r="B10" s="123"/>
      <c r="C10" s="123"/>
      <c r="D10" s="123"/>
      <c r="E10" s="83">
        <f>SUM(E6:E9)</f>
        <v>3126000</v>
      </c>
    </row>
    <row r="11" spans="1:5" x14ac:dyDescent="0.6">
      <c r="A11" s="38"/>
      <c r="B11" s="40"/>
      <c r="C11" s="40"/>
      <c r="D11" s="40"/>
      <c r="E11" s="65"/>
    </row>
    <row r="12" spans="1:5" x14ac:dyDescent="0.6">
      <c r="A12" s="44" t="s">
        <v>259</v>
      </c>
      <c r="B12" s="46"/>
      <c r="C12" s="46"/>
      <c r="D12" s="46"/>
      <c r="E12" s="84">
        <f>E10*20%</f>
        <v>625200</v>
      </c>
    </row>
    <row r="13" spans="1:5" x14ac:dyDescent="0.6">
      <c r="A13" s="33" t="s">
        <v>8</v>
      </c>
      <c r="B13" s="34"/>
      <c r="C13" s="34"/>
      <c r="D13" s="34"/>
      <c r="E13" s="85">
        <f>SUM(E10:E12)</f>
        <v>3751200</v>
      </c>
    </row>
    <row r="15" spans="1:5" x14ac:dyDescent="0.6">
      <c r="A15" s="6" t="s">
        <v>58</v>
      </c>
      <c r="E15" s="59">
        <f>E13</f>
        <v>3751200</v>
      </c>
    </row>
    <row r="16" spans="1:5" x14ac:dyDescent="0.6">
      <c r="A16" s="6" t="s">
        <v>59</v>
      </c>
      <c r="E16" s="86">
        <v>0.05</v>
      </c>
    </row>
    <row r="17" spans="1:5" x14ac:dyDescent="0.6">
      <c r="A17" s="6" t="s">
        <v>160</v>
      </c>
      <c r="E17" s="6">
        <f>SUM(C6:C9)</f>
        <v>18</v>
      </c>
    </row>
  </sheetData>
  <mergeCells count="1">
    <mergeCell ref="A10:D1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6B57-BA66-499F-8B17-ED356988118B}">
  <dimension ref="A1:F22"/>
  <sheetViews>
    <sheetView workbookViewId="0">
      <selection activeCell="C18" sqref="C18"/>
    </sheetView>
  </sheetViews>
  <sheetFormatPr defaultRowHeight="17" x14ac:dyDescent="0.6"/>
  <cols>
    <col min="1" max="1" width="6.36328125" style="6" bestFit="1" customWidth="1"/>
    <col min="2" max="2" width="18.81640625" style="6" bestFit="1" customWidth="1"/>
    <col min="3" max="3" width="19.453125" style="6" bestFit="1" customWidth="1"/>
    <col min="4" max="4" width="18.08984375" style="6" bestFit="1" customWidth="1"/>
    <col min="5" max="5" width="14.453125" style="6" bestFit="1" customWidth="1"/>
    <col min="6" max="6" width="26.453125" style="6" bestFit="1" customWidth="1"/>
    <col min="7" max="16384" width="8.7265625" style="6"/>
  </cols>
  <sheetData>
    <row r="1" spans="1:6" x14ac:dyDescent="0.6">
      <c r="A1" s="5" t="s">
        <v>63</v>
      </c>
    </row>
    <row r="3" spans="1:6" x14ac:dyDescent="0.6">
      <c r="A3" s="81" t="s">
        <v>62</v>
      </c>
    </row>
    <row r="5" spans="1:6" x14ac:dyDescent="0.6">
      <c r="A5" s="24" t="s">
        <v>24</v>
      </c>
      <c r="B5" s="24" t="s">
        <v>3</v>
      </c>
      <c r="C5" s="24" t="s">
        <v>66</v>
      </c>
      <c r="D5" s="24" t="s">
        <v>11</v>
      </c>
      <c r="E5" s="24" t="s">
        <v>67</v>
      </c>
      <c r="F5" s="24" t="s">
        <v>68</v>
      </c>
    </row>
    <row r="6" spans="1:6" x14ac:dyDescent="0.6">
      <c r="A6" s="7" t="s">
        <v>56</v>
      </c>
      <c r="B6" s="7" t="s">
        <v>13</v>
      </c>
      <c r="C6" s="60">
        <f>'Ann 1'!C12*100000</f>
        <v>2200000</v>
      </c>
      <c r="D6" s="60">
        <f>('Ann 1'!C20+'Ann 1'!C37)*100000</f>
        <v>8470000</v>
      </c>
      <c r="E6" s="60">
        <v>0</v>
      </c>
      <c r="F6" s="107">
        <f>SUM(C6:E6)/100000</f>
        <v>106.7</v>
      </c>
    </row>
    <row r="7" spans="1:6" x14ac:dyDescent="0.6">
      <c r="A7" s="7" t="s">
        <v>57</v>
      </c>
      <c r="B7" s="7" t="s">
        <v>64</v>
      </c>
      <c r="C7" s="60">
        <v>0</v>
      </c>
      <c r="D7" s="60">
        <v>0</v>
      </c>
      <c r="E7" s="60">
        <v>0</v>
      </c>
      <c r="F7" s="108">
        <f>SUM(C7:E7)/100000</f>
        <v>0</v>
      </c>
    </row>
    <row r="8" spans="1:6" x14ac:dyDescent="0.6">
      <c r="A8" s="7" t="s">
        <v>61</v>
      </c>
      <c r="B8" s="7" t="s">
        <v>65</v>
      </c>
      <c r="C8" s="60">
        <v>0</v>
      </c>
      <c r="D8" s="60">
        <v>0</v>
      </c>
      <c r="E8" s="60">
        <v>0</v>
      </c>
      <c r="F8" s="108">
        <f>SUM(C8:E8)/100000</f>
        <v>0</v>
      </c>
    </row>
    <row r="9" spans="1:6" x14ac:dyDescent="0.6">
      <c r="A9" s="7"/>
      <c r="B9" s="123" t="s">
        <v>8</v>
      </c>
      <c r="C9" s="123"/>
      <c r="D9" s="123"/>
      <c r="E9" s="123"/>
      <c r="F9" s="107">
        <f>SUM(F6:F8)</f>
        <v>106.7</v>
      </c>
    </row>
    <row r="11" spans="1:6" x14ac:dyDescent="0.6">
      <c r="A11" s="7"/>
      <c r="B11" s="7" t="s">
        <v>69</v>
      </c>
      <c r="C11" s="97">
        <v>0.1</v>
      </c>
      <c r="D11" s="97">
        <v>0.15</v>
      </c>
      <c r="E11" s="97">
        <v>0.1</v>
      </c>
      <c r="F11" s="7" t="s">
        <v>179</v>
      </c>
    </row>
    <row r="12" spans="1:6" x14ac:dyDescent="0.6">
      <c r="A12" s="109" t="s">
        <v>70</v>
      </c>
      <c r="B12" s="82">
        <v>1</v>
      </c>
      <c r="C12" s="110">
        <f>C11*C6</f>
        <v>220000</v>
      </c>
      <c r="D12" s="110">
        <f>D11*D6</f>
        <v>1270500</v>
      </c>
      <c r="E12" s="110">
        <f>E11*E6</f>
        <v>0</v>
      </c>
      <c r="F12" s="110">
        <f>SUM(C12:E12)</f>
        <v>1490500</v>
      </c>
    </row>
    <row r="13" spans="1:6" x14ac:dyDescent="0.6">
      <c r="A13" s="109" t="s">
        <v>70</v>
      </c>
      <c r="B13" s="82">
        <v>2</v>
      </c>
      <c r="C13" s="110">
        <f>(C6-C12)*C11</f>
        <v>198000</v>
      </c>
      <c r="D13" s="110">
        <f>(D6-D12)*D11</f>
        <v>1079925</v>
      </c>
      <c r="E13" s="110">
        <f>(E6-E12)*E11</f>
        <v>0</v>
      </c>
      <c r="F13" s="110">
        <f>SUM(C13:E13)</f>
        <v>1277925</v>
      </c>
    </row>
    <row r="14" spans="1:6" x14ac:dyDescent="0.6">
      <c r="A14" s="109" t="s">
        <v>70</v>
      </c>
      <c r="B14" s="82">
        <v>3</v>
      </c>
      <c r="C14" s="110">
        <f>(C6-C12-C13)*C11</f>
        <v>178200</v>
      </c>
      <c r="D14" s="110">
        <f>(D6-D12-D13)*D11</f>
        <v>917936.25</v>
      </c>
      <c r="E14" s="110">
        <f>(E6-E12-E13)*E11</f>
        <v>0</v>
      </c>
      <c r="F14" s="110">
        <f t="shared" ref="F14:F20" si="0">SUM(C14:E14)</f>
        <v>1096136.25</v>
      </c>
    </row>
    <row r="15" spans="1:6" x14ac:dyDescent="0.6">
      <c r="A15" s="109" t="s">
        <v>70</v>
      </c>
      <c r="B15" s="82">
        <v>4</v>
      </c>
      <c r="C15" s="110">
        <f>(C6-C12-C13-C14)*C11</f>
        <v>160380</v>
      </c>
      <c r="D15" s="110">
        <f>(D6-D12-D13-D14)*D11</f>
        <v>780245.8125</v>
      </c>
      <c r="E15" s="110">
        <f>(E6-E12-E13-E14)*E11</f>
        <v>0</v>
      </c>
      <c r="F15" s="110">
        <f t="shared" si="0"/>
        <v>940625.8125</v>
      </c>
    </row>
    <row r="16" spans="1:6" x14ac:dyDescent="0.6">
      <c r="A16" s="109" t="s">
        <v>70</v>
      </c>
      <c r="B16" s="82">
        <v>5</v>
      </c>
      <c r="C16" s="110">
        <f>(C6-C12-C13-C14-C15)*C11</f>
        <v>144342</v>
      </c>
      <c r="D16" s="110">
        <f>(D6-D12-D13-D14-D15)*D11</f>
        <v>663208.94062499993</v>
      </c>
      <c r="E16" s="110">
        <f>(E6-E12-E13-E14-E15)*E11</f>
        <v>0</v>
      </c>
      <c r="F16" s="110">
        <f t="shared" si="0"/>
        <v>807550.94062499993</v>
      </c>
    </row>
    <row r="17" spans="1:6" x14ac:dyDescent="0.6">
      <c r="A17" s="109" t="s">
        <v>70</v>
      </c>
      <c r="B17" s="82">
        <v>6</v>
      </c>
      <c r="C17" s="110">
        <f>(C6-C12-C13-C14-C15-C16)*C11</f>
        <v>129907.8</v>
      </c>
      <c r="D17" s="110">
        <f>(D6-D12-D13-D14-D15-D16)*D11</f>
        <v>563727.59953124996</v>
      </c>
      <c r="E17" s="110">
        <f>(E6-E12-E13-E14-E15-E16)*E11</f>
        <v>0</v>
      </c>
      <c r="F17" s="110">
        <f t="shared" si="0"/>
        <v>693635.39953125</v>
      </c>
    </row>
    <row r="18" spans="1:6" x14ac:dyDescent="0.6">
      <c r="A18" s="109" t="s">
        <v>70</v>
      </c>
      <c r="B18" s="82">
        <v>7</v>
      </c>
      <c r="C18" s="110">
        <f>(C6-C12-C13-C14-C15-C16-C17)*C11</f>
        <v>116917.02</v>
      </c>
      <c r="D18" s="110">
        <f>(D6-D12-D13-D14-D15-D16-D17)*D11</f>
        <v>479168.45960156247</v>
      </c>
      <c r="E18" s="110">
        <f>(E6-E12-E13-E14-E15-E16-E17)*E11</f>
        <v>0</v>
      </c>
      <c r="F18" s="110">
        <f t="shared" si="0"/>
        <v>596085.47960156249</v>
      </c>
    </row>
    <row r="19" spans="1:6" x14ac:dyDescent="0.6">
      <c r="A19" s="109" t="s">
        <v>70</v>
      </c>
      <c r="B19" s="82">
        <v>8</v>
      </c>
      <c r="C19" s="110">
        <f>(C6-C12-C13-C14-C15-C16-C17-C18)*C11</f>
        <v>105225.318</v>
      </c>
      <c r="D19" s="110">
        <f>(D6-D12-D13-D14-D15-D16-D17-D18)*D11</f>
        <v>407293.19066132815</v>
      </c>
      <c r="E19" s="110">
        <f>(E6-E12-E13-E14-E15-E16-E17-E18)*E11</f>
        <v>0</v>
      </c>
      <c r="F19" s="110">
        <f t="shared" si="0"/>
        <v>512518.50866132812</v>
      </c>
    </row>
    <row r="20" spans="1:6" x14ac:dyDescent="0.6">
      <c r="A20" s="109" t="s">
        <v>70</v>
      </c>
      <c r="B20" s="82">
        <v>9</v>
      </c>
      <c r="C20" s="110">
        <f>(C6-C12-C13-C14-C15-C16-C17-C18-C19)*C11</f>
        <v>94702.786200000002</v>
      </c>
      <c r="D20" s="110">
        <f>(D6-D12-D13-D14-D15-D16-D17-D18-D19)*D11</f>
        <v>346199.21206212894</v>
      </c>
      <c r="E20" s="110">
        <f>(E6-E12-E13-E14-E15-E16-E17-E18-E19)*E11</f>
        <v>0</v>
      </c>
      <c r="F20" s="110">
        <f t="shared" si="0"/>
        <v>440901.99826212891</v>
      </c>
    </row>
    <row r="21" spans="1:6" x14ac:dyDescent="0.6">
      <c r="B21" s="21"/>
    </row>
    <row r="22" spans="1:6" x14ac:dyDescent="0.6">
      <c r="A22" s="111"/>
    </row>
  </sheetData>
  <mergeCells count="1">
    <mergeCell ref="B9:E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Ann 1</vt:lpstr>
      <vt:lpstr>Ann 2</vt:lpstr>
      <vt:lpstr>Ann 3</vt:lpstr>
      <vt:lpstr>Ann 4</vt:lpstr>
      <vt:lpstr>Ann 5</vt:lpstr>
      <vt:lpstr>Ann 6</vt:lpstr>
      <vt:lpstr>Ann 8</vt:lpstr>
      <vt:lpstr>Ann 9</vt:lpstr>
      <vt:lpstr>Ann 10</vt:lpstr>
      <vt:lpstr>Ann 11</vt:lpstr>
      <vt:lpstr>Ann 12</vt:lpstr>
      <vt:lpstr>Ann 13</vt:lpstr>
      <vt:lpstr>Ann 14</vt:lpstr>
      <vt:lpstr>Budgets</vt:lpstr>
      <vt:lpstr>For word file</vt:lpstr>
      <vt:lpstr>Assumptions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Navodita Arya</dc:creator>
  <cp:lastModifiedBy>Navodita Arya</cp:lastModifiedBy>
  <cp:lastPrinted>2021-11-11T11:24:03Z</cp:lastPrinted>
  <dcterms:created xsi:type="dcterms:W3CDTF">2021-07-04T07:21:16Z</dcterms:created>
  <dcterms:modified xsi:type="dcterms:W3CDTF">2021-11-11T11:24:06Z</dcterms:modified>
</cp:coreProperties>
</file>