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1. Assignments\6. Ashiwini Mittal Sir- Nabcons\8. CHC\"/>
    </mc:Choice>
  </mc:AlternateContent>
  <xr:revisionPtr revIDLastSave="0" documentId="13_ncr:1_{E28FBA36-3CBA-48B7-9AF9-7643DBD5F264}" xr6:coauthVersionLast="47" xr6:coauthVersionMax="47" xr10:uidLastSave="{00000000-0000-0000-0000-000000000000}"/>
  <bookViews>
    <workbookView xWindow="-110" yWindow="-110" windowWidth="19420" windowHeight="11020" firstSheet="2" activeTab="7" xr2:uid="{8B0049CE-B79C-4EF0-8FA8-FBBF9BECEBD1}"/>
  </bookViews>
  <sheets>
    <sheet name="Contents" sheetId="21" r:id="rId1"/>
    <sheet name="Ann 1" sheetId="1" r:id="rId2"/>
    <sheet name="Ann 2" sheetId="2" r:id="rId3"/>
    <sheet name="Ann 3" sheetId="3" r:id="rId4"/>
    <sheet name="Ann 4" sheetId="4" r:id="rId5"/>
    <sheet name="Ann 5" sheetId="7" r:id="rId6"/>
    <sheet name="Ann 6" sheetId="23" r:id="rId7"/>
    <sheet name="Ann 8" sheetId="9" r:id="rId8"/>
    <sheet name="Ann 9" sheetId="10" r:id="rId9"/>
    <sheet name="Ann 10" sheetId="13" r:id="rId10"/>
    <sheet name="Ann 11" sheetId="11" r:id="rId11"/>
    <sheet name="Ann 12" sheetId="12" state="hidden" r:id="rId12"/>
    <sheet name="Ann 13" sheetId="14" r:id="rId13"/>
    <sheet name="Ann 14" sheetId="18" r:id="rId14"/>
    <sheet name="Budgets" sheetId="19" r:id="rId15"/>
    <sheet name="For word file" sheetId="20" state="hidden" r:id="rId16"/>
    <sheet name="Assumptions" sheetId="22" r:id="rId17"/>
    <sheet name="Sheet1" sheetId="15" state="hidden" r:id="rId18"/>
  </sheets>
  <externalReferences>
    <externalReference r:id="rId1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9" i="11" l="1"/>
  <c r="D23" i="11" s="1"/>
  <c r="B9" i="23"/>
  <c r="B17" i="23"/>
  <c r="B13" i="23"/>
  <c r="B14" i="19"/>
  <c r="B13" i="19"/>
  <c r="B11" i="19"/>
  <c r="B19" i="19" s="1"/>
  <c r="B12" i="19"/>
  <c r="B18" i="19" s="1"/>
  <c r="G9" i="3"/>
  <c r="D24" i="4"/>
  <c r="E24" i="4"/>
  <c r="F24" i="4"/>
  <c r="G24" i="4"/>
  <c r="H24" i="4"/>
  <c r="I24" i="4"/>
  <c r="J24" i="4"/>
  <c r="K24" i="4"/>
  <c r="C24" i="4"/>
  <c r="G8" i="3"/>
  <c r="G25" i="3"/>
  <c r="D21" i="11" l="1"/>
  <c r="C5" i="19"/>
  <c r="D27" i="11"/>
  <c r="J5" i="19"/>
  <c r="C21" i="11"/>
  <c r="D6" i="19"/>
  <c r="C27" i="11"/>
  <c r="C22" i="11"/>
  <c r="D22" i="11"/>
  <c r="D20" i="11"/>
  <c r="B19" i="23"/>
  <c r="B6" i="19"/>
  <c r="I5" i="19"/>
  <c r="J6" i="19"/>
  <c r="H5" i="19"/>
  <c r="F5" i="19"/>
  <c r="G6" i="19"/>
  <c r="I6" i="19"/>
  <c r="G5" i="19"/>
  <c r="H6" i="19"/>
  <c r="E5" i="19"/>
  <c r="F6" i="19"/>
  <c r="D5" i="19"/>
  <c r="D8" i="19" s="1"/>
  <c r="E6" i="19"/>
  <c r="C6" i="19"/>
  <c r="C8" i="19" s="1"/>
  <c r="B5" i="19"/>
  <c r="C7" i="2"/>
  <c r="B4" i="18" s="1"/>
  <c r="G4" i="3"/>
  <c r="A9" i="21"/>
  <c r="J8" i="19" l="1"/>
  <c r="H8" i="19"/>
  <c r="I8" i="19"/>
  <c r="B8" i="19"/>
  <c r="F8" i="19"/>
  <c r="G8" i="19"/>
  <c r="E8" i="19"/>
  <c r="B21" i="23"/>
  <c r="G8" i="4" s="1"/>
  <c r="G18" i="3"/>
  <c r="C11" i="1"/>
  <c r="D5" i="22"/>
  <c r="E4" i="22"/>
  <c r="E5" i="22" s="1"/>
  <c r="A6" i="21"/>
  <c r="E8" i="4" l="1"/>
  <c r="K8" i="4"/>
  <c r="F8" i="4"/>
  <c r="H8" i="4"/>
  <c r="C8" i="4"/>
  <c r="J8" i="4"/>
  <c r="D8" i="4"/>
  <c r="I8" i="4"/>
  <c r="F4" i="22"/>
  <c r="G5" i="3"/>
  <c r="A14" i="21"/>
  <c r="A12" i="21"/>
  <c r="A11" i="21"/>
  <c r="A10" i="21"/>
  <c r="K46" i="7"/>
  <c r="J46" i="7"/>
  <c r="D22" i="7"/>
  <c r="E22" i="7"/>
  <c r="F22" i="7"/>
  <c r="G22" i="7"/>
  <c r="H22" i="7"/>
  <c r="I22" i="7"/>
  <c r="I33" i="7" s="1"/>
  <c r="J22" i="7"/>
  <c r="J33" i="7" s="1"/>
  <c r="K22" i="7"/>
  <c r="K33" i="7" s="1"/>
  <c r="C22" i="7"/>
  <c r="E8" i="9"/>
  <c r="A15" i="21"/>
  <c r="F5" i="22" l="1"/>
  <c r="G4" i="22"/>
  <c r="A17" i="21"/>
  <c r="A16" i="21"/>
  <c r="A13" i="21"/>
  <c r="A8" i="21"/>
  <c r="A7" i="21"/>
  <c r="A5" i="21"/>
  <c r="A4" i="21"/>
  <c r="C19" i="11"/>
  <c r="C22" i="18"/>
  <c r="K22" i="18"/>
  <c r="J22" i="18"/>
  <c r="I22" i="18"/>
  <c r="H22" i="18"/>
  <c r="G22" i="18"/>
  <c r="F22" i="18"/>
  <c r="E22" i="18"/>
  <c r="D22" i="18"/>
  <c r="C20" i="11" l="1"/>
  <c r="G5" i="22"/>
  <c r="H4" i="22"/>
  <c r="C23" i="11"/>
  <c r="C39" i="4"/>
  <c r="G27" i="3"/>
  <c r="I40" i="7"/>
  <c r="J40" i="7"/>
  <c r="K40" i="7"/>
  <c r="C7" i="4" l="1"/>
  <c r="C24" i="11"/>
  <c r="C25" i="11" s="1"/>
  <c r="C26" i="11" s="1"/>
  <c r="C28" i="11" s="1"/>
  <c r="E28" i="11" s="1"/>
  <c r="D24" i="11"/>
  <c r="D25" i="11" s="1"/>
  <c r="D26" i="11" s="1"/>
  <c r="D28" i="11" s="1"/>
  <c r="C19" i="1"/>
  <c r="C9" i="4"/>
  <c r="D9" i="4" s="1"/>
  <c r="E9" i="4" s="1"/>
  <c r="F9" i="4" s="1"/>
  <c r="G9" i="4" s="1"/>
  <c r="H9" i="4" s="1"/>
  <c r="I9" i="4" s="1"/>
  <c r="J9" i="4" s="1"/>
  <c r="K9" i="4" s="1"/>
  <c r="G29" i="3"/>
  <c r="H5" i="22"/>
  <c r="I4" i="22"/>
  <c r="D38" i="4"/>
  <c r="D39" i="4" s="1"/>
  <c r="D7" i="4" s="1"/>
  <c r="I5" i="22" l="1"/>
  <c r="J4" i="22"/>
  <c r="E38" i="4"/>
  <c r="E39" i="4" s="1"/>
  <c r="E7" i="4" s="1"/>
  <c r="I7" i="19"/>
  <c r="H7" i="19"/>
  <c r="D7" i="19"/>
  <c r="G7" i="19"/>
  <c r="F7" i="19"/>
  <c r="E7" i="19"/>
  <c r="C7" i="19"/>
  <c r="J7" i="19"/>
  <c r="B7" i="19" l="1"/>
  <c r="K4" i="22"/>
  <c r="J5" i="22"/>
  <c r="F38" i="4"/>
  <c r="F39" i="4" s="1"/>
  <c r="F7" i="4" s="1"/>
  <c r="K5" i="22" l="1"/>
  <c r="L4" i="22"/>
  <c r="L5" i="22" s="1"/>
  <c r="K19" i="4"/>
  <c r="K10" i="4" s="1"/>
  <c r="C19" i="4"/>
  <c r="C10" i="4" s="1"/>
  <c r="G38" i="4"/>
  <c r="G39" i="4" s="1"/>
  <c r="G7" i="4" s="1"/>
  <c r="C15" i="4" l="1"/>
  <c r="K15" i="4"/>
  <c r="C12" i="7"/>
  <c r="C8" i="18" s="1"/>
  <c r="K12" i="7"/>
  <c r="E5" i="11"/>
  <c r="D7" i="11" s="1"/>
  <c r="E19" i="4"/>
  <c r="E10" i="4" s="1"/>
  <c r="I19" i="4"/>
  <c r="I10" i="4" s="1"/>
  <c r="J19" i="4"/>
  <c r="J10" i="4" s="1"/>
  <c r="D19" i="4"/>
  <c r="D10" i="4" s="1"/>
  <c r="F19" i="4"/>
  <c r="F10" i="4" s="1"/>
  <c r="G19" i="4"/>
  <c r="G10" i="4" s="1"/>
  <c r="H19" i="4"/>
  <c r="H10" i="4" s="1"/>
  <c r="J3" i="20"/>
  <c r="B3" i="20"/>
  <c r="H38" i="4"/>
  <c r="H39" i="4" s="1"/>
  <c r="H7" i="4" s="1"/>
  <c r="H15" i="4" l="1"/>
  <c r="F15" i="4"/>
  <c r="I15" i="4"/>
  <c r="D15" i="4"/>
  <c r="E15" i="4"/>
  <c r="G15" i="4"/>
  <c r="J15" i="4"/>
  <c r="J12" i="7"/>
  <c r="D12" i="7"/>
  <c r="D8" i="18" s="1"/>
  <c r="E12" i="7"/>
  <c r="E8" i="18" s="1"/>
  <c r="H12" i="7"/>
  <c r="G12" i="7"/>
  <c r="F12" i="7"/>
  <c r="I12" i="7"/>
  <c r="G3" i="20"/>
  <c r="C3" i="20"/>
  <c r="D3" i="20"/>
  <c r="I3" i="20"/>
  <c r="H3" i="20"/>
  <c r="E3" i="20"/>
  <c r="F3" i="20"/>
  <c r="I38" i="4"/>
  <c r="I39" i="4" l="1"/>
  <c r="I7" i="4" s="1"/>
  <c r="J38" i="4"/>
  <c r="K38" i="4" s="1"/>
  <c r="D9" i="11" l="1"/>
  <c r="J39" i="4"/>
  <c r="J7" i="4" s="1"/>
  <c r="C12" i="1"/>
  <c r="C6" i="10" s="1"/>
  <c r="C35" i="1"/>
  <c r="C28" i="4" s="1"/>
  <c r="J25" i="4"/>
  <c r="K25" i="4"/>
  <c r="K12" i="18" s="1"/>
  <c r="K39" i="4" l="1"/>
  <c r="K7" i="4" s="1"/>
  <c r="J12" i="18"/>
  <c r="J45" i="7"/>
  <c r="K45" i="7"/>
  <c r="E6" i="9"/>
  <c r="E17" i="9"/>
  <c r="D11" i="4" l="1"/>
  <c r="D12" i="4" s="1"/>
  <c r="E12" i="10"/>
  <c r="J47" i="7"/>
  <c r="K47" i="7"/>
  <c r="C12" i="10"/>
  <c r="C20" i="1"/>
  <c r="D6" i="10" s="1"/>
  <c r="D12" i="10" s="1"/>
  <c r="D13" i="10" s="1"/>
  <c r="C16" i="1"/>
  <c r="F8" i="10"/>
  <c r="F7" i="10"/>
  <c r="E9" i="9"/>
  <c r="E7" i="9"/>
  <c r="C9" i="1"/>
  <c r="C39" i="1" l="1"/>
  <c r="C8" i="2" s="1"/>
  <c r="C9" i="7"/>
  <c r="F6" i="10"/>
  <c r="F12" i="10"/>
  <c r="E13" i="11" s="1"/>
  <c r="C29" i="4"/>
  <c r="D10" i="18"/>
  <c r="C7" i="15"/>
  <c r="E10" i="9"/>
  <c r="E12" i="9" s="1"/>
  <c r="E10" i="18"/>
  <c r="C10" i="7"/>
  <c r="B10" i="13"/>
  <c r="C13" i="10"/>
  <c r="C3" i="15"/>
  <c r="E13" i="10"/>
  <c r="K6" i="12"/>
  <c r="E5" i="12"/>
  <c r="H6" i="12"/>
  <c r="E6" i="12"/>
  <c r="D6" i="12"/>
  <c r="F6" i="12"/>
  <c r="F5" i="12"/>
  <c r="G5" i="12"/>
  <c r="I6" i="12"/>
  <c r="D14" i="10"/>
  <c r="C4" i="2" l="1"/>
  <c r="C6" i="2" s="1"/>
  <c r="F9" i="10"/>
  <c r="B7" i="18"/>
  <c r="B25" i="18" s="1"/>
  <c r="B26" i="18" s="1"/>
  <c r="F13" i="10"/>
  <c r="C11" i="7"/>
  <c r="D9" i="7" s="1"/>
  <c r="E11" i="4"/>
  <c r="E12" i="4" s="1"/>
  <c r="E13" i="9"/>
  <c r="F3" i="15"/>
  <c r="F10" i="18"/>
  <c r="C14" i="10"/>
  <c r="F14" i="10" s="1"/>
  <c r="C10" i="13"/>
  <c r="D29" i="4"/>
  <c r="D10" i="7"/>
  <c r="E3" i="15"/>
  <c r="D3" i="15"/>
  <c r="E14" i="10"/>
  <c r="H5" i="12"/>
  <c r="J5" i="12"/>
  <c r="C6" i="12"/>
  <c r="J6" i="12"/>
  <c r="D5" i="12"/>
  <c r="I5" i="12"/>
  <c r="C5" i="12"/>
  <c r="G6" i="12"/>
  <c r="K5" i="12"/>
  <c r="D15" i="10"/>
  <c r="D16" i="10" s="1"/>
  <c r="D17" i="10" s="1"/>
  <c r="B6" i="18" l="1"/>
  <c r="D4" i="14"/>
  <c r="D11" i="14" s="1"/>
  <c r="E15" i="9"/>
  <c r="C14" i="4"/>
  <c r="C17" i="7"/>
  <c r="B5" i="18" s="1"/>
  <c r="C39" i="7"/>
  <c r="F11" i="4"/>
  <c r="F12" i="4" s="1"/>
  <c r="G10" i="18"/>
  <c r="D11" i="7"/>
  <c r="D39" i="7" s="1"/>
  <c r="E29" i="4"/>
  <c r="E10" i="7"/>
  <c r="D10" i="13"/>
  <c r="C15" i="10"/>
  <c r="E15" i="10"/>
  <c r="D18" i="10"/>
  <c r="D14" i="4" l="1"/>
  <c r="C23" i="7"/>
  <c r="B13" i="18"/>
  <c r="B15" i="18" s="1"/>
  <c r="B17" i="18" s="1"/>
  <c r="B19" i="18" s="1"/>
  <c r="C4" i="18" s="1"/>
  <c r="C23" i="18" s="1"/>
  <c r="C24" i="18" s="1"/>
  <c r="D12" i="14"/>
  <c r="D13" i="14" s="1"/>
  <c r="C9" i="14"/>
  <c r="E9" i="14" s="1"/>
  <c r="C11" i="14"/>
  <c r="C10" i="14"/>
  <c r="E10" i="14" s="1"/>
  <c r="B23" i="18"/>
  <c r="E12" i="11"/>
  <c r="C16" i="4"/>
  <c r="F15" i="10"/>
  <c r="G11" i="4"/>
  <c r="G12" i="4" s="1"/>
  <c r="F8" i="18"/>
  <c r="H10" i="18"/>
  <c r="G3" i="15"/>
  <c r="E9" i="7"/>
  <c r="E11" i="7" s="1"/>
  <c r="E39" i="7" s="1"/>
  <c r="F10" i="7"/>
  <c r="E10" i="13"/>
  <c r="F29" i="4"/>
  <c r="C16" i="10"/>
  <c r="C17" i="10" s="1"/>
  <c r="E16" i="10"/>
  <c r="D19" i="10"/>
  <c r="D20" i="10" s="1"/>
  <c r="D9" i="18" l="1"/>
  <c r="C28" i="7"/>
  <c r="E14" i="4"/>
  <c r="D23" i="7"/>
  <c r="C46" i="7"/>
  <c r="C18" i="18"/>
  <c r="D14" i="14"/>
  <c r="D15" i="14" s="1"/>
  <c r="D16" i="14" s="1"/>
  <c r="D17" i="14" s="1"/>
  <c r="E11" i="14"/>
  <c r="C12" i="14"/>
  <c r="B28" i="18"/>
  <c r="B24" i="18"/>
  <c r="B29" i="18" s="1"/>
  <c r="D16" i="4"/>
  <c r="D11" i="18" s="1"/>
  <c r="F16" i="10"/>
  <c r="E16" i="4"/>
  <c r="H11" i="4"/>
  <c r="H12" i="4" s="1"/>
  <c r="G8" i="18"/>
  <c r="I10" i="18"/>
  <c r="H3" i="15"/>
  <c r="F9" i="7"/>
  <c r="F11" i="7" s="1"/>
  <c r="F39" i="7" s="1"/>
  <c r="G10" i="7"/>
  <c r="F10" i="13"/>
  <c r="G29" i="4"/>
  <c r="C18" i="10"/>
  <c r="E17" i="10"/>
  <c r="H29" i="4" s="1"/>
  <c r="E9" i="18" l="1"/>
  <c r="D28" i="7"/>
  <c r="F14" i="4"/>
  <c r="E23" i="7"/>
  <c r="E11" i="18" s="1"/>
  <c r="D46" i="7"/>
  <c r="D18" i="18"/>
  <c r="D18" i="14"/>
  <c r="D19" i="14" s="1"/>
  <c r="D20" i="14" s="1"/>
  <c r="D21" i="14" s="1"/>
  <c r="E12" i="14"/>
  <c r="E15" i="11" s="1"/>
  <c r="C13" i="14"/>
  <c r="D18" i="4"/>
  <c r="D20" i="4" s="1"/>
  <c r="D48" i="7" s="1"/>
  <c r="F17" i="10"/>
  <c r="F16" i="4"/>
  <c r="E18" i="4"/>
  <c r="I11" i="4"/>
  <c r="I12" i="4" s="1"/>
  <c r="H8" i="18"/>
  <c r="J10" i="18"/>
  <c r="I3" i="15"/>
  <c r="G9" i="7"/>
  <c r="G11" i="7" s="1"/>
  <c r="H10" i="7"/>
  <c r="G10" i="13"/>
  <c r="C19" i="10"/>
  <c r="E18" i="10"/>
  <c r="E19" i="10" s="1"/>
  <c r="G14" i="4" l="1"/>
  <c r="F23" i="7"/>
  <c r="F11" i="18" s="1"/>
  <c r="F9" i="18"/>
  <c r="E28" i="7"/>
  <c r="E46" i="7"/>
  <c r="E18" i="18"/>
  <c r="D22" i="14"/>
  <c r="D23" i="14" s="1"/>
  <c r="D24" i="14" s="1"/>
  <c r="D25" i="14" s="1"/>
  <c r="F46" i="7"/>
  <c r="E13" i="14"/>
  <c r="C14" i="14"/>
  <c r="C21" i="7"/>
  <c r="C23" i="4"/>
  <c r="C25" i="4" s="1"/>
  <c r="C4" i="20"/>
  <c r="C5" i="20" s="1"/>
  <c r="C6" i="20" s="1"/>
  <c r="F18" i="10"/>
  <c r="E20" i="4"/>
  <c r="E48" i="7" s="1"/>
  <c r="D4" i="20"/>
  <c r="C20" i="10"/>
  <c r="F19" i="10"/>
  <c r="E9" i="11"/>
  <c r="E10" i="11" s="1"/>
  <c r="G16" i="4"/>
  <c r="F18" i="4"/>
  <c r="J11" i="4"/>
  <c r="J12" i="4" s="1"/>
  <c r="K11" i="4"/>
  <c r="K12" i="4" s="1"/>
  <c r="I8" i="18"/>
  <c r="K10" i="18"/>
  <c r="G39" i="7"/>
  <c r="H9" i="7"/>
  <c r="H11" i="7" s="1"/>
  <c r="I10" i="7"/>
  <c r="I29" i="4"/>
  <c r="H10" i="13"/>
  <c r="I10" i="13"/>
  <c r="J10" i="7"/>
  <c r="J29" i="4"/>
  <c r="E20" i="10"/>
  <c r="G9" i="18" l="1"/>
  <c r="F28" i="7"/>
  <c r="H14" i="4"/>
  <c r="H16" i="4" s="1"/>
  <c r="G23" i="7"/>
  <c r="F18" i="18"/>
  <c r="D26" i="14"/>
  <c r="C12" i="18"/>
  <c r="C45" i="7"/>
  <c r="C47" i="7" s="1"/>
  <c r="C33" i="7"/>
  <c r="C40" i="7"/>
  <c r="C41" i="7" s="1"/>
  <c r="E14" i="14"/>
  <c r="C15" i="14"/>
  <c r="F20" i="10"/>
  <c r="F20" i="4"/>
  <c r="F48" i="7" s="1"/>
  <c r="E4" i="20"/>
  <c r="E5" i="20" s="1"/>
  <c r="E6" i="20" s="1"/>
  <c r="D5" i="20"/>
  <c r="D6" i="20" s="1"/>
  <c r="K29" i="4"/>
  <c r="J10" i="13"/>
  <c r="G18" i="4"/>
  <c r="F4" i="20" s="1"/>
  <c r="F5" i="20" s="1"/>
  <c r="F6" i="20" s="1"/>
  <c r="J8" i="18"/>
  <c r="K8" i="18"/>
  <c r="H39" i="7"/>
  <c r="I9" i="7"/>
  <c r="I11" i="7" s="1"/>
  <c r="J9" i="7" s="1"/>
  <c r="J11" i="7" s="1"/>
  <c r="K10" i="7"/>
  <c r="H9" i="18" l="1"/>
  <c r="G28" i="7"/>
  <c r="G11" i="18"/>
  <c r="I14" i="4"/>
  <c r="H23" i="7"/>
  <c r="D27" i="14"/>
  <c r="E15" i="14"/>
  <c r="C16" i="14"/>
  <c r="E16" i="11"/>
  <c r="H18" i="4"/>
  <c r="G4" i="20" s="1"/>
  <c r="G5" i="20" s="1"/>
  <c r="G6" i="20" s="1"/>
  <c r="I16" i="4"/>
  <c r="I39" i="7"/>
  <c r="J39" i="7"/>
  <c r="K9" i="7"/>
  <c r="K11" i="7" s="1"/>
  <c r="K39" i="7" s="1"/>
  <c r="G20" i="4"/>
  <c r="G48" i="7" s="1"/>
  <c r="I9" i="18" l="1"/>
  <c r="H28" i="7"/>
  <c r="J14" i="4"/>
  <c r="I23" i="7"/>
  <c r="H11" i="18"/>
  <c r="C30" i="11"/>
  <c r="C34" i="11" s="1"/>
  <c r="D28" i="14"/>
  <c r="G18" i="18" s="1"/>
  <c r="E16" i="14"/>
  <c r="D23" i="4" s="1"/>
  <c r="D25" i="4" s="1"/>
  <c r="C17" i="14"/>
  <c r="J16" i="4"/>
  <c r="I11" i="18"/>
  <c r="I18" i="4"/>
  <c r="H4" i="20" s="1"/>
  <c r="H5" i="20" s="1"/>
  <c r="H6" i="20" s="1"/>
  <c r="J9" i="18" l="1"/>
  <c r="I28" i="7"/>
  <c r="K14" i="4"/>
  <c r="J23" i="7"/>
  <c r="C31" i="11"/>
  <c r="G46" i="7"/>
  <c r="D29" i="14"/>
  <c r="E17" i="14"/>
  <c r="D21" i="7"/>
  <c r="C18" i="14"/>
  <c r="D27" i="4"/>
  <c r="D12" i="18"/>
  <c r="D45" i="7"/>
  <c r="D47" i="7" s="1"/>
  <c r="D49" i="7" s="1"/>
  <c r="J11" i="18"/>
  <c r="J18" i="4"/>
  <c r="I4" i="20" s="1"/>
  <c r="I5" i="20" s="1"/>
  <c r="I6" i="20" s="1"/>
  <c r="H20" i="4"/>
  <c r="H48" i="7" s="1"/>
  <c r="K9" i="18" l="1"/>
  <c r="J28" i="7"/>
  <c r="K23" i="7"/>
  <c r="K28" i="7" s="1"/>
  <c r="K16" i="4"/>
  <c r="C32" i="11"/>
  <c r="D30" i="14"/>
  <c r="D30" i="4"/>
  <c r="C7" i="13"/>
  <c r="C9" i="13" s="1"/>
  <c r="C11" i="13" s="1"/>
  <c r="C13" i="13" s="1"/>
  <c r="C14" i="13" s="1"/>
  <c r="D31" i="4" s="1"/>
  <c r="D14" i="18" s="1"/>
  <c r="E18" i="14"/>
  <c r="C19" i="14"/>
  <c r="D40" i="7"/>
  <c r="D41" i="7" s="1"/>
  <c r="D33" i="7"/>
  <c r="K18" i="4" l="1"/>
  <c r="J4" i="20" s="1"/>
  <c r="J5" i="20" s="1"/>
  <c r="J6" i="20" s="1"/>
  <c r="K11" i="18"/>
  <c r="D31" i="14"/>
  <c r="E19" i="14"/>
  <c r="C20" i="14"/>
  <c r="C7" i="20"/>
  <c r="D32" i="4"/>
  <c r="I20" i="4"/>
  <c r="I48" i="7" s="1"/>
  <c r="D32" i="14" l="1"/>
  <c r="H46" i="7" s="1"/>
  <c r="E20" i="14"/>
  <c r="E23" i="4" s="1"/>
  <c r="E25" i="4" s="1"/>
  <c r="C21" i="14"/>
  <c r="D33" i="4"/>
  <c r="D16" i="18" s="1"/>
  <c r="D25" i="18" s="1"/>
  <c r="D26" i="18" s="1"/>
  <c r="C8" i="20"/>
  <c r="H18" i="18" l="1"/>
  <c r="D33" i="14"/>
  <c r="D34" i="4"/>
  <c r="D18" i="7" s="1"/>
  <c r="E21" i="14"/>
  <c r="E21" i="7"/>
  <c r="C22" i="14"/>
  <c r="E45" i="7"/>
  <c r="E47" i="7" s="1"/>
  <c r="E49" i="7" s="1"/>
  <c r="E12" i="18"/>
  <c r="E27" i="4"/>
  <c r="D34" i="14" l="1"/>
  <c r="E30" i="4"/>
  <c r="D7" i="13"/>
  <c r="D9" i="13" s="1"/>
  <c r="D11" i="13" s="1"/>
  <c r="D13" i="13" s="1"/>
  <c r="D14" i="13" s="1"/>
  <c r="E31" i="4" s="1"/>
  <c r="E14" i="18" s="1"/>
  <c r="E22" i="14"/>
  <c r="C23" i="14"/>
  <c r="E33" i="7"/>
  <c r="E40" i="7"/>
  <c r="E41" i="7" s="1"/>
  <c r="J20" i="4"/>
  <c r="J3" i="15"/>
  <c r="K3" i="15"/>
  <c r="D35" i="14" l="1"/>
  <c r="D36" i="14" s="1"/>
  <c r="I46" i="7" s="1"/>
  <c r="E23" i="14"/>
  <c r="C24" i="14"/>
  <c r="D7" i="20"/>
  <c r="E32" i="4"/>
  <c r="J27" i="4"/>
  <c r="J30" i="4" s="1"/>
  <c r="J48" i="7"/>
  <c r="K20" i="4"/>
  <c r="I18" i="18" l="1"/>
  <c r="E33" i="4"/>
  <c r="E16" i="18" s="1"/>
  <c r="E25" i="18" s="1"/>
  <c r="E26" i="18" s="1"/>
  <c r="D8" i="20"/>
  <c r="E24" i="14"/>
  <c r="F23" i="4" s="1"/>
  <c r="F25" i="4" s="1"/>
  <c r="C25" i="14"/>
  <c r="I7" i="20"/>
  <c r="I7" i="13"/>
  <c r="I9" i="13" s="1"/>
  <c r="I11" i="13" s="1"/>
  <c r="I13" i="13" s="1"/>
  <c r="I14" i="13" s="1"/>
  <c r="J31" i="4" s="1"/>
  <c r="J14" i="18" s="1"/>
  <c r="K27" i="4"/>
  <c r="K30" i="4" s="1"/>
  <c r="K48" i="7"/>
  <c r="E34" i="4" l="1"/>
  <c r="E18" i="7" s="1"/>
  <c r="F45" i="7"/>
  <c r="F47" i="7" s="1"/>
  <c r="F49" i="7" s="1"/>
  <c r="F12" i="18"/>
  <c r="F27" i="4"/>
  <c r="E25" i="14"/>
  <c r="F21" i="7"/>
  <c r="C26" i="14"/>
  <c r="J7" i="20"/>
  <c r="J32" i="4"/>
  <c r="J33" i="4" s="1"/>
  <c r="J7" i="13"/>
  <c r="J9" i="13" s="1"/>
  <c r="J11" i="13" s="1"/>
  <c r="J13" i="13" s="1"/>
  <c r="J14" i="13" s="1"/>
  <c r="K31" i="4" s="1"/>
  <c r="E26" i="14" l="1"/>
  <c r="C27" i="14"/>
  <c r="F40" i="7"/>
  <c r="F41" i="7" s="1"/>
  <c r="F33" i="7"/>
  <c r="F30" i="4"/>
  <c r="E7" i="13"/>
  <c r="E9" i="13" s="1"/>
  <c r="E11" i="13" s="1"/>
  <c r="E13" i="13" s="1"/>
  <c r="E14" i="13" s="1"/>
  <c r="F31" i="4" s="1"/>
  <c r="F14" i="18" s="1"/>
  <c r="J34" i="4"/>
  <c r="J18" i="7" s="1"/>
  <c r="I8" i="20"/>
  <c r="K32" i="4"/>
  <c r="K33" i="4" s="1"/>
  <c r="K14" i="18"/>
  <c r="E27" i="14" l="1"/>
  <c r="C28" i="14"/>
  <c r="E7" i="20"/>
  <c r="F32" i="4"/>
  <c r="J16" i="18"/>
  <c r="K34" i="4"/>
  <c r="K18" i="7" s="1"/>
  <c r="J8" i="20"/>
  <c r="F33" i="4" l="1"/>
  <c r="F16" i="18" s="1"/>
  <c r="F25" i="18" s="1"/>
  <c r="F26" i="18" s="1"/>
  <c r="E8" i="20"/>
  <c r="E28" i="14"/>
  <c r="G23" i="4" s="1"/>
  <c r="G25" i="4" s="1"/>
  <c r="G21" i="7"/>
  <c r="C29" i="14"/>
  <c r="J25" i="18"/>
  <c r="J26" i="18" s="1"/>
  <c r="K16" i="18"/>
  <c r="F34" i="4" l="1"/>
  <c r="F18" i="7" s="1"/>
  <c r="G45" i="7"/>
  <c r="G47" i="7" s="1"/>
  <c r="G49" i="7" s="1"/>
  <c r="G27" i="4"/>
  <c r="G12" i="18"/>
  <c r="G33" i="7"/>
  <c r="G40" i="7"/>
  <c r="G41" i="7" s="1"/>
  <c r="E29" i="14"/>
  <c r="C30" i="14"/>
  <c r="K25" i="18"/>
  <c r="K26" i="18" s="1"/>
  <c r="E30" i="14" l="1"/>
  <c r="C31" i="14"/>
  <c r="G30" i="4"/>
  <c r="F7" i="13"/>
  <c r="F9" i="13" s="1"/>
  <c r="F11" i="13" s="1"/>
  <c r="F13" i="13" s="1"/>
  <c r="F14" i="13" s="1"/>
  <c r="G31" i="4" s="1"/>
  <c r="G14" i="18" s="1"/>
  <c r="F7" i="20" l="1"/>
  <c r="G32" i="4"/>
  <c r="E31" i="14"/>
  <c r="C32" i="14"/>
  <c r="C33" i="14" l="1"/>
  <c r="E32" i="14"/>
  <c r="H23" i="4" s="1"/>
  <c r="H25" i="4" s="1"/>
  <c r="H21" i="7"/>
  <c r="G33" i="4"/>
  <c r="G16" i="18" s="1"/>
  <c r="G25" i="18" s="1"/>
  <c r="G26" i="18" s="1"/>
  <c r="F8" i="20"/>
  <c r="G34" i="4" l="1"/>
  <c r="G18" i="7" s="1"/>
  <c r="H40" i="7"/>
  <c r="H41" i="7" s="1"/>
  <c r="F42" i="7" s="1"/>
  <c r="H33" i="7"/>
  <c r="H27" i="4"/>
  <c r="H12" i="18"/>
  <c r="H45" i="7"/>
  <c r="H47" i="7" s="1"/>
  <c r="H49" i="7" s="1"/>
  <c r="C34" i="14"/>
  <c r="E33" i="14"/>
  <c r="C35" i="14" l="1"/>
  <c r="E34" i="14"/>
  <c r="H30" i="4"/>
  <c r="G7" i="13"/>
  <c r="G9" i="13" s="1"/>
  <c r="G11" i="13" s="1"/>
  <c r="G13" i="13" s="1"/>
  <c r="G14" i="13" s="1"/>
  <c r="H31" i="4" s="1"/>
  <c r="H14" i="18" s="1"/>
  <c r="G7" i="20" l="1"/>
  <c r="H32" i="4"/>
  <c r="C36" i="14"/>
  <c r="E36" i="14" s="1"/>
  <c r="E35" i="14"/>
  <c r="I23" i="4" l="1"/>
  <c r="I25" i="4" s="1"/>
  <c r="I27" i="4" s="1"/>
  <c r="H33" i="4"/>
  <c r="H16" i="18" s="1"/>
  <c r="H25" i="18" s="1"/>
  <c r="H26" i="18" s="1"/>
  <c r="G8" i="20"/>
  <c r="H34" i="4" l="1"/>
  <c r="H18" i="7" s="1"/>
  <c r="I12" i="18"/>
  <c r="I45" i="7"/>
  <c r="I47" i="7" s="1"/>
  <c r="I49" i="7" s="1"/>
  <c r="I30" i="4"/>
  <c r="H7" i="13"/>
  <c r="H9" i="13" s="1"/>
  <c r="H11" i="13" s="1"/>
  <c r="H13" i="13" s="1"/>
  <c r="H14" i="13" s="1"/>
  <c r="I31" i="4" s="1"/>
  <c r="I14" i="18" s="1"/>
  <c r="H7" i="20" l="1"/>
  <c r="I32" i="4"/>
  <c r="I33" i="4" l="1"/>
  <c r="H8" i="20"/>
  <c r="C11" i="4"/>
  <c r="I16" i="18" l="1"/>
  <c r="I25" i="18" s="1"/>
  <c r="I26" i="18" s="1"/>
  <c r="I34" i="4"/>
  <c r="I18" i="7" s="1"/>
  <c r="C11" i="18"/>
  <c r="C13" i="18" s="1"/>
  <c r="C12" i="4"/>
  <c r="C18" i="4" s="1"/>
  <c r="C20" i="4" l="1"/>
  <c r="B4" i="20"/>
  <c r="B5" i="20" s="1"/>
  <c r="B6" i="20" s="1"/>
  <c r="C48" i="7" l="1"/>
  <c r="C49" i="7" s="1"/>
  <c r="F50" i="7" s="1"/>
  <c r="C27" i="4"/>
  <c r="C30" i="4" l="1"/>
  <c r="B7" i="13"/>
  <c r="B9" i="13" s="1"/>
  <c r="B11" i="13" s="1"/>
  <c r="B13" i="13" s="1"/>
  <c r="B14" i="13" s="1"/>
  <c r="C31" i="4" s="1"/>
  <c r="C14" i="18" s="1"/>
  <c r="C15" i="18" s="1"/>
  <c r="C32" i="4" l="1"/>
  <c r="C33" i="4" s="1"/>
  <c r="B7" i="20"/>
  <c r="B8" i="20" l="1"/>
  <c r="C16" i="18" l="1"/>
  <c r="C34" i="4"/>
  <c r="C18" i="7" s="1"/>
  <c r="C20" i="7" s="1"/>
  <c r="C34" i="7" l="1"/>
  <c r="C35" i="7" s="1"/>
  <c r="C24" i="7"/>
  <c r="D17" i="7"/>
  <c r="D20" i="7" s="1"/>
  <c r="C25" i="18"/>
  <c r="C17" i="18"/>
  <c r="C19" i="18" s="1"/>
  <c r="C13" i="7" s="1"/>
  <c r="D4" i="18" l="1"/>
  <c r="C28" i="18"/>
  <c r="C29" i="18" s="1"/>
  <c r="C26" i="18"/>
  <c r="E17" i="7"/>
  <c r="E20" i="7" s="1"/>
  <c r="D24" i="7"/>
  <c r="D34" i="7"/>
  <c r="D35" i="7" s="1"/>
  <c r="E34" i="7" l="1"/>
  <c r="E35" i="7" s="1"/>
  <c r="F17" i="7"/>
  <c r="F20" i="7" s="1"/>
  <c r="E24" i="7"/>
  <c r="D23" i="18"/>
  <c r="D13" i="18"/>
  <c r="D15" i="18" s="1"/>
  <c r="D17" i="18" s="1"/>
  <c r="D19" i="18" s="1"/>
  <c r="C14" i="7"/>
  <c r="C27" i="7"/>
  <c r="C29" i="7" s="1"/>
  <c r="E4" i="18" l="1"/>
  <c r="D13" i="7"/>
  <c r="D28" i="18"/>
  <c r="D29" i="18" s="1"/>
  <c r="D24" i="18"/>
  <c r="F34" i="7"/>
  <c r="F35" i="7" s="1"/>
  <c r="F24" i="7"/>
  <c r="G17" i="7"/>
  <c r="G20" i="7" s="1"/>
  <c r="G34" i="7" l="1"/>
  <c r="G35" i="7" s="1"/>
  <c r="G24" i="7"/>
  <c r="H17" i="7"/>
  <c r="H20" i="7" s="1"/>
  <c r="D27" i="7"/>
  <c r="D29" i="7" s="1"/>
  <c r="D14" i="7"/>
  <c r="E13" i="18"/>
  <c r="E15" i="18" s="1"/>
  <c r="E17" i="18" s="1"/>
  <c r="E19" i="18" s="1"/>
  <c r="E23" i="18"/>
  <c r="E13" i="7" l="1"/>
  <c r="F4" i="18"/>
  <c r="E24" i="18"/>
  <c r="E28" i="18"/>
  <c r="E29" i="18" s="1"/>
  <c r="I17" i="7"/>
  <c r="I20" i="7" s="1"/>
  <c r="H24" i="7"/>
  <c r="H34" i="7"/>
  <c r="H35" i="7" s="1"/>
  <c r="J17" i="7" l="1"/>
  <c r="J20" i="7" s="1"/>
  <c r="I34" i="7"/>
  <c r="I35" i="7" s="1"/>
  <c r="I24" i="7"/>
  <c r="F23" i="18"/>
  <c r="F13" i="18"/>
  <c r="F15" i="18" s="1"/>
  <c r="F17" i="18" s="1"/>
  <c r="F19" i="18" s="1"/>
  <c r="E27" i="7"/>
  <c r="E29" i="7" s="1"/>
  <c r="E14" i="7"/>
  <c r="F13" i="7" l="1"/>
  <c r="G4" i="18"/>
  <c r="F28" i="18"/>
  <c r="F29" i="18" s="1"/>
  <c r="F24" i="18"/>
  <c r="J24" i="7"/>
  <c r="K17" i="7"/>
  <c r="K20" i="7" s="1"/>
  <c r="J34" i="7"/>
  <c r="J35" i="7" s="1"/>
  <c r="K34" i="7" l="1"/>
  <c r="K35" i="7" s="1"/>
  <c r="F36" i="7" s="1"/>
  <c r="K24" i="7"/>
  <c r="G13" i="18"/>
  <c r="G15" i="18" s="1"/>
  <c r="G17" i="18" s="1"/>
  <c r="G19" i="18" s="1"/>
  <c r="G23" i="18"/>
  <c r="F14" i="7"/>
  <c r="F27" i="7"/>
  <c r="F29" i="7" s="1"/>
  <c r="G28" i="18" l="1"/>
  <c r="G29" i="18" s="1"/>
  <c r="G24" i="18"/>
  <c r="H4" i="18"/>
  <c r="G13" i="7"/>
  <c r="G27" i="7" l="1"/>
  <c r="G29" i="7" s="1"/>
  <c r="G14" i="7"/>
  <c r="H23" i="18"/>
  <c r="H13" i="18"/>
  <c r="H15" i="18" s="1"/>
  <c r="H17" i="18" s="1"/>
  <c r="H19" i="18" s="1"/>
  <c r="H24" i="18" l="1"/>
  <c r="H28" i="18"/>
  <c r="H29" i="18" s="1"/>
  <c r="I4" i="18"/>
  <c r="H13" i="7"/>
  <c r="H14" i="7" l="1"/>
  <c r="H27" i="7"/>
  <c r="H29" i="7" s="1"/>
  <c r="I23" i="18"/>
  <c r="I13" i="18"/>
  <c r="I15" i="18" s="1"/>
  <c r="I17" i="18" s="1"/>
  <c r="I19" i="18" s="1"/>
  <c r="J4" i="18" l="1"/>
  <c r="I13" i="7"/>
  <c r="I24" i="18"/>
  <c r="I28" i="18"/>
  <c r="I29" i="18" s="1"/>
  <c r="I14" i="7" l="1"/>
  <c r="I27" i="7"/>
  <c r="I29" i="7" s="1"/>
  <c r="J23" i="18"/>
  <c r="J13" i="18"/>
  <c r="J15" i="18" s="1"/>
  <c r="J17" i="18" s="1"/>
  <c r="J19" i="18" s="1"/>
  <c r="K4" i="18" l="1"/>
  <c r="J13" i="7"/>
  <c r="J28" i="18"/>
  <c r="J29" i="18" s="1"/>
  <c r="J24" i="18"/>
  <c r="J14" i="7" l="1"/>
  <c r="J27" i="7"/>
  <c r="J29" i="7" s="1"/>
  <c r="K23" i="18"/>
  <c r="K13" i="18"/>
  <c r="K15" i="18" s="1"/>
  <c r="K17" i="18" s="1"/>
  <c r="K19" i="18" s="1"/>
  <c r="K13" i="7" s="1"/>
  <c r="K27" i="7" l="1"/>
  <c r="K29" i="7" s="1"/>
  <c r="F30" i="7" s="1"/>
  <c r="K14" i="7"/>
  <c r="K28" i="18"/>
  <c r="K29" i="18" s="1"/>
  <c r="L29" i="18" s="1"/>
  <c r="K24" i="18"/>
</calcChain>
</file>

<file path=xl/sharedStrings.xml><?xml version="1.0" encoding="utf-8"?>
<sst xmlns="http://schemas.openxmlformats.org/spreadsheetml/2006/main" count="443" uniqueCount="319">
  <si>
    <t>Annexure 1 - Estimated cost of the project</t>
  </si>
  <si>
    <t>Estimated cost of project</t>
  </si>
  <si>
    <t xml:space="preserve">Sr. No. </t>
  </si>
  <si>
    <t>Particulars</t>
  </si>
  <si>
    <t>Grand Total (in lakhs)</t>
  </si>
  <si>
    <t>(a)</t>
  </si>
  <si>
    <t>Land and site development</t>
  </si>
  <si>
    <t>Land (Lease in name of company)</t>
  </si>
  <si>
    <t>Total</t>
  </si>
  <si>
    <t>Civil Work</t>
  </si>
  <si>
    <t>Plant and Machinery (indegenous)</t>
  </si>
  <si>
    <t>Plant and Machinery</t>
  </si>
  <si>
    <t>Miscellanoeus Fixed Assets</t>
  </si>
  <si>
    <t>Cost</t>
  </si>
  <si>
    <t>Working Capital Margin</t>
  </si>
  <si>
    <t>Preliminary Expenses</t>
  </si>
  <si>
    <t>Security Deposit</t>
  </si>
  <si>
    <t>Pre-Operative Expense</t>
  </si>
  <si>
    <t>(for 6 months upto the date od commencement of commercial production)</t>
  </si>
  <si>
    <t>Establisment and Travelling and Other Expenses</t>
  </si>
  <si>
    <t>(b)</t>
  </si>
  <si>
    <t>Legal and Misc Expense</t>
  </si>
  <si>
    <t>Total Cost of Project</t>
  </si>
  <si>
    <t>Annexure 2 - Means of Finance</t>
  </si>
  <si>
    <t>Sr. No.</t>
  </si>
  <si>
    <t>Item</t>
  </si>
  <si>
    <t>Promoter's equity</t>
  </si>
  <si>
    <t>Eligible Assistance</t>
  </si>
  <si>
    <t>Term Loan</t>
  </si>
  <si>
    <t>CC Limit</t>
  </si>
  <si>
    <t>Annexure 3 - Complete Estimate of Civil and Plant and Machinery</t>
  </si>
  <si>
    <t>Units</t>
  </si>
  <si>
    <t>Amt</t>
  </si>
  <si>
    <t>2. Plant and machinery</t>
  </si>
  <si>
    <t>Total Plant and Machinery</t>
  </si>
  <si>
    <t>Total fixed Assets</t>
  </si>
  <si>
    <t>Annexure 4 - Estimated Cost of Production</t>
  </si>
  <si>
    <t>Sr. No</t>
  </si>
  <si>
    <t>Description</t>
  </si>
  <si>
    <t>I</t>
  </si>
  <si>
    <t>II</t>
  </si>
  <si>
    <t>III</t>
  </si>
  <si>
    <t>IV</t>
  </si>
  <si>
    <t>V</t>
  </si>
  <si>
    <t>VI</t>
  </si>
  <si>
    <t>VII</t>
  </si>
  <si>
    <t>VIII</t>
  </si>
  <si>
    <t>IX</t>
  </si>
  <si>
    <t>Year ending March 31st</t>
  </si>
  <si>
    <t>No of Working months</t>
  </si>
  <si>
    <t>Sales</t>
  </si>
  <si>
    <t>Administrative salaries and wages</t>
  </si>
  <si>
    <t>S. No.</t>
  </si>
  <si>
    <t>Designation</t>
  </si>
  <si>
    <t>In no.</t>
  </si>
  <si>
    <t>Salary per person per month</t>
  </si>
  <si>
    <t>i.</t>
  </si>
  <si>
    <t>ii.</t>
  </si>
  <si>
    <t>Total annual wages</t>
  </si>
  <si>
    <t>Annual increase in wages</t>
  </si>
  <si>
    <t>Accountant</t>
  </si>
  <si>
    <t>iii.</t>
  </si>
  <si>
    <t>Computation of Depreciation</t>
  </si>
  <si>
    <t>Annexure 9 - Computation of Depreciation</t>
  </si>
  <si>
    <t>Pre operatives</t>
  </si>
  <si>
    <t>Contingencies</t>
  </si>
  <si>
    <t>Building and civil work</t>
  </si>
  <si>
    <t>Misc Fixed Asset</t>
  </si>
  <si>
    <t>Amount in lakhs</t>
  </si>
  <si>
    <t>Rates of Depreciation</t>
  </si>
  <si>
    <t>Year</t>
  </si>
  <si>
    <t>Annexure 11- Break even analysis (At maximum capacity utilization)</t>
  </si>
  <si>
    <t>Variable cost</t>
  </si>
  <si>
    <t>- Running and maintenance cost</t>
  </si>
  <si>
    <t>- Interest on Working capital</t>
  </si>
  <si>
    <t>Contribution</t>
  </si>
  <si>
    <t>Less: fixed cost</t>
  </si>
  <si>
    <t>Wages and salaries</t>
  </si>
  <si>
    <t>- electricity expense</t>
  </si>
  <si>
    <t>Depreciation</t>
  </si>
  <si>
    <t>Fixed cost</t>
  </si>
  <si>
    <t>Electricity charges</t>
  </si>
  <si>
    <t>Interest on Working capital</t>
  </si>
  <si>
    <t>Running and maintenance cost</t>
  </si>
  <si>
    <t>Sales price per kg</t>
  </si>
  <si>
    <t>Annexure 12 - Profitability statement</t>
  </si>
  <si>
    <t>Years</t>
  </si>
  <si>
    <t>Vegetable procument expense</t>
  </si>
  <si>
    <t>Fruits procurement expense</t>
  </si>
  <si>
    <t>Direct Expenses</t>
  </si>
  <si>
    <t>Cost of Sales</t>
  </si>
  <si>
    <t>Expected sales revenue</t>
  </si>
  <si>
    <t>Gross Profit</t>
  </si>
  <si>
    <t>Financial expense</t>
  </si>
  <si>
    <t>Interest on Term Loan</t>
  </si>
  <si>
    <t>Annexure 13 - Repayment schedule</t>
  </si>
  <si>
    <t>Repayment schedule</t>
  </si>
  <si>
    <t>Amount of Loan (in lakhs)</t>
  </si>
  <si>
    <t>Rate of interest</t>
  </si>
  <si>
    <t>Moratorium period</t>
  </si>
  <si>
    <t>Quarter</t>
  </si>
  <si>
    <t>Balance outstanding</t>
  </si>
  <si>
    <t>Interest</t>
  </si>
  <si>
    <t>Principal instalment</t>
  </si>
  <si>
    <t>total</t>
  </si>
  <si>
    <t>Operating profits (PBT)</t>
  </si>
  <si>
    <t>depreciation</t>
  </si>
  <si>
    <t>Net Profit before Tax</t>
  </si>
  <si>
    <t>Income Tax</t>
  </si>
  <si>
    <t>Profits after Tax</t>
  </si>
  <si>
    <t>Annexure 10 - Calculation of Income tax</t>
  </si>
  <si>
    <t>Calculation of Income Tax</t>
  </si>
  <si>
    <t>Net profit before tax</t>
  </si>
  <si>
    <t>Add- dep on SLM</t>
  </si>
  <si>
    <t>Sub total</t>
  </si>
  <si>
    <t>Less- Dep on WDV</t>
  </si>
  <si>
    <t>Less - Deductions</t>
  </si>
  <si>
    <t>Taxable profits</t>
  </si>
  <si>
    <t>Income tax @30%</t>
  </si>
  <si>
    <t>Profit transfer to balance sheet</t>
  </si>
  <si>
    <t>Annexure 5- Projected balance sheet</t>
  </si>
  <si>
    <t>Projected Baalance sheet</t>
  </si>
  <si>
    <t>Asset</t>
  </si>
  <si>
    <t>Fixed Capital expenditure</t>
  </si>
  <si>
    <t>Gross Block</t>
  </si>
  <si>
    <t>Less- Depreciation</t>
  </si>
  <si>
    <t>net Block</t>
  </si>
  <si>
    <t>Sundry debtors</t>
  </si>
  <si>
    <t>Cash/ bank balance</t>
  </si>
  <si>
    <t>Liabilities</t>
  </si>
  <si>
    <t>Capital</t>
  </si>
  <si>
    <t>Add- Profit</t>
  </si>
  <si>
    <t>Less- Drawings</t>
  </si>
  <si>
    <t>Closing capital</t>
  </si>
  <si>
    <t>term Loan</t>
  </si>
  <si>
    <t>Total liabilities</t>
  </si>
  <si>
    <t>Total assets</t>
  </si>
  <si>
    <t>Current Ratio</t>
  </si>
  <si>
    <t>Current Assets</t>
  </si>
  <si>
    <t>Current Liabilities</t>
  </si>
  <si>
    <t>2. assumed that 30 days of sales are average debtors maintained by the business</t>
  </si>
  <si>
    <t>Debt Equity ratio</t>
  </si>
  <si>
    <t>Debt</t>
  </si>
  <si>
    <t>Equity</t>
  </si>
  <si>
    <t>Ratio</t>
  </si>
  <si>
    <t>cash flow statement</t>
  </si>
  <si>
    <t>Sales realized</t>
  </si>
  <si>
    <t>Term loan</t>
  </si>
  <si>
    <t>assisstance</t>
  </si>
  <si>
    <t>less- Purchase of assets</t>
  </si>
  <si>
    <t>Debt service coverage ratio</t>
  </si>
  <si>
    <t>Interest on loan (TL + WC)</t>
  </si>
  <si>
    <t>Net operating income</t>
  </si>
  <si>
    <t>Instalment of loan</t>
  </si>
  <si>
    <t>A</t>
  </si>
  <si>
    <t>B</t>
  </si>
  <si>
    <t>Average</t>
  </si>
  <si>
    <t>Fixed asset coverage ratio</t>
  </si>
  <si>
    <t>Fixed assets</t>
  </si>
  <si>
    <t>6 months</t>
  </si>
  <si>
    <t>Details of Manpower</t>
  </si>
  <si>
    <t>Security</t>
  </si>
  <si>
    <t>Creditors</t>
  </si>
  <si>
    <t>Total manpower</t>
  </si>
  <si>
    <t>opening balance</t>
  </si>
  <si>
    <t>Add: Sales realizations</t>
  </si>
  <si>
    <t>Less: Interest payments</t>
  </si>
  <si>
    <t>Working capital</t>
  </si>
  <si>
    <t>Interest on WC Loan</t>
  </si>
  <si>
    <t>E mandi expense</t>
  </si>
  <si>
    <t>Site Development</t>
  </si>
  <si>
    <t>Sales Budget</t>
  </si>
  <si>
    <t>Production budget</t>
  </si>
  <si>
    <t>Products</t>
  </si>
  <si>
    <t>Assumptions:</t>
  </si>
  <si>
    <t>Output</t>
  </si>
  <si>
    <t>Electricity expense</t>
  </si>
  <si>
    <t>Usage in units</t>
  </si>
  <si>
    <t>Cost of Production</t>
  </si>
  <si>
    <t>Sub Total</t>
  </si>
  <si>
    <t>Total depreciation for the year</t>
  </si>
  <si>
    <t>Machine operators</t>
  </si>
  <si>
    <t>Preliminary Expense</t>
  </si>
  <si>
    <t>Less: Payment made to creditors of previos year</t>
  </si>
  <si>
    <t>Add: Receipts from debtors of previos year</t>
  </si>
  <si>
    <t>Less: Payments made for current year purchase</t>
  </si>
  <si>
    <t>Less: Distrubutions made from profits</t>
  </si>
  <si>
    <t>Less: Income tax</t>
  </si>
  <si>
    <t>Less: Principal repayment of loan</t>
  </si>
  <si>
    <t>Closing cash balance</t>
  </si>
  <si>
    <t>PV dicounting rate</t>
  </si>
  <si>
    <t>PVF</t>
  </si>
  <si>
    <t>Inflows</t>
  </si>
  <si>
    <t>PV of Inflows</t>
  </si>
  <si>
    <t>Outflows</t>
  </si>
  <si>
    <t>PV of Outflows</t>
  </si>
  <si>
    <t>Net cash inflow</t>
  </si>
  <si>
    <t>Net Present value</t>
  </si>
  <si>
    <t>Turnover</t>
  </si>
  <si>
    <t>Cost Of operations</t>
  </si>
  <si>
    <t>Gross profit</t>
  </si>
  <si>
    <t>EBITDA</t>
  </si>
  <si>
    <t>Profit before tax</t>
  </si>
  <si>
    <t>Profit after tax</t>
  </si>
  <si>
    <t>Total BEP %</t>
  </si>
  <si>
    <t>Interest on TL</t>
  </si>
  <si>
    <t>Add: Capital</t>
  </si>
  <si>
    <t>Add: Loan disbursement</t>
  </si>
  <si>
    <t>Less: Purchase of asset</t>
  </si>
  <si>
    <t>Contents Table</t>
  </si>
  <si>
    <t>Contents</t>
  </si>
  <si>
    <t>Link</t>
  </si>
  <si>
    <t>Ann 1'!A1</t>
  </si>
  <si>
    <t>Ann 2'!A1</t>
  </si>
  <si>
    <t>Ann 4'!A1</t>
  </si>
  <si>
    <t>Ann 5'!A1</t>
  </si>
  <si>
    <t>Ann 8'!A1</t>
  </si>
  <si>
    <t>Ann 9'!A1</t>
  </si>
  <si>
    <t>Ann 10'!A1</t>
  </si>
  <si>
    <t>Ann 11'!A1</t>
  </si>
  <si>
    <t>Ann 13'!A1</t>
  </si>
  <si>
    <t>Assumptions!A1</t>
  </si>
  <si>
    <t>Budgets!A1</t>
  </si>
  <si>
    <t>S. no.</t>
  </si>
  <si>
    <t>Assumptions</t>
  </si>
  <si>
    <t>Assumed that 30 days of sales are average debtors maintained by the business</t>
  </si>
  <si>
    <t>Electricity usage in units is given below</t>
  </si>
  <si>
    <t>Cash flows'!A1</t>
  </si>
  <si>
    <t>DPR without subsidy</t>
  </si>
  <si>
    <t>iv.</t>
  </si>
  <si>
    <t>Labour/ helper</t>
  </si>
  <si>
    <t>Annual cost</t>
  </si>
  <si>
    <t>1. asssumed that 60 days of purchases are average creditors maintained</t>
  </si>
  <si>
    <t>1. Building</t>
  </si>
  <si>
    <t>days</t>
  </si>
  <si>
    <t>Ann 3'!A1</t>
  </si>
  <si>
    <t>Miscellaneous expense - semi fixed</t>
  </si>
  <si>
    <t>Miscellaneous expense</t>
  </si>
  <si>
    <t>Break-even point is the condition when an entity generate sufficient revenue that it can meet its fixed expense after deducting any variable expense, i.e., the point where contribution is equal to the fixed expense.</t>
  </si>
  <si>
    <t>Tractor - 35 hp</t>
  </si>
  <si>
    <t>Trailer</t>
  </si>
  <si>
    <t>Mould Board Plough</t>
  </si>
  <si>
    <t>Cultivator - 9 tyne</t>
  </si>
  <si>
    <t>Cage Wheel - 18"</t>
  </si>
  <si>
    <t>Disc harrow</t>
  </si>
  <si>
    <t>Seed Drill</t>
  </si>
  <si>
    <t>Accessories</t>
  </si>
  <si>
    <t>Transplanter</t>
  </si>
  <si>
    <t>Power Tiller - 13 HP</t>
  </si>
  <si>
    <t>Multi Crop Power thresher with electric motor</t>
  </si>
  <si>
    <t>Winnower</t>
  </si>
  <si>
    <t>Self Propelled Reaper - 3.5 HP</t>
  </si>
  <si>
    <t>Sprayer : Powered - 1 No.</t>
  </si>
  <si>
    <t>Sprayer : Manual - 2 No.</t>
  </si>
  <si>
    <t>Servicing tools</t>
  </si>
  <si>
    <t>Tools for repairing of machines</t>
  </si>
  <si>
    <t>Traction units</t>
  </si>
  <si>
    <t>Power tillers</t>
  </si>
  <si>
    <t>Hours operation in a day</t>
  </si>
  <si>
    <t>hours</t>
  </si>
  <si>
    <t>Insurance cost @ 2% of purchase cost</t>
  </si>
  <si>
    <t>Fuel expense</t>
  </si>
  <si>
    <t>Annexure 6 - requirement of Power and Fuel</t>
  </si>
  <si>
    <t>Fuel</t>
  </si>
  <si>
    <t>Mileage</t>
  </si>
  <si>
    <t>Speed of tractor</t>
  </si>
  <si>
    <t>Fuel requirement as per the operative hours</t>
  </si>
  <si>
    <t xml:space="preserve"> km per litre</t>
  </si>
  <si>
    <t xml:space="preserve"> km per hour</t>
  </si>
  <si>
    <t>litres</t>
  </si>
  <si>
    <t>- For Tractor</t>
  </si>
  <si>
    <t>Litre per hour</t>
  </si>
  <si>
    <t>Fuel requirement during the year for 30 units</t>
  </si>
  <si>
    <t>Litres</t>
  </si>
  <si>
    <t>Total fuel requirement</t>
  </si>
  <si>
    <t>Fuel cost per litre</t>
  </si>
  <si>
    <t>Total fuel cost at 100% capacity utilization</t>
  </si>
  <si>
    <t>Distribution of profits (50%)</t>
  </si>
  <si>
    <t>Electricity are semi-fixed cost. Rs. 90,000 pa is fixed, balance is variable at Rs. 12 per unit usage</t>
  </si>
  <si>
    <t>Asssumed that 30 days of purchases are average creditors maintained</t>
  </si>
  <si>
    <t>It is assumed that insuarance cost is 2% of purchase price and this will increase 2% annually</t>
  </si>
  <si>
    <t>Sales price is taken to be Rs. 410 per hour hire of tractor or power tiller, increaseing 2% annually</t>
  </si>
  <si>
    <t>It is assumed that 99% of production is sold for first 5 years, thereafter demand is almost 101% of output but we are able to serve market according to the availablility of output</t>
  </si>
  <si>
    <t>Contribution per hr</t>
  </si>
  <si>
    <t>Ann 6'!A1</t>
  </si>
  <si>
    <t>Add: benefits @ 15%</t>
  </si>
  <si>
    <t>1. Electricity are semi-fixed cost. Rs. 90,000 pa is fixed, balance is variable at Rs. 12 per unit usage</t>
  </si>
  <si>
    <t>2. Electricity usage in units is given below</t>
  </si>
  <si>
    <t>3. It is assumed that insuarance cost is 2% of purchase price and this will increase 2% annually</t>
  </si>
  <si>
    <t>A shed for keeping the tools and machinery - 4000 sq. ft. @ Rs. 400 psf</t>
  </si>
  <si>
    <t>- For Power tiller</t>
  </si>
  <si>
    <t>Requirement of Fuel</t>
  </si>
  <si>
    <t>Annexure 14 - Cash flow statement</t>
  </si>
  <si>
    <t>Rotavator</t>
  </si>
  <si>
    <t>Running and Manintenance expense @2% of sales</t>
  </si>
  <si>
    <t>Combine harvester</t>
  </si>
  <si>
    <t>-For Combine harvester</t>
  </si>
  <si>
    <t>Fuel requirement during the year for 5 units</t>
  </si>
  <si>
    <t>Operation days in a year for other machines</t>
  </si>
  <si>
    <t>Operation days in a year for Combine harvestor</t>
  </si>
  <si>
    <t>Rental per hr in year I</t>
  </si>
  <si>
    <t>Rental per hr in year I for combine harvester</t>
  </si>
  <si>
    <t>Capacity utilization</t>
  </si>
  <si>
    <t>Operational hrs for Combine harvester</t>
  </si>
  <si>
    <t>Operational hrs for other machines</t>
  </si>
  <si>
    <t>Total operational hours</t>
  </si>
  <si>
    <t>Hours usage for Combine harvester for the year</t>
  </si>
  <si>
    <t>Hours usage for other machinefor the year</t>
  </si>
  <si>
    <t>1. Sales price is taken to be Rs. 400 per hour hire of tractor or power tiller, increaseing 5% annually</t>
  </si>
  <si>
    <t>Annexure 8 - Details of Manpower</t>
  </si>
  <si>
    <t>Break even capacity at maximum capacity utilization</t>
  </si>
  <si>
    <t>Contribution margin</t>
  </si>
  <si>
    <t>Sales ratio</t>
  </si>
  <si>
    <t>Proportionate contribution</t>
  </si>
  <si>
    <t>BEP total in Rs.</t>
  </si>
  <si>
    <t>Other machine</t>
  </si>
  <si>
    <t>Combine Harvester</t>
  </si>
  <si>
    <t>Other Machine</t>
  </si>
  <si>
    <t>For the first year of operation the break-even capacity comes at 69.86% capacity, it is because of the fact that in the Initial year the fixed expense of consultancy for project is taken in to consideration for calculation of BEP. considering our operational capacity in year 1 to be 75% which is more than the BEP, hence we can conclude that the project is sound enough to cover its fixed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</si>
</sst>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_(* #,##0.0_);_(* \(#,##0.0\);_(* &quot;-&quot;?_);_(@_)"/>
    <numFmt numFmtId="166" formatCode="_(* #,##0.000000000_);_(* \(#,##0.000000000\);_(* &quot;-&quot;??_);_(@_)"/>
    <numFmt numFmtId="167" formatCode="0.000"/>
    <numFmt numFmtId="168" formatCode="_(* #,##0.0000_);_(* \(#,##0.0000\);_(* &quot;-&quot;??_);_(@_)"/>
  </numFmts>
  <fonts count="11" x14ac:knownFonts="1">
    <font>
      <sz val="11"/>
      <color theme="1"/>
      <name val="Calibri"/>
      <family val="2"/>
      <scheme val="minor"/>
    </font>
    <font>
      <sz val="11"/>
      <color theme="1"/>
      <name val="Calibri"/>
      <family val="2"/>
      <scheme val="minor"/>
    </font>
    <font>
      <u/>
      <sz val="11"/>
      <color theme="10"/>
      <name val="Calibri"/>
      <family val="2"/>
      <scheme val="minor"/>
    </font>
    <font>
      <b/>
      <sz val="11"/>
      <color theme="1"/>
      <name val="Adobe Devanagari"/>
      <family val="1"/>
    </font>
    <font>
      <sz val="11"/>
      <color theme="1"/>
      <name val="Adobe Devanagari"/>
      <family val="1"/>
    </font>
    <font>
      <u/>
      <sz val="11"/>
      <color theme="1"/>
      <name val="Adobe Devanagari"/>
      <family val="1"/>
    </font>
    <font>
      <u/>
      <sz val="11"/>
      <color theme="10"/>
      <name val="Adobe Devanagari"/>
      <family val="1"/>
    </font>
    <font>
      <sz val="11"/>
      <name val="Adobe Devanagari"/>
      <family val="1"/>
    </font>
    <font>
      <b/>
      <u/>
      <sz val="11"/>
      <color theme="1"/>
      <name val="Adobe Devanagari"/>
      <family val="1"/>
    </font>
    <font>
      <b/>
      <sz val="11"/>
      <name val="Adobe Devanagari"/>
      <family val="1"/>
    </font>
    <font>
      <sz val="11"/>
      <color theme="0"/>
      <name val="Adobe Devanagari"/>
      <family val="1"/>
    </font>
  </fonts>
  <fills count="4">
    <fill>
      <patternFill patternType="none"/>
    </fill>
    <fill>
      <patternFill patternType="gray125"/>
    </fill>
    <fill>
      <patternFill patternType="solid">
        <fgColor theme="9"/>
        <bgColor indexed="64"/>
      </patternFill>
    </fill>
    <fill>
      <patternFill patternType="solid">
        <fgColor theme="0"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131">
    <xf numFmtId="0" fontId="0" fillId="0" borderId="0" xfId="0"/>
    <xf numFmtId="2" fontId="0" fillId="0" borderId="0" xfId="0" applyNumberFormat="1"/>
    <xf numFmtId="167" fontId="0" fillId="0" borderId="0" xfId="0" applyNumberFormat="1"/>
    <xf numFmtId="0" fontId="3" fillId="0" borderId="0" xfId="0" applyFont="1"/>
    <xf numFmtId="0" fontId="4" fillId="0" borderId="0" xfId="0" applyFont="1"/>
    <xf numFmtId="0" fontId="4" fillId="0" borderId="5" xfId="0" applyFont="1" applyBorder="1"/>
    <xf numFmtId="0" fontId="4" fillId="0" borderId="6" xfId="0" applyFont="1" applyBorder="1" applyAlignment="1">
      <alignment horizontal="left" wrapText="1"/>
    </xf>
    <xf numFmtId="0" fontId="4" fillId="0" borderId="6" xfId="0" applyFont="1" applyBorder="1"/>
    <xf numFmtId="0" fontId="4" fillId="0" borderId="6" xfId="0" applyFont="1" applyBorder="1" applyAlignment="1">
      <alignment horizontal="left"/>
    </xf>
    <xf numFmtId="164" fontId="4" fillId="0" borderId="6" xfId="1" applyNumberFormat="1" applyFont="1" applyBorder="1"/>
    <xf numFmtId="164" fontId="4" fillId="0" borderId="7" xfId="1" applyNumberFormat="1" applyFont="1" applyBorder="1" applyAlignment="1">
      <alignment horizontal="left"/>
    </xf>
    <xf numFmtId="0" fontId="3" fillId="0" borderId="2" xfId="0" applyFont="1" applyBorder="1"/>
    <xf numFmtId="0" fontId="3" fillId="0" borderId="3" xfId="0" applyFont="1" applyBorder="1"/>
    <xf numFmtId="164" fontId="3" fillId="0" borderId="4" xfId="0" applyNumberFormat="1" applyFont="1" applyBorder="1"/>
    <xf numFmtId="0" fontId="4" fillId="0" borderId="2" xfId="0" applyFont="1" applyBorder="1"/>
    <xf numFmtId="0" fontId="4" fillId="0" borderId="3" xfId="0" applyFont="1" applyBorder="1"/>
    <xf numFmtId="0" fontId="4" fillId="0" borderId="4" xfId="0" applyFont="1" applyBorder="1"/>
    <xf numFmtId="0" fontId="4" fillId="0" borderId="0" xfId="0" applyFont="1" applyBorder="1" applyAlignment="1">
      <alignment horizontal="left"/>
    </xf>
    <xf numFmtId="0" fontId="4" fillId="0" borderId="8" xfId="0" applyFont="1" applyBorder="1"/>
    <xf numFmtId="0" fontId="4" fillId="0" borderId="0" xfId="0" applyFont="1" applyFill="1" applyBorder="1" applyAlignment="1">
      <alignment horizontal="left"/>
    </xf>
    <xf numFmtId="0" fontId="4" fillId="0" borderId="0" xfId="0" applyFont="1" applyBorder="1"/>
    <xf numFmtId="164" fontId="4" fillId="0" borderId="0" xfId="1" applyNumberFormat="1" applyFont="1" applyBorder="1"/>
    <xf numFmtId="164" fontId="4" fillId="0" borderId="9" xfId="1" applyNumberFormat="1" applyFont="1" applyBorder="1" applyAlignment="1">
      <alignment horizontal="left"/>
    </xf>
    <xf numFmtId="0" fontId="4" fillId="0" borderId="14" xfId="0" applyFont="1" applyBorder="1"/>
    <xf numFmtId="0" fontId="4" fillId="0" borderId="9" xfId="0" applyFont="1" applyBorder="1"/>
    <xf numFmtId="43" fontId="4" fillId="0" borderId="0" xfId="0" applyNumberFormat="1" applyFont="1"/>
    <xf numFmtId="164" fontId="4" fillId="0" borderId="0" xfId="0" applyNumberFormat="1" applyFont="1"/>
    <xf numFmtId="0" fontId="4" fillId="2" borderId="2" xfId="0" applyFont="1" applyFill="1" applyBorder="1"/>
    <xf numFmtId="0" fontId="4" fillId="2" borderId="3" xfId="0" applyFont="1" applyFill="1" applyBorder="1"/>
    <xf numFmtId="0" fontId="4" fillId="2" borderId="4" xfId="0" applyFont="1" applyFill="1" applyBorder="1"/>
    <xf numFmtId="0" fontId="4" fillId="0" borderId="5" xfId="0" applyFont="1" applyBorder="1" applyAlignment="1">
      <alignment vertical="top"/>
    </xf>
    <xf numFmtId="0" fontId="4" fillId="0" borderId="11" xfId="0" applyFont="1" applyBorder="1" applyAlignment="1">
      <alignment horizontal="left"/>
    </xf>
    <xf numFmtId="0" fontId="4" fillId="0" borderId="11" xfId="0" applyFont="1" applyBorder="1"/>
    <xf numFmtId="43" fontId="4" fillId="0" borderId="9" xfId="1" applyFont="1" applyBorder="1"/>
    <xf numFmtId="43" fontId="4" fillId="0" borderId="9" xfId="1" applyNumberFormat="1" applyFont="1" applyBorder="1"/>
    <xf numFmtId="43" fontId="4" fillId="0" borderId="9" xfId="0" applyNumberFormat="1" applyFont="1" applyBorder="1"/>
    <xf numFmtId="0" fontId="4" fillId="0" borderId="11" xfId="0" applyFont="1" applyBorder="1" applyAlignment="1">
      <alignment wrapText="1"/>
    </xf>
    <xf numFmtId="0" fontId="4" fillId="0" borderId="12" xfId="0" applyFont="1" applyBorder="1" applyAlignment="1">
      <alignment horizontal="left"/>
    </xf>
    <xf numFmtId="0" fontId="4" fillId="0" borderId="12" xfId="0" applyFont="1" applyBorder="1"/>
    <xf numFmtId="43" fontId="4" fillId="0" borderId="10" xfId="0" applyNumberFormat="1" applyFont="1" applyBorder="1"/>
    <xf numFmtId="0" fontId="4" fillId="0" borderId="0" xfId="0" applyFont="1" applyAlignment="1">
      <alignment horizontal="left"/>
    </xf>
    <xf numFmtId="0" fontId="5" fillId="2" borderId="2" xfId="0" applyFont="1" applyFill="1" applyBorder="1"/>
    <xf numFmtId="0" fontId="4" fillId="2" borderId="1" xfId="0" applyFont="1" applyFill="1" applyBorder="1"/>
    <xf numFmtId="0" fontId="4" fillId="2" borderId="1" xfId="0" applyFont="1" applyFill="1" applyBorder="1" applyAlignment="1">
      <alignment wrapText="1"/>
    </xf>
    <xf numFmtId="0" fontId="4" fillId="0" borderId="1" xfId="0" applyFont="1" applyBorder="1"/>
    <xf numFmtId="0" fontId="6" fillId="0" borderId="1" xfId="3" quotePrefix="1" applyFont="1" applyBorder="1"/>
    <xf numFmtId="0" fontId="6" fillId="0" borderId="1" xfId="3" applyFont="1" applyBorder="1"/>
    <xf numFmtId="10" fontId="4" fillId="0" borderId="0" xfId="2" applyNumberFormat="1" applyFont="1"/>
    <xf numFmtId="2" fontId="4" fillId="0" borderId="0" xfId="0" applyNumberFormat="1" applyFont="1"/>
    <xf numFmtId="43" fontId="4" fillId="0" borderId="4" xfId="0" applyNumberFormat="1" applyFont="1" applyBorder="1"/>
    <xf numFmtId="0" fontId="3" fillId="2" borderId="2" xfId="0" applyFont="1" applyFill="1" applyBorder="1"/>
    <xf numFmtId="0" fontId="3" fillId="2" borderId="3" xfId="0" applyFont="1" applyFill="1" applyBorder="1"/>
    <xf numFmtId="0" fontId="3" fillId="2" borderId="4" xfId="0" applyFont="1" applyFill="1" applyBorder="1"/>
    <xf numFmtId="164" fontId="4" fillId="0" borderId="1" xfId="1" applyNumberFormat="1" applyFont="1" applyBorder="1"/>
    <xf numFmtId="0" fontId="4" fillId="0" borderId="1" xfId="0" applyFont="1" applyFill="1" applyBorder="1"/>
    <xf numFmtId="0" fontId="4" fillId="2" borderId="1" xfId="0" applyFont="1" applyFill="1" applyBorder="1" applyAlignment="1">
      <alignment horizontal="center" vertical="center"/>
    </xf>
    <xf numFmtId="0" fontId="4" fillId="2" borderId="1" xfId="0" applyFont="1" applyFill="1" applyBorder="1" applyAlignment="1">
      <alignment horizontal="center"/>
    </xf>
    <xf numFmtId="0" fontId="3" fillId="0" borderId="6" xfId="0" applyFont="1" applyBorder="1"/>
    <xf numFmtId="0" fontId="4" fillId="0" borderId="15" xfId="0" applyFont="1" applyBorder="1"/>
    <xf numFmtId="0" fontId="4" fillId="0" borderId="7" xfId="0" applyFont="1" applyBorder="1"/>
    <xf numFmtId="164" fontId="4" fillId="0" borderId="11" xfId="0" applyNumberFormat="1" applyFont="1" applyBorder="1"/>
    <xf numFmtId="43" fontId="4" fillId="0" borderId="11" xfId="0" applyNumberFormat="1" applyFont="1" applyBorder="1"/>
    <xf numFmtId="164" fontId="4" fillId="0" borderId="11" xfId="1" applyNumberFormat="1" applyFont="1" applyBorder="1"/>
    <xf numFmtId="164" fontId="4" fillId="0" borderId="9" xfId="0" applyNumberFormat="1" applyFont="1" applyBorder="1"/>
    <xf numFmtId="0" fontId="3" fillId="0" borderId="0" xfId="0" applyFont="1" applyBorder="1"/>
    <xf numFmtId="164" fontId="4" fillId="0" borderId="9" xfId="1" applyNumberFormat="1" applyFont="1" applyBorder="1"/>
    <xf numFmtId="0" fontId="4" fillId="0" borderId="0" xfId="0" applyFont="1" applyFill="1" applyBorder="1"/>
    <xf numFmtId="0" fontId="4" fillId="0" borderId="13" xfId="0" applyFont="1" applyBorder="1"/>
    <xf numFmtId="164" fontId="4" fillId="0" borderId="0" xfId="0" applyNumberFormat="1" applyFont="1" applyFill="1" applyBorder="1"/>
    <xf numFmtId="0" fontId="4" fillId="0" borderId="14" xfId="0" applyFont="1" applyFill="1" applyBorder="1"/>
    <xf numFmtId="0" fontId="5" fillId="0" borderId="0" xfId="0" applyFont="1"/>
    <xf numFmtId="0" fontId="4" fillId="0" borderId="0" xfId="0" quotePrefix="1" applyFont="1"/>
    <xf numFmtId="43" fontId="4" fillId="0" borderId="0" xfId="1" applyFont="1"/>
    <xf numFmtId="0" fontId="3" fillId="2" borderId="0" xfId="0" applyFont="1" applyFill="1"/>
    <xf numFmtId="0" fontId="4" fillId="2" borderId="0" xfId="0" applyFont="1" applyFill="1"/>
    <xf numFmtId="164" fontId="4" fillId="0" borderId="1" xfId="0" applyNumberFormat="1" applyFont="1" applyBorder="1"/>
    <xf numFmtId="164" fontId="4" fillId="0" borderId="10" xfId="0" applyNumberFormat="1" applyFont="1" applyBorder="1"/>
    <xf numFmtId="164" fontId="4" fillId="0" borderId="4" xfId="0" applyNumberFormat="1" applyFont="1" applyBorder="1"/>
    <xf numFmtId="9" fontId="4" fillId="0" borderId="0" xfId="0" applyNumberFormat="1" applyFont="1"/>
    <xf numFmtId="9" fontId="4" fillId="0" borderId="1" xfId="0" applyNumberFormat="1" applyFont="1" applyBorder="1"/>
    <xf numFmtId="0" fontId="4" fillId="0" borderId="1" xfId="0" applyFont="1" applyBorder="1" applyAlignment="1">
      <alignment horizontal="right"/>
    </xf>
    <xf numFmtId="0" fontId="4" fillId="0" borderId="1" xfId="0" applyFont="1" applyBorder="1" applyAlignment="1">
      <alignment horizontal="left"/>
    </xf>
    <xf numFmtId="43" fontId="4" fillId="0" borderId="1" xfId="0" applyNumberFormat="1" applyFont="1" applyBorder="1"/>
    <xf numFmtId="0" fontId="4" fillId="0" borderId="0" xfId="0" applyFont="1" applyAlignment="1">
      <alignment horizontal="right"/>
    </xf>
    <xf numFmtId="0" fontId="3" fillId="2" borderId="1" xfId="0" applyFont="1" applyFill="1" applyBorder="1" applyAlignment="1">
      <alignment horizontal="center"/>
    </xf>
    <xf numFmtId="9" fontId="3" fillId="2" borderId="1" xfId="0" applyNumberFormat="1" applyFont="1" applyFill="1" applyBorder="1" applyAlignment="1">
      <alignment horizontal="center"/>
    </xf>
    <xf numFmtId="43" fontId="4" fillId="0" borderId="1" xfId="1" applyFont="1" applyBorder="1"/>
    <xf numFmtId="164" fontId="4" fillId="0" borderId="0" xfId="1" applyNumberFormat="1" applyFont="1"/>
    <xf numFmtId="0" fontId="5" fillId="2" borderId="0" xfId="0" applyFont="1" applyFill="1"/>
    <xf numFmtId="0" fontId="4" fillId="0" borderId="1" xfId="0" quotePrefix="1" applyFont="1" applyBorder="1"/>
    <xf numFmtId="168" fontId="4" fillId="0" borderId="1" xfId="0" applyNumberFormat="1" applyFont="1" applyBorder="1"/>
    <xf numFmtId="10" fontId="4" fillId="0" borderId="1" xfId="2" applyNumberFormat="1" applyFont="1" applyBorder="1"/>
    <xf numFmtId="10" fontId="4" fillId="0" borderId="0" xfId="0" applyNumberFormat="1" applyFont="1"/>
    <xf numFmtId="2" fontId="4" fillId="0" borderId="1" xfId="0" applyNumberFormat="1" applyFont="1" applyBorder="1"/>
    <xf numFmtId="0" fontId="7" fillId="0" borderId="0" xfId="0" applyFont="1"/>
    <xf numFmtId="1" fontId="4" fillId="0" borderId="1" xfId="0" applyNumberFormat="1" applyFont="1" applyBorder="1"/>
    <xf numFmtId="0" fontId="4" fillId="0" borderId="1" xfId="0" applyFont="1" applyBorder="1" applyAlignment="1">
      <alignment vertical="top"/>
    </xf>
    <xf numFmtId="0" fontId="4" fillId="0" borderId="1" xfId="0" applyFont="1" applyBorder="1" applyAlignment="1">
      <alignment vertical="top" wrapText="1"/>
    </xf>
    <xf numFmtId="0" fontId="4" fillId="0" borderId="0" xfId="0" applyFont="1" applyAlignment="1">
      <alignment vertical="top"/>
    </xf>
    <xf numFmtId="165" fontId="4" fillId="0" borderId="1" xfId="0" applyNumberFormat="1" applyFont="1" applyBorder="1" applyAlignment="1">
      <alignment vertical="top" wrapText="1"/>
    </xf>
    <xf numFmtId="0" fontId="8" fillId="0" borderId="0" xfId="0" applyFont="1"/>
    <xf numFmtId="0" fontId="9" fillId="0" borderId="0" xfId="0" applyFont="1"/>
    <xf numFmtId="0" fontId="7" fillId="0" borderId="1" xfId="0" applyFont="1" applyBorder="1"/>
    <xf numFmtId="164" fontId="7" fillId="0" borderId="1" xfId="1" applyNumberFormat="1" applyFont="1" applyBorder="1"/>
    <xf numFmtId="164" fontId="10" fillId="0" borderId="0" xfId="1" applyNumberFormat="1" applyFont="1"/>
    <xf numFmtId="10" fontId="10" fillId="0" borderId="0" xfId="1" applyNumberFormat="1" applyFont="1"/>
    <xf numFmtId="0" fontId="10" fillId="0" borderId="0" xfId="0" applyFont="1"/>
    <xf numFmtId="166" fontId="10" fillId="0" borderId="0" xfId="1" applyNumberFormat="1" applyFont="1"/>
    <xf numFmtId="164" fontId="10" fillId="0" borderId="0" xfId="0" applyNumberFormat="1" applyFont="1"/>
    <xf numFmtId="0" fontId="9" fillId="2" borderId="1" xfId="0" applyFont="1" applyFill="1" applyBorder="1" applyAlignment="1">
      <alignment horizontal="center"/>
    </xf>
    <xf numFmtId="0" fontId="4" fillId="2" borderId="1" xfId="0" applyFont="1" applyFill="1" applyBorder="1" applyAlignment="1">
      <alignment horizontal="center"/>
    </xf>
    <xf numFmtId="0" fontId="4" fillId="2" borderId="8" xfId="0" applyFont="1" applyFill="1" applyBorder="1"/>
    <xf numFmtId="0" fontId="4" fillId="2" borderId="0" xfId="0" applyFont="1" applyFill="1" applyBorder="1"/>
    <xf numFmtId="0" fontId="4" fillId="2" borderId="11" xfId="0" applyFont="1" applyFill="1" applyBorder="1"/>
    <xf numFmtId="0" fontId="4" fillId="2" borderId="9" xfId="0" applyFont="1" applyFill="1" applyBorder="1"/>
    <xf numFmtId="164" fontId="4" fillId="2" borderId="9" xfId="0" applyNumberFormat="1" applyFont="1" applyFill="1" applyBorder="1"/>
    <xf numFmtId="167" fontId="4" fillId="0" borderId="0" xfId="0" applyNumberFormat="1" applyFont="1"/>
    <xf numFmtId="0" fontId="4" fillId="0" borderId="0" xfId="0" applyFont="1" applyAlignment="1">
      <alignment wrapText="1"/>
    </xf>
    <xf numFmtId="0" fontId="3" fillId="2" borderId="1" xfId="0" applyFont="1" applyFill="1" applyBorder="1" applyAlignment="1">
      <alignment horizontal="center"/>
    </xf>
    <xf numFmtId="0" fontId="3" fillId="2" borderId="1" xfId="0" applyFont="1" applyFill="1" applyBorder="1"/>
    <xf numFmtId="10" fontId="4" fillId="0" borderId="1" xfId="0" applyNumberFormat="1" applyFont="1" applyBorder="1"/>
    <xf numFmtId="10" fontId="4" fillId="0" borderId="0" xfId="0" applyNumberFormat="1" applyFont="1" applyBorder="1"/>
    <xf numFmtId="10" fontId="4" fillId="0" borderId="15" xfId="2" applyNumberFormat="1" applyFont="1" applyBorder="1"/>
    <xf numFmtId="0" fontId="4" fillId="3" borderId="0" xfId="0" applyFont="1" applyFill="1"/>
    <xf numFmtId="0" fontId="4" fillId="2" borderId="1" xfId="0" applyFont="1" applyFill="1" applyBorder="1" applyAlignment="1">
      <alignment horizontal="center"/>
    </xf>
    <xf numFmtId="0" fontId="4" fillId="2" borderId="1" xfId="0" applyFont="1" applyFill="1" applyBorder="1" applyAlignment="1">
      <alignment horizontal="center" vertical="center"/>
    </xf>
    <xf numFmtId="0" fontId="4" fillId="0" borderId="1" xfId="0" applyFont="1" applyBorder="1" applyAlignment="1">
      <alignment horizontal="left"/>
    </xf>
    <xf numFmtId="0" fontId="4" fillId="0" borderId="0" xfId="0" applyFont="1" applyAlignment="1">
      <alignment horizontal="left" wrapText="1"/>
    </xf>
    <xf numFmtId="0" fontId="0" fillId="0" borderId="0" xfId="0" applyAlignment="1">
      <alignment horizontal="center"/>
    </xf>
    <xf numFmtId="0" fontId="4" fillId="0" borderId="1" xfId="0" applyFont="1" applyBorder="1" applyAlignment="1">
      <alignment horizontal="center" vertical="center"/>
    </xf>
    <xf numFmtId="0" fontId="3" fillId="2" borderId="1" xfId="0" applyFont="1" applyFill="1" applyBorder="1" applyAlignment="1">
      <alignment horizont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0Assignments/6.%20Ashiwini%20Mittal%20uncle's%20bid%20for%20work/1.%20F&amp;V%20Processing%20unit/F&amp;V%20Processing%20Unit%20Annexures%20-%20With%20Subsid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Ann 1"/>
      <sheetName val="Ann 2"/>
      <sheetName val="Ann 3"/>
      <sheetName val="Ann 4"/>
      <sheetName val="Ann 5"/>
      <sheetName val="Ann 6"/>
      <sheetName val="Ann 7"/>
      <sheetName val="Ann 8"/>
      <sheetName val="Ann 9"/>
      <sheetName val="Ann 10"/>
      <sheetName val="Ann 11"/>
      <sheetName val="Ann 12"/>
      <sheetName val="Ann 13"/>
      <sheetName val="Budgets"/>
      <sheetName val="Assumptions"/>
      <sheetName val="For word file"/>
      <sheetName val="Sheet1"/>
    </sheetNames>
    <sheetDataSet>
      <sheetData sheetId="0"/>
      <sheetData sheetId="1">
        <row r="3">
          <cell r="A3" t="str">
            <v>Annexure 1 - Estimated cost of the project</v>
          </cell>
        </row>
      </sheetData>
      <sheetData sheetId="2">
        <row r="1">
          <cell r="A1" t="str">
            <v>Annexure 2 - Means of Finance</v>
          </cell>
        </row>
      </sheetData>
      <sheetData sheetId="3"/>
      <sheetData sheetId="4">
        <row r="1">
          <cell r="A1" t="str">
            <v>Annexure 4 - Estimated Cost of Production</v>
          </cell>
        </row>
      </sheetData>
      <sheetData sheetId="5">
        <row r="1">
          <cell r="A1" t="str">
            <v>Annexure 5- Projected balance sheet</v>
          </cell>
        </row>
      </sheetData>
      <sheetData sheetId="6"/>
      <sheetData sheetId="7"/>
      <sheetData sheetId="8"/>
      <sheetData sheetId="9"/>
      <sheetData sheetId="10"/>
      <sheetData sheetId="11">
        <row r="1">
          <cell r="A1" t="str">
            <v>Annexure 11- Break even analysis (At maximum capacity utilization)</v>
          </cell>
        </row>
      </sheetData>
      <sheetData sheetId="12"/>
      <sheetData sheetId="13"/>
      <sheetData sheetId="14">
        <row r="1">
          <cell r="A1" t="str">
            <v>Sales Budget</v>
          </cell>
        </row>
      </sheetData>
      <sheetData sheetId="15">
        <row r="1">
          <cell r="B1" t="str">
            <v>Assumptions</v>
          </cell>
        </row>
      </sheetData>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AC8BE-60EA-43EA-96F6-72E97A57CA2D}">
  <dimension ref="A1:B17"/>
  <sheetViews>
    <sheetView workbookViewId="0">
      <selection activeCell="A5" sqref="A5"/>
    </sheetView>
  </sheetViews>
  <sheetFormatPr defaultRowHeight="17" x14ac:dyDescent="0.6"/>
  <cols>
    <col min="1" max="1" width="57.90625" style="4" bestFit="1" customWidth="1"/>
    <col min="2" max="2" width="14.453125" style="4" bestFit="1" customWidth="1"/>
    <col min="3" max="16384" width="8.7265625" style="4"/>
  </cols>
  <sheetData>
    <row r="1" spans="1:2" x14ac:dyDescent="0.6">
      <c r="A1" s="3" t="s">
        <v>209</v>
      </c>
    </row>
    <row r="3" spans="1:2" x14ac:dyDescent="0.6">
      <c r="A3" s="119" t="s">
        <v>210</v>
      </c>
      <c r="B3" s="119" t="s">
        <v>211</v>
      </c>
    </row>
    <row r="4" spans="1:2" x14ac:dyDescent="0.6">
      <c r="A4" s="44" t="str">
        <f>'[1]Ann 1'!A3</f>
        <v>Annexure 1 - Estimated cost of the project</v>
      </c>
      <c r="B4" s="45" t="s">
        <v>212</v>
      </c>
    </row>
    <row r="5" spans="1:2" x14ac:dyDescent="0.6">
      <c r="A5" s="44" t="str">
        <f>'[1]Ann 2'!A1</f>
        <v>Annexure 2 - Means of Finance</v>
      </c>
      <c r="B5" s="45" t="s">
        <v>213</v>
      </c>
    </row>
    <row r="6" spans="1:2" x14ac:dyDescent="0.6">
      <c r="A6" s="44" t="str">
        <f>'Ann 3'!A1</f>
        <v>Annexure 3 - Complete Estimate of Civil and Plant and Machinery</v>
      </c>
      <c r="B6" s="45" t="s">
        <v>235</v>
      </c>
    </row>
    <row r="7" spans="1:2" x14ac:dyDescent="0.6">
      <c r="A7" s="44" t="str">
        <f>'[1]Ann 4'!A1</f>
        <v>Annexure 4 - Estimated Cost of Production</v>
      </c>
      <c r="B7" s="45" t="s">
        <v>214</v>
      </c>
    </row>
    <row r="8" spans="1:2" x14ac:dyDescent="0.6">
      <c r="A8" s="44" t="str">
        <f>'[1]Ann 5'!A1</f>
        <v>Annexure 5- Projected balance sheet</v>
      </c>
      <c r="B8" s="45" t="s">
        <v>215</v>
      </c>
    </row>
    <row r="9" spans="1:2" x14ac:dyDescent="0.6">
      <c r="A9" s="44" t="str">
        <f>'Ann 6'!A1</f>
        <v>Annexure 6 - requirement of Power and Fuel</v>
      </c>
      <c r="B9" s="45" t="s">
        <v>284</v>
      </c>
    </row>
    <row r="10" spans="1:2" x14ac:dyDescent="0.6">
      <c r="A10" s="44" t="str">
        <f>'Ann 8'!A1</f>
        <v>Annexure 8 - Details of Manpower</v>
      </c>
      <c r="B10" s="45" t="s">
        <v>216</v>
      </c>
    </row>
    <row r="11" spans="1:2" x14ac:dyDescent="0.6">
      <c r="A11" s="44" t="str">
        <f>'Ann 9'!A1</f>
        <v>Annexure 9 - Computation of Depreciation</v>
      </c>
      <c r="B11" s="45" t="s">
        <v>217</v>
      </c>
    </row>
    <row r="12" spans="1:2" x14ac:dyDescent="0.6">
      <c r="A12" s="44" t="str">
        <f>'Ann 10'!A1</f>
        <v>Annexure 10 - Calculation of Income tax</v>
      </c>
      <c r="B12" s="45" t="s">
        <v>218</v>
      </c>
    </row>
    <row r="13" spans="1:2" x14ac:dyDescent="0.6">
      <c r="A13" s="44" t="str">
        <f>'[1]Ann 11'!A1</f>
        <v>Annexure 11- Break even analysis (At maximum capacity utilization)</v>
      </c>
      <c r="B13" s="45" t="s">
        <v>219</v>
      </c>
    </row>
    <row r="14" spans="1:2" x14ac:dyDescent="0.6">
      <c r="A14" s="44" t="str">
        <f>'Ann 13'!A1</f>
        <v>Annexure 13 - Repayment schedule</v>
      </c>
      <c r="B14" s="45" t="s">
        <v>220</v>
      </c>
    </row>
    <row r="15" spans="1:2" x14ac:dyDescent="0.6">
      <c r="A15" s="44" t="str">
        <f>'Ann 14'!A1</f>
        <v>Annexure 14 - Cash flow statement</v>
      </c>
      <c r="B15" s="45" t="s">
        <v>227</v>
      </c>
    </row>
    <row r="16" spans="1:2" x14ac:dyDescent="0.6">
      <c r="A16" s="44" t="str">
        <f>[1]Assumptions!B1</f>
        <v>Assumptions</v>
      </c>
      <c r="B16" s="46" t="s">
        <v>221</v>
      </c>
    </row>
    <row r="17" spans="1:2" x14ac:dyDescent="0.6">
      <c r="A17" s="44" t="str">
        <f>[1]Budgets!A1</f>
        <v>Sales Budget</v>
      </c>
      <c r="B17" s="46" t="s">
        <v>222</v>
      </c>
    </row>
  </sheetData>
  <hyperlinks>
    <hyperlink ref="B4" location="'Ann 1'!A1" display="Ann 1'!A1" xr:uid="{8392AB6D-212E-479A-A76E-720E2C0CDF1A}"/>
    <hyperlink ref="B5" location="'Ann 2'!A1" display="Ann 2'!A1" xr:uid="{B4E13D04-8C42-46A6-BAFD-20DB089CE0CE}"/>
    <hyperlink ref="B7" location="'Ann 5'!A1" display="Ann 4'!A1" xr:uid="{13CD8BC8-123F-4B27-B558-7700BF617505}"/>
    <hyperlink ref="B8" location="'Ann 6'!A1" display="Ann 5'!A1" xr:uid="{48243C34-7BE1-4B2C-9BAF-A4BEE1FA52A7}"/>
    <hyperlink ref="B10" location="'Ann 8'!A1" display="'Ann 8'!A1" xr:uid="{4BFF2D8E-3B2F-47B1-821E-2A9D5F3C599D}"/>
    <hyperlink ref="B11" location="'Ann 9'!A1" display="'Ann 9'!A1" xr:uid="{E91052E2-C8F3-4E24-802C-38C31EA75505}"/>
    <hyperlink ref="B12" location="'Ann 10'!A1" display="'Ann 10'!A1" xr:uid="{6A4B47E0-EA66-439F-8C5A-E0DF1C723C34}"/>
    <hyperlink ref="B13" location="'Ann 11'!A1" display="'Ann 11'!A1" xr:uid="{91648EFB-F5F2-42E9-8853-705ACD4F62EF}"/>
    <hyperlink ref="B14" location="'Ann 13'!A1" display="'Ann 13'!A1" xr:uid="{D748CAF8-9377-4D17-A5F2-F1A083E6D389}"/>
    <hyperlink ref="B16" location="Assumptions!A1" display="Assumptions!A1" xr:uid="{E978F649-0532-497D-92AA-EF316AAFA8E7}"/>
    <hyperlink ref="B17" location="Budgets!A1" display="Budgets!A1" xr:uid="{4CD23AF4-AE8A-40D8-A5ED-3F33524C9974}"/>
    <hyperlink ref="B15" location="'Cash flows'!A1" display="'Cash flows'!A1" xr:uid="{718213C1-E053-4B01-87D5-A7B478363B5A}"/>
    <hyperlink ref="B6" location="'Ann 3'!A1" display="'Ann 3'!A1" xr:uid="{103D0423-931A-4127-89EA-F0D3EE7C4F91}"/>
    <hyperlink ref="B9" location="'Ann 6'!A1" display="'Ann 6'!A1" xr:uid="{875DC53B-61BE-45FC-A341-C80974325C7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6521A-756D-4D90-8C99-73BDFD6A7811}">
  <sheetPr>
    <pageSetUpPr fitToPage="1"/>
  </sheetPr>
  <dimension ref="A1:J14"/>
  <sheetViews>
    <sheetView workbookViewId="0">
      <selection activeCell="A8" sqref="A8"/>
    </sheetView>
  </sheetViews>
  <sheetFormatPr defaultRowHeight="17" x14ac:dyDescent="0.6"/>
  <cols>
    <col min="1" max="1" width="20.90625" style="4" customWidth="1"/>
    <col min="2" max="10" width="13.6328125" style="4" bestFit="1" customWidth="1"/>
    <col min="11" max="16384" width="8.7265625" style="4"/>
  </cols>
  <sheetData>
    <row r="1" spans="1:10" x14ac:dyDescent="0.6">
      <c r="A1" s="3" t="s">
        <v>110</v>
      </c>
    </row>
    <row r="3" spans="1:10" x14ac:dyDescent="0.6">
      <c r="A3" s="70" t="s">
        <v>111</v>
      </c>
    </row>
    <row r="5" spans="1:10" x14ac:dyDescent="0.6">
      <c r="A5" s="125" t="s">
        <v>3</v>
      </c>
      <c r="B5" s="125" t="s">
        <v>48</v>
      </c>
      <c r="C5" s="125"/>
      <c r="D5" s="125"/>
      <c r="E5" s="125"/>
      <c r="F5" s="125"/>
      <c r="G5" s="125"/>
      <c r="H5" s="125"/>
      <c r="I5" s="125"/>
      <c r="J5" s="125"/>
    </row>
    <row r="6" spans="1:10" x14ac:dyDescent="0.6">
      <c r="A6" s="125"/>
      <c r="B6" s="55" t="s">
        <v>39</v>
      </c>
      <c r="C6" s="55" t="s">
        <v>40</v>
      </c>
      <c r="D6" s="55" t="s">
        <v>41</v>
      </c>
      <c r="E6" s="55" t="s">
        <v>42</v>
      </c>
      <c r="F6" s="55" t="s">
        <v>43</v>
      </c>
      <c r="G6" s="55" t="s">
        <v>44</v>
      </c>
      <c r="H6" s="55" t="s">
        <v>45</v>
      </c>
      <c r="I6" s="55" t="s">
        <v>46</v>
      </c>
      <c r="J6" s="55" t="s">
        <v>47</v>
      </c>
    </row>
    <row r="7" spans="1:10" x14ac:dyDescent="0.6">
      <c r="A7" s="44" t="s">
        <v>112</v>
      </c>
      <c r="B7" s="53">
        <f>'Ann 4'!C27</f>
        <v>1620277.8846153845</v>
      </c>
      <c r="C7" s="53">
        <f>'Ann 4'!D27</f>
        <v>2886915.134615385</v>
      </c>
      <c r="D7" s="53">
        <f>'Ann 4'!E27</f>
        <v>3213955.2984615383</v>
      </c>
      <c r="E7" s="53">
        <f>'Ann 4'!F27</f>
        <v>3530783.1359076933</v>
      </c>
      <c r="F7" s="53">
        <f>'Ann 4'!G27</f>
        <v>3836795.8305298467</v>
      </c>
      <c r="G7" s="53">
        <f>'Ann 4'!H27</f>
        <v>4131354.8316317615</v>
      </c>
      <c r="H7" s="53">
        <f>'Ann 4'!I27</f>
        <v>4413783.7306953836</v>
      </c>
      <c r="I7" s="53">
        <f>'Ann 4'!J27</f>
        <v>4242418.8883361388</v>
      </c>
      <c r="J7" s="53">
        <f>'Ann 4'!K27</f>
        <v>4017924.6452191565</v>
      </c>
    </row>
    <row r="8" spans="1:10" x14ac:dyDescent="0.6">
      <c r="A8" s="44" t="s">
        <v>113</v>
      </c>
      <c r="B8" s="53">
        <v>0</v>
      </c>
      <c r="C8" s="53">
        <v>0</v>
      </c>
      <c r="D8" s="53">
        <v>0</v>
      </c>
      <c r="E8" s="53">
        <v>0</v>
      </c>
      <c r="F8" s="53">
        <v>0</v>
      </c>
      <c r="G8" s="53">
        <v>0</v>
      </c>
      <c r="H8" s="53">
        <v>0</v>
      </c>
      <c r="I8" s="53">
        <v>0</v>
      </c>
      <c r="J8" s="53">
        <v>0</v>
      </c>
    </row>
    <row r="9" spans="1:10" x14ac:dyDescent="0.6">
      <c r="A9" s="44" t="s">
        <v>114</v>
      </c>
      <c r="B9" s="53">
        <f>B7+B8</f>
        <v>1620277.8846153845</v>
      </c>
      <c r="C9" s="53">
        <f t="shared" ref="C9:J9" si="0">C7+C8</f>
        <v>2886915.134615385</v>
      </c>
      <c r="D9" s="53">
        <f t="shared" si="0"/>
        <v>3213955.2984615383</v>
      </c>
      <c r="E9" s="53">
        <f t="shared" si="0"/>
        <v>3530783.1359076933</v>
      </c>
      <c r="F9" s="53">
        <f t="shared" si="0"/>
        <v>3836795.8305298467</v>
      </c>
      <c r="G9" s="53">
        <f t="shared" si="0"/>
        <v>4131354.8316317615</v>
      </c>
      <c r="H9" s="53">
        <f t="shared" si="0"/>
        <v>4413783.7306953836</v>
      </c>
      <c r="I9" s="53">
        <f t="shared" si="0"/>
        <v>4242418.8883361388</v>
      </c>
      <c r="J9" s="53">
        <f t="shared" si="0"/>
        <v>4017924.6452191565</v>
      </c>
    </row>
    <row r="10" spans="1:10" x14ac:dyDescent="0.6">
      <c r="A10" s="44" t="s">
        <v>115</v>
      </c>
      <c r="B10" s="53">
        <f>SUM('Ann 9'!C12:E12)</f>
        <v>1101250</v>
      </c>
      <c r="C10" s="53">
        <f>SUM('Ann 9'!C13:E13)</f>
        <v>944062.5</v>
      </c>
      <c r="D10" s="53">
        <f>SUM('Ann 9'!C14:E14)</f>
        <v>809653.125</v>
      </c>
      <c r="E10" s="53">
        <f>SUM('Ann 9'!C15:E15)</f>
        <v>694685.15625</v>
      </c>
      <c r="F10" s="53">
        <f>SUM('Ann 9'!C16:E16)</f>
        <v>596314.3828125</v>
      </c>
      <c r="G10" s="53">
        <f>SUM('Ann 9'!C17:E17)</f>
        <v>512116.025390625</v>
      </c>
      <c r="H10" s="53">
        <f>SUM('Ann 9'!C18:E18)</f>
        <v>440022.54158203123</v>
      </c>
      <c r="I10" s="53">
        <f>SUM('Ann 9'!C19:E19)</f>
        <v>378270.68834472657</v>
      </c>
      <c r="J10" s="53">
        <f>SUM('Ann 9'!C20:E20)</f>
        <v>325356.46029301756</v>
      </c>
    </row>
    <row r="11" spans="1:10" x14ac:dyDescent="0.6">
      <c r="A11" s="44" t="s">
        <v>114</v>
      </c>
      <c r="B11" s="53">
        <f>B9-B10</f>
        <v>519027.88461538451</v>
      </c>
      <c r="C11" s="53">
        <f t="shared" ref="C11:J11" si="1">C9-C10</f>
        <v>1942852.634615385</v>
      </c>
      <c r="D11" s="53">
        <f t="shared" si="1"/>
        <v>2404302.1734615383</v>
      </c>
      <c r="E11" s="53">
        <f t="shared" si="1"/>
        <v>2836097.9796576933</v>
      </c>
      <c r="F11" s="53">
        <f t="shared" si="1"/>
        <v>3240481.4477173467</v>
      </c>
      <c r="G11" s="53">
        <f t="shared" si="1"/>
        <v>3619238.8062411365</v>
      </c>
      <c r="H11" s="53">
        <f t="shared" si="1"/>
        <v>3973761.1891133524</v>
      </c>
      <c r="I11" s="53">
        <f t="shared" si="1"/>
        <v>3864148.1999914125</v>
      </c>
      <c r="J11" s="53">
        <f t="shared" si="1"/>
        <v>3692568.1849261392</v>
      </c>
    </row>
    <row r="12" spans="1:10" x14ac:dyDescent="0.6">
      <c r="A12" s="44" t="s">
        <v>116</v>
      </c>
      <c r="B12" s="86">
        <v>0</v>
      </c>
      <c r="C12" s="86">
        <v>0</v>
      </c>
      <c r="D12" s="86">
        <v>0</v>
      </c>
      <c r="E12" s="86">
        <v>0</v>
      </c>
      <c r="F12" s="86">
        <v>0</v>
      </c>
      <c r="G12" s="86">
        <v>0</v>
      </c>
      <c r="H12" s="86">
        <v>0</v>
      </c>
      <c r="I12" s="86">
        <v>0</v>
      </c>
      <c r="J12" s="86">
        <v>0</v>
      </c>
    </row>
    <row r="13" spans="1:10" x14ac:dyDescent="0.6">
      <c r="A13" s="44" t="s">
        <v>117</v>
      </c>
      <c r="B13" s="75">
        <f>B11</f>
        <v>519027.88461538451</v>
      </c>
      <c r="C13" s="75">
        <f t="shared" ref="C13:J13" si="2">C11</f>
        <v>1942852.634615385</v>
      </c>
      <c r="D13" s="75">
        <f t="shared" si="2"/>
        <v>2404302.1734615383</v>
      </c>
      <c r="E13" s="75">
        <f t="shared" si="2"/>
        <v>2836097.9796576933</v>
      </c>
      <c r="F13" s="75">
        <f t="shared" si="2"/>
        <v>3240481.4477173467</v>
      </c>
      <c r="G13" s="75">
        <f t="shared" si="2"/>
        <v>3619238.8062411365</v>
      </c>
      <c r="H13" s="75">
        <f t="shared" si="2"/>
        <v>3973761.1891133524</v>
      </c>
      <c r="I13" s="75">
        <f t="shared" si="2"/>
        <v>3864148.1999914125</v>
      </c>
      <c r="J13" s="75">
        <f t="shared" si="2"/>
        <v>3692568.1849261392</v>
      </c>
    </row>
    <row r="14" spans="1:10" x14ac:dyDescent="0.6">
      <c r="A14" s="44" t="s">
        <v>118</v>
      </c>
      <c r="B14" s="75">
        <f>B13*30%</f>
        <v>155708.36538461535</v>
      </c>
      <c r="C14" s="75">
        <f t="shared" ref="C14:J14" si="3">C13*30%</f>
        <v>582855.79038461542</v>
      </c>
      <c r="D14" s="75">
        <f t="shared" si="3"/>
        <v>721290.65203846141</v>
      </c>
      <c r="E14" s="75">
        <f t="shared" si="3"/>
        <v>850829.39389730792</v>
      </c>
      <c r="F14" s="75">
        <f t="shared" si="3"/>
        <v>972144.43431520392</v>
      </c>
      <c r="G14" s="75">
        <f t="shared" si="3"/>
        <v>1085771.6418723408</v>
      </c>
      <c r="H14" s="75">
        <f t="shared" si="3"/>
        <v>1192128.3567340057</v>
      </c>
      <c r="I14" s="75">
        <f t="shared" si="3"/>
        <v>1159244.4599974237</v>
      </c>
      <c r="J14" s="75">
        <f t="shared" si="3"/>
        <v>1107770.4554778417</v>
      </c>
    </row>
  </sheetData>
  <mergeCells count="2">
    <mergeCell ref="B5:J5"/>
    <mergeCell ref="A5:A6"/>
  </mergeCells>
  <pageMargins left="0.7" right="0.7" top="0.75" bottom="0.75" header="0.3" footer="0.3"/>
  <pageSetup scale="8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B239D-A793-4055-957C-367EF6B7112E}">
  <sheetPr>
    <pageSetUpPr fitToPage="1"/>
  </sheetPr>
  <dimension ref="A1:G37"/>
  <sheetViews>
    <sheetView topLeftCell="A23" workbookViewId="0">
      <selection activeCell="C34" sqref="C34"/>
    </sheetView>
  </sheetViews>
  <sheetFormatPr defaultRowHeight="17" x14ac:dyDescent="0.6"/>
  <cols>
    <col min="1" max="1" width="8.7265625" style="4"/>
    <col min="2" max="2" width="23.54296875" style="4" bestFit="1" customWidth="1"/>
    <col min="3" max="3" width="19.7265625" style="4" bestFit="1" customWidth="1"/>
    <col min="4" max="4" width="22.90625" style="4" bestFit="1" customWidth="1"/>
    <col min="5" max="5" width="13.6328125" style="4" bestFit="1" customWidth="1"/>
    <col min="6" max="14" width="8.7265625" style="4"/>
    <col min="15" max="15" width="13.6328125" style="4" bestFit="1" customWidth="1"/>
    <col min="16" max="16" width="12.54296875" style="4" bestFit="1" customWidth="1"/>
    <col min="17" max="16384" width="8.7265625" style="4"/>
  </cols>
  <sheetData>
    <row r="1" spans="1:7" x14ac:dyDescent="0.6">
      <c r="A1" s="3" t="s">
        <v>71</v>
      </c>
    </row>
    <row r="3" spans="1:7" x14ac:dyDescent="0.6">
      <c r="A3" s="88" t="s">
        <v>310</v>
      </c>
      <c r="B3" s="74"/>
      <c r="C3" s="74"/>
      <c r="D3" s="74"/>
      <c r="E3" s="74"/>
    </row>
    <row r="5" spans="1:7" x14ac:dyDescent="0.6">
      <c r="B5" s="4" t="s">
        <v>50</v>
      </c>
      <c r="E5" s="87">
        <f>'Ann 4'!C19/70%</f>
        <v>15375000.000000002</v>
      </c>
    </row>
    <row r="6" spans="1:7" x14ac:dyDescent="0.6">
      <c r="B6" s="4" t="s">
        <v>72</v>
      </c>
    </row>
    <row r="7" spans="1:7" x14ac:dyDescent="0.6">
      <c r="B7" s="71" t="s">
        <v>73</v>
      </c>
      <c r="D7" s="26">
        <f>E5*5%</f>
        <v>768750.00000000012</v>
      </c>
    </row>
    <row r="8" spans="1:7" x14ac:dyDescent="0.6">
      <c r="B8" s="71" t="s">
        <v>74</v>
      </c>
      <c r="D8" s="26">
        <v>0</v>
      </c>
      <c r="E8" s="26"/>
    </row>
    <row r="9" spans="1:7" x14ac:dyDescent="0.6">
      <c r="B9" s="71" t="s">
        <v>78</v>
      </c>
      <c r="D9" s="26">
        <f>90000+'Ann 4'!K38</f>
        <v>123502.39101562501</v>
      </c>
      <c r="E9" s="26">
        <f>SUM(D7:D9)</f>
        <v>892252.39101562509</v>
      </c>
      <c r="G9" s="25"/>
    </row>
    <row r="10" spans="1:7" x14ac:dyDescent="0.6">
      <c r="B10" s="4" t="s">
        <v>75</v>
      </c>
      <c r="E10" s="26">
        <f>E5-E9</f>
        <v>14482747.608984377</v>
      </c>
    </row>
    <row r="11" spans="1:7" x14ac:dyDescent="0.6">
      <c r="B11" s="4" t="s">
        <v>76</v>
      </c>
    </row>
    <row r="12" spans="1:7" x14ac:dyDescent="0.6">
      <c r="B12" s="4" t="s">
        <v>77</v>
      </c>
      <c r="E12" s="26">
        <f>'Ann 4'!C14</f>
        <v>2456400</v>
      </c>
    </row>
    <row r="13" spans="1:7" x14ac:dyDescent="0.6">
      <c r="B13" s="4" t="s">
        <v>79</v>
      </c>
      <c r="E13" s="26">
        <f>'Ann 9'!F12</f>
        <v>1101250</v>
      </c>
    </row>
    <row r="14" spans="1:7" x14ac:dyDescent="0.6">
      <c r="B14" s="4" t="s">
        <v>237</v>
      </c>
      <c r="E14" s="26">
        <v>200000</v>
      </c>
    </row>
    <row r="15" spans="1:7" x14ac:dyDescent="0.6">
      <c r="B15" s="4" t="s">
        <v>205</v>
      </c>
      <c r="E15" s="26">
        <f>SUM('Ann 13'!E9:E12)*100000</f>
        <v>417447.11538461543</v>
      </c>
    </row>
    <row r="16" spans="1:7" x14ac:dyDescent="0.6">
      <c r="B16" s="4" t="s">
        <v>80</v>
      </c>
      <c r="E16" s="26">
        <f>SUM(E12:E15)</f>
        <v>4175097.1153846155</v>
      </c>
    </row>
    <row r="18" spans="2:5" x14ac:dyDescent="0.6">
      <c r="B18" s="84" t="s">
        <v>3</v>
      </c>
      <c r="C18" s="84" t="s">
        <v>315</v>
      </c>
      <c r="D18" s="118" t="s">
        <v>316</v>
      </c>
      <c r="E18" s="123"/>
    </row>
    <row r="19" spans="2:5" x14ac:dyDescent="0.6">
      <c r="B19" s="44" t="s">
        <v>84</v>
      </c>
      <c r="C19" s="44">
        <f>Budgets!C22</f>
        <v>450</v>
      </c>
      <c r="D19" s="44">
        <f>Budgets!B22</f>
        <v>2000</v>
      </c>
      <c r="E19" s="123"/>
    </row>
    <row r="20" spans="2:5" x14ac:dyDescent="0.6">
      <c r="B20" s="89" t="s">
        <v>83</v>
      </c>
      <c r="C20" s="44">
        <f>C19*5%</f>
        <v>22.5</v>
      </c>
      <c r="D20" s="44">
        <f>D19*5%</f>
        <v>100</v>
      </c>
      <c r="E20" s="123"/>
    </row>
    <row r="21" spans="2:5" x14ac:dyDescent="0.6">
      <c r="B21" s="89" t="s">
        <v>261</v>
      </c>
      <c r="C21" s="44">
        <f>(('Ann 6'!B9+'Ann 6'!B13)*'Ann 6'!B20)/Budgets!B19</f>
        <v>240.90909090909091</v>
      </c>
      <c r="D21" s="44">
        <f>('Ann 6'!B17*'Ann 6'!B20)/Budgets!B18</f>
        <v>600</v>
      </c>
      <c r="E21" s="123"/>
    </row>
    <row r="22" spans="2:5" x14ac:dyDescent="0.6">
      <c r="B22" s="89" t="s">
        <v>82</v>
      </c>
      <c r="C22" s="90">
        <f>'Ann 4'!C24/Budgets!$B$19</f>
        <v>2.2727272727272729</v>
      </c>
      <c r="D22" s="90">
        <f>'Ann 4'!D24/Budgets!$B$19</f>
        <v>2.2727272727272729</v>
      </c>
      <c r="E22" s="123"/>
    </row>
    <row r="23" spans="2:5" x14ac:dyDescent="0.6">
      <c r="B23" s="44" t="s">
        <v>237</v>
      </c>
      <c r="C23" s="44">
        <f>C19*1%</f>
        <v>4.5</v>
      </c>
      <c r="D23" s="44">
        <f>D19*1%</f>
        <v>20</v>
      </c>
      <c r="E23" s="123"/>
    </row>
    <row r="24" spans="2:5" x14ac:dyDescent="0.6">
      <c r="B24" s="44" t="s">
        <v>81</v>
      </c>
      <c r="C24" s="90">
        <f>'Ann 4'!$C$39/Budgets!$B$19</f>
        <v>10.909090909090908</v>
      </c>
      <c r="D24" s="90">
        <f>'Ann 4'!$C$39/Budgets!$B$19</f>
        <v>10.909090909090908</v>
      </c>
      <c r="E24" s="123"/>
    </row>
    <row r="25" spans="2:5" x14ac:dyDescent="0.6">
      <c r="B25" s="44" t="s">
        <v>283</v>
      </c>
      <c r="C25" s="44">
        <f>C19-SUM(C20:C24)</f>
        <v>168.90909090909093</v>
      </c>
      <c r="D25" s="44">
        <f>D19-SUM(D20:D24)</f>
        <v>1266.818181818182</v>
      </c>
      <c r="E25" s="123"/>
    </row>
    <row r="26" spans="2:5" x14ac:dyDescent="0.6">
      <c r="B26" s="44" t="s">
        <v>311</v>
      </c>
      <c r="C26" s="91">
        <f>C25/C19</f>
        <v>0.37535353535353538</v>
      </c>
      <c r="D26" s="91">
        <f>D25/D19</f>
        <v>0.63340909090909103</v>
      </c>
      <c r="E26" s="123"/>
    </row>
    <row r="27" spans="2:5" x14ac:dyDescent="0.6">
      <c r="B27" s="58" t="s">
        <v>312</v>
      </c>
      <c r="C27" s="122">
        <f>Budgets!B19/(Budgets!$B$18+Budgets!$B$19)</f>
        <v>0.94827586206896552</v>
      </c>
      <c r="D27" s="122">
        <f>Budgets!B18/(Budgets!$B$18+Budgets!$B$19)</f>
        <v>5.1724137931034482E-2</v>
      </c>
      <c r="E27" s="123"/>
    </row>
    <row r="28" spans="2:5" x14ac:dyDescent="0.6">
      <c r="B28" s="44" t="s">
        <v>313</v>
      </c>
      <c r="C28" s="120">
        <f>C26*C27</f>
        <v>0.3559386973180077</v>
      </c>
      <c r="D28" s="120">
        <f>D26*D27</f>
        <v>3.2762539184952984E-2</v>
      </c>
      <c r="E28" s="120">
        <f>SUM(C28:D28)</f>
        <v>0.38870123650296068</v>
      </c>
    </row>
    <row r="29" spans="2:5" x14ac:dyDescent="0.6">
      <c r="B29" s="20"/>
      <c r="C29" s="121"/>
      <c r="D29" s="121"/>
      <c r="E29" s="92"/>
    </row>
    <row r="30" spans="2:5" x14ac:dyDescent="0.6">
      <c r="B30" s="44" t="s">
        <v>314</v>
      </c>
      <c r="C30" s="93">
        <f>E16/E28</f>
        <v>10741146.987199806</v>
      </c>
      <c r="D30" s="121"/>
      <c r="E30" s="92"/>
    </row>
    <row r="31" spans="2:5" x14ac:dyDescent="0.6">
      <c r="B31" s="44" t="s">
        <v>316</v>
      </c>
      <c r="C31" s="93">
        <f>C30*C27</f>
        <v>10185570.418896368</v>
      </c>
      <c r="D31" s="121"/>
      <c r="E31" s="92"/>
    </row>
    <row r="32" spans="2:5" x14ac:dyDescent="0.6">
      <c r="B32" s="44" t="s">
        <v>317</v>
      </c>
      <c r="C32" s="93">
        <f>C30-C31</f>
        <v>555576.5683034379</v>
      </c>
      <c r="D32" s="121"/>
      <c r="E32" s="92"/>
    </row>
    <row r="33" spans="1:5" x14ac:dyDescent="0.6">
      <c r="B33" s="20"/>
      <c r="C33" s="121"/>
      <c r="D33" s="121"/>
      <c r="E33" s="92"/>
    </row>
    <row r="34" spans="1:5" x14ac:dyDescent="0.6">
      <c r="B34" s="44" t="s">
        <v>204</v>
      </c>
      <c r="C34" s="91">
        <f>C30/((Budgets!B18*Budgets!B22)+(Budgets!B19*Budgets!C22))</f>
        <v>0.69861118615933693</v>
      </c>
    </row>
    <row r="35" spans="1:5" x14ac:dyDescent="0.6">
      <c r="C35" s="47"/>
    </row>
    <row r="36" spans="1:5" ht="49" customHeight="1" x14ac:dyDescent="0.6">
      <c r="A36" s="127" t="s">
        <v>238</v>
      </c>
      <c r="B36" s="127"/>
      <c r="C36" s="127"/>
      <c r="D36" s="127"/>
      <c r="E36" s="127"/>
    </row>
    <row r="37" spans="1:5" ht="86.5" customHeight="1" x14ac:dyDescent="0.6">
      <c r="A37" s="127" t="s">
        <v>318</v>
      </c>
      <c r="B37" s="127"/>
      <c r="C37" s="127"/>
      <c r="D37" s="127"/>
      <c r="E37" s="127"/>
    </row>
  </sheetData>
  <mergeCells count="2">
    <mergeCell ref="A36:E36"/>
    <mergeCell ref="A37:E37"/>
  </mergeCells>
  <pageMargins left="0.7" right="0.7" top="0.75" bottom="0.75" header="0.3" footer="0.3"/>
  <pageSetup scale="93"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8098D-FBA0-4F7E-BF3C-624224F47C27}">
  <dimension ref="A1:K7"/>
  <sheetViews>
    <sheetView workbookViewId="0">
      <selection activeCell="A8" sqref="A8"/>
    </sheetView>
  </sheetViews>
  <sheetFormatPr defaultRowHeight="14.5" x14ac:dyDescent="0.35"/>
  <sheetData>
    <row r="1" spans="1:11" x14ac:dyDescent="0.35">
      <c r="A1" t="s">
        <v>85</v>
      </c>
    </row>
    <row r="3" spans="1:11" x14ac:dyDescent="0.35">
      <c r="C3" s="128" t="s">
        <v>86</v>
      </c>
      <c r="D3" s="128"/>
      <c r="E3" s="128"/>
      <c r="F3" s="128"/>
      <c r="G3" s="128"/>
      <c r="H3" s="128"/>
      <c r="I3" s="128"/>
      <c r="J3" s="128"/>
      <c r="K3" s="128"/>
    </row>
    <row r="4" spans="1:11" x14ac:dyDescent="0.35">
      <c r="C4">
        <v>1</v>
      </c>
      <c r="D4">
        <v>2</v>
      </c>
      <c r="E4">
        <v>3</v>
      </c>
      <c r="F4">
        <v>4</v>
      </c>
      <c r="G4">
        <v>5</v>
      </c>
      <c r="H4">
        <v>6</v>
      </c>
      <c r="I4">
        <v>7</v>
      </c>
      <c r="J4">
        <v>8</v>
      </c>
      <c r="K4">
        <v>9</v>
      </c>
    </row>
    <row r="5" spans="1:11" x14ac:dyDescent="0.35">
      <c r="A5" t="s">
        <v>87</v>
      </c>
      <c r="C5" t="e">
        <f>'Ann 4'!#REF!</f>
        <v>#REF!</v>
      </c>
      <c r="D5" t="e">
        <f>'Ann 4'!#REF!</f>
        <v>#REF!</v>
      </c>
      <c r="E5" t="e">
        <f>'Ann 4'!#REF!</f>
        <v>#REF!</v>
      </c>
      <c r="F5" t="e">
        <f>'Ann 4'!#REF!</f>
        <v>#REF!</v>
      </c>
      <c r="G5" t="e">
        <f>'Ann 4'!#REF!</f>
        <v>#REF!</v>
      </c>
      <c r="H5" t="e">
        <f>'Ann 4'!#REF!</f>
        <v>#REF!</v>
      </c>
      <c r="I5" t="e">
        <f>'Ann 4'!#REF!</f>
        <v>#REF!</v>
      </c>
      <c r="J5" t="e">
        <f>'Ann 4'!#REF!</f>
        <v>#REF!</v>
      </c>
      <c r="K5" t="e">
        <f>'Ann 4'!#REF!</f>
        <v>#REF!</v>
      </c>
    </row>
    <row r="6" spans="1:11" x14ac:dyDescent="0.35">
      <c r="A6" t="s">
        <v>88</v>
      </c>
      <c r="C6" t="e">
        <f>'Ann 4'!#REF!</f>
        <v>#REF!</v>
      </c>
      <c r="D6" t="e">
        <f>'Ann 4'!#REF!</f>
        <v>#REF!</v>
      </c>
      <c r="E6" t="e">
        <f>'Ann 4'!#REF!</f>
        <v>#REF!</v>
      </c>
      <c r="F6" t="e">
        <f>'Ann 4'!#REF!</f>
        <v>#REF!</v>
      </c>
      <c r="G6" t="e">
        <f>'Ann 4'!#REF!</f>
        <v>#REF!</v>
      </c>
      <c r="H6" t="e">
        <f>'Ann 4'!#REF!</f>
        <v>#REF!</v>
      </c>
      <c r="I6" t="e">
        <f>'Ann 4'!#REF!</f>
        <v>#REF!</v>
      </c>
      <c r="J6" t="e">
        <f>'Ann 4'!#REF!</f>
        <v>#REF!</v>
      </c>
      <c r="K6" t="e">
        <f>'Ann 4'!#REF!</f>
        <v>#REF!</v>
      </c>
    </row>
    <row r="7" spans="1:11" x14ac:dyDescent="0.35">
      <c r="A7" t="s">
        <v>89</v>
      </c>
    </row>
  </sheetData>
  <mergeCells count="1">
    <mergeCell ref="C3:K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5F0C2-594D-4936-9810-7D289B91BEE1}">
  <dimension ref="A1:G36"/>
  <sheetViews>
    <sheetView workbookViewId="0">
      <selection activeCell="D35" sqref="D35"/>
    </sheetView>
  </sheetViews>
  <sheetFormatPr defaultRowHeight="17" x14ac:dyDescent="0.6"/>
  <cols>
    <col min="1" max="1" width="4.54296875" style="4" bestFit="1" customWidth="1"/>
    <col min="2" max="2" width="7.36328125" style="4" bestFit="1" customWidth="1"/>
    <col min="3" max="3" width="17.81640625" style="4" bestFit="1" customWidth="1"/>
    <col min="4" max="4" width="17.36328125" style="4" bestFit="1" customWidth="1"/>
    <col min="5" max="5" width="7.26953125" style="4" bestFit="1" customWidth="1"/>
    <col min="6" max="16384" width="8.7265625" style="4"/>
  </cols>
  <sheetData>
    <row r="1" spans="1:7" x14ac:dyDescent="0.6">
      <c r="A1" s="3" t="s">
        <v>95</v>
      </c>
    </row>
    <row r="3" spans="1:7" x14ac:dyDescent="0.6">
      <c r="A3" s="70" t="s">
        <v>96</v>
      </c>
    </row>
    <row r="4" spans="1:7" x14ac:dyDescent="0.6">
      <c r="A4" s="4" t="s">
        <v>97</v>
      </c>
      <c r="D4" s="48">
        <f>'Ann 2'!C6</f>
        <v>70.25</v>
      </c>
    </row>
    <row r="5" spans="1:7" x14ac:dyDescent="0.6">
      <c r="A5" s="4" t="s">
        <v>98</v>
      </c>
      <c r="D5" s="92">
        <v>0.06</v>
      </c>
    </row>
    <row r="6" spans="1:7" x14ac:dyDescent="0.6">
      <c r="A6" s="4" t="s">
        <v>99</v>
      </c>
      <c r="D6" s="83" t="s">
        <v>159</v>
      </c>
    </row>
    <row r="8" spans="1:7" x14ac:dyDescent="0.6">
      <c r="A8" s="42" t="s">
        <v>70</v>
      </c>
      <c r="B8" s="42" t="s">
        <v>100</v>
      </c>
      <c r="C8" s="42" t="s">
        <v>101</v>
      </c>
      <c r="D8" s="42" t="s">
        <v>103</v>
      </c>
      <c r="E8" s="42" t="s">
        <v>102</v>
      </c>
    </row>
    <row r="9" spans="1:7" x14ac:dyDescent="0.6">
      <c r="A9" s="129">
        <v>1</v>
      </c>
      <c r="B9" s="44">
        <v>1</v>
      </c>
      <c r="C9" s="93">
        <f>$D$4</f>
        <v>70.25</v>
      </c>
      <c r="D9" s="44">
        <v>0</v>
      </c>
      <c r="E9" s="44">
        <f>C9*$D$5/4</f>
        <v>1.05375</v>
      </c>
    </row>
    <row r="10" spans="1:7" x14ac:dyDescent="0.6">
      <c r="A10" s="129"/>
      <c r="B10" s="44">
        <v>2</v>
      </c>
      <c r="C10" s="93">
        <f>$D$4</f>
        <v>70.25</v>
      </c>
      <c r="D10" s="44">
        <v>0</v>
      </c>
      <c r="E10" s="44">
        <f t="shared" ref="E10:E36" si="0">C10*$D$5/4</f>
        <v>1.05375</v>
      </c>
      <c r="G10" s="94"/>
    </row>
    <row r="11" spans="1:7" x14ac:dyDescent="0.6">
      <c r="A11" s="129"/>
      <c r="B11" s="44">
        <v>3</v>
      </c>
      <c r="C11" s="93">
        <f>$D$4</f>
        <v>70.25</v>
      </c>
      <c r="D11" s="44">
        <f>D4/26</f>
        <v>2.7019230769230771</v>
      </c>
      <c r="E11" s="44">
        <f t="shared" si="0"/>
        <v>1.05375</v>
      </c>
    </row>
    <row r="12" spans="1:7" x14ac:dyDescent="0.6">
      <c r="A12" s="129"/>
      <c r="B12" s="44">
        <v>4</v>
      </c>
      <c r="C12" s="44">
        <f t="shared" ref="C12:C17" si="1">C11-D11</f>
        <v>67.54807692307692</v>
      </c>
      <c r="D12" s="44">
        <f>D11</f>
        <v>2.7019230769230771</v>
      </c>
      <c r="E12" s="44">
        <f t="shared" si="0"/>
        <v>1.0132211538461537</v>
      </c>
    </row>
    <row r="13" spans="1:7" x14ac:dyDescent="0.6">
      <c r="A13" s="129">
        <v>2</v>
      </c>
      <c r="B13" s="44">
        <v>1</v>
      </c>
      <c r="C13" s="44">
        <f t="shared" si="1"/>
        <v>64.84615384615384</v>
      </c>
      <c r="D13" s="44">
        <f t="shared" ref="D13:D35" si="2">D12</f>
        <v>2.7019230769230771</v>
      </c>
      <c r="E13" s="44">
        <f t="shared" si="0"/>
        <v>0.97269230769230752</v>
      </c>
    </row>
    <row r="14" spans="1:7" x14ac:dyDescent="0.6">
      <c r="A14" s="129"/>
      <c r="B14" s="44">
        <v>2</v>
      </c>
      <c r="C14" s="44">
        <f t="shared" si="1"/>
        <v>62.144230769230759</v>
      </c>
      <c r="D14" s="44">
        <f t="shared" si="2"/>
        <v>2.7019230769230771</v>
      </c>
      <c r="E14" s="44">
        <f t="shared" si="0"/>
        <v>0.9321634615384613</v>
      </c>
    </row>
    <row r="15" spans="1:7" x14ac:dyDescent="0.6">
      <c r="A15" s="129"/>
      <c r="B15" s="44">
        <v>3</v>
      </c>
      <c r="C15" s="44">
        <f t="shared" si="1"/>
        <v>59.442307692307679</v>
      </c>
      <c r="D15" s="44">
        <f t="shared" si="2"/>
        <v>2.7019230769230771</v>
      </c>
      <c r="E15" s="44">
        <f t="shared" si="0"/>
        <v>0.89163461538461519</v>
      </c>
    </row>
    <row r="16" spans="1:7" x14ac:dyDescent="0.6">
      <c r="A16" s="129"/>
      <c r="B16" s="44">
        <v>4</v>
      </c>
      <c r="C16" s="44">
        <f t="shared" si="1"/>
        <v>56.740384615384599</v>
      </c>
      <c r="D16" s="44">
        <f t="shared" si="2"/>
        <v>2.7019230769230771</v>
      </c>
      <c r="E16" s="44">
        <f t="shared" si="0"/>
        <v>0.85110576923076897</v>
      </c>
    </row>
    <row r="17" spans="1:5" x14ac:dyDescent="0.6">
      <c r="A17" s="129">
        <v>3</v>
      </c>
      <c r="B17" s="44">
        <v>1</v>
      </c>
      <c r="C17" s="44">
        <f t="shared" si="1"/>
        <v>54.038461538461519</v>
      </c>
      <c r="D17" s="44">
        <f t="shared" si="2"/>
        <v>2.7019230769230771</v>
      </c>
      <c r="E17" s="44">
        <f t="shared" si="0"/>
        <v>0.81057692307692275</v>
      </c>
    </row>
    <row r="18" spans="1:5" x14ac:dyDescent="0.6">
      <c r="A18" s="129"/>
      <c r="B18" s="44">
        <v>2</v>
      </c>
      <c r="C18" s="44">
        <f t="shared" ref="C18:C36" si="3">C17-D17</f>
        <v>51.336538461538439</v>
      </c>
      <c r="D18" s="44">
        <f t="shared" si="2"/>
        <v>2.7019230769230771</v>
      </c>
      <c r="E18" s="44">
        <f t="shared" si="0"/>
        <v>0.77004807692307653</v>
      </c>
    </row>
    <row r="19" spans="1:5" x14ac:dyDescent="0.6">
      <c r="A19" s="129"/>
      <c r="B19" s="44">
        <v>3</v>
      </c>
      <c r="C19" s="44">
        <f t="shared" si="3"/>
        <v>48.634615384615358</v>
      </c>
      <c r="D19" s="44">
        <f t="shared" si="2"/>
        <v>2.7019230769230771</v>
      </c>
      <c r="E19" s="44">
        <f t="shared" si="0"/>
        <v>0.72951923076923031</v>
      </c>
    </row>
    <row r="20" spans="1:5" x14ac:dyDescent="0.6">
      <c r="A20" s="129"/>
      <c r="B20" s="44">
        <v>4</v>
      </c>
      <c r="C20" s="44">
        <f t="shared" si="3"/>
        <v>45.932692307692278</v>
      </c>
      <c r="D20" s="44">
        <f t="shared" si="2"/>
        <v>2.7019230769230771</v>
      </c>
      <c r="E20" s="44">
        <f t="shared" si="0"/>
        <v>0.6889903846153842</v>
      </c>
    </row>
    <row r="21" spans="1:5" x14ac:dyDescent="0.6">
      <c r="A21" s="129">
        <v>4</v>
      </c>
      <c r="B21" s="44">
        <v>1</v>
      </c>
      <c r="C21" s="44">
        <f t="shared" si="3"/>
        <v>43.230769230769198</v>
      </c>
      <c r="D21" s="44">
        <f t="shared" si="2"/>
        <v>2.7019230769230771</v>
      </c>
      <c r="E21" s="44">
        <f t="shared" si="0"/>
        <v>0.64846153846153798</v>
      </c>
    </row>
    <row r="22" spans="1:5" x14ac:dyDescent="0.6">
      <c r="A22" s="129"/>
      <c r="B22" s="44">
        <v>2</v>
      </c>
      <c r="C22" s="44">
        <f t="shared" si="3"/>
        <v>40.528846153846118</v>
      </c>
      <c r="D22" s="44">
        <f t="shared" si="2"/>
        <v>2.7019230769230771</v>
      </c>
      <c r="E22" s="44">
        <f t="shared" si="0"/>
        <v>0.60793269230769176</v>
      </c>
    </row>
    <row r="23" spans="1:5" x14ac:dyDescent="0.6">
      <c r="A23" s="129"/>
      <c r="B23" s="44">
        <v>3</v>
      </c>
      <c r="C23" s="44">
        <f t="shared" si="3"/>
        <v>37.826923076923038</v>
      </c>
      <c r="D23" s="44">
        <f t="shared" si="2"/>
        <v>2.7019230769230771</v>
      </c>
      <c r="E23" s="44">
        <f t="shared" si="0"/>
        <v>0.56740384615384554</v>
      </c>
    </row>
    <row r="24" spans="1:5" x14ac:dyDescent="0.6">
      <c r="A24" s="129"/>
      <c r="B24" s="44">
        <v>4</v>
      </c>
      <c r="C24" s="44">
        <f t="shared" si="3"/>
        <v>35.124999999999957</v>
      </c>
      <c r="D24" s="44">
        <f t="shared" si="2"/>
        <v>2.7019230769230771</v>
      </c>
      <c r="E24" s="44">
        <f t="shared" si="0"/>
        <v>0.52687499999999932</v>
      </c>
    </row>
    <row r="25" spans="1:5" x14ac:dyDescent="0.6">
      <c r="A25" s="129">
        <v>5</v>
      </c>
      <c r="B25" s="44">
        <v>1</v>
      </c>
      <c r="C25" s="44">
        <f t="shared" si="3"/>
        <v>32.423076923076877</v>
      </c>
      <c r="D25" s="44">
        <f t="shared" si="2"/>
        <v>2.7019230769230771</v>
      </c>
      <c r="E25" s="44">
        <f t="shared" si="0"/>
        <v>0.48634615384615315</v>
      </c>
    </row>
    <row r="26" spans="1:5" x14ac:dyDescent="0.6">
      <c r="A26" s="129"/>
      <c r="B26" s="44">
        <v>2</v>
      </c>
      <c r="C26" s="44">
        <f t="shared" si="3"/>
        <v>29.721153846153801</v>
      </c>
      <c r="D26" s="44">
        <f t="shared" si="2"/>
        <v>2.7019230769230771</v>
      </c>
      <c r="E26" s="44">
        <f t="shared" si="0"/>
        <v>0.44581730769230699</v>
      </c>
    </row>
    <row r="27" spans="1:5" x14ac:dyDescent="0.6">
      <c r="A27" s="129"/>
      <c r="B27" s="44">
        <v>3</v>
      </c>
      <c r="C27" s="44">
        <f t="shared" si="3"/>
        <v>27.019230769230724</v>
      </c>
      <c r="D27" s="44">
        <f t="shared" si="2"/>
        <v>2.7019230769230771</v>
      </c>
      <c r="E27" s="44">
        <f t="shared" si="0"/>
        <v>0.40528846153846082</v>
      </c>
    </row>
    <row r="28" spans="1:5" x14ac:dyDescent="0.6">
      <c r="A28" s="129"/>
      <c r="B28" s="44">
        <v>4</v>
      </c>
      <c r="C28" s="44">
        <f t="shared" si="3"/>
        <v>24.317307692307647</v>
      </c>
      <c r="D28" s="44">
        <f t="shared" si="2"/>
        <v>2.7019230769230771</v>
      </c>
      <c r="E28" s="44">
        <f t="shared" si="0"/>
        <v>0.36475961538461471</v>
      </c>
    </row>
    <row r="29" spans="1:5" x14ac:dyDescent="0.6">
      <c r="A29" s="129">
        <v>6</v>
      </c>
      <c r="B29" s="44">
        <v>1</v>
      </c>
      <c r="C29" s="44">
        <f t="shared" si="3"/>
        <v>21.615384615384571</v>
      </c>
      <c r="D29" s="44">
        <f t="shared" si="2"/>
        <v>2.7019230769230771</v>
      </c>
      <c r="E29" s="44">
        <f t="shared" si="0"/>
        <v>0.32423076923076855</v>
      </c>
    </row>
    <row r="30" spans="1:5" x14ac:dyDescent="0.6">
      <c r="A30" s="129"/>
      <c r="B30" s="44">
        <v>2</v>
      </c>
      <c r="C30" s="44">
        <f t="shared" si="3"/>
        <v>18.913461538461494</v>
      </c>
      <c r="D30" s="44">
        <f t="shared" si="2"/>
        <v>2.7019230769230771</v>
      </c>
      <c r="E30" s="44">
        <f t="shared" si="0"/>
        <v>0.28370192307692238</v>
      </c>
    </row>
    <row r="31" spans="1:5" x14ac:dyDescent="0.6">
      <c r="A31" s="129"/>
      <c r="B31" s="44">
        <v>3</v>
      </c>
      <c r="C31" s="44">
        <f t="shared" si="3"/>
        <v>16.211538461538417</v>
      </c>
      <c r="D31" s="44">
        <f t="shared" si="2"/>
        <v>2.7019230769230771</v>
      </c>
      <c r="E31" s="44">
        <f t="shared" si="0"/>
        <v>0.24317307692307624</v>
      </c>
    </row>
    <row r="32" spans="1:5" x14ac:dyDescent="0.6">
      <c r="A32" s="129"/>
      <c r="B32" s="44">
        <v>4</v>
      </c>
      <c r="C32" s="44">
        <f t="shared" si="3"/>
        <v>13.509615384615341</v>
      </c>
      <c r="D32" s="44">
        <f t="shared" si="2"/>
        <v>2.7019230769230771</v>
      </c>
      <c r="E32" s="44">
        <f t="shared" si="0"/>
        <v>0.2026442307692301</v>
      </c>
    </row>
    <row r="33" spans="1:5" x14ac:dyDescent="0.6">
      <c r="A33" s="129">
        <v>7</v>
      </c>
      <c r="B33" s="44">
        <v>1</v>
      </c>
      <c r="C33" s="44">
        <f t="shared" si="3"/>
        <v>10.807692307692264</v>
      </c>
      <c r="D33" s="44">
        <f t="shared" si="2"/>
        <v>2.7019230769230771</v>
      </c>
      <c r="E33" s="44">
        <f t="shared" si="0"/>
        <v>0.16211538461538397</v>
      </c>
    </row>
    <row r="34" spans="1:5" x14ac:dyDescent="0.6">
      <c r="A34" s="129"/>
      <c r="B34" s="44">
        <v>2</v>
      </c>
      <c r="C34" s="44">
        <f t="shared" si="3"/>
        <v>8.1057692307691873</v>
      </c>
      <c r="D34" s="44">
        <f t="shared" si="2"/>
        <v>2.7019230769230771</v>
      </c>
      <c r="E34" s="44">
        <f t="shared" si="0"/>
        <v>0.1215865384615378</v>
      </c>
    </row>
    <row r="35" spans="1:5" x14ac:dyDescent="0.6">
      <c r="A35" s="129"/>
      <c r="B35" s="44">
        <v>3</v>
      </c>
      <c r="C35" s="44">
        <f t="shared" si="3"/>
        <v>5.4038461538461107</v>
      </c>
      <c r="D35" s="44">
        <f t="shared" si="2"/>
        <v>2.7019230769230771</v>
      </c>
      <c r="E35" s="44">
        <f t="shared" si="0"/>
        <v>8.1057692307691651E-2</v>
      </c>
    </row>
    <row r="36" spans="1:5" x14ac:dyDescent="0.6">
      <c r="A36" s="129"/>
      <c r="B36" s="44">
        <v>4</v>
      </c>
      <c r="C36" s="44">
        <f t="shared" si="3"/>
        <v>2.7019230769230336</v>
      </c>
      <c r="D36" s="93">
        <f>D4-SUM(D9:D35)</f>
        <v>2.7019230769230376</v>
      </c>
      <c r="E36" s="44">
        <f t="shared" si="0"/>
        <v>4.0528846153845499E-2</v>
      </c>
    </row>
  </sheetData>
  <mergeCells count="7">
    <mergeCell ref="A33:A36"/>
    <mergeCell ref="A9:A12"/>
    <mergeCell ref="A13:A16"/>
    <mergeCell ref="A17:A20"/>
    <mergeCell ref="A21:A24"/>
    <mergeCell ref="A25:A28"/>
    <mergeCell ref="A29:A3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D1C3B-78D2-43F9-ABE8-F6A84BAA4AE1}">
  <sheetPr>
    <pageSetUpPr fitToPage="1"/>
  </sheetPr>
  <dimension ref="A1:L30"/>
  <sheetViews>
    <sheetView topLeftCell="A2" workbookViewId="0">
      <selection activeCell="B5" sqref="B5"/>
    </sheetView>
  </sheetViews>
  <sheetFormatPr defaultRowHeight="17" x14ac:dyDescent="0.6"/>
  <cols>
    <col min="1" max="1" width="41.1796875" style="94" bestFit="1" customWidth="1"/>
    <col min="2" max="2" width="14.7265625" style="94" customWidth="1"/>
    <col min="3" max="11" width="14.7265625" style="94" bestFit="1" customWidth="1"/>
    <col min="12" max="12" width="13.6328125" style="94" bestFit="1" customWidth="1"/>
    <col min="13" max="16384" width="8.7265625" style="94"/>
  </cols>
  <sheetData>
    <row r="1" spans="1:11" x14ac:dyDescent="0.6">
      <c r="A1" s="101" t="s">
        <v>292</v>
      </c>
      <c r="B1" s="101"/>
    </row>
    <row r="2" spans="1:11" x14ac:dyDescent="0.6">
      <c r="A2" s="101"/>
      <c r="B2" s="101"/>
    </row>
    <row r="3" spans="1:11" s="101" customFormat="1" x14ac:dyDescent="0.6">
      <c r="A3" s="109" t="s">
        <v>3</v>
      </c>
      <c r="B3" s="109">
        <v>0</v>
      </c>
      <c r="C3" s="109" t="s">
        <v>39</v>
      </c>
      <c r="D3" s="109" t="s">
        <v>40</v>
      </c>
      <c r="E3" s="109" t="s">
        <v>41</v>
      </c>
      <c r="F3" s="109" t="s">
        <v>42</v>
      </c>
      <c r="G3" s="109" t="s">
        <v>43</v>
      </c>
      <c r="H3" s="109" t="s">
        <v>44</v>
      </c>
      <c r="I3" s="109" t="s">
        <v>45</v>
      </c>
      <c r="J3" s="109" t="s">
        <v>46</v>
      </c>
      <c r="K3" s="109" t="s">
        <v>47</v>
      </c>
    </row>
    <row r="4" spans="1:11" x14ac:dyDescent="0.6">
      <c r="A4" s="102" t="s">
        <v>164</v>
      </c>
      <c r="B4" s="103">
        <f>'Ann 2'!C7*100000</f>
        <v>625000</v>
      </c>
      <c r="C4" s="103">
        <f>B19</f>
        <v>625000</v>
      </c>
      <c r="D4" s="103">
        <f>C19</f>
        <v>867130.1442307689</v>
      </c>
      <c r="E4" s="103">
        <f t="shared" ref="E4:K4" si="0">D19</f>
        <v>1269817.3855769227</v>
      </c>
      <c r="F4" s="103">
        <f t="shared" si="0"/>
        <v>1792668.6985192301</v>
      </c>
      <c r="G4" s="103">
        <f t="shared" si="0"/>
        <v>2353555.2993601914</v>
      </c>
      <c r="H4" s="103">
        <f t="shared" si="0"/>
        <v>2959592.5485333316</v>
      </c>
      <c r="I4" s="103">
        <f t="shared" si="0"/>
        <v>3616102.9561936539</v>
      </c>
      <c r="J4" s="103">
        <f t="shared" si="0"/>
        <v>4326835.5409019291</v>
      </c>
      <c r="K4" s="103">
        <f t="shared" si="0"/>
        <v>6099371.5034117959</v>
      </c>
    </row>
    <row r="5" spans="1:11" x14ac:dyDescent="0.6">
      <c r="A5" s="102" t="s">
        <v>206</v>
      </c>
      <c r="B5" s="103">
        <f>'Ann 5'!C17</f>
        <v>850000</v>
      </c>
      <c r="C5" s="103">
        <v>0</v>
      </c>
      <c r="D5" s="103">
        <v>0</v>
      </c>
      <c r="E5" s="103">
        <v>0</v>
      </c>
      <c r="F5" s="103">
        <v>0</v>
      </c>
      <c r="G5" s="103">
        <v>0</v>
      </c>
      <c r="H5" s="103">
        <v>0</v>
      </c>
      <c r="I5" s="103">
        <v>0</v>
      </c>
      <c r="J5" s="103">
        <v>0</v>
      </c>
      <c r="K5" s="103">
        <v>0</v>
      </c>
    </row>
    <row r="6" spans="1:11" x14ac:dyDescent="0.6">
      <c r="A6" s="102" t="s">
        <v>207</v>
      </c>
      <c r="B6" s="103">
        <f>'Ann 2'!C6*100000</f>
        <v>7025000</v>
      </c>
      <c r="C6" s="103">
        <v>0</v>
      </c>
      <c r="D6" s="103">
        <v>0</v>
      </c>
      <c r="E6" s="103">
        <v>0</v>
      </c>
      <c r="F6" s="103">
        <v>0</v>
      </c>
      <c r="G6" s="103">
        <v>0</v>
      </c>
      <c r="H6" s="103">
        <v>0</v>
      </c>
      <c r="I6" s="103">
        <v>0</v>
      </c>
      <c r="J6" s="103">
        <v>0</v>
      </c>
      <c r="K6" s="103">
        <v>0</v>
      </c>
    </row>
    <row r="7" spans="1:11" x14ac:dyDescent="0.6">
      <c r="A7" s="102" t="s">
        <v>208</v>
      </c>
      <c r="B7" s="103">
        <f>'Ann 9'!F6*100000</f>
        <v>7875000</v>
      </c>
      <c r="C7" s="103">
        <v>0</v>
      </c>
      <c r="D7" s="103">
        <v>0</v>
      </c>
      <c r="E7" s="103">
        <v>0</v>
      </c>
      <c r="F7" s="103">
        <v>0</v>
      </c>
      <c r="G7" s="103">
        <v>0</v>
      </c>
      <c r="H7" s="103">
        <v>0</v>
      </c>
      <c r="I7" s="103">
        <v>0</v>
      </c>
      <c r="J7" s="103">
        <v>0</v>
      </c>
      <c r="K7" s="103">
        <v>0</v>
      </c>
    </row>
    <row r="8" spans="1:11" x14ac:dyDescent="0.6">
      <c r="A8" s="102" t="s">
        <v>165</v>
      </c>
      <c r="B8" s="103">
        <v>0</v>
      </c>
      <c r="C8" s="103">
        <f>'Ann 4'!C19-'Ann 5'!C12</f>
        <v>9686250</v>
      </c>
      <c r="D8" s="103">
        <f>'Ann 4'!D19-'Ann 5'!D12</f>
        <v>11314687.5</v>
      </c>
      <c r="E8" s="103">
        <f>'Ann 4'!E19-'Ann 5'!E12</f>
        <v>12069000</v>
      </c>
      <c r="F8" s="103">
        <f>'Ann 4'!F19-'Ann 5'!F12</f>
        <v>12823312.500000002</v>
      </c>
      <c r="G8" s="103">
        <f>'Ann 4'!G19-'Ann 5'!G12</f>
        <v>13577625.000000002</v>
      </c>
      <c r="H8" s="103">
        <f>'Ann 4'!H19-'Ann 5'!H12</f>
        <v>14331937.500000002</v>
      </c>
      <c r="I8" s="103">
        <f>'Ann 4'!I19-'Ann 5'!I12</f>
        <v>15086250.000000002</v>
      </c>
      <c r="J8" s="103">
        <f>'Ann 4'!J19-'Ann 5'!J12</f>
        <v>15086250.000000002</v>
      </c>
      <c r="K8" s="103">
        <f>'Ann 4'!K19-'Ann 5'!K12</f>
        <v>15086250.000000002</v>
      </c>
    </row>
    <row r="9" spans="1:11" x14ac:dyDescent="0.6">
      <c r="A9" s="102" t="s">
        <v>183</v>
      </c>
      <c r="B9" s="103">
        <v>0</v>
      </c>
      <c r="C9" s="103">
        <v>0</v>
      </c>
      <c r="D9" s="103">
        <f>'Ann 5'!C23</f>
        <v>575855</v>
      </c>
      <c r="E9" s="103">
        <f>'Ann 5'!D23</f>
        <v>616188.05000000005</v>
      </c>
      <c r="F9" s="103">
        <f>'Ann 5'!E23</f>
        <v>652462.20799999998</v>
      </c>
      <c r="G9" s="103">
        <f>'Ann 5'!F23</f>
        <v>690611.09048000013</v>
      </c>
      <c r="H9" s="103">
        <f>'Ann 5'!G23</f>
        <v>730747.1809088001</v>
      </c>
      <c r="I9" s="103">
        <f>'Ann 5'!H23</f>
        <v>772989.71176332806</v>
      </c>
      <c r="J9" s="103">
        <f>'Ann 5'!I23</f>
        <v>817465.0694691278</v>
      </c>
      <c r="K9" s="103">
        <f>'Ann 5'!J23</f>
        <v>859278.4736372754</v>
      </c>
    </row>
    <row r="10" spans="1:11" x14ac:dyDescent="0.6">
      <c r="A10" s="102" t="s">
        <v>184</v>
      </c>
      <c r="B10" s="103">
        <v>0</v>
      </c>
      <c r="C10" s="103">
        <v>0</v>
      </c>
      <c r="D10" s="103">
        <f>'Ann 5'!C12</f>
        <v>1076250</v>
      </c>
      <c r="E10" s="103">
        <f>'Ann 5'!D12</f>
        <v>1257187.5</v>
      </c>
      <c r="F10" s="103">
        <f>'Ann 5'!E12</f>
        <v>1341000</v>
      </c>
      <c r="G10" s="103">
        <f>'Ann 5'!F12</f>
        <v>1424812.5000000002</v>
      </c>
      <c r="H10" s="103">
        <f>'Ann 5'!G12</f>
        <v>1508625.0000000002</v>
      </c>
      <c r="I10" s="103">
        <f>'Ann 5'!H12</f>
        <v>1592437.5000000002</v>
      </c>
      <c r="J10" s="103">
        <f>'Ann 5'!I12</f>
        <v>1676250.0000000002</v>
      </c>
      <c r="K10" s="103">
        <f>'Ann 5'!J12</f>
        <v>1676250.0000000002</v>
      </c>
    </row>
    <row r="11" spans="1:11" x14ac:dyDescent="0.6">
      <c r="A11" s="102" t="s">
        <v>185</v>
      </c>
      <c r="B11" s="103">
        <v>0</v>
      </c>
      <c r="C11" s="103">
        <f>'Ann 4'!C11+'Ann 4'!C16-'Ann 5'!C23</f>
        <v>8086420</v>
      </c>
      <c r="D11" s="103">
        <f>'Ann 4'!D11+'Ann 4'!D16-'Ann 5'!D23</f>
        <v>8641512.1999999993</v>
      </c>
      <c r="E11" s="103">
        <f>'Ann 4'!E11+'Ann 4'!E16-'Ann 5'!E23</f>
        <v>9181169.0319999997</v>
      </c>
      <c r="F11" s="103">
        <f>'Ann 4'!F11+'Ann 4'!F16-'Ann 5'!F23</f>
        <v>9729163.4659200013</v>
      </c>
      <c r="G11" s="103">
        <f>'Ann 4'!G11+'Ann 4'!G16-'Ann 5'!G23</f>
        <v>10285985.834715202</v>
      </c>
      <c r="H11" s="103">
        <f>'Ann 4'!H11+'Ann 4'!H16-'Ann 5'!H23</f>
        <v>10852155.456604913</v>
      </c>
      <c r="I11" s="103">
        <f>'Ann 4'!I11+'Ann 4'!I16-'Ann 5'!I23</f>
        <v>11428222.353681644</v>
      </c>
      <c r="J11" s="103">
        <f>'Ann 4'!J11+'Ann 4'!J16-'Ann 5'!J23</f>
        <v>11598302.638026588</v>
      </c>
      <c r="K11" s="103">
        <f>'Ann 4'!K11+'Ann 4'!K16-'Ann 5'!K23</f>
        <v>11778474.672725333</v>
      </c>
    </row>
    <row r="12" spans="1:11" x14ac:dyDescent="0.6">
      <c r="A12" s="102" t="s">
        <v>166</v>
      </c>
      <c r="B12" s="103">
        <v>0</v>
      </c>
      <c r="C12" s="103">
        <f>'Ann 4'!C25</f>
        <v>479947.11538461543</v>
      </c>
      <c r="D12" s="103">
        <f>'Ann 4'!D25</f>
        <v>427259.61538461526</v>
      </c>
      <c r="E12" s="103">
        <f>'Ann 4'!E25</f>
        <v>362413.46153846139</v>
      </c>
      <c r="F12" s="103">
        <f>'Ann 4'!F25</f>
        <v>297567.30769230745</v>
      </c>
      <c r="G12" s="103">
        <f>'Ann 4'!G25</f>
        <v>232721.15384615358</v>
      </c>
      <c r="H12" s="103">
        <f>'Ann 4'!H25</f>
        <v>167874.99999999971</v>
      </c>
      <c r="I12" s="103">
        <f>'Ann 4'!I25</f>
        <v>103028.84615384589</v>
      </c>
      <c r="J12" s="103">
        <f>'Ann 4'!J25</f>
        <v>62500</v>
      </c>
      <c r="K12" s="103">
        <f>'Ann 4'!K25</f>
        <v>62500</v>
      </c>
    </row>
    <row r="13" spans="1:11" x14ac:dyDescent="0.6">
      <c r="A13" s="102"/>
      <c r="B13" s="103">
        <f>B4+B5+B6-B7-B9+B8+B10-B11-B12</f>
        <v>625000</v>
      </c>
      <c r="C13" s="103">
        <f>B4+C8-C9+C10-C11-C12+B5+B6-B7</f>
        <v>1744882.884615384</v>
      </c>
      <c r="D13" s="103">
        <f t="shared" ref="D13:K13" si="1">D4+D8-D9+D10-D11-D12+D5+D6-D7</f>
        <v>3613440.8288461538</v>
      </c>
      <c r="E13" s="103">
        <f t="shared" si="1"/>
        <v>4436234.342038461</v>
      </c>
      <c r="F13" s="103">
        <f t="shared" si="1"/>
        <v>5277788.2169069229</v>
      </c>
      <c r="G13" s="103">
        <f t="shared" si="1"/>
        <v>6146674.7203188371</v>
      </c>
      <c r="H13" s="103">
        <f t="shared" si="1"/>
        <v>7049377.4110196233</v>
      </c>
      <c r="I13" s="103">
        <f t="shared" si="1"/>
        <v>7990549.5445948355</v>
      </c>
      <c r="J13" s="103">
        <f t="shared" si="1"/>
        <v>8611067.8334062137</v>
      </c>
      <c r="K13" s="103">
        <f t="shared" si="1"/>
        <v>10161618.357049191</v>
      </c>
    </row>
    <row r="14" spans="1:11" x14ac:dyDescent="0.6">
      <c r="A14" s="102" t="s">
        <v>187</v>
      </c>
      <c r="B14" s="103">
        <v>0</v>
      </c>
      <c r="C14" s="103">
        <f>'Ann 4'!C31</f>
        <v>155708.36538461535</v>
      </c>
      <c r="D14" s="103">
        <f>'Ann 4'!D31</f>
        <v>582855.79038461542</v>
      </c>
      <c r="E14" s="103">
        <f>'Ann 4'!E31</f>
        <v>721290.65203846141</v>
      </c>
      <c r="F14" s="103">
        <f>'Ann 4'!F31</f>
        <v>850829.39389730792</v>
      </c>
      <c r="G14" s="103">
        <f>'Ann 4'!G31</f>
        <v>972144.43431520392</v>
      </c>
      <c r="H14" s="103">
        <f>'Ann 4'!H31</f>
        <v>1085771.6418723408</v>
      </c>
      <c r="I14" s="103">
        <f>'Ann 4'!I31</f>
        <v>1192128.3567340057</v>
      </c>
      <c r="J14" s="103">
        <f>'Ann 4'!J31</f>
        <v>1159244.4599974237</v>
      </c>
      <c r="K14" s="103">
        <f>'Ann 4'!K31</f>
        <v>1107770.4554778417</v>
      </c>
    </row>
    <row r="15" spans="1:11" x14ac:dyDescent="0.6">
      <c r="A15" s="102"/>
      <c r="B15" s="103">
        <f>B13-B14</f>
        <v>625000</v>
      </c>
      <c r="C15" s="103">
        <f>C13-C14</f>
        <v>1589174.5192307688</v>
      </c>
      <c r="D15" s="103">
        <f t="shared" ref="D15:K15" si="2">D13-D14</f>
        <v>3030585.0384615385</v>
      </c>
      <c r="E15" s="103">
        <f t="shared" si="2"/>
        <v>3714943.6899999995</v>
      </c>
      <c r="F15" s="103">
        <f t="shared" si="2"/>
        <v>4426958.8230096148</v>
      </c>
      <c r="G15" s="103">
        <f t="shared" si="2"/>
        <v>5174530.2860036334</v>
      </c>
      <c r="H15" s="103">
        <f t="shared" si="2"/>
        <v>5963605.7691472825</v>
      </c>
      <c r="I15" s="103">
        <f t="shared" si="2"/>
        <v>6798421.1878608298</v>
      </c>
      <c r="J15" s="103">
        <f t="shared" si="2"/>
        <v>7451823.3734087897</v>
      </c>
      <c r="K15" s="103">
        <f t="shared" si="2"/>
        <v>9053847.9015713502</v>
      </c>
    </row>
    <row r="16" spans="1:11" x14ac:dyDescent="0.6">
      <c r="A16" s="102" t="s">
        <v>186</v>
      </c>
      <c r="B16" s="103">
        <v>0</v>
      </c>
      <c r="C16" s="103">
        <f>'Ann 4'!C33</f>
        <v>181659.75961538457</v>
      </c>
      <c r="D16" s="103">
        <f>'Ann 4'!D33</f>
        <v>679998.42211538483</v>
      </c>
      <c r="E16" s="103">
        <f>'Ann 4'!E33</f>
        <v>841505.76071153837</v>
      </c>
      <c r="F16" s="103">
        <f>'Ann 4'!F33</f>
        <v>992634.29288019263</v>
      </c>
      <c r="G16" s="103">
        <f>'Ann 4'!G33</f>
        <v>1134168.5067010713</v>
      </c>
      <c r="H16" s="103">
        <f>'Ann 4'!H33</f>
        <v>1266733.5821843978</v>
      </c>
      <c r="I16" s="103">
        <f>'Ann 4'!I33</f>
        <v>1390816.4161896734</v>
      </c>
      <c r="J16" s="103">
        <f>'Ann 4'!J33</f>
        <v>1352451.8699969943</v>
      </c>
      <c r="K16" s="103">
        <f>'Ann 4'!K33</f>
        <v>1292398.8647241488</v>
      </c>
    </row>
    <row r="17" spans="1:12" x14ac:dyDescent="0.6">
      <c r="A17" s="102"/>
      <c r="B17" s="103">
        <f>B15-B16</f>
        <v>625000</v>
      </c>
      <c r="C17" s="103">
        <f>C15-C16</f>
        <v>1407514.7596153843</v>
      </c>
      <c r="D17" s="103">
        <f t="shared" ref="D17:K17" si="3">D15-D16</f>
        <v>2350586.6163461534</v>
      </c>
      <c r="E17" s="103">
        <f t="shared" si="3"/>
        <v>2873437.9292884609</v>
      </c>
      <c r="F17" s="103">
        <f t="shared" si="3"/>
        <v>3434324.5301294224</v>
      </c>
      <c r="G17" s="103">
        <f t="shared" si="3"/>
        <v>4040361.7793025621</v>
      </c>
      <c r="H17" s="103">
        <f t="shared" si="3"/>
        <v>4696872.1869628849</v>
      </c>
      <c r="I17" s="103">
        <f t="shared" si="3"/>
        <v>5407604.7716711564</v>
      </c>
      <c r="J17" s="103">
        <f t="shared" si="3"/>
        <v>6099371.5034117959</v>
      </c>
      <c r="K17" s="103">
        <f t="shared" si="3"/>
        <v>7761449.0368472012</v>
      </c>
    </row>
    <row r="18" spans="1:12" x14ac:dyDescent="0.6">
      <c r="A18" s="102" t="s">
        <v>188</v>
      </c>
      <c r="B18" s="103">
        <v>0</v>
      </c>
      <c r="C18" s="103">
        <f>SUM('Ann 13'!D9:D12)*100000</f>
        <v>540384.61538461538</v>
      </c>
      <c r="D18" s="103">
        <f>SUM('Ann 13'!D13:D16)*100000</f>
        <v>1080769.2307692308</v>
      </c>
      <c r="E18" s="103">
        <f>SUM('Ann 13'!D17:D20)*100000</f>
        <v>1080769.2307692308</v>
      </c>
      <c r="F18" s="103">
        <f>SUM('Ann 13'!D21:D24)*100000</f>
        <v>1080769.2307692308</v>
      </c>
      <c r="G18" s="103">
        <f>SUM('Ann 13'!D25:D28)*100000</f>
        <v>1080769.2307692308</v>
      </c>
      <c r="H18" s="103">
        <f>SUM('Ann 13'!D29:D32)*100000</f>
        <v>1080769.2307692308</v>
      </c>
      <c r="I18" s="103">
        <f>SUM('Ann 13'!D33:D36)*100000</f>
        <v>1080769.230769227</v>
      </c>
      <c r="J18" s="103">
        <v>0</v>
      </c>
      <c r="K18" s="103">
        <v>0</v>
      </c>
    </row>
    <row r="19" spans="1:12" x14ac:dyDescent="0.6">
      <c r="A19" s="102" t="s">
        <v>189</v>
      </c>
      <c r="B19" s="103">
        <f>B17-B18</f>
        <v>625000</v>
      </c>
      <c r="C19" s="103">
        <f>C17-C18</f>
        <v>867130.1442307689</v>
      </c>
      <c r="D19" s="103">
        <f>D17-D18</f>
        <v>1269817.3855769227</v>
      </c>
      <c r="E19" s="103">
        <f>E17-E18</f>
        <v>1792668.6985192301</v>
      </c>
      <c r="F19" s="103">
        <f t="shared" ref="F19:K19" si="4">F17-F18</f>
        <v>2353555.2993601914</v>
      </c>
      <c r="G19" s="103">
        <f t="shared" si="4"/>
        <v>2959592.5485333316</v>
      </c>
      <c r="H19" s="103">
        <f t="shared" si="4"/>
        <v>3616102.9561936539</v>
      </c>
      <c r="I19" s="103">
        <f t="shared" si="4"/>
        <v>4326835.5409019291</v>
      </c>
      <c r="J19" s="103">
        <f t="shared" si="4"/>
        <v>6099371.5034117959</v>
      </c>
      <c r="K19" s="103">
        <f t="shared" si="4"/>
        <v>7761449.0368472012</v>
      </c>
    </row>
    <row r="21" spans="1:12" x14ac:dyDescent="0.6">
      <c r="A21" s="104" t="s">
        <v>190</v>
      </c>
      <c r="B21" s="105">
        <v>0.06</v>
      </c>
      <c r="C21" s="106"/>
      <c r="D21" s="104"/>
      <c r="E21" s="104"/>
      <c r="F21" s="104"/>
      <c r="G21" s="104"/>
      <c r="H21" s="104"/>
      <c r="I21" s="104"/>
      <c r="J21" s="104"/>
      <c r="K21" s="104"/>
      <c r="L21" s="104"/>
    </row>
    <row r="22" spans="1:12" x14ac:dyDescent="0.6">
      <c r="A22" s="104" t="s">
        <v>191</v>
      </c>
      <c r="B22" s="104">
        <v>1</v>
      </c>
      <c r="C22" s="107">
        <f>1/(1+$B$21)</f>
        <v>0.94339622641509424</v>
      </c>
      <c r="D22" s="107">
        <f>1/((1+$B$21)*(1+$B$21))</f>
        <v>0.88999644001423983</v>
      </c>
      <c r="E22" s="107">
        <f>1/((1+$B$21)*(1+$B$21)*(1+$B$21))</f>
        <v>0.8396192830323016</v>
      </c>
      <c r="F22" s="107">
        <f>1/((1+$B$21)*(1+$B$21)*(1+$B$21)*(1+$B$21))</f>
        <v>0.79209366323802044</v>
      </c>
      <c r="G22" s="107">
        <f>1/((1+$B$21)*(1+$B$21)*(1+$B$21)*(1+$B$21)*(1+$B$21))</f>
        <v>0.74725817286605689</v>
      </c>
      <c r="H22" s="107">
        <f>1/((1+$B$21)*(1+$B$21)*(1+$B$21)*(1+$B$21)*(1+$B$21)*(1+$B$21))</f>
        <v>0.70496054043967626</v>
      </c>
      <c r="I22" s="107">
        <f>1/((1+$B$21)*(1+$B$21)*(1+$B$21)*(1+$B$21)*(1+$B$21)*(1+$B$21)*(1+$B$21))</f>
        <v>0.6650571136223361</v>
      </c>
      <c r="J22" s="107">
        <f>1/((1+$B$21)*(1+$B$21)*(1+$B$21)*(1+$B$21)*(1+$B$21)*(1+$B$21)*(1+$B$21)*(1+$B$21))</f>
        <v>0.62741237134182648</v>
      </c>
      <c r="K22" s="107">
        <f>1/((1+$B$21)*(1+$B$21)*(1+$B$21)*(1+$B$21)*(1+$B$21)*(1+$B$21)*(1+$B$21)*(1+$B$21)*(1+$B$21))</f>
        <v>0.59189846353002495</v>
      </c>
      <c r="L22" s="104"/>
    </row>
    <row r="23" spans="1:12" x14ac:dyDescent="0.6">
      <c r="A23" s="104" t="s">
        <v>192</v>
      </c>
      <c r="B23" s="104">
        <f>B4+B8+B10+B5+B6</f>
        <v>8500000</v>
      </c>
      <c r="C23" s="104">
        <f>C4+C8+C10+C5+C6</f>
        <v>10311250</v>
      </c>
      <c r="D23" s="104">
        <f t="shared" ref="D23:K23" si="5">D4+D8+D10</f>
        <v>13258067.644230768</v>
      </c>
      <c r="E23" s="104">
        <f t="shared" si="5"/>
        <v>14596004.885576922</v>
      </c>
      <c r="F23" s="104">
        <f t="shared" si="5"/>
        <v>15956981.198519232</v>
      </c>
      <c r="G23" s="104">
        <f t="shared" si="5"/>
        <v>17355992.799360193</v>
      </c>
      <c r="H23" s="104">
        <f t="shared" si="5"/>
        <v>18800155.048533335</v>
      </c>
      <c r="I23" s="104">
        <f t="shared" si="5"/>
        <v>20294790.456193656</v>
      </c>
      <c r="J23" s="104">
        <f t="shared" si="5"/>
        <v>21089335.540901929</v>
      </c>
      <c r="K23" s="104">
        <f t="shared" si="5"/>
        <v>22861871.5034118</v>
      </c>
      <c r="L23" s="104"/>
    </row>
    <row r="24" spans="1:12" x14ac:dyDescent="0.6">
      <c r="A24" s="104" t="s">
        <v>193</v>
      </c>
      <c r="B24" s="104">
        <f>B23*B22</f>
        <v>8500000</v>
      </c>
      <c r="C24" s="104">
        <f>C23*C22</f>
        <v>9727594.339622641</v>
      </c>
      <c r="D24" s="104">
        <f t="shared" ref="D24:K24" si="6">D23*D22</f>
        <v>11799633.004833363</v>
      </c>
      <c r="E24" s="104">
        <f t="shared" si="6"/>
        <v>12255087.157164067</v>
      </c>
      <c r="F24" s="104">
        <f t="shared" si="6"/>
        <v>12639423.691755315</v>
      </c>
      <c r="G24" s="104">
        <f t="shared" si="6"/>
        <v>12969407.467526337</v>
      </c>
      <c r="H24" s="104">
        <f t="shared" si="6"/>
        <v>13253367.463363769</v>
      </c>
      <c r="I24" s="104">
        <f t="shared" si="6"/>
        <v>13497194.762366287</v>
      </c>
      <c r="J24" s="104">
        <f t="shared" si="6"/>
        <v>13231710.02174074</v>
      </c>
      <c r="K24" s="104">
        <f t="shared" si="6"/>
        <v>13531906.616290307</v>
      </c>
      <c r="L24" s="104"/>
    </row>
    <row r="25" spans="1:12" x14ac:dyDescent="0.6">
      <c r="A25" s="104" t="s">
        <v>194</v>
      </c>
      <c r="B25" s="104">
        <f>B9+B11+B12+B14+B16+B18+B7</f>
        <v>7875000</v>
      </c>
      <c r="C25" s="104">
        <f>C9+C11+C12+C14+C16+C18+C7</f>
        <v>9444119.8557692319</v>
      </c>
      <c r="D25" s="104">
        <f t="shared" ref="D25:K25" si="7">D9+D11+D12+D14+D16+D18+D7</f>
        <v>11988250.258653846</v>
      </c>
      <c r="E25" s="104">
        <f t="shared" si="7"/>
        <v>12803336.187057691</v>
      </c>
      <c r="F25" s="104">
        <f t="shared" si="7"/>
        <v>13603425.89915904</v>
      </c>
      <c r="G25" s="104">
        <f t="shared" si="7"/>
        <v>14396400.250826862</v>
      </c>
      <c r="H25" s="104">
        <f t="shared" si="7"/>
        <v>15184052.092339681</v>
      </c>
      <c r="I25" s="104">
        <f t="shared" si="7"/>
        <v>15967954.915291725</v>
      </c>
      <c r="J25" s="104">
        <f t="shared" si="7"/>
        <v>14989964.037490133</v>
      </c>
      <c r="K25" s="104">
        <f t="shared" si="7"/>
        <v>15100422.466564598</v>
      </c>
      <c r="L25" s="104"/>
    </row>
    <row r="26" spans="1:12" x14ac:dyDescent="0.6">
      <c r="A26" s="104" t="s">
        <v>195</v>
      </c>
      <c r="B26" s="104">
        <f>B25*B22</f>
        <v>7875000</v>
      </c>
      <c r="C26" s="104">
        <f>C25*C22</f>
        <v>8909547.0337445568</v>
      </c>
      <c r="D26" s="104">
        <f t="shared" ref="D26:K26" si="8">D25*D22</f>
        <v>10669500.052201713</v>
      </c>
      <c r="E26" s="104">
        <f t="shared" si="8"/>
        <v>10749927.949798901</v>
      </c>
      <c r="F26" s="104">
        <f t="shared" si="8"/>
        <v>10775187.453051846</v>
      </c>
      <c r="G26" s="104">
        <f t="shared" si="8"/>
        <v>10757827.747281324</v>
      </c>
      <c r="H26" s="104">
        <f t="shared" si="8"/>
        <v>10704157.569079978</v>
      </c>
      <c r="I26" s="104">
        <f t="shared" si="8"/>
        <v>10619602.006415509</v>
      </c>
      <c r="J26" s="104">
        <f t="shared" si="8"/>
        <v>9404888.8830903843</v>
      </c>
      <c r="K26" s="104">
        <f t="shared" si="8"/>
        <v>8937916.8566138558</v>
      </c>
      <c r="L26" s="104"/>
    </row>
    <row r="27" spans="1:12" x14ac:dyDescent="0.6">
      <c r="A27" s="104"/>
      <c r="B27" s="104"/>
      <c r="C27" s="104"/>
      <c r="D27" s="104"/>
      <c r="E27" s="104"/>
      <c r="F27" s="104"/>
      <c r="G27" s="104"/>
      <c r="H27" s="104"/>
      <c r="I27" s="104"/>
      <c r="J27" s="104"/>
      <c r="K27" s="104"/>
      <c r="L27" s="104"/>
    </row>
    <row r="28" spans="1:12" x14ac:dyDescent="0.6">
      <c r="A28" s="104" t="s">
        <v>196</v>
      </c>
      <c r="B28" s="104">
        <f>B23-B25</f>
        <v>625000</v>
      </c>
      <c r="C28" s="104">
        <f>C23-C25</f>
        <v>867130.14423076808</v>
      </c>
      <c r="D28" s="104">
        <f>D23-D25</f>
        <v>1269817.3855769224</v>
      </c>
      <c r="E28" s="104">
        <f t="shared" ref="E28:K28" si="9">E23-E25</f>
        <v>1792668.6985192318</v>
      </c>
      <c r="F28" s="104">
        <f t="shared" si="9"/>
        <v>2353555.2993601914</v>
      </c>
      <c r="G28" s="104">
        <f t="shared" si="9"/>
        <v>2959592.5485333316</v>
      </c>
      <c r="H28" s="104">
        <f t="shared" si="9"/>
        <v>3616102.9561936539</v>
      </c>
      <c r="I28" s="104">
        <f t="shared" si="9"/>
        <v>4326835.540901931</v>
      </c>
      <c r="J28" s="104">
        <f t="shared" si="9"/>
        <v>6099371.5034117959</v>
      </c>
      <c r="K28" s="104">
        <f t="shared" si="9"/>
        <v>7761449.0368472021</v>
      </c>
      <c r="L28" s="104"/>
    </row>
    <row r="29" spans="1:12" x14ac:dyDescent="0.6">
      <c r="A29" s="104" t="s">
        <v>197</v>
      </c>
      <c r="B29" s="104">
        <f>B24-B26</f>
        <v>625000</v>
      </c>
      <c r="C29" s="104">
        <f>C28*C22</f>
        <v>818047.30587808299</v>
      </c>
      <c r="D29" s="104">
        <f t="shared" ref="D29:K29" si="10">D28*D22</f>
        <v>1130132.9526316503</v>
      </c>
      <c r="E29" s="104">
        <f t="shared" si="10"/>
        <v>1505159.2073651666</v>
      </c>
      <c r="F29" s="104">
        <f t="shared" si="10"/>
        <v>1864236.23870347</v>
      </c>
      <c r="G29" s="104">
        <f t="shared" si="10"/>
        <v>2211579.7202450139</v>
      </c>
      <c r="H29" s="104">
        <f t="shared" si="10"/>
        <v>2549209.8942837892</v>
      </c>
      <c r="I29" s="104">
        <f t="shared" si="10"/>
        <v>2877592.7559507778</v>
      </c>
      <c r="J29" s="104">
        <f t="shared" si="10"/>
        <v>3826821.1386503563</v>
      </c>
      <c r="K29" s="104">
        <f t="shared" si="10"/>
        <v>4593989.7596764509</v>
      </c>
      <c r="L29" s="104">
        <f>SUM(B29:K29)</f>
        <v>22001768.97338476</v>
      </c>
    </row>
    <row r="30" spans="1:12" x14ac:dyDescent="0.6">
      <c r="A30" s="106"/>
      <c r="B30" s="106"/>
      <c r="C30" s="108"/>
      <c r="D30" s="108"/>
      <c r="E30" s="108"/>
      <c r="F30" s="108"/>
      <c r="G30" s="108"/>
      <c r="H30" s="106"/>
      <c r="I30" s="106"/>
      <c r="J30" s="106"/>
      <c r="K30" s="106"/>
      <c r="L30" s="106"/>
    </row>
  </sheetData>
  <pageMargins left="0.7" right="0.7" top="0.75" bottom="0.75" header="0.3" footer="0.3"/>
  <pageSetup scale="6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AADB1-212F-431E-A926-791FC9CE0F57}">
  <sheetPr>
    <pageSetUpPr fitToPage="1"/>
  </sheetPr>
  <dimension ref="A1:J25"/>
  <sheetViews>
    <sheetView topLeftCell="A8" workbookViewId="0">
      <selection activeCell="B19" sqref="B19"/>
    </sheetView>
  </sheetViews>
  <sheetFormatPr defaultRowHeight="17" x14ac:dyDescent="0.6"/>
  <cols>
    <col min="1" max="1" width="26.08984375" style="4" bestFit="1" customWidth="1"/>
    <col min="2" max="2" width="17.08984375" style="4" bestFit="1" customWidth="1"/>
    <col min="3" max="10" width="14.54296875" style="4" bestFit="1" customWidth="1"/>
    <col min="11" max="11" width="12.54296875" style="4" bestFit="1" customWidth="1"/>
    <col min="12" max="16384" width="8.7265625" style="4"/>
  </cols>
  <sheetData>
    <row r="1" spans="1:10" x14ac:dyDescent="0.6">
      <c r="A1" s="3" t="s">
        <v>171</v>
      </c>
    </row>
    <row r="2" spans="1:10" x14ac:dyDescent="0.6">
      <c r="A2" s="124" t="s">
        <v>3</v>
      </c>
      <c r="B2" s="130" t="s">
        <v>48</v>
      </c>
      <c r="C2" s="130"/>
      <c r="D2" s="130"/>
      <c r="E2" s="130"/>
      <c r="F2" s="130"/>
      <c r="G2" s="130"/>
      <c r="H2" s="130"/>
      <c r="I2" s="130"/>
      <c r="J2" s="130"/>
    </row>
    <row r="3" spans="1:10" x14ac:dyDescent="0.6">
      <c r="A3" s="124"/>
      <c r="B3" s="84" t="s">
        <v>39</v>
      </c>
      <c r="C3" s="84" t="s">
        <v>40</v>
      </c>
      <c r="D3" s="84" t="s">
        <v>41</v>
      </c>
      <c r="E3" s="84" t="s">
        <v>42</v>
      </c>
      <c r="F3" s="84" t="s">
        <v>43</v>
      </c>
      <c r="G3" s="84" t="s">
        <v>44</v>
      </c>
      <c r="H3" s="84" t="s">
        <v>45</v>
      </c>
      <c r="I3" s="84" t="s">
        <v>46</v>
      </c>
      <c r="J3" s="84" t="s">
        <v>47</v>
      </c>
    </row>
    <row r="4" spans="1:10" x14ac:dyDescent="0.6">
      <c r="A4" s="44" t="s">
        <v>302</v>
      </c>
      <c r="B4" s="79">
        <v>0.7</v>
      </c>
      <c r="C4" s="79">
        <v>0.75</v>
      </c>
      <c r="D4" s="79">
        <v>0.8</v>
      </c>
      <c r="E4" s="79">
        <v>0.85</v>
      </c>
      <c r="F4" s="79">
        <v>0.9</v>
      </c>
      <c r="G4" s="79">
        <v>0.95</v>
      </c>
      <c r="H4" s="79">
        <v>1</v>
      </c>
      <c r="I4" s="79">
        <v>1</v>
      </c>
      <c r="J4" s="79">
        <v>1</v>
      </c>
    </row>
    <row r="5" spans="1:10" x14ac:dyDescent="0.6">
      <c r="A5" s="44" t="s">
        <v>303</v>
      </c>
      <c r="B5" s="95">
        <f>$B$18*B4</f>
        <v>1050</v>
      </c>
      <c r="C5" s="95">
        <f t="shared" ref="C5:J5" si="0">$B$18*C4</f>
        <v>1125</v>
      </c>
      <c r="D5" s="95">
        <f t="shared" si="0"/>
        <v>1200</v>
      </c>
      <c r="E5" s="95">
        <f t="shared" si="0"/>
        <v>1275</v>
      </c>
      <c r="F5" s="95">
        <f t="shared" si="0"/>
        <v>1350</v>
      </c>
      <c r="G5" s="95">
        <f t="shared" si="0"/>
        <v>1425</v>
      </c>
      <c r="H5" s="95">
        <f t="shared" si="0"/>
        <v>1500</v>
      </c>
      <c r="I5" s="95">
        <f t="shared" si="0"/>
        <v>1500</v>
      </c>
      <c r="J5" s="95">
        <f t="shared" si="0"/>
        <v>1500</v>
      </c>
    </row>
    <row r="6" spans="1:10" x14ac:dyDescent="0.6">
      <c r="A6" s="44" t="s">
        <v>304</v>
      </c>
      <c r="B6" s="95">
        <f>$B$19*B4</f>
        <v>19250</v>
      </c>
      <c r="C6" s="95">
        <f t="shared" ref="C6:J6" si="1">$B$19*C4</f>
        <v>20625</v>
      </c>
      <c r="D6" s="95">
        <f t="shared" si="1"/>
        <v>22000</v>
      </c>
      <c r="E6" s="95">
        <f t="shared" si="1"/>
        <v>23375</v>
      </c>
      <c r="F6" s="95">
        <f t="shared" si="1"/>
        <v>24750</v>
      </c>
      <c r="G6" s="95">
        <f t="shared" si="1"/>
        <v>26125</v>
      </c>
      <c r="H6" s="95">
        <f t="shared" si="1"/>
        <v>27500</v>
      </c>
      <c r="I6" s="95">
        <f t="shared" si="1"/>
        <v>27500</v>
      </c>
      <c r="J6" s="95">
        <f t="shared" si="1"/>
        <v>27500</v>
      </c>
    </row>
    <row r="7" spans="1:10" x14ac:dyDescent="0.6">
      <c r="A7" s="44" t="s">
        <v>305</v>
      </c>
      <c r="B7" s="95">
        <f>B6+B5</f>
        <v>20300</v>
      </c>
      <c r="C7" s="95">
        <f t="shared" ref="C7:J7" si="2">C6+C5</f>
        <v>21750</v>
      </c>
      <c r="D7" s="95">
        <f t="shared" si="2"/>
        <v>23200</v>
      </c>
      <c r="E7" s="95">
        <f t="shared" si="2"/>
        <v>24650</v>
      </c>
      <c r="F7" s="95">
        <f t="shared" si="2"/>
        <v>26100</v>
      </c>
      <c r="G7" s="95">
        <f t="shared" si="2"/>
        <v>27550</v>
      </c>
      <c r="H7" s="95">
        <f t="shared" si="2"/>
        <v>29000</v>
      </c>
      <c r="I7" s="95">
        <f t="shared" si="2"/>
        <v>29000</v>
      </c>
      <c r="J7" s="95">
        <f t="shared" si="2"/>
        <v>29000</v>
      </c>
    </row>
    <row r="8" spans="1:10" x14ac:dyDescent="0.6">
      <c r="A8" s="44" t="s">
        <v>50</v>
      </c>
      <c r="B8" s="95">
        <f>(B6*$C$22)+(B5*$B$22)</f>
        <v>10762500</v>
      </c>
      <c r="C8" s="95">
        <f>(C6*$C$22*1.1)+(C5*$B$22*1.05)</f>
        <v>12571875</v>
      </c>
      <c r="D8" s="95">
        <f t="shared" ref="D8:J8" si="3">(D6*$C$22*1.1)+(D5*$B$22*1.05)</f>
        <v>13410000</v>
      </c>
      <c r="E8" s="95">
        <f t="shared" si="3"/>
        <v>14248125.000000002</v>
      </c>
      <c r="F8" s="95">
        <f t="shared" si="3"/>
        <v>15086250.000000002</v>
      </c>
      <c r="G8" s="95">
        <f t="shared" si="3"/>
        <v>15924375.000000002</v>
      </c>
      <c r="H8" s="95">
        <f t="shared" si="3"/>
        <v>16762500.000000002</v>
      </c>
      <c r="I8" s="95">
        <f t="shared" si="3"/>
        <v>16762500.000000002</v>
      </c>
      <c r="J8" s="95">
        <f t="shared" si="3"/>
        <v>16762500.000000002</v>
      </c>
    </row>
    <row r="9" spans="1:10" x14ac:dyDescent="0.6">
      <c r="B9" s="48"/>
      <c r="C9" s="48"/>
      <c r="D9" s="48"/>
      <c r="E9" s="48"/>
      <c r="F9" s="48"/>
      <c r="G9" s="48"/>
      <c r="H9" s="48"/>
      <c r="I9" s="48"/>
      <c r="J9" s="48"/>
    </row>
    <row r="10" spans="1:10" x14ac:dyDescent="0.6">
      <c r="A10" s="100" t="s">
        <v>172</v>
      </c>
    </row>
    <row r="11" spans="1:10" x14ac:dyDescent="0.6">
      <c r="A11" s="4" t="s">
        <v>256</v>
      </c>
      <c r="B11" s="4">
        <f>'Ann 3'!E8</f>
        <v>4</v>
      </c>
    </row>
    <row r="12" spans="1:10" x14ac:dyDescent="0.6">
      <c r="A12" s="4" t="s">
        <v>295</v>
      </c>
      <c r="B12" s="4">
        <f>'Ann 3'!E9</f>
        <v>1</v>
      </c>
    </row>
    <row r="13" spans="1:10" x14ac:dyDescent="0.6">
      <c r="A13" s="4" t="s">
        <v>293</v>
      </c>
      <c r="B13" s="4">
        <f>'Ann 3'!E25</f>
        <v>2</v>
      </c>
    </row>
    <row r="14" spans="1:10" x14ac:dyDescent="0.6">
      <c r="A14" s="4" t="s">
        <v>257</v>
      </c>
      <c r="B14" s="4">
        <f>'Ann 3'!E18</f>
        <v>5</v>
      </c>
    </row>
    <row r="15" spans="1:10" x14ac:dyDescent="0.6">
      <c r="A15" s="4" t="s">
        <v>258</v>
      </c>
      <c r="B15" s="4">
        <v>10</v>
      </c>
      <c r="C15" s="4" t="s">
        <v>259</v>
      </c>
    </row>
    <row r="16" spans="1:10" x14ac:dyDescent="0.6">
      <c r="A16" s="4" t="s">
        <v>299</v>
      </c>
      <c r="B16" s="4">
        <v>150</v>
      </c>
      <c r="C16" s="4" t="s">
        <v>234</v>
      </c>
    </row>
    <row r="17" spans="1:3" x14ac:dyDescent="0.6">
      <c r="A17" s="4" t="s">
        <v>298</v>
      </c>
      <c r="B17" s="4">
        <v>250</v>
      </c>
      <c r="C17" s="4" t="s">
        <v>234</v>
      </c>
    </row>
    <row r="18" spans="1:3" x14ac:dyDescent="0.6">
      <c r="A18" s="4" t="s">
        <v>306</v>
      </c>
      <c r="B18" s="4">
        <f>B12*B15*B16</f>
        <v>1500</v>
      </c>
      <c r="C18" s="4" t="s">
        <v>259</v>
      </c>
    </row>
    <row r="19" spans="1:3" x14ac:dyDescent="0.6">
      <c r="A19" s="4" t="s">
        <v>307</v>
      </c>
      <c r="B19" s="4">
        <f>(B11+B14+B13)*B15*B17</f>
        <v>27500</v>
      </c>
      <c r="C19" s="4" t="s">
        <v>259</v>
      </c>
    </row>
    <row r="21" spans="1:3" s="98" customFormat="1" ht="51" x14ac:dyDescent="0.35">
      <c r="A21" s="96" t="s">
        <v>173</v>
      </c>
      <c r="B21" s="97" t="s">
        <v>301</v>
      </c>
      <c r="C21" s="97" t="s">
        <v>300</v>
      </c>
    </row>
    <row r="22" spans="1:3" s="98" customFormat="1" x14ac:dyDescent="0.35">
      <c r="A22" s="96" t="s">
        <v>175</v>
      </c>
      <c r="B22" s="99">
        <v>2000</v>
      </c>
      <c r="C22" s="99">
        <v>450</v>
      </c>
    </row>
    <row r="24" spans="1:3" x14ac:dyDescent="0.6">
      <c r="A24" s="3" t="s">
        <v>174</v>
      </c>
    </row>
    <row r="25" spans="1:3" x14ac:dyDescent="0.6">
      <c r="A25" s="4" t="s">
        <v>308</v>
      </c>
    </row>
  </sheetData>
  <mergeCells count="2">
    <mergeCell ref="B2:J2"/>
    <mergeCell ref="A2:A3"/>
  </mergeCells>
  <pageMargins left="0.7" right="0.7" top="0.75" bottom="0.75" header="0.3" footer="0.3"/>
  <pageSetup scale="76"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0B69F-8F0D-45BD-B703-60FCEF10A70F}">
  <dimension ref="A2:J8"/>
  <sheetViews>
    <sheetView workbookViewId="0">
      <selection activeCell="B3" sqref="B3:F8"/>
    </sheetView>
  </sheetViews>
  <sheetFormatPr defaultRowHeight="14.5" x14ac:dyDescent="0.35"/>
  <cols>
    <col min="1" max="1" width="16.453125" bestFit="1" customWidth="1"/>
  </cols>
  <sheetData>
    <row r="2" spans="1:10" x14ac:dyDescent="0.35">
      <c r="B2" t="s">
        <v>39</v>
      </c>
      <c r="C2" t="s">
        <v>40</v>
      </c>
      <c r="D2" t="s">
        <v>41</v>
      </c>
      <c r="E2" t="s">
        <v>42</v>
      </c>
      <c r="F2" t="s">
        <v>43</v>
      </c>
      <c r="G2" t="s">
        <v>44</v>
      </c>
      <c r="H2" t="s">
        <v>45</v>
      </c>
      <c r="I2" t="s">
        <v>46</v>
      </c>
      <c r="J2" t="s">
        <v>47</v>
      </c>
    </row>
    <row r="3" spans="1:10" ht="17" x14ac:dyDescent="0.6">
      <c r="A3" t="s">
        <v>198</v>
      </c>
      <c r="B3" s="48">
        <f>'Ann 4'!C19/100000</f>
        <v>107.625</v>
      </c>
      <c r="C3" s="48">
        <f>'Ann 4'!D19/100000</f>
        <v>125.71875</v>
      </c>
      <c r="D3" s="48">
        <f>'Ann 4'!E19/100000</f>
        <v>134.1</v>
      </c>
      <c r="E3" s="48">
        <f>'Ann 4'!F19/100000</f>
        <v>142.48125000000002</v>
      </c>
      <c r="F3" s="48">
        <f>'Ann 4'!G19/100000</f>
        <v>150.86250000000001</v>
      </c>
      <c r="G3" s="1">
        <f>'Ann 4'!H19/100000</f>
        <v>159.24375000000001</v>
      </c>
      <c r="H3" s="1">
        <f>'Ann 4'!I19/100000</f>
        <v>167.62500000000003</v>
      </c>
      <c r="I3" s="1">
        <f>'Ann 4'!J19/100000</f>
        <v>167.62500000000003</v>
      </c>
      <c r="J3" s="1">
        <f>'Ann 4'!K19/100000</f>
        <v>167.62500000000003</v>
      </c>
    </row>
    <row r="4" spans="1:10" ht="17" x14ac:dyDescent="0.6">
      <c r="A4" t="s">
        <v>199</v>
      </c>
      <c r="B4" s="48">
        <f>'Ann 4'!C18/100000</f>
        <v>86.622749999999996</v>
      </c>
      <c r="C4" s="48">
        <f>'Ann 4'!D18/100000</f>
        <v>92.577002500000006</v>
      </c>
      <c r="D4" s="48">
        <f>'Ann 4'!E18/100000</f>
        <v>98.336312399999997</v>
      </c>
      <c r="E4" s="48">
        <f>'Ann 4'!F18/100000</f>
        <v>104.19774556400002</v>
      </c>
      <c r="F4" s="48">
        <f>'Ann 4'!G18/100000</f>
        <v>110.16733015624001</v>
      </c>
      <c r="G4" s="1">
        <f>'Ann 4'!H18/100000</f>
        <v>116.2514516836824</v>
      </c>
      <c r="H4" s="1">
        <f>'Ann 4'!I18/100000</f>
        <v>122.45687423150773</v>
      </c>
      <c r="I4" s="1">
        <f>'Ann 4'!J18/100000</f>
        <v>124.57581111663863</v>
      </c>
      <c r="J4" s="1">
        <f>'Ann 4'!K18/100000</f>
        <v>126.82075354780845</v>
      </c>
    </row>
    <row r="5" spans="1:10" ht="17" x14ac:dyDescent="0.6">
      <c r="A5" t="s">
        <v>200</v>
      </c>
      <c r="B5" s="48">
        <f>B3-B4</f>
        <v>21.002250000000004</v>
      </c>
      <c r="C5" s="48">
        <f t="shared" ref="C5:J5" si="0">C3-C4</f>
        <v>33.141747499999994</v>
      </c>
      <c r="D5" s="48">
        <f t="shared" si="0"/>
        <v>35.763687599999997</v>
      </c>
      <c r="E5" s="48">
        <f t="shared" si="0"/>
        <v>38.283504436000001</v>
      </c>
      <c r="F5" s="48">
        <f t="shared" si="0"/>
        <v>40.695169843759999</v>
      </c>
      <c r="G5" s="1">
        <f t="shared" si="0"/>
        <v>42.992298316317601</v>
      </c>
      <c r="H5" s="1">
        <f t="shared" si="0"/>
        <v>45.168125768492303</v>
      </c>
      <c r="I5" s="1">
        <f t="shared" si="0"/>
        <v>43.049188883361396</v>
      </c>
      <c r="J5" s="1">
        <f t="shared" si="0"/>
        <v>40.804246452191578</v>
      </c>
    </row>
    <row r="6" spans="1:10" ht="17" x14ac:dyDescent="0.6">
      <c r="A6" t="s">
        <v>201</v>
      </c>
      <c r="B6" s="48">
        <f>B5</f>
        <v>21.002250000000004</v>
      </c>
      <c r="C6" s="48">
        <f t="shared" ref="C6:J6" si="1">C5</f>
        <v>33.141747499999994</v>
      </c>
      <c r="D6" s="48">
        <f t="shared" si="1"/>
        <v>35.763687599999997</v>
      </c>
      <c r="E6" s="48">
        <f t="shared" si="1"/>
        <v>38.283504436000001</v>
      </c>
      <c r="F6" s="48">
        <f t="shared" si="1"/>
        <v>40.695169843759999</v>
      </c>
      <c r="G6" s="1">
        <f t="shared" si="1"/>
        <v>42.992298316317601</v>
      </c>
      <c r="H6" s="1">
        <f t="shared" si="1"/>
        <v>45.168125768492303</v>
      </c>
      <c r="I6" s="1">
        <f t="shared" si="1"/>
        <v>43.049188883361396</v>
      </c>
      <c r="J6" s="1">
        <f t="shared" si="1"/>
        <v>40.804246452191578</v>
      </c>
    </row>
    <row r="7" spans="1:10" ht="17" x14ac:dyDescent="0.6">
      <c r="A7" t="s">
        <v>202</v>
      </c>
      <c r="B7" s="116">
        <f>'Ann 4'!C30/100000</f>
        <v>5.1902788461538449</v>
      </c>
      <c r="C7" s="116">
        <f>'Ann 4'!D30/100000</f>
        <v>19.428526346153848</v>
      </c>
      <c r="D7" s="116">
        <f>'Ann 4'!E30/100000</f>
        <v>24.043021734615383</v>
      </c>
      <c r="E7" s="116">
        <f>'Ann 4'!F30/100000</f>
        <v>28.360979796576935</v>
      </c>
      <c r="F7" s="116">
        <f>'Ann 4'!G30/100000</f>
        <v>32.404814477173467</v>
      </c>
      <c r="G7" s="2">
        <f>'Ann 4'!H30/100000</f>
        <v>36.192388062411368</v>
      </c>
      <c r="H7" s="2">
        <f>'Ann 4'!I30/100000</f>
        <v>39.737611891133525</v>
      </c>
      <c r="I7" s="2">
        <f>'Ann 4'!J30/100000</f>
        <v>38.641481999914127</v>
      </c>
      <c r="J7" s="2">
        <f>'Ann 4'!K30/100000</f>
        <v>36.925681849261395</v>
      </c>
    </row>
    <row r="8" spans="1:10" ht="17" x14ac:dyDescent="0.6">
      <c r="A8" t="s">
        <v>203</v>
      </c>
      <c r="B8" s="116">
        <f>'Ann 4'!C32/100000</f>
        <v>3.6331951923076913</v>
      </c>
      <c r="C8" s="116">
        <f>'Ann 4'!D32/100000</f>
        <v>13.599968442307697</v>
      </c>
      <c r="D8" s="116">
        <f>'Ann 4'!E32/100000</f>
        <v>16.830115214230766</v>
      </c>
      <c r="E8" s="116">
        <f>'Ann 4'!F32/100000</f>
        <v>19.852685857603852</v>
      </c>
      <c r="F8" s="116">
        <f>'Ann 4'!G32/100000</f>
        <v>22.683370134021427</v>
      </c>
      <c r="G8" s="2">
        <f>'Ann 4'!H32/100000</f>
        <v>25.334671643687958</v>
      </c>
      <c r="H8" s="2">
        <f>'Ann 4'!I32/100000</f>
        <v>27.816328323793467</v>
      </c>
      <c r="I8" s="2">
        <f>'Ann 4'!J32/100000</f>
        <v>27.049037399939884</v>
      </c>
      <c r="J8" s="2">
        <f>'Ann 4'!K32/100000</f>
        <v>25.847977294482977</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35DA7-00E0-4D15-8196-E2CB4C255341}">
  <sheetPr>
    <pageSetUpPr fitToPage="1"/>
  </sheetPr>
  <dimension ref="A1:L10"/>
  <sheetViews>
    <sheetView workbookViewId="0">
      <selection activeCell="B10" sqref="B10"/>
    </sheetView>
  </sheetViews>
  <sheetFormatPr defaultRowHeight="17" x14ac:dyDescent="0.6"/>
  <cols>
    <col min="1" max="1" width="8.7265625" style="4"/>
    <col min="2" max="2" width="84" style="4" bestFit="1" customWidth="1"/>
    <col min="3" max="3" width="12.36328125" style="4" bestFit="1" customWidth="1"/>
    <col min="4" max="12" width="12.54296875" style="4" bestFit="1" customWidth="1"/>
    <col min="13" max="16384" width="8.7265625" style="4"/>
  </cols>
  <sheetData>
    <row r="1" spans="1:12" x14ac:dyDescent="0.6">
      <c r="A1" s="3" t="s">
        <v>223</v>
      </c>
      <c r="B1" s="3" t="s">
        <v>224</v>
      </c>
    </row>
    <row r="2" spans="1:12" x14ac:dyDescent="0.6">
      <c r="A2" s="4">
        <v>1</v>
      </c>
      <c r="B2" s="4" t="s">
        <v>278</v>
      </c>
    </row>
    <row r="3" spans="1:12" x14ac:dyDescent="0.6">
      <c r="A3" s="4">
        <v>2</v>
      </c>
      <c r="B3" s="4" t="s">
        <v>226</v>
      </c>
    </row>
    <row r="4" spans="1:12" x14ac:dyDescent="0.6">
      <c r="C4" s="4" t="s">
        <v>177</v>
      </c>
      <c r="D4" s="4">
        <v>25000</v>
      </c>
      <c r="E4" s="4">
        <f>D4*1.05</f>
        <v>26250</v>
      </c>
      <c r="F4" s="4">
        <f t="shared" ref="F4:J4" si="0">E4*1.05</f>
        <v>27562.5</v>
      </c>
      <c r="G4" s="4">
        <f t="shared" si="0"/>
        <v>28940.625</v>
      </c>
      <c r="H4" s="4">
        <f t="shared" si="0"/>
        <v>30387.65625</v>
      </c>
      <c r="I4" s="4">
        <f t="shared" si="0"/>
        <v>31907.0390625</v>
      </c>
      <c r="J4" s="4">
        <f t="shared" si="0"/>
        <v>33502.391015624999</v>
      </c>
      <c r="K4" s="4">
        <f>J4</f>
        <v>33502.391015624999</v>
      </c>
      <c r="L4" s="4">
        <f>K4</f>
        <v>33502.391015624999</v>
      </c>
    </row>
    <row r="5" spans="1:12" x14ac:dyDescent="0.6">
      <c r="C5" s="4" t="s">
        <v>72</v>
      </c>
      <c r="D5" s="4">
        <f>D4*12</f>
        <v>300000</v>
      </c>
      <c r="E5" s="4">
        <f t="shared" ref="E5:L5" si="1">E4*12</f>
        <v>315000</v>
      </c>
      <c r="F5" s="4">
        <f t="shared" si="1"/>
        <v>330750</v>
      </c>
      <c r="G5" s="4">
        <f t="shared" si="1"/>
        <v>347287.5</v>
      </c>
      <c r="H5" s="4">
        <f t="shared" si="1"/>
        <v>364651.875</v>
      </c>
      <c r="I5" s="4">
        <f t="shared" si="1"/>
        <v>382884.46875</v>
      </c>
      <c r="J5" s="4">
        <f t="shared" si="1"/>
        <v>402028.69218749995</v>
      </c>
      <c r="K5" s="4">
        <f t="shared" si="1"/>
        <v>402028.69218749995</v>
      </c>
      <c r="L5" s="4">
        <f t="shared" si="1"/>
        <v>402028.69218749995</v>
      </c>
    </row>
    <row r="6" spans="1:12" x14ac:dyDescent="0.6">
      <c r="A6" s="4">
        <v>3</v>
      </c>
      <c r="B6" s="4" t="s">
        <v>279</v>
      </c>
    </row>
    <row r="7" spans="1:12" x14ac:dyDescent="0.6">
      <c r="A7" s="4">
        <v>4</v>
      </c>
      <c r="B7" s="4" t="s">
        <v>225</v>
      </c>
    </row>
    <row r="8" spans="1:12" x14ac:dyDescent="0.6">
      <c r="A8" s="4">
        <v>5</v>
      </c>
      <c r="B8" s="4" t="s">
        <v>280</v>
      </c>
    </row>
    <row r="9" spans="1:12" x14ac:dyDescent="0.6">
      <c r="A9" s="4">
        <v>6</v>
      </c>
      <c r="B9" s="4" t="s">
        <v>281</v>
      </c>
    </row>
    <row r="10" spans="1:12" ht="34" x14ac:dyDescent="0.6">
      <c r="A10" s="4">
        <v>7</v>
      </c>
      <c r="B10" s="117" t="s">
        <v>282</v>
      </c>
    </row>
  </sheetData>
  <pageMargins left="0.7" right="0.7" top="0.75" bottom="0.75" header="0.3" footer="0.3"/>
  <pageSetup scale="56"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78DE0-72C3-4C7B-BCE1-80ED309267B8}">
  <dimension ref="A1:K7"/>
  <sheetViews>
    <sheetView workbookViewId="0">
      <selection activeCell="C5" sqref="C5"/>
    </sheetView>
  </sheetViews>
  <sheetFormatPr defaultRowHeight="14.5" x14ac:dyDescent="0.35"/>
  <cols>
    <col min="3" max="3" width="8.81640625" bestFit="1" customWidth="1"/>
    <col min="4" max="5" width="11.81640625" bestFit="1" customWidth="1"/>
    <col min="6" max="6" width="9.81640625" bestFit="1" customWidth="1"/>
    <col min="7" max="11" width="11.81640625" bestFit="1" customWidth="1"/>
  </cols>
  <sheetData>
    <row r="1" spans="1:11" x14ac:dyDescent="0.35">
      <c r="A1" t="s">
        <v>145</v>
      </c>
    </row>
    <row r="2" spans="1:11" x14ac:dyDescent="0.35">
      <c r="C2" t="s">
        <v>39</v>
      </c>
      <c r="D2" t="s">
        <v>40</v>
      </c>
      <c r="E2" t="s">
        <v>41</v>
      </c>
      <c r="F2" t="s">
        <v>42</v>
      </c>
      <c r="G2" t="s">
        <v>43</v>
      </c>
      <c r="H2" t="s">
        <v>44</v>
      </c>
      <c r="I2" t="s">
        <v>45</v>
      </c>
      <c r="J2" t="s">
        <v>46</v>
      </c>
      <c r="K2" t="s">
        <v>47</v>
      </c>
    </row>
    <row r="3" spans="1:11" x14ac:dyDescent="0.35">
      <c r="A3" t="s">
        <v>146</v>
      </c>
      <c r="C3">
        <f>'Ann 4'!C19/300*270</f>
        <v>9686250</v>
      </c>
      <c r="D3">
        <f>'Ann 4'!D19/300*270</f>
        <v>11314687.5</v>
      </c>
      <c r="E3">
        <f>'Ann 4'!E19/300*270</f>
        <v>12069000</v>
      </c>
      <c r="F3">
        <f>'Ann 4'!F19/300*270</f>
        <v>12823312.500000002</v>
      </c>
      <c r="G3">
        <f>'Ann 4'!G19/300*270</f>
        <v>13577625.000000002</v>
      </c>
      <c r="H3">
        <f>'Ann 4'!H19/300*270</f>
        <v>14331937.500000002</v>
      </c>
      <c r="I3">
        <f>'Ann 4'!I19/300*270</f>
        <v>15086250.000000002</v>
      </c>
      <c r="J3">
        <f>'Ann 4'!J19/300*270</f>
        <v>15086250.000000002</v>
      </c>
      <c r="K3">
        <f>'Ann 4'!K19/300*270</f>
        <v>15086250.000000002</v>
      </c>
    </row>
    <row r="4" spans="1:11" x14ac:dyDescent="0.35">
      <c r="A4" t="s">
        <v>147</v>
      </c>
      <c r="C4">
        <v>5000000</v>
      </c>
    </row>
    <row r="5" spans="1:11" x14ac:dyDescent="0.35">
      <c r="A5" t="s">
        <v>148</v>
      </c>
      <c r="C5">
        <v>21492978</v>
      </c>
    </row>
    <row r="7" spans="1:11" x14ac:dyDescent="0.35">
      <c r="A7" t="s">
        <v>149</v>
      </c>
      <c r="C7">
        <f>'Ann 3'!G29</f>
        <v>7875000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3A738-A431-4FFB-9E48-2908CC4F126C}">
  <sheetPr>
    <pageSetUpPr fitToPage="1"/>
  </sheetPr>
  <dimension ref="A1:C42"/>
  <sheetViews>
    <sheetView topLeftCell="A23" workbookViewId="0">
      <selection activeCell="C39" sqref="C39"/>
    </sheetView>
  </sheetViews>
  <sheetFormatPr defaultRowHeight="17" x14ac:dyDescent="0.6"/>
  <cols>
    <col min="1" max="1" width="8.7265625" style="4"/>
    <col min="2" max="2" width="44.90625" style="4" customWidth="1"/>
    <col min="3" max="3" width="13.26953125" style="4" customWidth="1"/>
    <col min="4" max="16384" width="8.7265625" style="4"/>
  </cols>
  <sheetData>
    <row r="1" spans="1:3" x14ac:dyDescent="0.6">
      <c r="A1" s="3" t="s">
        <v>228</v>
      </c>
    </row>
    <row r="3" spans="1:3" x14ac:dyDescent="0.6">
      <c r="A3" s="3" t="s">
        <v>0</v>
      </c>
    </row>
    <row r="5" spans="1:3" x14ac:dyDescent="0.6">
      <c r="A5" s="41" t="s">
        <v>1</v>
      </c>
      <c r="B5" s="28"/>
      <c r="C5" s="29"/>
    </row>
    <row r="6" spans="1:3" ht="34" x14ac:dyDescent="0.6">
      <c r="A6" s="42" t="s">
        <v>2</v>
      </c>
      <c r="B6" s="42" t="s">
        <v>3</v>
      </c>
      <c r="C6" s="43" t="s">
        <v>4</v>
      </c>
    </row>
    <row r="7" spans="1:3" x14ac:dyDescent="0.6">
      <c r="A7" s="31">
        <v>1</v>
      </c>
      <c r="B7" s="32" t="s">
        <v>6</v>
      </c>
      <c r="C7" s="24"/>
    </row>
    <row r="8" spans="1:3" x14ac:dyDescent="0.6">
      <c r="A8" s="31" t="s">
        <v>5</v>
      </c>
      <c r="B8" s="32" t="s">
        <v>7</v>
      </c>
      <c r="C8" s="33">
        <v>0</v>
      </c>
    </row>
    <row r="9" spans="1:3" x14ac:dyDescent="0.6">
      <c r="A9" s="31"/>
      <c r="B9" s="32" t="s">
        <v>8</v>
      </c>
      <c r="C9" s="33">
        <f>SUM(C8)</f>
        <v>0</v>
      </c>
    </row>
    <row r="10" spans="1:3" x14ac:dyDescent="0.6">
      <c r="A10" s="31"/>
      <c r="B10" s="32"/>
      <c r="C10" s="24"/>
    </row>
    <row r="11" spans="1:3" x14ac:dyDescent="0.6">
      <c r="A11" s="31">
        <v>2</v>
      </c>
      <c r="B11" s="32" t="s">
        <v>170</v>
      </c>
      <c r="C11" s="33">
        <f>'Ann 3'!G4/100000</f>
        <v>16</v>
      </c>
    </row>
    <row r="12" spans="1:3" x14ac:dyDescent="0.6">
      <c r="A12" s="31" t="s">
        <v>5</v>
      </c>
      <c r="B12" s="32" t="s">
        <v>8</v>
      </c>
      <c r="C12" s="33">
        <f>C11</f>
        <v>16</v>
      </c>
    </row>
    <row r="13" spans="1:3" x14ac:dyDescent="0.6">
      <c r="A13" s="31"/>
      <c r="B13" s="32"/>
      <c r="C13" s="24"/>
    </row>
    <row r="14" spans="1:3" x14ac:dyDescent="0.6">
      <c r="A14" s="31">
        <v>3</v>
      </c>
      <c r="B14" s="32" t="s">
        <v>9</v>
      </c>
      <c r="C14" s="24"/>
    </row>
    <row r="15" spans="1:3" x14ac:dyDescent="0.6">
      <c r="A15" s="31" t="s">
        <v>5</v>
      </c>
      <c r="B15" s="32" t="s">
        <v>9</v>
      </c>
      <c r="C15" s="34"/>
    </row>
    <row r="16" spans="1:3" x14ac:dyDescent="0.6">
      <c r="A16" s="31"/>
      <c r="B16" s="32" t="s">
        <v>8</v>
      </c>
      <c r="C16" s="34">
        <f>C15</f>
        <v>0</v>
      </c>
    </row>
    <row r="17" spans="1:3" x14ac:dyDescent="0.6">
      <c r="A17" s="31"/>
      <c r="B17" s="32"/>
      <c r="C17" s="24"/>
    </row>
    <row r="18" spans="1:3" x14ac:dyDescent="0.6">
      <c r="A18" s="31">
        <v>4</v>
      </c>
      <c r="B18" s="32" t="s">
        <v>10</v>
      </c>
      <c r="C18" s="24"/>
    </row>
    <row r="19" spans="1:3" x14ac:dyDescent="0.6">
      <c r="A19" s="31" t="s">
        <v>5</v>
      </c>
      <c r="B19" s="32" t="s">
        <v>11</v>
      </c>
      <c r="C19" s="34">
        <f>'Ann 3'!G27/100000</f>
        <v>62.75</v>
      </c>
    </row>
    <row r="20" spans="1:3" x14ac:dyDescent="0.6">
      <c r="A20" s="31"/>
      <c r="B20" s="32" t="s">
        <v>8</v>
      </c>
      <c r="C20" s="35">
        <f>C19</f>
        <v>62.75</v>
      </c>
    </row>
    <row r="21" spans="1:3" x14ac:dyDescent="0.6">
      <c r="A21" s="31"/>
      <c r="B21" s="32"/>
      <c r="C21" s="24"/>
    </row>
    <row r="22" spans="1:3" x14ac:dyDescent="0.6">
      <c r="A22" s="31">
        <v>5</v>
      </c>
      <c r="B22" s="32" t="s">
        <v>12</v>
      </c>
      <c r="C22" s="24"/>
    </row>
    <row r="23" spans="1:3" x14ac:dyDescent="0.6">
      <c r="A23" s="31" t="s">
        <v>5</v>
      </c>
      <c r="B23" s="32" t="s">
        <v>13</v>
      </c>
      <c r="C23" s="33">
        <v>0</v>
      </c>
    </row>
    <row r="24" spans="1:3" x14ac:dyDescent="0.6">
      <c r="A24" s="31"/>
      <c r="B24" s="32"/>
      <c r="C24" s="33"/>
    </row>
    <row r="25" spans="1:3" x14ac:dyDescent="0.6">
      <c r="A25" s="31">
        <v>6</v>
      </c>
      <c r="B25" s="32" t="s">
        <v>14</v>
      </c>
      <c r="C25" s="33">
        <v>6.25</v>
      </c>
    </row>
    <row r="26" spans="1:3" x14ac:dyDescent="0.6">
      <c r="A26" s="31"/>
      <c r="B26" s="32"/>
      <c r="C26" s="33"/>
    </row>
    <row r="27" spans="1:3" x14ac:dyDescent="0.6">
      <c r="A27" s="31">
        <v>7</v>
      </c>
      <c r="B27" s="32" t="s">
        <v>15</v>
      </c>
      <c r="C27" s="33"/>
    </row>
    <row r="28" spans="1:3" x14ac:dyDescent="0.6">
      <c r="A28" s="31" t="s">
        <v>5</v>
      </c>
      <c r="B28" s="32" t="s">
        <v>16</v>
      </c>
      <c r="C28" s="33">
        <v>0</v>
      </c>
    </row>
    <row r="29" spans="1:3" x14ac:dyDescent="0.6">
      <c r="A29" s="31"/>
      <c r="B29" s="32" t="s">
        <v>8</v>
      </c>
      <c r="C29" s="33"/>
    </row>
    <row r="30" spans="1:3" x14ac:dyDescent="0.6">
      <c r="A30" s="31"/>
      <c r="B30" s="32"/>
      <c r="C30" s="33"/>
    </row>
    <row r="31" spans="1:3" x14ac:dyDescent="0.6">
      <c r="A31" s="31">
        <v>8</v>
      </c>
      <c r="B31" s="32" t="s">
        <v>17</v>
      </c>
      <c r="C31" s="24"/>
    </row>
    <row r="32" spans="1:3" ht="34" x14ac:dyDescent="0.6">
      <c r="A32" s="31"/>
      <c r="B32" s="36" t="s">
        <v>18</v>
      </c>
      <c r="C32" s="24"/>
    </row>
    <row r="33" spans="1:3" x14ac:dyDescent="0.6">
      <c r="A33" s="31" t="s">
        <v>5</v>
      </c>
      <c r="B33" s="32" t="s">
        <v>19</v>
      </c>
      <c r="C33" s="33">
        <v>0</v>
      </c>
    </row>
    <row r="34" spans="1:3" x14ac:dyDescent="0.6">
      <c r="A34" s="31" t="s">
        <v>20</v>
      </c>
      <c r="B34" s="32" t="s">
        <v>21</v>
      </c>
      <c r="C34" s="33">
        <v>0</v>
      </c>
    </row>
    <row r="35" spans="1:3" x14ac:dyDescent="0.6">
      <c r="A35" s="31"/>
      <c r="B35" s="32" t="s">
        <v>8</v>
      </c>
      <c r="C35" s="33">
        <f>SUM(C33:C34)</f>
        <v>0</v>
      </c>
    </row>
    <row r="36" spans="1:3" x14ac:dyDescent="0.6">
      <c r="A36" s="31"/>
      <c r="B36" s="32"/>
      <c r="C36" s="33"/>
    </row>
    <row r="37" spans="1:3" x14ac:dyDescent="0.6">
      <c r="A37" s="31">
        <v>9</v>
      </c>
      <c r="B37" s="32" t="s">
        <v>169</v>
      </c>
      <c r="C37" s="33">
        <v>0</v>
      </c>
    </row>
    <row r="38" spans="1:3" x14ac:dyDescent="0.6">
      <c r="A38" s="31"/>
      <c r="B38" s="32"/>
      <c r="C38" s="24"/>
    </row>
    <row r="39" spans="1:3" x14ac:dyDescent="0.6">
      <c r="A39" s="37"/>
      <c r="B39" s="38" t="s">
        <v>22</v>
      </c>
      <c r="C39" s="39">
        <f>C35+C28+C25+C20+C16+C23+C37+C12</f>
        <v>85</v>
      </c>
    </row>
    <row r="40" spans="1:3" x14ac:dyDescent="0.6">
      <c r="A40" s="40"/>
    </row>
    <row r="41" spans="1:3" x14ac:dyDescent="0.6">
      <c r="A41" s="40"/>
    </row>
    <row r="42" spans="1:3" x14ac:dyDescent="0.6">
      <c r="A42" s="40"/>
    </row>
  </sheetData>
  <pageMargins left="0.7" right="0.7" top="0.75" bottom="0.75" header="0.3" footer="0.3"/>
  <pageSetup scale="98" fitToWidth="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D81CD-D127-4212-A91B-7CC6FC2C782F}">
  <dimension ref="A1:D8"/>
  <sheetViews>
    <sheetView workbookViewId="0">
      <selection activeCell="C8" sqref="C8"/>
    </sheetView>
  </sheetViews>
  <sheetFormatPr defaultRowHeight="17" x14ac:dyDescent="0.6"/>
  <cols>
    <col min="1" max="1" width="8.7265625" style="4"/>
    <col min="2" max="2" width="22.08984375" style="4" customWidth="1"/>
    <col min="3" max="3" width="18.81640625" style="4" bestFit="1" customWidth="1"/>
    <col min="4" max="16384" width="8.7265625" style="4"/>
  </cols>
  <sheetData>
    <row r="1" spans="1:4" x14ac:dyDescent="0.6">
      <c r="A1" s="3" t="s">
        <v>23</v>
      </c>
    </row>
    <row r="3" spans="1:4" x14ac:dyDescent="0.6">
      <c r="A3" s="50" t="s">
        <v>24</v>
      </c>
      <c r="B3" s="51" t="s">
        <v>25</v>
      </c>
      <c r="C3" s="52" t="s">
        <v>4</v>
      </c>
    </row>
    <row r="4" spans="1:4" x14ac:dyDescent="0.6">
      <c r="A4" s="18">
        <v>1</v>
      </c>
      <c r="B4" s="20" t="s">
        <v>26</v>
      </c>
      <c r="C4" s="35">
        <f>C8*10%</f>
        <v>8.5</v>
      </c>
      <c r="D4" s="47"/>
    </row>
    <row r="5" spans="1:4" x14ac:dyDescent="0.6">
      <c r="A5" s="18">
        <v>2</v>
      </c>
      <c r="B5" s="20" t="s">
        <v>27</v>
      </c>
      <c r="C5" s="35">
        <v>0</v>
      </c>
      <c r="D5" s="48"/>
    </row>
    <row r="6" spans="1:4" x14ac:dyDescent="0.6">
      <c r="A6" s="18">
        <v>3</v>
      </c>
      <c r="B6" s="20" t="s">
        <v>28</v>
      </c>
      <c r="C6" s="33">
        <f>C8-C4-C7</f>
        <v>70.25</v>
      </c>
      <c r="D6" s="47"/>
    </row>
    <row r="7" spans="1:4" x14ac:dyDescent="0.6">
      <c r="A7" s="18">
        <v>4</v>
      </c>
      <c r="B7" s="20" t="s">
        <v>29</v>
      </c>
      <c r="C7" s="33">
        <f>'Ann 1'!C25</f>
        <v>6.25</v>
      </c>
    </row>
    <row r="8" spans="1:4" x14ac:dyDescent="0.6">
      <c r="A8" s="14"/>
      <c r="B8" s="15" t="s">
        <v>8</v>
      </c>
      <c r="C8" s="49">
        <f>'Ann 1'!C39</f>
        <v>85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B2858-CA67-4C56-BFC5-E2781F80B181}">
  <dimension ref="A1:G31"/>
  <sheetViews>
    <sheetView topLeftCell="A13" workbookViewId="0">
      <selection activeCell="A18" sqref="A18"/>
    </sheetView>
  </sheetViews>
  <sheetFormatPr defaultRowHeight="17" x14ac:dyDescent="0.6"/>
  <cols>
    <col min="1" max="1" width="3.6328125" style="4" customWidth="1"/>
    <col min="2" max="2" width="33.54296875" style="4" customWidth="1"/>
    <col min="3" max="3" width="8.7265625" style="4"/>
    <col min="4" max="4" width="12.7265625" style="4" bestFit="1" customWidth="1"/>
    <col min="5" max="5" width="8.7265625" style="4"/>
    <col min="6" max="6" width="10.54296875" style="4" customWidth="1"/>
    <col min="7" max="7" width="11.1796875" style="4" bestFit="1" customWidth="1"/>
    <col min="8" max="8" width="8.7265625" style="4"/>
    <col min="9" max="9" width="9.1796875" style="4" bestFit="1" customWidth="1"/>
    <col min="10" max="16384" width="8.7265625" style="4"/>
  </cols>
  <sheetData>
    <row r="1" spans="1:7" x14ac:dyDescent="0.6">
      <c r="A1" s="3" t="s">
        <v>30</v>
      </c>
    </row>
    <row r="3" spans="1:7" x14ac:dyDescent="0.6">
      <c r="A3" s="27" t="s">
        <v>233</v>
      </c>
      <c r="B3" s="28"/>
      <c r="C3" s="28"/>
      <c r="D3" s="28"/>
      <c r="E3" s="28" t="s">
        <v>31</v>
      </c>
      <c r="F3" s="28"/>
      <c r="G3" s="29" t="s">
        <v>32</v>
      </c>
    </row>
    <row r="4" spans="1:7" ht="34" x14ac:dyDescent="0.6">
      <c r="A4" s="30">
        <v>1</v>
      </c>
      <c r="B4" s="6" t="s">
        <v>289</v>
      </c>
      <c r="C4" s="7"/>
      <c r="D4" s="8"/>
      <c r="E4" s="8">
        <v>1</v>
      </c>
      <c r="F4" s="9"/>
      <c r="G4" s="10">
        <f>4000*400</f>
        <v>1600000</v>
      </c>
    </row>
    <row r="5" spans="1:7" x14ac:dyDescent="0.6">
      <c r="A5" s="11" t="s">
        <v>34</v>
      </c>
      <c r="B5" s="12"/>
      <c r="C5" s="12"/>
      <c r="D5" s="12"/>
      <c r="E5" s="12"/>
      <c r="F5" s="12"/>
      <c r="G5" s="13">
        <f>G4</f>
        <v>1600000</v>
      </c>
    </row>
    <row r="6" spans="1:7" x14ac:dyDescent="0.6">
      <c r="A6" s="14"/>
      <c r="B6" s="15"/>
      <c r="C6" s="15"/>
      <c r="D6" s="15"/>
      <c r="E6" s="15"/>
      <c r="F6" s="15"/>
      <c r="G6" s="16"/>
    </row>
    <row r="7" spans="1:7" x14ac:dyDescent="0.6">
      <c r="A7" s="27" t="s">
        <v>33</v>
      </c>
      <c r="B7" s="28"/>
      <c r="C7" s="28"/>
      <c r="D7" s="28"/>
      <c r="E7" s="28" t="s">
        <v>31</v>
      </c>
      <c r="F7" s="28"/>
      <c r="G7" s="29" t="s">
        <v>32</v>
      </c>
    </row>
    <row r="8" spans="1:7" x14ac:dyDescent="0.6">
      <c r="A8" s="20">
        <v>1</v>
      </c>
      <c r="B8" s="17" t="s">
        <v>239</v>
      </c>
      <c r="C8" s="20"/>
      <c r="D8" s="17"/>
      <c r="E8" s="17">
        <v>4</v>
      </c>
      <c r="F8" s="21"/>
      <c r="G8" s="22">
        <f>600000*E8</f>
        <v>2400000</v>
      </c>
    </row>
    <row r="9" spans="1:7" x14ac:dyDescent="0.6">
      <c r="A9" s="20">
        <v>2</v>
      </c>
      <c r="B9" s="17" t="s">
        <v>295</v>
      </c>
      <c r="C9" s="20"/>
      <c r="D9" s="17"/>
      <c r="E9" s="17">
        <v>1</v>
      </c>
      <c r="F9" s="21"/>
      <c r="G9" s="22">
        <f>2200000*E9</f>
        <v>2200000</v>
      </c>
    </row>
    <row r="10" spans="1:7" x14ac:dyDescent="0.6">
      <c r="A10" s="20">
        <v>3</v>
      </c>
      <c r="B10" s="19" t="s">
        <v>240</v>
      </c>
      <c r="C10" s="20"/>
      <c r="D10" s="17"/>
      <c r="E10" s="17">
        <v>1</v>
      </c>
      <c r="F10" s="21"/>
      <c r="G10" s="22">
        <v>110000</v>
      </c>
    </row>
    <row r="11" spans="1:7" x14ac:dyDescent="0.6">
      <c r="A11" s="20">
        <v>4</v>
      </c>
      <c r="B11" s="17" t="s">
        <v>241</v>
      </c>
      <c r="C11" s="20"/>
      <c r="D11" s="17"/>
      <c r="E11" s="17">
        <v>1</v>
      </c>
      <c r="F11" s="21"/>
      <c r="G11" s="22">
        <v>26000</v>
      </c>
    </row>
    <row r="12" spans="1:7" x14ac:dyDescent="0.6">
      <c r="A12" s="20">
        <v>5</v>
      </c>
      <c r="B12" s="17" t="s">
        <v>242</v>
      </c>
      <c r="C12" s="20"/>
      <c r="D12" s="17"/>
      <c r="E12" s="17">
        <v>1</v>
      </c>
      <c r="F12" s="21"/>
      <c r="G12" s="22">
        <v>30000</v>
      </c>
    </row>
    <row r="13" spans="1:7" x14ac:dyDescent="0.6">
      <c r="A13" s="20">
        <v>6</v>
      </c>
      <c r="B13" s="17" t="s">
        <v>243</v>
      </c>
      <c r="C13" s="20"/>
      <c r="D13" s="17"/>
      <c r="E13" s="17">
        <v>1</v>
      </c>
      <c r="F13" s="21"/>
      <c r="G13" s="22">
        <v>30000</v>
      </c>
    </row>
    <row r="14" spans="1:7" x14ac:dyDescent="0.6">
      <c r="A14" s="20">
        <v>7</v>
      </c>
      <c r="B14" s="17" t="s">
        <v>244</v>
      </c>
      <c r="C14" s="20"/>
      <c r="D14" s="17"/>
      <c r="E14" s="17">
        <v>1</v>
      </c>
      <c r="F14" s="21"/>
      <c r="G14" s="22">
        <v>30000</v>
      </c>
    </row>
    <row r="15" spans="1:7" x14ac:dyDescent="0.6">
      <c r="A15" s="20">
        <v>8</v>
      </c>
      <c r="B15" s="17" t="s">
        <v>245</v>
      </c>
      <c r="C15" s="20"/>
      <c r="D15" s="17"/>
      <c r="E15" s="17">
        <v>1</v>
      </c>
      <c r="F15" s="21"/>
      <c r="G15" s="22">
        <v>30000</v>
      </c>
    </row>
    <row r="16" spans="1:7" x14ac:dyDescent="0.6">
      <c r="A16" s="20">
        <v>9</v>
      </c>
      <c r="B16" s="17" t="s">
        <v>246</v>
      </c>
      <c r="C16" s="20"/>
      <c r="D16" s="17"/>
      <c r="E16" s="17">
        <v>1</v>
      </c>
      <c r="F16" s="21"/>
      <c r="G16" s="22">
        <v>12000</v>
      </c>
    </row>
    <row r="17" spans="1:7" x14ac:dyDescent="0.6">
      <c r="A17" s="20">
        <v>10</v>
      </c>
      <c r="B17" s="17" t="s">
        <v>247</v>
      </c>
      <c r="C17" s="20"/>
      <c r="D17" s="17"/>
      <c r="E17" s="17">
        <v>1</v>
      </c>
      <c r="F17" s="21"/>
      <c r="G17" s="22">
        <v>200000</v>
      </c>
    </row>
    <row r="18" spans="1:7" x14ac:dyDescent="0.6">
      <c r="A18" s="20">
        <v>11</v>
      </c>
      <c r="B18" s="17" t="s">
        <v>248</v>
      </c>
      <c r="C18" s="20"/>
      <c r="D18" s="17"/>
      <c r="E18" s="17">
        <v>5</v>
      </c>
      <c r="F18" s="21"/>
      <c r="G18" s="22">
        <f>150000*E18</f>
        <v>750000</v>
      </c>
    </row>
    <row r="19" spans="1:7" x14ac:dyDescent="0.6">
      <c r="A19" s="20">
        <v>12</v>
      </c>
      <c r="B19" s="17" t="s">
        <v>249</v>
      </c>
      <c r="C19" s="20"/>
      <c r="D19" s="17"/>
      <c r="E19" s="17">
        <v>1</v>
      </c>
      <c r="F19" s="21"/>
      <c r="G19" s="22">
        <v>80000</v>
      </c>
    </row>
    <row r="20" spans="1:7" x14ac:dyDescent="0.6">
      <c r="A20" s="20">
        <v>13</v>
      </c>
      <c r="B20" s="17" t="s">
        <v>250</v>
      </c>
      <c r="C20" s="20"/>
      <c r="D20" s="17"/>
      <c r="E20" s="17">
        <v>1</v>
      </c>
      <c r="F20" s="21"/>
      <c r="G20" s="22">
        <v>8000</v>
      </c>
    </row>
    <row r="21" spans="1:7" x14ac:dyDescent="0.6">
      <c r="A21" s="20">
        <v>14</v>
      </c>
      <c r="B21" s="17" t="s">
        <v>251</v>
      </c>
      <c r="C21" s="20"/>
      <c r="D21" s="17"/>
      <c r="E21" s="17">
        <v>1</v>
      </c>
      <c r="F21" s="21"/>
      <c r="G21" s="22">
        <v>90000</v>
      </c>
    </row>
    <row r="22" spans="1:7" x14ac:dyDescent="0.6">
      <c r="A22" s="20">
        <v>15</v>
      </c>
      <c r="B22" s="17" t="s">
        <v>252</v>
      </c>
      <c r="C22" s="20"/>
      <c r="D22" s="17"/>
      <c r="E22" s="17">
        <v>1</v>
      </c>
      <c r="F22" s="21"/>
      <c r="G22" s="22">
        <v>8000</v>
      </c>
    </row>
    <row r="23" spans="1:7" x14ac:dyDescent="0.6">
      <c r="A23" s="20">
        <v>16</v>
      </c>
      <c r="B23" s="17" t="s">
        <v>253</v>
      </c>
      <c r="C23" s="20"/>
      <c r="D23" s="17"/>
      <c r="E23" s="17">
        <v>1</v>
      </c>
      <c r="F23" s="21"/>
      <c r="G23" s="22">
        <v>5000</v>
      </c>
    </row>
    <row r="24" spans="1:7" x14ac:dyDescent="0.6">
      <c r="A24" s="20">
        <v>17</v>
      </c>
      <c r="B24" s="17" t="s">
        <v>254</v>
      </c>
      <c r="C24" s="20"/>
      <c r="D24" s="17"/>
      <c r="E24" s="17">
        <v>1</v>
      </c>
      <c r="F24" s="21"/>
      <c r="G24" s="22">
        <v>4000</v>
      </c>
    </row>
    <row r="25" spans="1:7" x14ac:dyDescent="0.6">
      <c r="A25" s="20">
        <v>18</v>
      </c>
      <c r="B25" s="17" t="s">
        <v>293</v>
      </c>
      <c r="C25" s="20"/>
      <c r="D25" s="17"/>
      <c r="E25" s="17">
        <v>2</v>
      </c>
      <c r="F25" s="21"/>
      <c r="G25" s="22">
        <f>120000*E25</f>
        <v>240000</v>
      </c>
    </row>
    <row r="26" spans="1:7" x14ac:dyDescent="0.6">
      <c r="A26" s="20">
        <v>19</v>
      </c>
      <c r="B26" s="17" t="s">
        <v>255</v>
      </c>
      <c r="C26" s="20"/>
      <c r="D26" s="17"/>
      <c r="E26" s="17">
        <v>1</v>
      </c>
      <c r="F26" s="21"/>
      <c r="G26" s="22">
        <v>22000</v>
      </c>
    </row>
    <row r="27" spans="1:7" s="3" customFormat="1" x14ac:dyDescent="0.6">
      <c r="A27" s="11" t="s">
        <v>34</v>
      </c>
      <c r="B27" s="12"/>
      <c r="C27" s="12"/>
      <c r="D27" s="12"/>
      <c r="E27" s="12"/>
      <c r="F27" s="12"/>
      <c r="G27" s="13">
        <f>SUM(G8:G26)</f>
        <v>6275000</v>
      </c>
    </row>
    <row r="28" spans="1:7" x14ac:dyDescent="0.6">
      <c r="A28" s="18"/>
      <c r="B28" s="20"/>
      <c r="C28" s="20"/>
      <c r="D28" s="20"/>
      <c r="E28" s="20"/>
      <c r="F28" s="20"/>
      <c r="G28" s="24"/>
    </row>
    <row r="29" spans="1:7" s="3" customFormat="1" x14ac:dyDescent="0.6">
      <c r="A29" s="11" t="s">
        <v>35</v>
      </c>
      <c r="B29" s="12"/>
      <c r="C29" s="12"/>
      <c r="D29" s="12"/>
      <c r="E29" s="12"/>
      <c r="F29" s="12"/>
      <c r="G29" s="13">
        <f>G27+G5</f>
        <v>7875000</v>
      </c>
    </row>
    <row r="30" spans="1:7" x14ac:dyDescent="0.6">
      <c r="G30" s="25"/>
    </row>
    <row r="31" spans="1:7" x14ac:dyDescent="0.6">
      <c r="G31" s="2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B6FA6-76E6-4673-8AD3-A2A7C9EA52B0}">
  <sheetPr>
    <pageSetUpPr fitToPage="1"/>
  </sheetPr>
  <dimension ref="A1:K40"/>
  <sheetViews>
    <sheetView topLeftCell="A3" workbookViewId="0">
      <selection activeCell="C10" sqref="C10"/>
    </sheetView>
  </sheetViews>
  <sheetFormatPr defaultRowHeight="17" x14ac:dyDescent="0.6"/>
  <cols>
    <col min="1" max="1" width="8.7265625" style="4"/>
    <col min="2" max="2" width="55.7265625" style="4" bestFit="1" customWidth="1"/>
    <col min="3" max="11" width="15.6328125" style="4" bestFit="1" customWidth="1"/>
    <col min="12" max="16384" width="8.7265625" style="4"/>
  </cols>
  <sheetData>
    <row r="1" spans="1:11" x14ac:dyDescent="0.6">
      <c r="A1" s="3" t="s">
        <v>36</v>
      </c>
    </row>
    <row r="3" spans="1:11" x14ac:dyDescent="0.6">
      <c r="A3" s="125" t="s">
        <v>37</v>
      </c>
      <c r="B3" s="125" t="s">
        <v>38</v>
      </c>
      <c r="C3" s="124" t="s">
        <v>48</v>
      </c>
      <c r="D3" s="124"/>
      <c r="E3" s="124"/>
      <c r="F3" s="124"/>
      <c r="G3" s="124"/>
      <c r="H3" s="124"/>
      <c r="I3" s="124"/>
      <c r="J3" s="124"/>
      <c r="K3" s="124"/>
    </row>
    <row r="4" spans="1:11" x14ac:dyDescent="0.6">
      <c r="A4" s="125"/>
      <c r="B4" s="125"/>
      <c r="C4" s="56" t="s">
        <v>39</v>
      </c>
      <c r="D4" s="56" t="s">
        <v>40</v>
      </c>
      <c r="E4" s="56" t="s">
        <v>41</v>
      </c>
      <c r="F4" s="56" t="s">
        <v>42</v>
      </c>
      <c r="G4" s="56" t="s">
        <v>43</v>
      </c>
      <c r="H4" s="56" t="s">
        <v>44</v>
      </c>
      <c r="I4" s="56" t="s">
        <v>45</v>
      </c>
      <c r="J4" s="56" t="s">
        <v>46</v>
      </c>
      <c r="K4" s="56" t="s">
        <v>47</v>
      </c>
    </row>
    <row r="5" spans="1:11" x14ac:dyDescent="0.6">
      <c r="A5" s="44"/>
      <c r="B5" s="44" t="s">
        <v>49</v>
      </c>
      <c r="C5" s="44">
        <v>12</v>
      </c>
      <c r="D5" s="44">
        <v>12</v>
      </c>
      <c r="E5" s="44">
        <v>12</v>
      </c>
      <c r="F5" s="44">
        <v>12</v>
      </c>
      <c r="G5" s="44">
        <v>12</v>
      </c>
      <c r="H5" s="44">
        <v>12</v>
      </c>
      <c r="I5" s="44">
        <v>12</v>
      </c>
      <c r="J5" s="44">
        <v>12</v>
      </c>
      <c r="K5" s="44">
        <v>12</v>
      </c>
    </row>
    <row r="6" spans="1:11" x14ac:dyDescent="0.6">
      <c r="A6" s="44"/>
      <c r="B6" s="44"/>
      <c r="C6" s="44"/>
      <c r="D6" s="44"/>
      <c r="E6" s="44"/>
      <c r="F6" s="44"/>
      <c r="G6" s="44"/>
      <c r="H6" s="44"/>
      <c r="I6" s="44"/>
      <c r="J6" s="44"/>
      <c r="K6" s="44"/>
    </row>
    <row r="7" spans="1:11" x14ac:dyDescent="0.6">
      <c r="A7" s="44"/>
      <c r="B7" s="44" t="s">
        <v>176</v>
      </c>
      <c r="C7" s="53">
        <f>90000+C39</f>
        <v>390000</v>
      </c>
      <c r="D7" s="53">
        <f t="shared" ref="D7:K7" si="0">90000+D39</f>
        <v>405000</v>
      </c>
      <c r="E7" s="53">
        <f t="shared" si="0"/>
        <v>420750</v>
      </c>
      <c r="F7" s="53">
        <f t="shared" si="0"/>
        <v>437287.5</v>
      </c>
      <c r="G7" s="53">
        <f t="shared" si="0"/>
        <v>454651.875</v>
      </c>
      <c r="H7" s="53">
        <f t="shared" si="0"/>
        <v>472884.46875</v>
      </c>
      <c r="I7" s="53">
        <f t="shared" si="0"/>
        <v>492028.69218749995</v>
      </c>
      <c r="J7" s="53">
        <f t="shared" si="0"/>
        <v>492028.69218749995</v>
      </c>
      <c r="K7" s="53">
        <f t="shared" si="0"/>
        <v>492028.69218749995</v>
      </c>
    </row>
    <row r="8" spans="1:11" x14ac:dyDescent="0.6">
      <c r="A8" s="44"/>
      <c r="B8" s="44" t="s">
        <v>261</v>
      </c>
      <c r="C8" s="53">
        <f>'Ann 6'!$B$21*70%</f>
        <v>5267500</v>
      </c>
      <c r="D8" s="53">
        <f>'Ann 6'!$B$21*75%</f>
        <v>5643750</v>
      </c>
      <c r="E8" s="53">
        <f>'Ann 6'!$B$21*80%</f>
        <v>6020000</v>
      </c>
      <c r="F8" s="53">
        <f>'Ann 6'!$B$21*85%</f>
        <v>6396250</v>
      </c>
      <c r="G8" s="53">
        <f>'Ann 6'!$B$21*90%</f>
        <v>6772500</v>
      </c>
      <c r="H8" s="53">
        <f>'Ann 6'!$B$21*95%</f>
        <v>7148750</v>
      </c>
      <c r="I8" s="53">
        <f>'Ann 6'!$B$21</f>
        <v>7525000</v>
      </c>
      <c r="J8" s="53">
        <f>'Ann 6'!$B$21</f>
        <v>7525000</v>
      </c>
      <c r="K8" s="53">
        <f>'Ann 6'!$B$21</f>
        <v>7525000</v>
      </c>
    </row>
    <row r="9" spans="1:11" x14ac:dyDescent="0.6">
      <c r="A9" s="44"/>
      <c r="B9" s="44" t="s">
        <v>260</v>
      </c>
      <c r="C9" s="53">
        <f>2%*'Ann 3'!G27</f>
        <v>125500</v>
      </c>
      <c r="D9" s="53">
        <f>C9*1.02</f>
        <v>128010</v>
      </c>
      <c r="E9" s="53">
        <f t="shared" ref="E9:K9" si="1">D9*1.02</f>
        <v>130570.2</v>
      </c>
      <c r="F9" s="53">
        <f t="shared" si="1"/>
        <v>133181.60399999999</v>
      </c>
      <c r="G9" s="53">
        <f t="shared" si="1"/>
        <v>135845.23608</v>
      </c>
      <c r="H9" s="53">
        <f t="shared" si="1"/>
        <v>138562.14080160001</v>
      </c>
      <c r="I9" s="53">
        <f t="shared" si="1"/>
        <v>141333.383617632</v>
      </c>
      <c r="J9" s="53">
        <f t="shared" si="1"/>
        <v>144160.05128998464</v>
      </c>
      <c r="K9" s="53">
        <f t="shared" si="1"/>
        <v>147043.25231578434</v>
      </c>
    </row>
    <row r="10" spans="1:11" x14ac:dyDescent="0.6">
      <c r="A10" s="44"/>
      <c r="B10" s="44" t="s">
        <v>294</v>
      </c>
      <c r="C10" s="53">
        <f>C19*2%</f>
        <v>215250</v>
      </c>
      <c r="D10" s="53">
        <f t="shared" ref="D10:K10" si="2">D19*2%</f>
        <v>251437.5</v>
      </c>
      <c r="E10" s="53">
        <f t="shared" si="2"/>
        <v>268200</v>
      </c>
      <c r="F10" s="53">
        <f t="shared" si="2"/>
        <v>284962.50000000006</v>
      </c>
      <c r="G10" s="53">
        <f t="shared" si="2"/>
        <v>301725.00000000006</v>
      </c>
      <c r="H10" s="53">
        <f t="shared" si="2"/>
        <v>318487.50000000006</v>
      </c>
      <c r="I10" s="53">
        <f t="shared" si="2"/>
        <v>335250.00000000006</v>
      </c>
      <c r="J10" s="53">
        <f t="shared" si="2"/>
        <v>335250.00000000006</v>
      </c>
      <c r="K10" s="53">
        <f t="shared" si="2"/>
        <v>335250.00000000006</v>
      </c>
    </row>
    <row r="11" spans="1:11" x14ac:dyDescent="0.6">
      <c r="A11" s="44"/>
      <c r="B11" s="44" t="s">
        <v>178</v>
      </c>
      <c r="C11" s="53">
        <f t="shared" ref="C11:K11" si="3">SUM(C7:C10)</f>
        <v>5998250</v>
      </c>
      <c r="D11" s="53">
        <f t="shared" si="3"/>
        <v>6428197.5</v>
      </c>
      <c r="E11" s="53">
        <f t="shared" si="3"/>
        <v>6839520.2000000002</v>
      </c>
      <c r="F11" s="53">
        <f t="shared" si="3"/>
        <v>7251681.6040000003</v>
      </c>
      <c r="G11" s="53">
        <f t="shared" si="3"/>
        <v>7664722.1110800002</v>
      </c>
      <c r="H11" s="53">
        <f t="shared" si="3"/>
        <v>8078684.1095516002</v>
      </c>
      <c r="I11" s="53">
        <f t="shared" si="3"/>
        <v>8493612.0758051332</v>
      </c>
      <c r="J11" s="53">
        <f t="shared" si="3"/>
        <v>8496438.7434774861</v>
      </c>
      <c r="K11" s="53">
        <f t="shared" si="3"/>
        <v>8499321.944503285</v>
      </c>
    </row>
    <row r="12" spans="1:11" x14ac:dyDescent="0.6">
      <c r="A12" s="44"/>
      <c r="B12" s="44" t="s">
        <v>179</v>
      </c>
      <c r="C12" s="53">
        <f>SUM(C11)</f>
        <v>5998250</v>
      </c>
      <c r="D12" s="53">
        <f t="shared" ref="D12:K12" si="4">SUM(D11)</f>
        <v>6428197.5</v>
      </c>
      <c r="E12" s="53">
        <f t="shared" si="4"/>
        <v>6839520.2000000002</v>
      </c>
      <c r="F12" s="53">
        <f t="shared" si="4"/>
        <v>7251681.6040000003</v>
      </c>
      <c r="G12" s="53">
        <f t="shared" si="4"/>
        <v>7664722.1110800002</v>
      </c>
      <c r="H12" s="53">
        <f t="shared" si="4"/>
        <v>8078684.1095516002</v>
      </c>
      <c r="I12" s="53">
        <f t="shared" si="4"/>
        <v>8493612.0758051332</v>
      </c>
      <c r="J12" s="53">
        <f t="shared" si="4"/>
        <v>8496438.7434774861</v>
      </c>
      <c r="K12" s="53">
        <f t="shared" si="4"/>
        <v>8499321.944503285</v>
      </c>
    </row>
    <row r="13" spans="1:11" x14ac:dyDescent="0.6">
      <c r="A13" s="44"/>
      <c r="B13" s="44"/>
      <c r="C13" s="53"/>
      <c r="D13" s="53"/>
      <c r="E13" s="53"/>
      <c r="F13" s="53"/>
      <c r="G13" s="53"/>
      <c r="H13" s="53"/>
      <c r="I13" s="53"/>
      <c r="J13" s="53"/>
      <c r="K13" s="53"/>
    </row>
    <row r="14" spans="1:11" x14ac:dyDescent="0.6">
      <c r="A14" s="44"/>
      <c r="B14" s="44" t="s">
        <v>51</v>
      </c>
      <c r="C14" s="53">
        <f>'Ann 8'!E13</f>
        <v>2456400</v>
      </c>
      <c r="D14" s="53">
        <f>1.06*C14</f>
        <v>2603784</v>
      </c>
      <c r="E14" s="53">
        <f t="shared" ref="E14:K14" si="5">1.06*D14</f>
        <v>2760011.04</v>
      </c>
      <c r="F14" s="53">
        <f t="shared" si="5"/>
        <v>2925611.7024000003</v>
      </c>
      <c r="G14" s="53">
        <f t="shared" si="5"/>
        <v>3101148.4045440005</v>
      </c>
      <c r="H14" s="53">
        <f t="shared" si="5"/>
        <v>3287217.3088166406</v>
      </c>
      <c r="I14" s="53">
        <f t="shared" si="5"/>
        <v>3484450.347345639</v>
      </c>
      <c r="J14" s="53">
        <f t="shared" si="5"/>
        <v>3693517.3681863775</v>
      </c>
      <c r="K14" s="53">
        <f t="shared" si="5"/>
        <v>3915128.4102775604</v>
      </c>
    </row>
    <row r="15" spans="1:11" x14ac:dyDescent="0.6">
      <c r="A15" s="44"/>
      <c r="B15" s="44" t="s">
        <v>236</v>
      </c>
      <c r="C15" s="53">
        <f>100000+(C19*1%)</f>
        <v>207625</v>
      </c>
      <c r="D15" s="53">
        <f t="shared" ref="D15:K15" si="6">100000+(D19*1%)</f>
        <v>225718.75</v>
      </c>
      <c r="E15" s="53">
        <f t="shared" si="6"/>
        <v>234100</v>
      </c>
      <c r="F15" s="53">
        <f t="shared" si="6"/>
        <v>242481.25000000003</v>
      </c>
      <c r="G15" s="53">
        <f t="shared" si="6"/>
        <v>250862.50000000003</v>
      </c>
      <c r="H15" s="53">
        <f t="shared" si="6"/>
        <v>259243.75000000003</v>
      </c>
      <c r="I15" s="53">
        <f t="shared" si="6"/>
        <v>267625</v>
      </c>
      <c r="J15" s="53">
        <f t="shared" si="6"/>
        <v>267625</v>
      </c>
      <c r="K15" s="53">
        <f t="shared" si="6"/>
        <v>267625</v>
      </c>
    </row>
    <row r="16" spans="1:11" x14ac:dyDescent="0.6">
      <c r="A16" s="44"/>
      <c r="B16" s="44" t="s">
        <v>8</v>
      </c>
      <c r="C16" s="53">
        <f t="shared" ref="C16:K16" si="7">SUM(C14:C15)</f>
        <v>2664025</v>
      </c>
      <c r="D16" s="53">
        <f t="shared" si="7"/>
        <v>2829502.75</v>
      </c>
      <c r="E16" s="53">
        <f t="shared" si="7"/>
        <v>2994111.04</v>
      </c>
      <c r="F16" s="53">
        <f t="shared" si="7"/>
        <v>3168092.9524000003</v>
      </c>
      <c r="G16" s="53">
        <f t="shared" si="7"/>
        <v>3352010.9045440005</v>
      </c>
      <c r="H16" s="53">
        <f t="shared" si="7"/>
        <v>3546461.0588166406</v>
      </c>
      <c r="I16" s="53">
        <f t="shared" si="7"/>
        <v>3752075.347345639</v>
      </c>
      <c r="J16" s="53">
        <f t="shared" si="7"/>
        <v>3961142.3681863775</v>
      </c>
      <c r="K16" s="53">
        <f t="shared" si="7"/>
        <v>4182753.4102775604</v>
      </c>
    </row>
    <row r="17" spans="1:11" x14ac:dyDescent="0.6">
      <c r="A17" s="44"/>
      <c r="B17" s="44"/>
      <c r="C17" s="53"/>
      <c r="D17" s="53"/>
      <c r="E17" s="53"/>
      <c r="F17" s="53"/>
      <c r="G17" s="53"/>
      <c r="H17" s="53"/>
      <c r="I17" s="53"/>
      <c r="J17" s="53"/>
      <c r="K17" s="53"/>
    </row>
    <row r="18" spans="1:11" x14ac:dyDescent="0.6">
      <c r="A18" s="44"/>
      <c r="B18" s="44" t="s">
        <v>90</v>
      </c>
      <c r="C18" s="53">
        <f t="shared" ref="C18:K18" si="8">C16+C12</f>
        <v>8662275</v>
      </c>
      <c r="D18" s="53">
        <f t="shared" si="8"/>
        <v>9257700.25</v>
      </c>
      <c r="E18" s="53">
        <f t="shared" si="8"/>
        <v>9833631.2400000002</v>
      </c>
      <c r="F18" s="53">
        <f t="shared" si="8"/>
        <v>10419774.556400001</v>
      </c>
      <c r="G18" s="53">
        <f t="shared" si="8"/>
        <v>11016733.015624002</v>
      </c>
      <c r="H18" s="53">
        <f t="shared" si="8"/>
        <v>11625145.168368241</v>
      </c>
      <c r="I18" s="53">
        <f t="shared" si="8"/>
        <v>12245687.423150772</v>
      </c>
      <c r="J18" s="53">
        <f t="shared" si="8"/>
        <v>12457581.111663863</v>
      </c>
      <c r="K18" s="53">
        <f t="shared" si="8"/>
        <v>12682075.354780845</v>
      </c>
    </row>
    <row r="19" spans="1:11" x14ac:dyDescent="0.6">
      <c r="A19" s="44"/>
      <c r="B19" s="44" t="s">
        <v>91</v>
      </c>
      <c r="C19" s="53">
        <f>Budgets!B8</f>
        <v>10762500</v>
      </c>
      <c r="D19" s="53">
        <f>Budgets!C8</f>
        <v>12571875</v>
      </c>
      <c r="E19" s="53">
        <f>Budgets!D8</f>
        <v>13410000</v>
      </c>
      <c r="F19" s="53">
        <f>Budgets!E8</f>
        <v>14248125.000000002</v>
      </c>
      <c r="G19" s="53">
        <f>Budgets!F8</f>
        <v>15086250.000000002</v>
      </c>
      <c r="H19" s="53">
        <f>Budgets!G8</f>
        <v>15924375.000000002</v>
      </c>
      <c r="I19" s="53">
        <f>Budgets!H8</f>
        <v>16762500.000000002</v>
      </c>
      <c r="J19" s="53">
        <f>Budgets!I8</f>
        <v>16762500.000000002</v>
      </c>
      <c r="K19" s="53">
        <f>Budgets!J8</f>
        <v>16762500.000000002</v>
      </c>
    </row>
    <row r="20" spans="1:11" x14ac:dyDescent="0.6">
      <c r="A20" s="44"/>
      <c r="B20" s="44" t="s">
        <v>92</v>
      </c>
      <c r="C20" s="53">
        <f>C19-C18</f>
        <v>2100225</v>
      </c>
      <c r="D20" s="53">
        <f t="shared" ref="D20:K20" si="9">D19-D18</f>
        <v>3314174.75</v>
      </c>
      <c r="E20" s="53">
        <f t="shared" si="9"/>
        <v>3576368.76</v>
      </c>
      <c r="F20" s="53">
        <f t="shared" si="9"/>
        <v>3828350.4436000008</v>
      </c>
      <c r="G20" s="53">
        <f t="shared" si="9"/>
        <v>4069516.9843760002</v>
      </c>
      <c r="H20" s="53">
        <f t="shared" si="9"/>
        <v>4299229.831631761</v>
      </c>
      <c r="I20" s="53">
        <f t="shared" si="9"/>
        <v>4516812.5768492296</v>
      </c>
      <c r="J20" s="53">
        <f t="shared" si="9"/>
        <v>4304918.8883361388</v>
      </c>
      <c r="K20" s="53">
        <f t="shared" si="9"/>
        <v>4080424.6452191565</v>
      </c>
    </row>
    <row r="21" spans="1:11" x14ac:dyDescent="0.6">
      <c r="A21" s="44"/>
      <c r="B21" s="44"/>
      <c r="C21" s="53"/>
      <c r="D21" s="53"/>
      <c r="E21" s="53"/>
      <c r="F21" s="53"/>
      <c r="G21" s="53"/>
      <c r="H21" s="53"/>
      <c r="I21" s="53"/>
      <c r="J21" s="53"/>
      <c r="K21" s="53"/>
    </row>
    <row r="22" spans="1:11" x14ac:dyDescent="0.6">
      <c r="A22" s="44"/>
      <c r="B22" s="44" t="s">
        <v>93</v>
      </c>
      <c r="C22" s="53"/>
      <c r="D22" s="53"/>
      <c r="E22" s="53"/>
      <c r="F22" s="53"/>
      <c r="G22" s="53"/>
      <c r="H22" s="53"/>
      <c r="I22" s="53"/>
      <c r="J22" s="53"/>
      <c r="K22" s="53"/>
    </row>
    <row r="23" spans="1:11" x14ac:dyDescent="0.6">
      <c r="A23" s="44"/>
      <c r="B23" s="44" t="s">
        <v>94</v>
      </c>
      <c r="C23" s="53">
        <f>SUM('Ann 13'!E9:E12)*100000</f>
        <v>417447.11538461543</v>
      </c>
      <c r="D23" s="53">
        <f>SUM('Ann 13'!E13:E16)*100000</f>
        <v>364759.61538461526</v>
      </c>
      <c r="E23" s="53">
        <f>SUM('Ann 13'!E17:E20)*100000</f>
        <v>299913.46153846139</v>
      </c>
      <c r="F23" s="53">
        <f>SUM('Ann 13'!E21:E24)*100000</f>
        <v>235067.30769230745</v>
      </c>
      <c r="G23" s="53">
        <f>SUM('Ann 13'!E25:E28)*100000</f>
        <v>170221.15384615358</v>
      </c>
      <c r="H23" s="53">
        <f>SUM('Ann 13'!E29:E32)*100000</f>
        <v>105374.99999999972</v>
      </c>
      <c r="I23" s="53">
        <f>SUM('Ann 13'!E33:E36)*100000</f>
        <v>40528.846153845894</v>
      </c>
      <c r="J23" s="53">
        <v>0</v>
      </c>
      <c r="K23" s="53">
        <v>0</v>
      </c>
    </row>
    <row r="24" spans="1:11" x14ac:dyDescent="0.6">
      <c r="A24" s="44"/>
      <c r="B24" s="44" t="s">
        <v>168</v>
      </c>
      <c r="C24" s="53">
        <f>10%*100000*'Ann 1'!$C$25</f>
        <v>62500</v>
      </c>
      <c r="D24" s="53">
        <f>10%*100000*'Ann 1'!$C$25</f>
        <v>62500</v>
      </c>
      <c r="E24" s="53">
        <f>10%*100000*'Ann 1'!$C$25</f>
        <v>62500</v>
      </c>
      <c r="F24" s="53">
        <f>10%*100000*'Ann 1'!$C$25</f>
        <v>62500</v>
      </c>
      <c r="G24" s="53">
        <f>10%*100000*'Ann 1'!$C$25</f>
        <v>62500</v>
      </c>
      <c r="H24" s="53">
        <f>10%*100000*'Ann 1'!$C$25</f>
        <v>62500</v>
      </c>
      <c r="I24" s="53">
        <f>10%*100000*'Ann 1'!$C$25</f>
        <v>62500</v>
      </c>
      <c r="J24" s="53">
        <f>10%*100000*'Ann 1'!$C$25</f>
        <v>62500</v>
      </c>
      <c r="K24" s="53">
        <f>10%*100000*'Ann 1'!$C$25</f>
        <v>62500</v>
      </c>
    </row>
    <row r="25" spans="1:11" x14ac:dyDescent="0.6">
      <c r="A25" s="44"/>
      <c r="B25" s="54" t="s">
        <v>104</v>
      </c>
      <c r="C25" s="53">
        <f>SUM(C23:C24)</f>
        <v>479947.11538461543</v>
      </c>
      <c r="D25" s="53">
        <f t="shared" ref="D25:K25" si="10">SUM(D23:D24)</f>
        <v>427259.61538461526</v>
      </c>
      <c r="E25" s="53">
        <f t="shared" si="10"/>
        <v>362413.46153846139</v>
      </c>
      <c r="F25" s="53">
        <f t="shared" si="10"/>
        <v>297567.30769230745</v>
      </c>
      <c r="G25" s="53">
        <f t="shared" si="10"/>
        <v>232721.15384615358</v>
      </c>
      <c r="H25" s="53">
        <f t="shared" si="10"/>
        <v>167874.99999999971</v>
      </c>
      <c r="I25" s="53">
        <f t="shared" si="10"/>
        <v>103028.84615384589</v>
      </c>
      <c r="J25" s="53">
        <f t="shared" si="10"/>
        <v>62500</v>
      </c>
      <c r="K25" s="53">
        <f t="shared" si="10"/>
        <v>62500</v>
      </c>
    </row>
    <row r="26" spans="1:11" x14ac:dyDescent="0.6">
      <c r="A26" s="44"/>
      <c r="B26" s="44"/>
      <c r="C26" s="53"/>
      <c r="D26" s="53"/>
      <c r="E26" s="53"/>
      <c r="F26" s="53"/>
      <c r="G26" s="53"/>
      <c r="H26" s="53"/>
      <c r="I26" s="53"/>
      <c r="J26" s="53"/>
      <c r="K26" s="53"/>
    </row>
    <row r="27" spans="1:11" x14ac:dyDescent="0.6">
      <c r="A27" s="44"/>
      <c r="B27" s="44" t="s">
        <v>105</v>
      </c>
      <c r="C27" s="53">
        <f t="shared" ref="C27:K27" si="11">C20-C25</f>
        <v>1620277.8846153845</v>
      </c>
      <c r="D27" s="53">
        <f t="shared" si="11"/>
        <v>2886915.134615385</v>
      </c>
      <c r="E27" s="53">
        <f t="shared" si="11"/>
        <v>3213955.2984615383</v>
      </c>
      <c r="F27" s="53">
        <f t="shared" si="11"/>
        <v>3530783.1359076933</v>
      </c>
      <c r="G27" s="53">
        <f t="shared" si="11"/>
        <v>3836795.8305298467</v>
      </c>
      <c r="H27" s="53">
        <f t="shared" si="11"/>
        <v>4131354.8316317615</v>
      </c>
      <c r="I27" s="53">
        <f t="shared" si="11"/>
        <v>4413783.7306953836</v>
      </c>
      <c r="J27" s="53">
        <f t="shared" si="11"/>
        <v>4242418.8883361388</v>
      </c>
      <c r="K27" s="53">
        <f t="shared" si="11"/>
        <v>4017924.6452191565</v>
      </c>
    </row>
    <row r="28" spans="1:11" x14ac:dyDescent="0.6">
      <c r="A28" s="44"/>
      <c r="B28" s="44" t="s">
        <v>182</v>
      </c>
      <c r="C28" s="53">
        <f>'Ann 1'!C35*100000</f>
        <v>0</v>
      </c>
      <c r="D28" s="53">
        <v>0</v>
      </c>
      <c r="E28" s="53">
        <v>0</v>
      </c>
      <c r="F28" s="53">
        <v>0</v>
      </c>
      <c r="G28" s="53">
        <v>0</v>
      </c>
      <c r="H28" s="53">
        <v>0</v>
      </c>
      <c r="I28" s="53">
        <v>0</v>
      </c>
      <c r="J28" s="53">
        <v>0</v>
      </c>
      <c r="K28" s="53">
        <v>0</v>
      </c>
    </row>
    <row r="29" spans="1:11" x14ac:dyDescent="0.6">
      <c r="A29" s="44"/>
      <c r="B29" s="54" t="s">
        <v>106</v>
      </c>
      <c r="C29" s="53">
        <f>'Ann 9'!C12+'Ann 9'!D12+'Ann 9'!E12</f>
        <v>1101250</v>
      </c>
      <c r="D29" s="53">
        <f>'Ann 9'!C13+'Ann 9'!D13+'Ann 9'!E13</f>
        <v>944062.5</v>
      </c>
      <c r="E29" s="53">
        <f>'Ann 9'!C14+'Ann 9'!D14+'Ann 9'!E14</f>
        <v>809653.125</v>
      </c>
      <c r="F29" s="53">
        <f>'Ann 9'!C15+'Ann 9'!D15+'Ann 9'!E15</f>
        <v>694685.15625</v>
      </c>
      <c r="G29" s="53">
        <f>'Ann 9'!C16+'Ann 9'!D16+'Ann 9'!E16</f>
        <v>596314.3828125</v>
      </c>
      <c r="H29" s="53">
        <f>'Ann 9'!C17+'Ann 9'!D17+'Ann 9'!E17</f>
        <v>512116.025390625</v>
      </c>
      <c r="I29" s="53">
        <f>'Ann 9'!C18+'Ann 9'!D18+'Ann 9'!E18</f>
        <v>440022.54158203123</v>
      </c>
      <c r="J29" s="53">
        <f>'Ann 9'!C19+'Ann 9'!D19+'Ann 9'!E19</f>
        <v>378270.68834472657</v>
      </c>
      <c r="K29" s="53">
        <f>'Ann 9'!C20+'Ann 9'!D20+'Ann 9'!E20</f>
        <v>325356.46029301756</v>
      </c>
    </row>
    <row r="30" spans="1:11" x14ac:dyDescent="0.6">
      <c r="A30" s="44"/>
      <c r="B30" s="54" t="s">
        <v>107</v>
      </c>
      <c r="C30" s="53">
        <f>C27-C29-C28</f>
        <v>519027.88461538451</v>
      </c>
      <c r="D30" s="53">
        <f t="shared" ref="D30:K30" si="12">D27-D29-D28</f>
        <v>1942852.634615385</v>
      </c>
      <c r="E30" s="53">
        <f t="shared" si="12"/>
        <v>2404302.1734615383</v>
      </c>
      <c r="F30" s="53">
        <f t="shared" si="12"/>
        <v>2836097.9796576933</v>
      </c>
      <c r="G30" s="53">
        <f t="shared" si="12"/>
        <v>3240481.4477173467</v>
      </c>
      <c r="H30" s="53">
        <f t="shared" si="12"/>
        <v>3619238.8062411365</v>
      </c>
      <c r="I30" s="53">
        <f t="shared" si="12"/>
        <v>3973761.1891133524</v>
      </c>
      <c r="J30" s="53">
        <f t="shared" si="12"/>
        <v>3864148.1999914125</v>
      </c>
      <c r="K30" s="53">
        <f t="shared" si="12"/>
        <v>3692568.1849261392</v>
      </c>
    </row>
    <row r="31" spans="1:11" x14ac:dyDescent="0.6">
      <c r="A31" s="44"/>
      <c r="B31" s="54" t="s">
        <v>108</v>
      </c>
      <c r="C31" s="53">
        <f>'Ann 10'!B14</f>
        <v>155708.36538461535</v>
      </c>
      <c r="D31" s="53">
        <f>'Ann 10'!C14</f>
        <v>582855.79038461542</v>
      </c>
      <c r="E31" s="53">
        <f>'Ann 10'!D14</f>
        <v>721290.65203846141</v>
      </c>
      <c r="F31" s="53">
        <f>'Ann 10'!E14</f>
        <v>850829.39389730792</v>
      </c>
      <c r="G31" s="53">
        <f>'Ann 10'!F14</f>
        <v>972144.43431520392</v>
      </c>
      <c r="H31" s="53">
        <f>'Ann 10'!G14</f>
        <v>1085771.6418723408</v>
      </c>
      <c r="I31" s="53">
        <f>'Ann 10'!H14</f>
        <v>1192128.3567340057</v>
      </c>
      <c r="J31" s="53">
        <f>'Ann 10'!I14</f>
        <v>1159244.4599974237</v>
      </c>
      <c r="K31" s="53">
        <f>'Ann 10'!J14</f>
        <v>1107770.4554778417</v>
      </c>
    </row>
    <row r="32" spans="1:11" x14ac:dyDescent="0.6">
      <c r="A32" s="44"/>
      <c r="B32" s="54" t="s">
        <v>109</v>
      </c>
      <c r="C32" s="53">
        <f>C30-C31</f>
        <v>363319.51923076913</v>
      </c>
      <c r="D32" s="53">
        <f>D30-D31</f>
        <v>1359996.8442307697</v>
      </c>
      <c r="E32" s="53">
        <f t="shared" ref="E32:K32" si="13">E30-E31</f>
        <v>1683011.5214230767</v>
      </c>
      <c r="F32" s="53">
        <f t="shared" si="13"/>
        <v>1985268.5857603853</v>
      </c>
      <c r="G32" s="53">
        <f t="shared" si="13"/>
        <v>2268337.0134021426</v>
      </c>
      <c r="H32" s="53">
        <f t="shared" si="13"/>
        <v>2533467.1643687957</v>
      </c>
      <c r="I32" s="53">
        <f t="shared" si="13"/>
        <v>2781632.8323793467</v>
      </c>
      <c r="J32" s="53">
        <f t="shared" si="13"/>
        <v>2704903.7399939885</v>
      </c>
      <c r="K32" s="53">
        <f t="shared" si="13"/>
        <v>2584797.7294482975</v>
      </c>
    </row>
    <row r="33" spans="1:11" x14ac:dyDescent="0.6">
      <c r="A33" s="44"/>
      <c r="B33" s="54" t="s">
        <v>277</v>
      </c>
      <c r="C33" s="53">
        <f>C32*50%</f>
        <v>181659.75961538457</v>
      </c>
      <c r="D33" s="53">
        <f t="shared" ref="D33:K33" si="14">D32*50%</f>
        <v>679998.42211538483</v>
      </c>
      <c r="E33" s="53">
        <f t="shared" si="14"/>
        <v>841505.76071153837</v>
      </c>
      <c r="F33" s="53">
        <f t="shared" si="14"/>
        <v>992634.29288019263</v>
      </c>
      <c r="G33" s="53">
        <f t="shared" si="14"/>
        <v>1134168.5067010713</v>
      </c>
      <c r="H33" s="53">
        <f t="shared" si="14"/>
        <v>1266733.5821843978</v>
      </c>
      <c r="I33" s="53">
        <f t="shared" si="14"/>
        <v>1390816.4161896734</v>
      </c>
      <c r="J33" s="53">
        <f t="shared" si="14"/>
        <v>1352451.8699969943</v>
      </c>
      <c r="K33" s="53">
        <f t="shared" si="14"/>
        <v>1292398.8647241488</v>
      </c>
    </row>
    <row r="34" spans="1:11" x14ac:dyDescent="0.6">
      <c r="A34" s="44"/>
      <c r="B34" s="54" t="s">
        <v>119</v>
      </c>
      <c r="C34" s="53">
        <f>C32-C33</f>
        <v>181659.75961538457</v>
      </c>
      <c r="D34" s="53">
        <f t="shared" ref="D34:K34" si="15">D32-D33</f>
        <v>679998.42211538483</v>
      </c>
      <c r="E34" s="53">
        <f t="shared" si="15"/>
        <v>841505.76071153837</v>
      </c>
      <c r="F34" s="53">
        <f t="shared" si="15"/>
        <v>992634.29288019263</v>
      </c>
      <c r="G34" s="53">
        <f t="shared" si="15"/>
        <v>1134168.5067010713</v>
      </c>
      <c r="H34" s="53">
        <f t="shared" si="15"/>
        <v>1266733.5821843978</v>
      </c>
      <c r="I34" s="53">
        <f t="shared" si="15"/>
        <v>1390816.4161896734</v>
      </c>
      <c r="J34" s="53">
        <f t="shared" si="15"/>
        <v>1352451.8699969943</v>
      </c>
      <c r="K34" s="53">
        <f t="shared" si="15"/>
        <v>1292398.8647241488</v>
      </c>
    </row>
    <row r="36" spans="1:11" x14ac:dyDescent="0.6">
      <c r="A36" s="4" t="s">
        <v>286</v>
      </c>
    </row>
    <row r="37" spans="1:11" x14ac:dyDescent="0.6">
      <c r="A37" s="4" t="s">
        <v>287</v>
      </c>
    </row>
    <row r="38" spans="1:11" x14ac:dyDescent="0.6">
      <c r="B38" s="4" t="s">
        <v>177</v>
      </c>
      <c r="C38" s="4">
        <v>25000</v>
      </c>
      <c r="D38" s="4">
        <f>C38*1.05</f>
        <v>26250</v>
      </c>
      <c r="E38" s="4">
        <f t="shared" ref="E38:I38" si="16">D38*1.05</f>
        <v>27562.5</v>
      </c>
      <c r="F38" s="4">
        <f t="shared" si="16"/>
        <v>28940.625</v>
      </c>
      <c r="G38" s="4">
        <f t="shared" si="16"/>
        <v>30387.65625</v>
      </c>
      <c r="H38" s="4">
        <f t="shared" si="16"/>
        <v>31907.0390625</v>
      </c>
      <c r="I38" s="4">
        <f t="shared" si="16"/>
        <v>33502.391015624999</v>
      </c>
      <c r="J38" s="4">
        <f>I38</f>
        <v>33502.391015624999</v>
      </c>
      <c r="K38" s="4">
        <f>J38</f>
        <v>33502.391015624999</v>
      </c>
    </row>
    <row r="39" spans="1:11" x14ac:dyDescent="0.6">
      <c r="B39" s="4" t="s">
        <v>72</v>
      </c>
      <c r="C39" s="4">
        <f>C38*12</f>
        <v>300000</v>
      </c>
      <c r="D39" s="4">
        <f t="shared" ref="D39:K39" si="17">D38*12</f>
        <v>315000</v>
      </c>
      <c r="E39" s="4">
        <f t="shared" si="17"/>
        <v>330750</v>
      </c>
      <c r="F39" s="4">
        <f t="shared" si="17"/>
        <v>347287.5</v>
      </c>
      <c r="G39" s="4">
        <f t="shared" si="17"/>
        <v>364651.875</v>
      </c>
      <c r="H39" s="4">
        <f t="shared" si="17"/>
        <v>382884.46875</v>
      </c>
      <c r="I39" s="4">
        <f t="shared" si="17"/>
        <v>402028.69218749995</v>
      </c>
      <c r="J39" s="4">
        <f t="shared" si="17"/>
        <v>402028.69218749995</v>
      </c>
      <c r="K39" s="4">
        <f t="shared" si="17"/>
        <v>402028.69218749995</v>
      </c>
    </row>
    <row r="40" spans="1:11" x14ac:dyDescent="0.6">
      <c r="A40" s="4" t="s">
        <v>288</v>
      </c>
    </row>
  </sheetData>
  <mergeCells count="3">
    <mergeCell ref="C3:K3"/>
    <mergeCell ref="A3:A4"/>
    <mergeCell ref="B3:B4"/>
  </mergeCells>
  <pageMargins left="0.7" right="0.7" top="0.75" bottom="0.75" header="0.3" footer="0.3"/>
  <pageSetup scale="59" orientation="landscape" r:id="rId1"/>
  <ignoredErrors>
    <ignoredError sqref="D23"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4C10C-E414-4E29-98C1-5FAEC5C52CAE}">
  <sheetPr>
    <pageSetUpPr fitToPage="1"/>
  </sheetPr>
  <dimension ref="A1:M54"/>
  <sheetViews>
    <sheetView topLeftCell="A35" workbookViewId="0">
      <selection activeCell="A9" sqref="A9"/>
    </sheetView>
  </sheetViews>
  <sheetFormatPr defaultRowHeight="17" x14ac:dyDescent="0.6"/>
  <cols>
    <col min="1" max="1" width="8.7265625" style="4"/>
    <col min="2" max="2" width="28.26953125" style="4" customWidth="1"/>
    <col min="3" max="3" width="15.6328125" style="4" bestFit="1" customWidth="1"/>
    <col min="4" max="10" width="13.7265625" style="4" bestFit="1" customWidth="1"/>
    <col min="11" max="11" width="13.6328125" style="4" bestFit="1" customWidth="1"/>
    <col min="12" max="12" width="10" style="4" bestFit="1" customWidth="1"/>
    <col min="13" max="16384" width="8.7265625" style="4"/>
  </cols>
  <sheetData>
    <row r="1" spans="1:11" x14ac:dyDescent="0.6">
      <c r="A1" s="3" t="s">
        <v>120</v>
      </c>
    </row>
    <row r="3" spans="1:11" x14ac:dyDescent="0.6">
      <c r="A3" s="4" t="s">
        <v>121</v>
      </c>
    </row>
    <row r="5" spans="1:11" x14ac:dyDescent="0.6">
      <c r="A5" s="125" t="s">
        <v>37</v>
      </c>
      <c r="B5" s="125" t="s">
        <v>38</v>
      </c>
      <c r="C5" s="124" t="s">
        <v>48</v>
      </c>
      <c r="D5" s="124"/>
      <c r="E5" s="124"/>
      <c r="F5" s="124"/>
      <c r="G5" s="124"/>
      <c r="H5" s="124"/>
      <c r="I5" s="124"/>
      <c r="J5" s="124"/>
      <c r="K5" s="124"/>
    </row>
    <row r="6" spans="1:11" x14ac:dyDescent="0.6">
      <c r="A6" s="125"/>
      <c r="B6" s="125"/>
      <c r="C6" s="110" t="s">
        <v>39</v>
      </c>
      <c r="D6" s="110" t="s">
        <v>40</v>
      </c>
      <c r="E6" s="110" t="s">
        <v>41</v>
      </c>
      <c r="F6" s="110" t="s">
        <v>42</v>
      </c>
      <c r="G6" s="110" t="s">
        <v>43</v>
      </c>
      <c r="H6" s="110" t="s">
        <v>44</v>
      </c>
      <c r="I6" s="110" t="s">
        <v>45</v>
      </c>
      <c r="J6" s="110" t="s">
        <v>46</v>
      </c>
      <c r="K6" s="110" t="s">
        <v>47</v>
      </c>
    </row>
    <row r="7" spans="1:11" x14ac:dyDescent="0.6">
      <c r="A7" s="5" t="s">
        <v>154</v>
      </c>
      <c r="B7" s="57" t="s">
        <v>122</v>
      </c>
      <c r="C7" s="58"/>
      <c r="D7" s="58"/>
      <c r="E7" s="59"/>
      <c r="F7" s="59"/>
      <c r="G7" s="59"/>
      <c r="H7" s="59"/>
      <c r="I7" s="59"/>
      <c r="J7" s="59"/>
      <c r="K7" s="59"/>
    </row>
    <row r="8" spans="1:11" x14ac:dyDescent="0.6">
      <c r="A8" s="18">
        <v>1</v>
      </c>
      <c r="B8" s="20" t="s">
        <v>123</v>
      </c>
      <c r="C8" s="32"/>
      <c r="D8" s="32"/>
      <c r="E8" s="24"/>
      <c r="F8" s="24"/>
      <c r="G8" s="24"/>
      <c r="H8" s="24"/>
      <c r="I8" s="24"/>
      <c r="J8" s="24"/>
      <c r="K8" s="24"/>
    </row>
    <row r="9" spans="1:11" x14ac:dyDescent="0.6">
      <c r="A9" s="18"/>
      <c r="B9" s="20" t="s">
        <v>124</v>
      </c>
      <c r="C9" s="60">
        <f>'Ann 9'!C6+'Ann 9'!D6+'Ann 9'!E6</f>
        <v>7875000</v>
      </c>
      <c r="D9" s="61">
        <f>C11</f>
        <v>6773750</v>
      </c>
      <c r="E9" s="35">
        <f t="shared" ref="E9:K9" si="0">D11</f>
        <v>5829687.5</v>
      </c>
      <c r="F9" s="35">
        <f t="shared" si="0"/>
        <v>5020034.375</v>
      </c>
      <c r="G9" s="35">
        <f t="shared" si="0"/>
        <v>4325349.21875</v>
      </c>
      <c r="H9" s="35">
        <f t="shared" si="0"/>
        <v>3729034.8359375</v>
      </c>
      <c r="I9" s="35">
        <f t="shared" si="0"/>
        <v>3216918.810546875</v>
      </c>
      <c r="J9" s="35">
        <f t="shared" si="0"/>
        <v>2776896.2689648438</v>
      </c>
      <c r="K9" s="35">
        <f t="shared" si="0"/>
        <v>2398625.5806201175</v>
      </c>
    </row>
    <row r="10" spans="1:11" x14ac:dyDescent="0.6">
      <c r="A10" s="18"/>
      <c r="B10" s="20" t="s">
        <v>125</v>
      </c>
      <c r="C10" s="60">
        <f>'Ann 9'!C12+'Ann 9'!D12+'Ann 9'!E12</f>
        <v>1101250</v>
      </c>
      <c r="D10" s="61">
        <f>'Ann 9'!C13+'Ann 9'!D13+'Ann 9'!E13</f>
        <v>944062.5</v>
      </c>
      <c r="E10" s="35">
        <f>'Ann 9'!C14+'Ann 9'!D14+'Ann 9'!E14</f>
        <v>809653.125</v>
      </c>
      <c r="F10" s="35">
        <f>'Ann 9'!C15+'Ann 9'!D15+'Ann 9'!E15</f>
        <v>694685.15625</v>
      </c>
      <c r="G10" s="35">
        <f>'Ann 9'!C16+'Ann 9'!D16+'Ann 9'!E16</f>
        <v>596314.3828125</v>
      </c>
      <c r="H10" s="35">
        <f>'Ann 9'!C17+'Ann 9'!D17+'Ann 9'!E17</f>
        <v>512116.025390625</v>
      </c>
      <c r="I10" s="35">
        <f>+'Ann 9'!C18+'Ann 9'!D18+'Ann 9'!E18</f>
        <v>440022.54158203123</v>
      </c>
      <c r="J10" s="35">
        <f>'Ann 9'!C19+'Ann 9'!D19+'Ann 9'!E19</f>
        <v>378270.68834472657</v>
      </c>
      <c r="K10" s="35">
        <f>+'Ann 9'!C20+'Ann 9'!D20+'Ann 9'!E20</f>
        <v>325356.46029301756</v>
      </c>
    </row>
    <row r="11" spans="1:11" x14ac:dyDescent="0.6">
      <c r="A11" s="18"/>
      <c r="B11" s="20" t="s">
        <v>126</v>
      </c>
      <c r="C11" s="60">
        <f>C9-C10</f>
        <v>6773750</v>
      </c>
      <c r="D11" s="61">
        <f>D9-D10</f>
        <v>5829687.5</v>
      </c>
      <c r="E11" s="35">
        <f t="shared" ref="E11:K11" si="1">E9-E10</f>
        <v>5020034.375</v>
      </c>
      <c r="F11" s="35">
        <f t="shared" si="1"/>
        <v>4325349.21875</v>
      </c>
      <c r="G11" s="35">
        <f t="shared" si="1"/>
        <v>3729034.8359375</v>
      </c>
      <c r="H11" s="35">
        <f t="shared" si="1"/>
        <v>3216918.810546875</v>
      </c>
      <c r="I11" s="35">
        <f t="shared" si="1"/>
        <v>2776896.2689648438</v>
      </c>
      <c r="J11" s="35">
        <f t="shared" si="1"/>
        <v>2398625.5806201175</v>
      </c>
      <c r="K11" s="35">
        <f t="shared" si="1"/>
        <v>2073269.1203270999</v>
      </c>
    </row>
    <row r="12" spans="1:11" x14ac:dyDescent="0.6">
      <c r="A12" s="18">
        <v>2</v>
      </c>
      <c r="B12" s="20" t="s">
        <v>127</v>
      </c>
      <c r="C12" s="60">
        <f>'Ann 4'!C19*30/300</f>
        <v>1076250</v>
      </c>
      <c r="D12" s="60">
        <f>'Ann 4'!D19*30/300</f>
        <v>1257187.5</v>
      </c>
      <c r="E12" s="60">
        <f>'Ann 4'!E19*30/300</f>
        <v>1341000</v>
      </c>
      <c r="F12" s="60">
        <f>'Ann 4'!F19*30/300</f>
        <v>1424812.5000000002</v>
      </c>
      <c r="G12" s="60">
        <f>'Ann 4'!G19*30/300</f>
        <v>1508625.0000000002</v>
      </c>
      <c r="H12" s="60">
        <f>'Ann 4'!H19*30/300</f>
        <v>1592437.5000000002</v>
      </c>
      <c r="I12" s="60">
        <f>'Ann 4'!I19*30/300</f>
        <v>1676250.0000000002</v>
      </c>
      <c r="J12" s="60">
        <f>'Ann 4'!J19*30/300</f>
        <v>1676250.0000000002</v>
      </c>
      <c r="K12" s="60">
        <f>'Ann 4'!K19*30/300</f>
        <v>1676250.0000000002</v>
      </c>
    </row>
    <row r="13" spans="1:11" x14ac:dyDescent="0.6">
      <c r="A13" s="18">
        <v>3</v>
      </c>
      <c r="B13" s="20" t="s">
        <v>128</v>
      </c>
      <c r="C13" s="62">
        <f>'Ann 14'!C19</f>
        <v>867130.1442307689</v>
      </c>
      <c r="D13" s="62">
        <f>'Ann 14'!D19</f>
        <v>1269817.3855769227</v>
      </c>
      <c r="E13" s="62">
        <f>'Ann 14'!E19</f>
        <v>1792668.6985192301</v>
      </c>
      <c r="F13" s="62">
        <f>'Ann 14'!F19</f>
        <v>2353555.2993601914</v>
      </c>
      <c r="G13" s="62">
        <f>'Ann 14'!G19</f>
        <v>2959592.5485333316</v>
      </c>
      <c r="H13" s="62">
        <f>'Ann 14'!H19</f>
        <v>3616102.9561936539</v>
      </c>
      <c r="I13" s="62">
        <f>'Ann 14'!I19</f>
        <v>4326835.5409019291</v>
      </c>
      <c r="J13" s="62">
        <f>'Ann 14'!J19</f>
        <v>6099371.5034117959</v>
      </c>
      <c r="K13" s="62">
        <f>'Ann 14'!K19</f>
        <v>7761449.0368472012</v>
      </c>
    </row>
    <row r="14" spans="1:11" x14ac:dyDescent="0.6">
      <c r="A14" s="18"/>
      <c r="B14" s="20" t="s">
        <v>136</v>
      </c>
      <c r="C14" s="60">
        <f t="shared" ref="C14:K14" si="2">SUM(C11:C13)</f>
        <v>8717130.1442307681</v>
      </c>
      <c r="D14" s="60">
        <f t="shared" si="2"/>
        <v>8356692.3855769224</v>
      </c>
      <c r="E14" s="63">
        <f t="shared" si="2"/>
        <v>8153703.0735192299</v>
      </c>
      <c r="F14" s="63">
        <f t="shared" si="2"/>
        <v>8103717.0181101914</v>
      </c>
      <c r="G14" s="63">
        <f t="shared" si="2"/>
        <v>8197252.3844708316</v>
      </c>
      <c r="H14" s="63">
        <f t="shared" si="2"/>
        <v>8425459.2667405289</v>
      </c>
      <c r="I14" s="63">
        <f t="shared" si="2"/>
        <v>8779981.809866773</v>
      </c>
      <c r="J14" s="63">
        <f t="shared" si="2"/>
        <v>10174247.084031913</v>
      </c>
      <c r="K14" s="63">
        <f t="shared" si="2"/>
        <v>11510968.1571743</v>
      </c>
    </row>
    <row r="15" spans="1:11" x14ac:dyDescent="0.6">
      <c r="A15" s="18"/>
      <c r="B15" s="20"/>
      <c r="C15" s="60"/>
      <c r="D15" s="60"/>
      <c r="E15" s="63"/>
      <c r="F15" s="63"/>
      <c r="G15" s="63"/>
      <c r="H15" s="63"/>
      <c r="I15" s="63"/>
      <c r="J15" s="63"/>
      <c r="K15" s="63"/>
    </row>
    <row r="16" spans="1:11" x14ac:dyDescent="0.6">
      <c r="A16" s="18" t="s">
        <v>155</v>
      </c>
      <c r="B16" s="64" t="s">
        <v>129</v>
      </c>
      <c r="C16" s="32"/>
      <c r="D16" s="32"/>
      <c r="E16" s="24"/>
      <c r="F16" s="24"/>
      <c r="G16" s="24"/>
      <c r="H16" s="24"/>
      <c r="I16" s="24"/>
      <c r="J16" s="24"/>
      <c r="K16" s="24"/>
    </row>
    <row r="17" spans="1:13" x14ac:dyDescent="0.6">
      <c r="A17" s="18">
        <v>1</v>
      </c>
      <c r="B17" s="20" t="s">
        <v>130</v>
      </c>
      <c r="C17" s="62">
        <f>'Ann 2'!C4*100000</f>
        <v>850000</v>
      </c>
      <c r="D17" s="62">
        <f>C20</f>
        <v>1031659.7596153845</v>
      </c>
      <c r="E17" s="65">
        <f t="shared" ref="E17:K17" si="3">D20</f>
        <v>1711658.1817307693</v>
      </c>
      <c r="F17" s="65">
        <f t="shared" si="3"/>
        <v>2553163.9424423077</v>
      </c>
      <c r="G17" s="65">
        <f t="shared" si="3"/>
        <v>3545798.2353225006</v>
      </c>
      <c r="H17" s="65">
        <f t="shared" si="3"/>
        <v>4679966.7420235723</v>
      </c>
      <c r="I17" s="65">
        <f t="shared" si="3"/>
        <v>5946700.3242079699</v>
      </c>
      <c r="J17" s="65">
        <f t="shared" si="3"/>
        <v>7337516.7403976433</v>
      </c>
      <c r="K17" s="65">
        <f t="shared" si="3"/>
        <v>8689968.610394638</v>
      </c>
    </row>
    <row r="18" spans="1:13" x14ac:dyDescent="0.6">
      <c r="A18" s="18"/>
      <c r="B18" s="20" t="s">
        <v>131</v>
      </c>
      <c r="C18" s="62">
        <f>'Ann 4'!C34</f>
        <v>181659.75961538457</v>
      </c>
      <c r="D18" s="62">
        <f>'Ann 4'!D34</f>
        <v>679998.42211538483</v>
      </c>
      <c r="E18" s="65">
        <f>'Ann 4'!E34</f>
        <v>841505.76071153837</v>
      </c>
      <c r="F18" s="65">
        <f>'Ann 4'!F34</f>
        <v>992634.29288019263</v>
      </c>
      <c r="G18" s="65">
        <f>'Ann 4'!G34</f>
        <v>1134168.5067010713</v>
      </c>
      <c r="H18" s="65">
        <f>'Ann 4'!H34</f>
        <v>1266733.5821843978</v>
      </c>
      <c r="I18" s="65">
        <f>'Ann 4'!I34</f>
        <v>1390816.4161896734</v>
      </c>
      <c r="J18" s="65">
        <f>'Ann 4'!J34</f>
        <v>1352451.8699969943</v>
      </c>
      <c r="K18" s="65">
        <f>'Ann 4'!K34</f>
        <v>1292398.8647241488</v>
      </c>
    </row>
    <row r="19" spans="1:13" x14ac:dyDescent="0.6">
      <c r="A19" s="18"/>
      <c r="B19" s="20" t="s">
        <v>132</v>
      </c>
      <c r="C19" s="62">
        <v>0</v>
      </c>
      <c r="D19" s="62">
        <v>0</v>
      </c>
      <c r="E19" s="65">
        <v>0</v>
      </c>
      <c r="F19" s="65">
        <v>0</v>
      </c>
      <c r="G19" s="65">
        <v>0</v>
      </c>
      <c r="H19" s="65">
        <v>0</v>
      </c>
      <c r="I19" s="65">
        <v>0</v>
      </c>
      <c r="J19" s="65">
        <v>0</v>
      </c>
      <c r="K19" s="65">
        <v>0</v>
      </c>
    </row>
    <row r="20" spans="1:13" x14ac:dyDescent="0.6">
      <c r="A20" s="18"/>
      <c r="B20" s="20" t="s">
        <v>133</v>
      </c>
      <c r="C20" s="62">
        <f>C17+C18</f>
        <v>1031659.7596153845</v>
      </c>
      <c r="D20" s="62">
        <f t="shared" ref="D20:K20" si="4">D17+D18</f>
        <v>1711658.1817307693</v>
      </c>
      <c r="E20" s="65">
        <f t="shared" si="4"/>
        <v>2553163.9424423077</v>
      </c>
      <c r="F20" s="65">
        <f t="shared" si="4"/>
        <v>3545798.2353225006</v>
      </c>
      <c r="G20" s="65">
        <f t="shared" si="4"/>
        <v>4679966.7420235723</v>
      </c>
      <c r="H20" s="65">
        <f t="shared" si="4"/>
        <v>5946700.3242079699</v>
      </c>
      <c r="I20" s="65">
        <f t="shared" si="4"/>
        <v>7337516.7403976433</v>
      </c>
      <c r="J20" s="65">
        <f t="shared" si="4"/>
        <v>8689968.610394638</v>
      </c>
      <c r="K20" s="65">
        <f t="shared" si="4"/>
        <v>9982367.4751187861</v>
      </c>
    </row>
    <row r="21" spans="1:13" x14ac:dyDescent="0.6">
      <c r="A21" s="18">
        <v>2</v>
      </c>
      <c r="B21" s="20" t="s">
        <v>134</v>
      </c>
      <c r="C21" s="62">
        <f>'Ann 13'!C13*100000</f>
        <v>6484615.384615384</v>
      </c>
      <c r="D21" s="62">
        <f>'Ann 13'!C17*100000</f>
        <v>5403846.1538461521</v>
      </c>
      <c r="E21" s="62">
        <f>'Ann 13'!C21*100000</f>
        <v>4323076.9230769202</v>
      </c>
      <c r="F21" s="62">
        <f>'Ann 13'!C25*100000</f>
        <v>3242307.6923076878</v>
      </c>
      <c r="G21" s="65">
        <f>('Ann 13'!C28-'Ann 13'!D28)*100000</f>
        <v>2161538.4615384568</v>
      </c>
      <c r="H21" s="65">
        <f>('Ann 13'!C32-'Ann 13'!D32)*100000</f>
        <v>1080769.2307692263</v>
      </c>
      <c r="I21" s="65">
        <v>0</v>
      </c>
      <c r="J21" s="65">
        <v>0</v>
      </c>
      <c r="K21" s="65">
        <v>0</v>
      </c>
    </row>
    <row r="22" spans="1:13" x14ac:dyDescent="0.6">
      <c r="A22" s="18">
        <v>3</v>
      </c>
      <c r="B22" s="66" t="s">
        <v>167</v>
      </c>
      <c r="C22" s="62">
        <f>'Ann 2'!$C$7*100000</f>
        <v>625000</v>
      </c>
      <c r="D22" s="62">
        <f>'Ann 2'!$C$7*100000</f>
        <v>625000</v>
      </c>
      <c r="E22" s="62">
        <f>'Ann 2'!$C$7*100000</f>
        <v>625000</v>
      </c>
      <c r="F22" s="62">
        <f>'Ann 2'!$C$7*100000</f>
        <v>625000</v>
      </c>
      <c r="G22" s="62">
        <f>'Ann 2'!$C$7*100000</f>
        <v>625000</v>
      </c>
      <c r="H22" s="62">
        <f>'Ann 2'!$C$7*100000</f>
        <v>625000</v>
      </c>
      <c r="I22" s="62">
        <f>'Ann 2'!$C$7*100000</f>
        <v>625000</v>
      </c>
      <c r="J22" s="62">
        <f>'Ann 2'!$C$7*100000</f>
        <v>625000</v>
      </c>
      <c r="K22" s="62">
        <f>'Ann 2'!$C$7*100000</f>
        <v>625000</v>
      </c>
    </row>
    <row r="23" spans="1:13" x14ac:dyDescent="0.6">
      <c r="A23" s="18">
        <v>4</v>
      </c>
      <c r="B23" s="66" t="s">
        <v>162</v>
      </c>
      <c r="C23" s="62">
        <f>('Ann 4'!C15+'Ann 4'!C10+'Ann 4'!C14)*60/300</f>
        <v>575855</v>
      </c>
      <c r="D23" s="62">
        <f>('Ann 4'!D15+'Ann 4'!D10+'Ann 4'!D14)*60/300</f>
        <v>616188.05000000005</v>
      </c>
      <c r="E23" s="62">
        <f>('Ann 4'!E15+'Ann 4'!E10+'Ann 4'!E14)*60/300</f>
        <v>652462.20799999998</v>
      </c>
      <c r="F23" s="62">
        <f>('Ann 4'!F15+'Ann 4'!F10+'Ann 4'!F14)*60/300</f>
        <v>690611.09048000013</v>
      </c>
      <c r="G23" s="62">
        <f>('Ann 4'!G15+'Ann 4'!G10+'Ann 4'!G14)*60/300</f>
        <v>730747.1809088001</v>
      </c>
      <c r="H23" s="62">
        <f>('Ann 4'!H15+'Ann 4'!H10+'Ann 4'!H14)*60/300</f>
        <v>772989.71176332806</v>
      </c>
      <c r="I23" s="62">
        <f>('Ann 4'!I15+'Ann 4'!I10+'Ann 4'!I14)*60/300</f>
        <v>817465.0694691278</v>
      </c>
      <c r="J23" s="62">
        <f>('Ann 4'!J15+'Ann 4'!J10+'Ann 4'!J14)*60/300</f>
        <v>859278.4736372754</v>
      </c>
      <c r="K23" s="62">
        <f>('Ann 4'!K15+'Ann 4'!K10+'Ann 4'!K14)*60/300</f>
        <v>903600.68205551209</v>
      </c>
    </row>
    <row r="24" spans="1:13" x14ac:dyDescent="0.6">
      <c r="A24" s="18"/>
      <c r="B24" s="20" t="s">
        <v>135</v>
      </c>
      <c r="C24" s="60">
        <f t="shared" ref="C24:K24" si="5">SUM(C20:C23)</f>
        <v>8717130.1442307681</v>
      </c>
      <c r="D24" s="60">
        <f t="shared" si="5"/>
        <v>8356692.3855769215</v>
      </c>
      <c r="E24" s="60">
        <f t="shared" si="5"/>
        <v>8153703.0735192271</v>
      </c>
      <c r="F24" s="60">
        <f t="shared" si="5"/>
        <v>8103717.0181101877</v>
      </c>
      <c r="G24" s="60">
        <f t="shared" si="5"/>
        <v>8197252.3844708288</v>
      </c>
      <c r="H24" s="60">
        <f t="shared" si="5"/>
        <v>8425459.2667405251</v>
      </c>
      <c r="I24" s="60">
        <f t="shared" si="5"/>
        <v>8779981.8098667711</v>
      </c>
      <c r="J24" s="60">
        <f t="shared" si="5"/>
        <v>10174247.084031913</v>
      </c>
      <c r="K24" s="60">
        <f t="shared" si="5"/>
        <v>11510968.157174299</v>
      </c>
    </row>
    <row r="25" spans="1:13" x14ac:dyDescent="0.6">
      <c r="A25" s="18"/>
      <c r="B25" s="20"/>
      <c r="C25" s="60"/>
      <c r="D25" s="60"/>
      <c r="E25" s="60"/>
      <c r="F25" s="60"/>
      <c r="G25" s="60"/>
      <c r="H25" s="60"/>
      <c r="I25" s="60"/>
      <c r="J25" s="60"/>
      <c r="K25" s="60"/>
      <c r="L25" s="68"/>
      <c r="M25" s="20"/>
    </row>
    <row r="26" spans="1:13" x14ac:dyDescent="0.6">
      <c r="A26" s="111"/>
      <c r="B26" s="112" t="s">
        <v>137</v>
      </c>
      <c r="C26" s="113"/>
      <c r="D26" s="113"/>
      <c r="E26" s="114"/>
      <c r="F26" s="114"/>
      <c r="G26" s="114"/>
      <c r="H26" s="114"/>
      <c r="I26" s="114"/>
      <c r="J26" s="114"/>
      <c r="K26" s="114"/>
    </row>
    <row r="27" spans="1:13" x14ac:dyDescent="0.6">
      <c r="A27" s="18"/>
      <c r="B27" s="20" t="s">
        <v>138</v>
      </c>
      <c r="C27" s="60">
        <f t="shared" ref="C27:K27" si="6">SUM(C12:C13)</f>
        <v>1943380.144230769</v>
      </c>
      <c r="D27" s="60">
        <f t="shared" si="6"/>
        <v>2527004.8855769224</v>
      </c>
      <c r="E27" s="63">
        <f t="shared" si="6"/>
        <v>3133668.6985192299</v>
      </c>
      <c r="F27" s="63">
        <f t="shared" si="6"/>
        <v>3778367.7993601914</v>
      </c>
      <c r="G27" s="63">
        <f t="shared" si="6"/>
        <v>4468217.5485333316</v>
      </c>
      <c r="H27" s="63">
        <f t="shared" si="6"/>
        <v>5208540.4561936539</v>
      </c>
      <c r="I27" s="63">
        <f t="shared" si="6"/>
        <v>6003085.5409019291</v>
      </c>
      <c r="J27" s="63">
        <f t="shared" si="6"/>
        <v>7775621.5034117959</v>
      </c>
      <c r="K27" s="63">
        <f t="shared" si="6"/>
        <v>9437699.0368472021</v>
      </c>
    </row>
    <row r="28" spans="1:13" x14ac:dyDescent="0.6">
      <c r="A28" s="18"/>
      <c r="B28" s="20" t="s">
        <v>139</v>
      </c>
      <c r="C28" s="60">
        <f>C23</f>
        <v>575855</v>
      </c>
      <c r="D28" s="60">
        <f t="shared" ref="D28:K28" si="7">D23</f>
        <v>616188.05000000005</v>
      </c>
      <c r="E28" s="60">
        <f t="shared" si="7"/>
        <v>652462.20799999998</v>
      </c>
      <c r="F28" s="60">
        <f t="shared" si="7"/>
        <v>690611.09048000013</v>
      </c>
      <c r="G28" s="60">
        <f t="shared" si="7"/>
        <v>730747.1809088001</v>
      </c>
      <c r="H28" s="60">
        <f t="shared" si="7"/>
        <v>772989.71176332806</v>
      </c>
      <c r="I28" s="60">
        <f t="shared" si="7"/>
        <v>817465.0694691278</v>
      </c>
      <c r="J28" s="60">
        <f t="shared" si="7"/>
        <v>859278.4736372754</v>
      </c>
      <c r="K28" s="60">
        <f t="shared" si="7"/>
        <v>903600.68205551209</v>
      </c>
    </row>
    <row r="29" spans="1:13" x14ac:dyDescent="0.6">
      <c r="A29" s="18"/>
      <c r="B29" s="20" t="s">
        <v>144</v>
      </c>
      <c r="C29" s="32">
        <f>C27/C28</f>
        <v>3.3747734138468348</v>
      </c>
      <c r="D29" s="32">
        <f>D27/D28</f>
        <v>4.1010287128692653</v>
      </c>
      <c r="E29" s="24">
        <f t="shared" ref="E29:K29" si="8">E27/E28</f>
        <v>4.8028355667141263</v>
      </c>
      <c r="F29" s="24">
        <f t="shared" si="8"/>
        <v>5.4710499895593721</v>
      </c>
      <c r="G29" s="24">
        <f t="shared" si="8"/>
        <v>6.1145874596141363</v>
      </c>
      <c r="H29" s="24">
        <f t="shared" si="8"/>
        <v>6.7381756534793196</v>
      </c>
      <c r="I29" s="24">
        <f t="shared" si="8"/>
        <v>7.3435376814331761</v>
      </c>
      <c r="J29" s="24">
        <f t="shared" si="8"/>
        <v>9.049012330656959</v>
      </c>
      <c r="K29" s="24">
        <f t="shared" si="8"/>
        <v>10.444546163221469</v>
      </c>
    </row>
    <row r="30" spans="1:13" x14ac:dyDescent="0.6">
      <c r="A30" s="18"/>
      <c r="B30" s="66" t="s">
        <v>156</v>
      </c>
      <c r="C30" s="32"/>
      <c r="D30" s="32"/>
      <c r="E30" s="24"/>
      <c r="F30" s="24">
        <f>AVERAGE(C29:K29)</f>
        <v>6.382171885710517</v>
      </c>
      <c r="G30" s="24"/>
      <c r="H30" s="24"/>
      <c r="I30" s="24"/>
      <c r="J30" s="24"/>
      <c r="K30" s="24"/>
    </row>
    <row r="31" spans="1:13" x14ac:dyDescent="0.6">
      <c r="A31" s="18"/>
      <c r="B31" s="20"/>
      <c r="C31" s="32"/>
      <c r="D31" s="32"/>
      <c r="E31" s="24"/>
      <c r="F31" s="24"/>
      <c r="G31" s="24"/>
      <c r="H31" s="24"/>
      <c r="I31" s="24"/>
      <c r="J31" s="24"/>
      <c r="K31" s="24"/>
    </row>
    <row r="32" spans="1:13" x14ac:dyDescent="0.6">
      <c r="A32" s="111"/>
      <c r="B32" s="112" t="s">
        <v>141</v>
      </c>
      <c r="C32" s="113"/>
      <c r="D32" s="113"/>
      <c r="E32" s="114"/>
      <c r="F32" s="114"/>
      <c r="G32" s="114"/>
      <c r="H32" s="114"/>
      <c r="I32" s="114"/>
      <c r="J32" s="114"/>
      <c r="K32" s="114"/>
    </row>
    <row r="33" spans="1:11" x14ac:dyDescent="0.6">
      <c r="A33" s="18"/>
      <c r="B33" s="20" t="s">
        <v>142</v>
      </c>
      <c r="C33" s="60">
        <f>C21+C22</f>
        <v>7109615.384615384</v>
      </c>
      <c r="D33" s="60">
        <f t="shared" ref="D33:K33" si="9">D21+D22</f>
        <v>6028846.1538461521</v>
      </c>
      <c r="E33" s="60">
        <f t="shared" si="9"/>
        <v>4948076.9230769202</v>
      </c>
      <c r="F33" s="60">
        <f t="shared" si="9"/>
        <v>3867307.6923076878</v>
      </c>
      <c r="G33" s="60">
        <f t="shared" si="9"/>
        <v>2786538.4615384568</v>
      </c>
      <c r="H33" s="60">
        <f t="shared" si="9"/>
        <v>1705769.2307692263</v>
      </c>
      <c r="I33" s="60">
        <f t="shared" si="9"/>
        <v>625000</v>
      </c>
      <c r="J33" s="60">
        <f t="shared" si="9"/>
        <v>625000</v>
      </c>
      <c r="K33" s="60">
        <f t="shared" si="9"/>
        <v>625000</v>
      </c>
    </row>
    <row r="34" spans="1:11" x14ac:dyDescent="0.6">
      <c r="A34" s="18"/>
      <c r="B34" s="20" t="s">
        <v>143</v>
      </c>
      <c r="C34" s="60">
        <f t="shared" ref="C34:K34" si="10">C20</f>
        <v>1031659.7596153845</v>
      </c>
      <c r="D34" s="60">
        <f t="shared" si="10"/>
        <v>1711658.1817307693</v>
      </c>
      <c r="E34" s="63">
        <f t="shared" si="10"/>
        <v>2553163.9424423077</v>
      </c>
      <c r="F34" s="63">
        <f t="shared" si="10"/>
        <v>3545798.2353225006</v>
      </c>
      <c r="G34" s="63">
        <f t="shared" si="10"/>
        <v>4679966.7420235723</v>
      </c>
      <c r="H34" s="63">
        <f t="shared" si="10"/>
        <v>5946700.3242079699</v>
      </c>
      <c r="I34" s="63">
        <f t="shared" si="10"/>
        <v>7337516.7403976433</v>
      </c>
      <c r="J34" s="63">
        <f t="shared" si="10"/>
        <v>8689968.610394638</v>
      </c>
      <c r="K34" s="63">
        <f t="shared" si="10"/>
        <v>9982367.4751187861</v>
      </c>
    </row>
    <row r="35" spans="1:11" x14ac:dyDescent="0.6">
      <c r="A35" s="18"/>
      <c r="B35" s="20" t="s">
        <v>144</v>
      </c>
      <c r="C35" s="32">
        <f>C33/C34</f>
        <v>6.8914342333813003</v>
      </c>
      <c r="D35" s="32">
        <f t="shared" ref="D35:K35" si="11">D33/D34</f>
        <v>3.5222255343937841</v>
      </c>
      <c r="E35" s="24">
        <f t="shared" si="11"/>
        <v>1.9380177045519782</v>
      </c>
      <c r="F35" s="24">
        <f t="shared" si="11"/>
        <v>1.0906733648244216</v>
      </c>
      <c r="G35" s="24">
        <f t="shared" si="11"/>
        <v>0.59541843246808723</v>
      </c>
      <c r="H35" s="24">
        <f t="shared" si="11"/>
        <v>0.28684297808405446</v>
      </c>
      <c r="I35" s="24">
        <f t="shared" si="11"/>
        <v>8.5178681304940954E-2</v>
      </c>
      <c r="J35" s="24">
        <f t="shared" si="11"/>
        <v>7.1922008930204506E-2</v>
      </c>
      <c r="K35" s="24">
        <f t="shared" si="11"/>
        <v>6.2610397939949894E-2</v>
      </c>
    </row>
    <row r="36" spans="1:11" x14ac:dyDescent="0.6">
      <c r="A36" s="18"/>
      <c r="B36" s="66" t="s">
        <v>156</v>
      </c>
      <c r="C36" s="32"/>
      <c r="D36" s="32"/>
      <c r="E36" s="24"/>
      <c r="F36" s="24">
        <f>AVERAGE(C35:K35)</f>
        <v>1.6160359262087467</v>
      </c>
      <c r="G36" s="24"/>
      <c r="H36" s="24"/>
      <c r="I36" s="63"/>
      <c r="J36" s="63"/>
      <c r="K36" s="63"/>
    </row>
    <row r="37" spans="1:11" x14ac:dyDescent="0.6">
      <c r="A37" s="18"/>
      <c r="B37" s="20"/>
      <c r="C37" s="32"/>
      <c r="D37" s="32"/>
      <c r="E37" s="24"/>
      <c r="F37" s="24"/>
      <c r="G37" s="24"/>
      <c r="H37" s="24"/>
      <c r="I37" s="63"/>
      <c r="J37" s="63"/>
      <c r="K37" s="63"/>
    </row>
    <row r="38" spans="1:11" x14ac:dyDescent="0.6">
      <c r="A38" s="111"/>
      <c r="B38" s="112" t="s">
        <v>157</v>
      </c>
      <c r="C38" s="113"/>
      <c r="D38" s="113"/>
      <c r="E38" s="114"/>
      <c r="F38" s="114"/>
      <c r="G38" s="114"/>
      <c r="H38" s="114"/>
      <c r="I38" s="115"/>
      <c r="J38" s="115"/>
      <c r="K38" s="115"/>
    </row>
    <row r="39" spans="1:11" x14ac:dyDescent="0.6">
      <c r="A39" s="18"/>
      <c r="B39" s="66" t="s">
        <v>158</v>
      </c>
      <c r="C39" s="60">
        <f t="shared" ref="C39:K39" si="12">C11</f>
        <v>6773750</v>
      </c>
      <c r="D39" s="60">
        <f t="shared" si="12"/>
        <v>5829687.5</v>
      </c>
      <c r="E39" s="60">
        <f t="shared" si="12"/>
        <v>5020034.375</v>
      </c>
      <c r="F39" s="60">
        <f t="shared" si="12"/>
        <v>4325349.21875</v>
      </c>
      <c r="G39" s="60">
        <f t="shared" si="12"/>
        <v>3729034.8359375</v>
      </c>
      <c r="H39" s="60">
        <f t="shared" si="12"/>
        <v>3216918.810546875</v>
      </c>
      <c r="I39" s="60">
        <f t="shared" si="12"/>
        <v>2776896.2689648438</v>
      </c>
      <c r="J39" s="60">
        <f t="shared" si="12"/>
        <v>2398625.5806201175</v>
      </c>
      <c r="K39" s="60">
        <f t="shared" si="12"/>
        <v>2073269.1203270999</v>
      </c>
    </row>
    <row r="40" spans="1:11" x14ac:dyDescent="0.6">
      <c r="A40" s="18"/>
      <c r="B40" s="66" t="s">
        <v>142</v>
      </c>
      <c r="C40" s="60">
        <f t="shared" ref="C40:K40" si="13">C21+C22</f>
        <v>7109615.384615384</v>
      </c>
      <c r="D40" s="60">
        <f t="shared" si="13"/>
        <v>6028846.1538461521</v>
      </c>
      <c r="E40" s="60">
        <f t="shared" si="13"/>
        <v>4948076.9230769202</v>
      </c>
      <c r="F40" s="60">
        <f t="shared" si="13"/>
        <v>3867307.6923076878</v>
      </c>
      <c r="G40" s="60">
        <f t="shared" si="13"/>
        <v>2786538.4615384568</v>
      </c>
      <c r="H40" s="60">
        <f t="shared" si="13"/>
        <v>1705769.2307692263</v>
      </c>
      <c r="I40" s="60">
        <f t="shared" si="13"/>
        <v>625000</v>
      </c>
      <c r="J40" s="60">
        <f t="shared" si="13"/>
        <v>625000</v>
      </c>
      <c r="K40" s="60">
        <f t="shared" si="13"/>
        <v>625000</v>
      </c>
    </row>
    <row r="41" spans="1:11" x14ac:dyDescent="0.6">
      <c r="A41" s="18"/>
      <c r="B41" s="20" t="s">
        <v>144</v>
      </c>
      <c r="C41" s="32">
        <f>C39/C40</f>
        <v>0.95275899377873963</v>
      </c>
      <c r="D41" s="32">
        <f t="shared" ref="D41:H41" si="14">D39/D40</f>
        <v>0.96696570972886786</v>
      </c>
      <c r="E41" s="32">
        <f t="shared" si="14"/>
        <v>1.0145425087446567</v>
      </c>
      <c r="F41" s="32">
        <f t="shared" si="14"/>
        <v>1.1184393802834425</v>
      </c>
      <c r="G41" s="32">
        <f t="shared" si="14"/>
        <v>1.3382319632073867</v>
      </c>
      <c r="H41" s="32">
        <f t="shared" si="14"/>
        <v>1.8859050524062901</v>
      </c>
      <c r="I41" s="60">
        <v>0</v>
      </c>
      <c r="J41" s="60">
        <v>0</v>
      </c>
      <c r="K41" s="60">
        <v>0</v>
      </c>
    </row>
    <row r="42" spans="1:11" x14ac:dyDescent="0.6">
      <c r="A42" s="18"/>
      <c r="B42" s="66"/>
      <c r="C42" s="32"/>
      <c r="D42" s="32"/>
      <c r="E42" s="24"/>
      <c r="F42" s="24">
        <f>AVERAGE(C41:K41)</f>
        <v>0.80853817868326472</v>
      </c>
      <c r="G42" s="24"/>
      <c r="H42" s="24"/>
      <c r="I42" s="24"/>
      <c r="J42" s="24"/>
      <c r="K42" s="24"/>
    </row>
    <row r="43" spans="1:11" x14ac:dyDescent="0.6">
      <c r="A43" s="18"/>
      <c r="B43" s="20"/>
      <c r="C43" s="32"/>
      <c r="D43" s="32"/>
      <c r="E43" s="24"/>
      <c r="F43" s="24"/>
      <c r="G43" s="24"/>
      <c r="H43" s="24"/>
      <c r="I43" s="63"/>
      <c r="J43" s="63"/>
      <c r="K43" s="63"/>
    </row>
    <row r="44" spans="1:11" x14ac:dyDescent="0.6">
      <c r="A44" s="111"/>
      <c r="B44" s="112" t="s">
        <v>150</v>
      </c>
      <c r="C44" s="113"/>
      <c r="D44" s="113"/>
      <c r="E44" s="114"/>
      <c r="F44" s="114"/>
      <c r="G44" s="114"/>
      <c r="H44" s="114"/>
      <c r="I44" s="115"/>
      <c r="J44" s="115"/>
      <c r="K44" s="115"/>
    </row>
    <row r="45" spans="1:11" x14ac:dyDescent="0.6">
      <c r="A45" s="18"/>
      <c r="B45" s="20" t="s">
        <v>151</v>
      </c>
      <c r="C45" s="62">
        <f>'Ann 4'!C25</f>
        <v>479947.11538461543</v>
      </c>
      <c r="D45" s="62">
        <f>'Ann 4'!D25</f>
        <v>427259.61538461526</v>
      </c>
      <c r="E45" s="62">
        <f>'Ann 4'!E25</f>
        <v>362413.46153846139</v>
      </c>
      <c r="F45" s="62">
        <f>'Ann 4'!F25</f>
        <v>297567.30769230745</v>
      </c>
      <c r="G45" s="62">
        <f>'Ann 4'!G25</f>
        <v>232721.15384615358</v>
      </c>
      <c r="H45" s="62">
        <f>'Ann 4'!H25</f>
        <v>167874.99999999971</v>
      </c>
      <c r="I45" s="62">
        <f>'Ann 4'!I25</f>
        <v>103028.84615384589</v>
      </c>
      <c r="J45" s="62">
        <f>'Ann 4'!J25</f>
        <v>62500</v>
      </c>
      <c r="K45" s="62">
        <f>'Ann 4'!K25</f>
        <v>62500</v>
      </c>
    </row>
    <row r="46" spans="1:11" x14ac:dyDescent="0.6">
      <c r="A46" s="18"/>
      <c r="B46" s="20" t="s">
        <v>153</v>
      </c>
      <c r="C46" s="62">
        <f>(SUM('Ann 13'!D9:D12)*100000)+('Ann 1'!$C$25*100000)</f>
        <v>1165384.6153846155</v>
      </c>
      <c r="D46" s="62">
        <f>(SUM('Ann 13'!D13:D16)*100000)+('Ann 1'!$C$25*100000)</f>
        <v>1705769.2307692308</v>
      </c>
      <c r="E46" s="62">
        <f>(SUM('Ann 13'!D17:D20)*100000)+('Ann 1'!$C$25*100000)</f>
        <v>1705769.2307692308</v>
      </c>
      <c r="F46" s="62">
        <f>(SUM('Ann 13'!D21:D24)*100000)+('Ann 1'!$C$25*100000)</f>
        <v>1705769.2307692308</v>
      </c>
      <c r="G46" s="62">
        <f>(SUM('Ann 13'!D25:D28)*100000)+('Ann 1'!$C$25*100000)</f>
        <v>1705769.2307692308</v>
      </c>
      <c r="H46" s="62">
        <f>(SUM('Ann 13'!D29:D32)*100000)+('Ann 1'!$C$25*100000)</f>
        <v>1705769.2307692308</v>
      </c>
      <c r="I46" s="62">
        <f>(SUM('Ann 13'!D33:D36)*100000)+('Ann 1'!$C$25*100000)</f>
        <v>1705769.230769227</v>
      </c>
      <c r="J46" s="62">
        <f>(SUM('Ann 13'!D37:D38)*100000)+('Ann 1'!$C$25*100000)</f>
        <v>625000</v>
      </c>
      <c r="K46" s="62">
        <f>(SUM('Ann 13'!D39:D42)*100000)+('Ann 1'!$C$25*100000)</f>
        <v>625000</v>
      </c>
    </row>
    <row r="47" spans="1:11" x14ac:dyDescent="0.6">
      <c r="A47" s="18"/>
      <c r="B47" s="20" t="s">
        <v>8</v>
      </c>
      <c r="C47" s="62">
        <f>SUM(C45:C46)</f>
        <v>1645331.730769231</v>
      </c>
      <c r="D47" s="62">
        <f t="shared" ref="D47:K47" si="15">SUM(D45:D46)</f>
        <v>2133028.846153846</v>
      </c>
      <c r="E47" s="65">
        <f t="shared" si="15"/>
        <v>2068182.692307692</v>
      </c>
      <c r="F47" s="65">
        <f t="shared" si="15"/>
        <v>2003336.5384615383</v>
      </c>
      <c r="G47" s="65">
        <f t="shared" si="15"/>
        <v>1938490.3846153843</v>
      </c>
      <c r="H47" s="65">
        <f t="shared" si="15"/>
        <v>1873644.2307692305</v>
      </c>
      <c r="I47" s="65">
        <f t="shared" si="15"/>
        <v>1808798.0769230728</v>
      </c>
      <c r="J47" s="65">
        <f t="shared" si="15"/>
        <v>687500</v>
      </c>
      <c r="K47" s="65">
        <f t="shared" si="15"/>
        <v>687500</v>
      </c>
    </row>
    <row r="48" spans="1:11" x14ac:dyDescent="0.6">
      <c r="A48" s="18"/>
      <c r="B48" s="20" t="s">
        <v>152</v>
      </c>
      <c r="C48" s="62">
        <f>'Ann 4'!C20</f>
        <v>2100225</v>
      </c>
      <c r="D48" s="62">
        <f>'Ann 4'!D20</f>
        <v>3314174.75</v>
      </c>
      <c r="E48" s="65">
        <f>'Ann 4'!E20</f>
        <v>3576368.76</v>
      </c>
      <c r="F48" s="65">
        <f>'Ann 4'!F20</f>
        <v>3828350.4436000008</v>
      </c>
      <c r="G48" s="65">
        <f>'Ann 4'!G20</f>
        <v>4069516.9843760002</v>
      </c>
      <c r="H48" s="65">
        <f>'Ann 4'!H20</f>
        <v>4299229.831631761</v>
      </c>
      <c r="I48" s="65">
        <f>'Ann 4'!I20</f>
        <v>4516812.5768492296</v>
      </c>
      <c r="J48" s="65">
        <f>'Ann 4'!J20</f>
        <v>4304918.8883361388</v>
      </c>
      <c r="K48" s="65">
        <f>'Ann 4'!K20</f>
        <v>4080424.6452191565</v>
      </c>
    </row>
    <row r="49" spans="1:12" x14ac:dyDescent="0.6">
      <c r="A49" s="20"/>
      <c r="B49" s="20" t="s">
        <v>144</v>
      </c>
      <c r="C49" s="32">
        <f>C48/C47</f>
        <v>1.2764751087721962</v>
      </c>
      <c r="D49" s="18">
        <f t="shared" ref="D49:I49" si="16">D48/D47</f>
        <v>1.5537411770009242</v>
      </c>
      <c r="E49" s="18">
        <f t="shared" si="16"/>
        <v>1.7292325157259021</v>
      </c>
      <c r="F49" s="18">
        <f t="shared" si="16"/>
        <v>1.9109871806860677</v>
      </c>
      <c r="G49" s="18">
        <f t="shared" si="16"/>
        <v>2.0993227599544855</v>
      </c>
      <c r="H49" s="18">
        <f t="shared" si="16"/>
        <v>2.2945817359716676</v>
      </c>
      <c r="I49" s="18">
        <f t="shared" si="16"/>
        <v>2.4971347739006511</v>
      </c>
      <c r="J49" s="18">
        <v>0</v>
      </c>
      <c r="K49" s="18">
        <v>0</v>
      </c>
      <c r="L49" s="18"/>
    </row>
    <row r="50" spans="1:12" x14ac:dyDescent="0.6">
      <c r="A50" s="67"/>
      <c r="B50" s="69" t="s">
        <v>156</v>
      </c>
      <c r="C50" s="67"/>
      <c r="D50" s="67"/>
      <c r="E50" s="67"/>
      <c r="F50" s="67">
        <f>AVERAGE(C49:G49)</f>
        <v>1.713951748427915</v>
      </c>
      <c r="G50" s="67"/>
      <c r="H50" s="67"/>
      <c r="I50" s="67"/>
      <c r="J50" s="67"/>
      <c r="K50" s="38"/>
      <c r="L50" s="18"/>
    </row>
    <row r="51" spans="1:12" x14ac:dyDescent="0.6">
      <c r="I51" s="26"/>
      <c r="J51" s="26"/>
      <c r="K51" s="26"/>
    </row>
    <row r="53" spans="1:12" x14ac:dyDescent="0.6">
      <c r="A53" s="4" t="s">
        <v>232</v>
      </c>
    </row>
    <row r="54" spans="1:12" x14ac:dyDescent="0.6">
      <c r="A54" s="4" t="s">
        <v>140</v>
      </c>
    </row>
  </sheetData>
  <mergeCells count="3">
    <mergeCell ref="A5:A6"/>
    <mergeCell ref="B5:B6"/>
    <mergeCell ref="C5:K5"/>
  </mergeCells>
  <pageMargins left="0.7" right="0.7" top="0.75" bottom="0.75" header="0.3" footer="0.3"/>
  <pageSetup scale="5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AA480-223F-4A3F-891A-2F2B726FC76B}">
  <sheetPr>
    <pageSetUpPr fitToPage="1"/>
  </sheetPr>
  <dimension ref="A1:C21"/>
  <sheetViews>
    <sheetView topLeftCell="A7" workbookViewId="0">
      <selection activeCell="B21" sqref="B21"/>
    </sheetView>
  </sheetViews>
  <sheetFormatPr defaultRowHeight="17" x14ac:dyDescent="0.6"/>
  <cols>
    <col min="1" max="1" width="53.453125" style="4" bestFit="1" customWidth="1"/>
    <col min="2" max="2" width="13.6328125" style="4" bestFit="1" customWidth="1"/>
    <col min="3" max="3" width="11.1796875" style="4" bestFit="1" customWidth="1"/>
    <col min="4" max="4" width="12.54296875" style="4" bestFit="1" customWidth="1"/>
    <col min="5" max="16384" width="8.7265625" style="4"/>
  </cols>
  <sheetData>
    <row r="1" spans="1:3" x14ac:dyDescent="0.6">
      <c r="A1" s="3" t="s">
        <v>262</v>
      </c>
    </row>
    <row r="3" spans="1:3" x14ac:dyDescent="0.6">
      <c r="A3" s="70" t="s">
        <v>291</v>
      </c>
    </row>
    <row r="5" spans="1:3" x14ac:dyDescent="0.6">
      <c r="A5" s="73" t="s">
        <v>263</v>
      </c>
      <c r="B5" s="74"/>
      <c r="C5" s="74"/>
    </row>
    <row r="6" spans="1:3" x14ac:dyDescent="0.6">
      <c r="A6" s="71" t="s">
        <v>270</v>
      </c>
    </row>
    <row r="7" spans="1:3" x14ac:dyDescent="0.6">
      <c r="A7" s="4" t="s">
        <v>264</v>
      </c>
      <c r="B7" s="4">
        <v>5</v>
      </c>
      <c r="C7" s="4" t="s">
        <v>267</v>
      </c>
    </row>
    <row r="8" spans="1:3" x14ac:dyDescent="0.6">
      <c r="A8" s="4" t="s">
        <v>265</v>
      </c>
      <c r="B8" s="4">
        <v>30</v>
      </c>
      <c r="C8" s="4" t="s">
        <v>268</v>
      </c>
    </row>
    <row r="9" spans="1:3" x14ac:dyDescent="0.6">
      <c r="A9" s="4" t="s">
        <v>266</v>
      </c>
      <c r="B9" s="4">
        <f>B8*Budgets!B17*Budgets!B15*'Ann 3'!E8/B7</f>
        <v>60000</v>
      </c>
      <c r="C9" s="4" t="s">
        <v>269</v>
      </c>
    </row>
    <row r="11" spans="1:3" x14ac:dyDescent="0.6">
      <c r="A11" s="71" t="s">
        <v>290</v>
      </c>
    </row>
    <row r="12" spans="1:3" x14ac:dyDescent="0.6">
      <c r="A12" s="71" t="s">
        <v>264</v>
      </c>
      <c r="B12" s="4">
        <v>0.5</v>
      </c>
      <c r="C12" s="4" t="s">
        <v>271</v>
      </c>
    </row>
    <row r="13" spans="1:3" x14ac:dyDescent="0.6">
      <c r="A13" s="71" t="s">
        <v>297</v>
      </c>
      <c r="B13" s="4">
        <f>B12*'Ann 3'!E18*Budgets!B15*Budgets!B17</f>
        <v>6250</v>
      </c>
      <c r="C13" s="4" t="s">
        <v>273</v>
      </c>
    </row>
    <row r="15" spans="1:3" x14ac:dyDescent="0.6">
      <c r="A15" s="71" t="s">
        <v>296</v>
      </c>
    </row>
    <row r="16" spans="1:3" x14ac:dyDescent="0.6">
      <c r="A16" s="71" t="s">
        <v>264</v>
      </c>
      <c r="B16" s="4">
        <v>6</v>
      </c>
      <c r="C16" s="4" t="s">
        <v>271</v>
      </c>
    </row>
    <row r="17" spans="1:3" x14ac:dyDescent="0.6">
      <c r="A17" s="71" t="s">
        <v>272</v>
      </c>
      <c r="B17" s="4">
        <f>B16*'Ann 3'!E9*Budgets!B15*Budgets!B16</f>
        <v>9000</v>
      </c>
      <c r="C17" s="4" t="s">
        <v>273</v>
      </c>
    </row>
    <row r="19" spans="1:3" x14ac:dyDescent="0.6">
      <c r="A19" s="4" t="s">
        <v>274</v>
      </c>
      <c r="B19" s="4">
        <f>B13+B9+B17</f>
        <v>75250</v>
      </c>
    </row>
    <row r="20" spans="1:3" x14ac:dyDescent="0.6">
      <c r="A20" s="4" t="s">
        <v>275</v>
      </c>
      <c r="B20" s="4">
        <v>100</v>
      </c>
    </row>
    <row r="21" spans="1:3" x14ac:dyDescent="0.6">
      <c r="A21" s="4" t="s">
        <v>276</v>
      </c>
      <c r="B21" s="72">
        <f>B19*B20</f>
        <v>7525000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F1FBF-6FFA-405B-9A95-302F8FAA33B6}">
  <dimension ref="A1:E17"/>
  <sheetViews>
    <sheetView tabSelected="1" workbookViewId="0">
      <selection activeCell="A2" sqref="A2"/>
    </sheetView>
  </sheetViews>
  <sheetFormatPr defaultRowHeight="17" x14ac:dyDescent="0.6"/>
  <cols>
    <col min="1" max="1" width="5.6328125" style="4" bestFit="1" customWidth="1"/>
    <col min="2" max="2" width="26.08984375" style="4" bestFit="1" customWidth="1"/>
    <col min="3" max="3" width="8.7265625" style="4"/>
    <col min="4" max="4" width="25" style="4" bestFit="1" customWidth="1"/>
    <col min="5" max="5" width="12.54296875" style="4" bestFit="1" customWidth="1"/>
    <col min="6" max="16384" width="8.7265625" style="4"/>
  </cols>
  <sheetData>
    <row r="1" spans="1:5" x14ac:dyDescent="0.6">
      <c r="A1" s="3" t="s">
        <v>309</v>
      </c>
    </row>
    <row r="3" spans="1:5" x14ac:dyDescent="0.6">
      <c r="A3" s="70" t="s">
        <v>160</v>
      </c>
    </row>
    <row r="5" spans="1:5" x14ac:dyDescent="0.6">
      <c r="A5" s="42" t="s">
        <v>52</v>
      </c>
      <c r="B5" s="42" t="s">
        <v>53</v>
      </c>
      <c r="C5" s="42" t="s">
        <v>54</v>
      </c>
      <c r="D5" s="42" t="s">
        <v>55</v>
      </c>
      <c r="E5" s="42" t="s">
        <v>231</v>
      </c>
    </row>
    <row r="6" spans="1:5" x14ac:dyDescent="0.6">
      <c r="A6" s="54" t="s">
        <v>56</v>
      </c>
      <c r="B6" s="54" t="s">
        <v>181</v>
      </c>
      <c r="C6" s="54">
        <v>5</v>
      </c>
      <c r="D6" s="53">
        <v>19000</v>
      </c>
      <c r="E6" s="53">
        <f>D6*C6*12</f>
        <v>1140000</v>
      </c>
    </row>
    <row r="7" spans="1:5" x14ac:dyDescent="0.6">
      <c r="A7" s="44" t="s">
        <v>57</v>
      </c>
      <c r="B7" s="44" t="s">
        <v>60</v>
      </c>
      <c r="C7" s="44">
        <v>1</v>
      </c>
      <c r="D7" s="53">
        <v>30000</v>
      </c>
      <c r="E7" s="53">
        <f>D7*C7*12</f>
        <v>360000</v>
      </c>
    </row>
    <row r="8" spans="1:5" x14ac:dyDescent="0.6">
      <c r="A8" s="44" t="s">
        <v>61</v>
      </c>
      <c r="B8" s="44" t="s">
        <v>230</v>
      </c>
      <c r="C8" s="44">
        <v>3</v>
      </c>
      <c r="D8" s="53">
        <v>14000</v>
      </c>
      <c r="E8" s="53">
        <f>D8*C8*12</f>
        <v>504000</v>
      </c>
    </row>
    <row r="9" spans="1:5" x14ac:dyDescent="0.6">
      <c r="A9" s="44" t="s">
        <v>229</v>
      </c>
      <c r="B9" s="44" t="s">
        <v>161</v>
      </c>
      <c r="C9" s="44">
        <v>1</v>
      </c>
      <c r="D9" s="53">
        <v>11000</v>
      </c>
      <c r="E9" s="53">
        <f>D9*C9*12</f>
        <v>132000</v>
      </c>
    </row>
    <row r="10" spans="1:5" x14ac:dyDescent="0.6">
      <c r="A10" s="126" t="s">
        <v>8</v>
      </c>
      <c r="B10" s="126"/>
      <c r="C10" s="126"/>
      <c r="D10" s="126"/>
      <c r="E10" s="75">
        <f>SUM(E6:E9)</f>
        <v>2136000</v>
      </c>
    </row>
    <row r="11" spans="1:5" x14ac:dyDescent="0.6">
      <c r="A11" s="5"/>
      <c r="B11" s="7"/>
      <c r="C11" s="7"/>
      <c r="D11" s="7"/>
      <c r="E11" s="59"/>
    </row>
    <row r="12" spans="1:5" x14ac:dyDescent="0.6">
      <c r="A12" s="67" t="s">
        <v>285</v>
      </c>
      <c r="B12" s="23"/>
      <c r="C12" s="23"/>
      <c r="D12" s="23"/>
      <c r="E12" s="76">
        <f>E10*15%</f>
        <v>320400</v>
      </c>
    </row>
    <row r="13" spans="1:5" x14ac:dyDescent="0.6">
      <c r="A13" s="14" t="s">
        <v>8</v>
      </c>
      <c r="B13" s="15"/>
      <c r="C13" s="15"/>
      <c r="D13" s="15"/>
      <c r="E13" s="77">
        <f>SUM(E10:E12)</f>
        <v>2456400</v>
      </c>
    </row>
    <row r="15" spans="1:5" x14ac:dyDescent="0.6">
      <c r="A15" s="4" t="s">
        <v>58</v>
      </c>
      <c r="E15" s="26">
        <f>E13</f>
        <v>2456400</v>
      </c>
    </row>
    <row r="16" spans="1:5" x14ac:dyDescent="0.6">
      <c r="A16" s="4" t="s">
        <v>59</v>
      </c>
      <c r="E16" s="78">
        <v>0.06</v>
      </c>
    </row>
    <row r="17" spans="1:5" x14ac:dyDescent="0.6">
      <c r="A17" s="4" t="s">
        <v>163</v>
      </c>
      <c r="E17" s="4">
        <f>SUM(C6:C9)</f>
        <v>10</v>
      </c>
    </row>
  </sheetData>
  <mergeCells count="1">
    <mergeCell ref="A10:D1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D6B57-BA66-499F-8B17-ED356988118B}">
  <sheetPr>
    <pageSetUpPr fitToPage="1"/>
  </sheetPr>
  <dimension ref="A1:F22"/>
  <sheetViews>
    <sheetView workbookViewId="0">
      <selection activeCell="C12" sqref="C12"/>
    </sheetView>
  </sheetViews>
  <sheetFormatPr defaultRowHeight="17" x14ac:dyDescent="0.6"/>
  <cols>
    <col min="1" max="1" width="6.36328125" style="4" bestFit="1" customWidth="1"/>
    <col min="2" max="2" width="18.81640625" style="4" bestFit="1" customWidth="1"/>
    <col min="3" max="3" width="19.453125" style="4" bestFit="1" customWidth="1"/>
    <col min="4" max="4" width="18.08984375" style="4" bestFit="1" customWidth="1"/>
    <col min="5" max="5" width="14.453125" style="4" bestFit="1" customWidth="1"/>
    <col min="6" max="6" width="26.453125" style="4" bestFit="1" customWidth="1"/>
    <col min="7" max="16384" width="8.7265625" style="4"/>
  </cols>
  <sheetData>
    <row r="1" spans="1:6" x14ac:dyDescent="0.6">
      <c r="A1" s="3" t="s">
        <v>63</v>
      </c>
    </row>
    <row r="3" spans="1:6" x14ac:dyDescent="0.6">
      <c r="A3" s="70" t="s">
        <v>62</v>
      </c>
    </row>
    <row r="5" spans="1:6" x14ac:dyDescent="0.6">
      <c r="A5" s="42" t="s">
        <v>24</v>
      </c>
      <c r="B5" s="42" t="s">
        <v>3</v>
      </c>
      <c r="C5" s="42" t="s">
        <v>66</v>
      </c>
      <c r="D5" s="42" t="s">
        <v>11</v>
      </c>
      <c r="E5" s="42" t="s">
        <v>67</v>
      </c>
      <c r="F5" s="42" t="s">
        <v>68</v>
      </c>
    </row>
    <row r="6" spans="1:6" x14ac:dyDescent="0.6">
      <c r="A6" s="44" t="s">
        <v>56</v>
      </c>
      <c r="B6" s="44" t="s">
        <v>13</v>
      </c>
      <c r="C6" s="53">
        <f>'Ann 1'!C12*100000</f>
        <v>1600000</v>
      </c>
      <c r="D6" s="53">
        <f>('Ann 1'!C20+'Ann 1'!C37)*100000</f>
        <v>6275000</v>
      </c>
      <c r="E6" s="53">
        <v>0</v>
      </c>
      <c r="F6" s="44">
        <f>SUM(C6:E6)/100000</f>
        <v>78.75</v>
      </c>
    </row>
    <row r="7" spans="1:6" x14ac:dyDescent="0.6">
      <c r="A7" s="44" t="s">
        <v>57</v>
      </c>
      <c r="B7" s="44" t="s">
        <v>64</v>
      </c>
      <c r="C7" s="53">
        <v>0</v>
      </c>
      <c r="D7" s="53">
        <v>0</v>
      </c>
      <c r="E7" s="53">
        <v>0</v>
      </c>
      <c r="F7" s="53">
        <f>SUM(C7:E7)/100000</f>
        <v>0</v>
      </c>
    </row>
    <row r="8" spans="1:6" x14ac:dyDescent="0.6">
      <c r="A8" s="44" t="s">
        <v>61</v>
      </c>
      <c r="B8" s="44" t="s">
        <v>65</v>
      </c>
      <c r="C8" s="53">
        <v>0</v>
      </c>
      <c r="D8" s="53">
        <v>0</v>
      </c>
      <c r="E8" s="53">
        <v>0</v>
      </c>
      <c r="F8" s="53">
        <f>SUM(C8:E8)/100000</f>
        <v>0</v>
      </c>
    </row>
    <row r="9" spans="1:6" x14ac:dyDescent="0.6">
      <c r="A9" s="44"/>
      <c r="B9" s="126" t="s">
        <v>8</v>
      </c>
      <c r="C9" s="126"/>
      <c r="D9" s="126"/>
      <c r="E9" s="126"/>
      <c r="F9" s="44">
        <f>SUM(F6:F8)</f>
        <v>78.75</v>
      </c>
    </row>
    <row r="11" spans="1:6" x14ac:dyDescent="0.6">
      <c r="A11" s="84"/>
      <c r="B11" s="84" t="s">
        <v>69</v>
      </c>
      <c r="C11" s="85">
        <v>0.1</v>
      </c>
      <c r="D11" s="85">
        <v>0.15</v>
      </c>
      <c r="E11" s="85">
        <v>0.1</v>
      </c>
      <c r="F11" s="84" t="s">
        <v>180</v>
      </c>
    </row>
    <row r="12" spans="1:6" x14ac:dyDescent="0.6">
      <c r="A12" s="80" t="s">
        <v>70</v>
      </c>
      <c r="B12" s="81">
        <v>1</v>
      </c>
      <c r="C12" s="82">
        <f>C11*C6</f>
        <v>160000</v>
      </c>
      <c r="D12" s="82">
        <f>D11*D6</f>
        <v>941250</v>
      </c>
      <c r="E12" s="82">
        <f>E11*E6</f>
        <v>0</v>
      </c>
      <c r="F12" s="82">
        <f>SUM(C12:E12)</f>
        <v>1101250</v>
      </c>
    </row>
    <row r="13" spans="1:6" x14ac:dyDescent="0.6">
      <c r="A13" s="80" t="s">
        <v>70</v>
      </c>
      <c r="B13" s="81">
        <v>2</v>
      </c>
      <c r="C13" s="82">
        <f>(C6-C12)*C11</f>
        <v>144000</v>
      </c>
      <c r="D13" s="82">
        <f>(D6-D12)*D11</f>
        <v>800062.5</v>
      </c>
      <c r="E13" s="82">
        <f>(E6-E12)*E11</f>
        <v>0</v>
      </c>
      <c r="F13" s="82">
        <f>SUM(C13:E13)</f>
        <v>944062.5</v>
      </c>
    </row>
    <row r="14" spans="1:6" x14ac:dyDescent="0.6">
      <c r="A14" s="80" t="s">
        <v>70</v>
      </c>
      <c r="B14" s="81">
        <v>3</v>
      </c>
      <c r="C14" s="82">
        <f>(C6-C12-C13)*C11</f>
        <v>129600</v>
      </c>
      <c r="D14" s="82">
        <f>(D6-D12-D13)*D11</f>
        <v>680053.125</v>
      </c>
      <c r="E14" s="82">
        <f>(E6-E12-E13)*E11</f>
        <v>0</v>
      </c>
      <c r="F14" s="82">
        <f t="shared" ref="F14:F20" si="0">SUM(C14:E14)</f>
        <v>809653.125</v>
      </c>
    </row>
    <row r="15" spans="1:6" x14ac:dyDescent="0.6">
      <c r="A15" s="80" t="s">
        <v>70</v>
      </c>
      <c r="B15" s="81">
        <v>4</v>
      </c>
      <c r="C15" s="82">
        <f>(C6-C12-C13-C14)*C11</f>
        <v>116640</v>
      </c>
      <c r="D15" s="82">
        <f>(D6-D12-D13-D14)*D11</f>
        <v>578045.15625</v>
      </c>
      <c r="E15" s="82">
        <f>(E6-E12-E13-E14)*E11</f>
        <v>0</v>
      </c>
      <c r="F15" s="82">
        <f t="shared" si="0"/>
        <v>694685.15625</v>
      </c>
    </row>
    <row r="16" spans="1:6" x14ac:dyDescent="0.6">
      <c r="A16" s="80" t="s">
        <v>70</v>
      </c>
      <c r="B16" s="81">
        <v>5</v>
      </c>
      <c r="C16" s="82">
        <f>(C6-C12-C13-C14-C15)*C11</f>
        <v>104976</v>
      </c>
      <c r="D16" s="82">
        <f>(D6-D12-D13-D14-D15)*D11</f>
        <v>491338.3828125</v>
      </c>
      <c r="E16" s="82">
        <f>(E6-E12-E13-E14-E15)*E11</f>
        <v>0</v>
      </c>
      <c r="F16" s="82">
        <f t="shared" si="0"/>
        <v>596314.3828125</v>
      </c>
    </row>
    <row r="17" spans="1:6" x14ac:dyDescent="0.6">
      <c r="A17" s="80" t="s">
        <v>70</v>
      </c>
      <c r="B17" s="81">
        <v>6</v>
      </c>
      <c r="C17" s="82">
        <f>(C6-C12-C13-C14-C15-C16)*C11</f>
        <v>94478.400000000009</v>
      </c>
      <c r="D17" s="82">
        <f>(D6-D12-D13-D14-D15-D16)*D11</f>
        <v>417637.62539062498</v>
      </c>
      <c r="E17" s="82">
        <f>(E6-E12-E13-E14-E15-E16)*E11</f>
        <v>0</v>
      </c>
      <c r="F17" s="82">
        <f t="shared" si="0"/>
        <v>512116.025390625</v>
      </c>
    </row>
    <row r="18" spans="1:6" x14ac:dyDescent="0.6">
      <c r="A18" s="80" t="s">
        <v>70</v>
      </c>
      <c r="B18" s="81">
        <v>7</v>
      </c>
      <c r="C18" s="82">
        <f>(C6-C12-C13-C14-C15-C16-C17)*C11</f>
        <v>85030.56</v>
      </c>
      <c r="D18" s="82">
        <f>(D6-D12-D13-D14-D15-D16-D17)*D11</f>
        <v>354991.98158203124</v>
      </c>
      <c r="E18" s="82">
        <f>(E6-E12-E13-E14-E15-E16-E17)*E11</f>
        <v>0</v>
      </c>
      <c r="F18" s="82">
        <f t="shared" si="0"/>
        <v>440022.54158203123</v>
      </c>
    </row>
    <row r="19" spans="1:6" x14ac:dyDescent="0.6">
      <c r="A19" s="80" t="s">
        <v>70</v>
      </c>
      <c r="B19" s="81">
        <v>8</v>
      </c>
      <c r="C19" s="82">
        <f>(C6-C12-C13-C14-C15-C16-C17-C18)*C11</f>
        <v>76527.504000000001</v>
      </c>
      <c r="D19" s="82">
        <f>(D6-D12-D13-D14-D15-D16-D17-D18)*D11</f>
        <v>301743.18434472656</v>
      </c>
      <c r="E19" s="82">
        <f>(E6-E12-E13-E14-E15-E16-E17-E18)*E11</f>
        <v>0</v>
      </c>
      <c r="F19" s="82">
        <f t="shared" si="0"/>
        <v>378270.68834472657</v>
      </c>
    </row>
    <row r="20" spans="1:6" x14ac:dyDescent="0.6">
      <c r="A20" s="80" t="s">
        <v>70</v>
      </c>
      <c r="B20" s="81">
        <v>9</v>
      </c>
      <c r="C20" s="82">
        <f>(C6-C12-C13-C14-C15-C16-C17-C18-C19)*C11</f>
        <v>68874.753600000011</v>
      </c>
      <c r="D20" s="82">
        <f>(D6-D12-D13-D14-D15-D16-D17-D18-D19)*D11</f>
        <v>256481.70669301756</v>
      </c>
      <c r="E20" s="82">
        <f>(E6-E12-E13-E14-E15-E16-E17-E18-E19)*E11</f>
        <v>0</v>
      </c>
      <c r="F20" s="82">
        <f t="shared" si="0"/>
        <v>325356.46029301756</v>
      </c>
    </row>
    <row r="21" spans="1:6" x14ac:dyDescent="0.6">
      <c r="B21" s="40"/>
    </row>
    <row r="22" spans="1:6" x14ac:dyDescent="0.6">
      <c r="A22" s="83"/>
    </row>
  </sheetData>
  <mergeCells count="1">
    <mergeCell ref="B9:E9"/>
  </mergeCells>
  <pageMargins left="0.7" right="0.7" top="0.75" bottom="0.75" header="0.3" footer="0.3"/>
  <pageSetup scale="8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Ann 1</vt:lpstr>
      <vt:lpstr>Ann 2</vt:lpstr>
      <vt:lpstr>Ann 3</vt:lpstr>
      <vt:lpstr>Ann 4</vt:lpstr>
      <vt:lpstr>Ann 5</vt:lpstr>
      <vt:lpstr>Ann 6</vt:lpstr>
      <vt:lpstr>Ann 8</vt:lpstr>
      <vt:lpstr>Ann 9</vt:lpstr>
      <vt:lpstr>Ann 10</vt:lpstr>
      <vt:lpstr>Ann 11</vt:lpstr>
      <vt:lpstr>Ann 12</vt:lpstr>
      <vt:lpstr>Ann 13</vt:lpstr>
      <vt:lpstr>Ann 14</vt:lpstr>
      <vt:lpstr>Budgets</vt:lpstr>
      <vt:lpstr>For word file</vt:lpstr>
      <vt:lpstr>Assumptions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Navodita Arya</dc:creator>
  <cp:lastModifiedBy>Navodita Arya</cp:lastModifiedBy>
  <cp:lastPrinted>2021-11-12T10:04:58Z</cp:lastPrinted>
  <dcterms:created xsi:type="dcterms:W3CDTF">2021-07-04T07:21:16Z</dcterms:created>
  <dcterms:modified xsi:type="dcterms:W3CDTF">2021-11-12T10:04:59Z</dcterms:modified>
</cp:coreProperties>
</file>