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Assignments\6. Ashiwini Mittal Sir- Nabcons\1. F&amp;V Processing unit\"/>
    </mc:Choice>
  </mc:AlternateContent>
  <xr:revisionPtr revIDLastSave="0" documentId="13_ncr:1_{04CBE1E1-6465-4CB7-B5EE-926BB1A61A57}" xr6:coauthVersionLast="47" xr6:coauthVersionMax="47" xr10:uidLastSave="{00000000-0000-0000-0000-000000000000}"/>
  <bookViews>
    <workbookView xWindow="-110" yWindow="-110" windowWidth="19420" windowHeight="11020" xr2:uid="{8B0049CE-B79C-4EF0-8FA8-FBBF9BECEBD1}"/>
  </bookViews>
  <sheets>
    <sheet name="Contents" sheetId="18" r:id="rId1"/>
    <sheet name="Ann 1" sheetId="1" r:id="rId2"/>
    <sheet name="Ann 2" sheetId="2" r:id="rId3"/>
    <sheet name="Ann 3" sheetId="3" r:id="rId4"/>
    <sheet name="Ann 4" sheetId="4" r:id="rId5"/>
    <sheet name="Ann 5" sheetId="7" r:id="rId6"/>
    <sheet name="Ann 6" sheetId="6" r:id="rId7"/>
    <sheet name="Ann 7" sheetId="8" r:id="rId8"/>
    <sheet name="Ann 8" sheetId="9" r:id="rId9"/>
    <sheet name="Ann 9" sheetId="10" r:id="rId10"/>
    <sheet name="Ann 10" sheetId="13" r:id="rId11"/>
    <sheet name="Ann 11" sheetId="11" r:id="rId12"/>
    <sheet name="Ann 12" sheetId="12" state="hidden" r:id="rId13"/>
    <sheet name="Ann 13" sheetId="14" r:id="rId14"/>
    <sheet name="Budgets" sheetId="5" r:id="rId15"/>
    <sheet name="Assumptions" sheetId="17" r:id="rId16"/>
    <sheet name="For word file" sheetId="16" state="hidden" r:id="rId17"/>
    <sheet name="Sheet1" sheetId="15" state="hidden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7" l="1"/>
  <c r="G18" i="3"/>
  <c r="G16" i="3"/>
  <c r="E6" i="10"/>
  <c r="C25" i="7"/>
  <c r="D14" i="14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0" i="4"/>
  <c r="E30" i="4"/>
  <c r="F30" i="4"/>
  <c r="G30" i="4"/>
  <c r="H30" i="4"/>
  <c r="I30" i="4"/>
  <c r="J30" i="4"/>
  <c r="K30" i="4"/>
  <c r="C30" i="4"/>
  <c r="C7" i="2"/>
  <c r="E25" i="7" s="1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D32" i="14" l="1"/>
  <c r="K25" i="7"/>
  <c r="K36" i="7" s="1"/>
  <c r="J25" i="7"/>
  <c r="J36" i="7" s="1"/>
  <c r="D25" i="7"/>
  <c r="I25" i="7"/>
  <c r="H25" i="7"/>
  <c r="G25" i="7"/>
  <c r="F25" i="7"/>
  <c r="E28" i="11"/>
  <c r="D28" i="11"/>
  <c r="E11" i="11"/>
  <c r="E49" i="7"/>
  <c r="F49" i="7"/>
  <c r="H49" i="7"/>
  <c r="G10" i="14"/>
  <c r="E12" i="10"/>
  <c r="G49" i="7"/>
  <c r="C49" i="7"/>
  <c r="K14" i="7"/>
  <c r="C11" i="4"/>
  <c r="E7" i="11"/>
  <c r="E9" i="11" s="1"/>
  <c r="F5" i="11"/>
  <c r="B18" i="5"/>
  <c r="B19" i="5" s="1"/>
  <c r="C22" i="5" s="1"/>
  <c r="D20" i="4"/>
  <c r="E20" i="4" s="1"/>
  <c r="F20" i="4" s="1"/>
  <c r="G20" i="4" s="1"/>
  <c r="H20" i="4" s="1"/>
  <c r="I20" i="4" s="1"/>
  <c r="J20" i="4" s="1"/>
  <c r="K20" i="4" s="1"/>
  <c r="D19" i="4"/>
  <c r="E19" i="4" s="1"/>
  <c r="F19" i="4" s="1"/>
  <c r="G19" i="4" s="1"/>
  <c r="H19" i="4" s="1"/>
  <c r="I19" i="4" s="1"/>
  <c r="J19" i="4" s="1"/>
  <c r="K19" i="4" s="1"/>
  <c r="E24" i="11"/>
  <c r="E27" i="11" s="1"/>
  <c r="D24" i="11"/>
  <c r="D27" i="11" s="1"/>
  <c r="J31" i="4"/>
  <c r="J48" i="7" s="1"/>
  <c r="J50" i="7" s="1"/>
  <c r="K31" i="4"/>
  <c r="K48" i="7" s="1"/>
  <c r="K50" i="7" s="1"/>
  <c r="C25" i="4"/>
  <c r="B3" i="16" s="1"/>
  <c r="C21" i="4"/>
  <c r="B12" i="6"/>
  <c r="D18" i="4"/>
  <c r="E18" i="4" s="1"/>
  <c r="F18" i="4" s="1"/>
  <c r="G18" i="4" s="1"/>
  <c r="E26" i="11"/>
  <c r="D26" i="11"/>
  <c r="E10" i="11"/>
  <c r="C32" i="1"/>
  <c r="C34" i="4" s="1"/>
  <c r="F8" i="10"/>
  <c r="F7" i="10"/>
  <c r="D6" i="10"/>
  <c r="D12" i="10" s="1"/>
  <c r="D13" i="10" s="1"/>
  <c r="E16" i="9"/>
  <c r="E15" i="8"/>
  <c r="E8" i="9"/>
  <c r="E7" i="9"/>
  <c r="E6" i="9"/>
  <c r="E7" i="8"/>
  <c r="E6" i="8"/>
  <c r="B19" i="6"/>
  <c r="D19" i="6" s="1"/>
  <c r="B13" i="6"/>
  <c r="B10" i="6"/>
  <c r="C13" i="5"/>
  <c r="D13" i="5" s="1"/>
  <c r="E13" i="5" s="1"/>
  <c r="F13" i="5" s="1"/>
  <c r="G13" i="5" s="1"/>
  <c r="H13" i="5" s="1"/>
  <c r="C12" i="5"/>
  <c r="D12" i="5" s="1"/>
  <c r="E12" i="5" s="1"/>
  <c r="F12" i="5" s="1"/>
  <c r="G12" i="5" s="1"/>
  <c r="H12" i="5" s="1"/>
  <c r="I12" i="5" s="1"/>
  <c r="J12" i="5" s="1"/>
  <c r="B38" i="5"/>
  <c r="B30" i="5"/>
  <c r="C10" i="5"/>
  <c r="D10" i="5" s="1"/>
  <c r="E10" i="5" s="1"/>
  <c r="F10" i="5" s="1"/>
  <c r="G10" i="5" s="1"/>
  <c r="H10" i="5" s="1"/>
  <c r="I10" i="5" s="1"/>
  <c r="J10" i="5" s="1"/>
  <c r="C9" i="5"/>
  <c r="D9" i="5" s="1"/>
  <c r="E9" i="5" s="1"/>
  <c r="F9" i="5" s="1"/>
  <c r="G9" i="5" s="1"/>
  <c r="H9" i="5" s="1"/>
  <c r="I9" i="5" s="1"/>
  <c r="J9" i="5" s="1"/>
  <c r="G37" i="3"/>
  <c r="G39" i="3" s="1"/>
  <c r="C6" i="10"/>
  <c r="C9" i="1"/>
  <c r="C16" i="1" l="1"/>
  <c r="C17" i="1" s="1"/>
  <c r="D33" i="14"/>
  <c r="D34" i="14" s="1"/>
  <c r="D35" i="14" s="1"/>
  <c r="B15" i="6"/>
  <c r="B18" i="6" s="1"/>
  <c r="D18" i="6" s="1"/>
  <c r="D20" i="6" s="1"/>
  <c r="E12" i="11" s="1"/>
  <c r="E30" i="11" s="1"/>
  <c r="E31" i="11" s="1"/>
  <c r="E32" i="11" s="1"/>
  <c r="E34" i="11" s="1"/>
  <c r="C13" i="7"/>
  <c r="C3" i="15"/>
  <c r="K43" i="7"/>
  <c r="J43" i="7"/>
  <c r="I43" i="7"/>
  <c r="I36" i="7"/>
  <c r="C12" i="10"/>
  <c r="C13" i="10" s="1"/>
  <c r="C9" i="7"/>
  <c r="F6" i="10"/>
  <c r="F9" i="10" s="1"/>
  <c r="C7" i="15"/>
  <c r="C12" i="1"/>
  <c r="C13" i="1" s="1"/>
  <c r="C35" i="4"/>
  <c r="D49" i="7"/>
  <c r="E13" i="10"/>
  <c r="J7" i="5"/>
  <c r="K7" i="4" s="1"/>
  <c r="K6" i="12" s="1"/>
  <c r="D6" i="5"/>
  <c r="E6" i="4" s="1"/>
  <c r="G7" i="5"/>
  <c r="H7" i="4" s="1"/>
  <c r="H6" i="12" s="1"/>
  <c r="C6" i="5"/>
  <c r="C29" i="5" s="1"/>
  <c r="I6" i="5"/>
  <c r="I29" i="5" s="1"/>
  <c r="D7" i="5"/>
  <c r="E7" i="4" s="1"/>
  <c r="E6" i="12" s="1"/>
  <c r="B6" i="5"/>
  <c r="B29" i="5" s="1"/>
  <c r="B31" i="5" s="1"/>
  <c r="B23" i="5"/>
  <c r="I7" i="5"/>
  <c r="C7" i="5"/>
  <c r="D7" i="4" s="1"/>
  <c r="D6" i="12" s="1"/>
  <c r="F7" i="5"/>
  <c r="F37" i="5" s="1"/>
  <c r="E7" i="5"/>
  <c r="F7" i="4" s="1"/>
  <c r="F6" i="12" s="1"/>
  <c r="J6" i="5"/>
  <c r="J29" i="5" s="1"/>
  <c r="G6" i="5"/>
  <c r="H6" i="4" s="1"/>
  <c r="E6" i="5"/>
  <c r="F6" i="4" s="1"/>
  <c r="H6" i="5"/>
  <c r="H29" i="5" s="1"/>
  <c r="B22" i="5"/>
  <c r="H7" i="5"/>
  <c r="H37" i="5" s="1"/>
  <c r="F6" i="5"/>
  <c r="G6" i="4" s="1"/>
  <c r="B7" i="5"/>
  <c r="B37" i="5" s="1"/>
  <c r="B39" i="5" s="1"/>
  <c r="C36" i="5" s="1"/>
  <c r="I25" i="4"/>
  <c r="I21" i="4"/>
  <c r="H21" i="4"/>
  <c r="F25" i="4"/>
  <c r="D21" i="4"/>
  <c r="D25" i="4"/>
  <c r="H25" i="4"/>
  <c r="G25" i="4"/>
  <c r="G21" i="4"/>
  <c r="F21" i="4"/>
  <c r="E21" i="4"/>
  <c r="E25" i="4"/>
  <c r="E9" i="9"/>
  <c r="E11" i="9" s="1"/>
  <c r="E12" i="9" s="1"/>
  <c r="E14" i="9" s="1"/>
  <c r="E8" i="8"/>
  <c r="E10" i="8" s="1"/>
  <c r="E11" i="8" s="1"/>
  <c r="E13" i="8" s="1"/>
  <c r="H18" i="4"/>
  <c r="I18" i="4" s="1"/>
  <c r="E8" i="11"/>
  <c r="I6" i="4"/>
  <c r="J37" i="5"/>
  <c r="D14" i="10"/>
  <c r="C30" i="5"/>
  <c r="C38" i="5"/>
  <c r="E38" i="5"/>
  <c r="G38" i="5"/>
  <c r="F38" i="5"/>
  <c r="D38" i="5"/>
  <c r="E29" i="5" l="1"/>
  <c r="I7" i="4"/>
  <c r="I6" i="12" s="1"/>
  <c r="C34" i="1"/>
  <c r="C8" i="2" s="1"/>
  <c r="C4" i="2" s="1"/>
  <c r="D30" i="11"/>
  <c r="D31" i="11" s="1"/>
  <c r="D32" i="11" s="1"/>
  <c r="D34" i="11" s="1"/>
  <c r="F12" i="11"/>
  <c r="F13" i="11" s="1"/>
  <c r="C6" i="4"/>
  <c r="C5" i="12" s="1"/>
  <c r="K6" i="4"/>
  <c r="K26" i="7" s="1"/>
  <c r="K31" i="7" s="1"/>
  <c r="C37" i="5"/>
  <c r="G29" i="5"/>
  <c r="D29" i="5"/>
  <c r="E37" i="5"/>
  <c r="D6" i="4"/>
  <c r="D5" i="12" s="1"/>
  <c r="C13" i="4"/>
  <c r="C12" i="7" s="1"/>
  <c r="G7" i="4"/>
  <c r="G9" i="4" s="1"/>
  <c r="F29" i="5"/>
  <c r="G37" i="5"/>
  <c r="D37" i="5"/>
  <c r="H3" i="16"/>
  <c r="I3" i="15"/>
  <c r="I13" i="7"/>
  <c r="G5" i="12"/>
  <c r="C3" i="16"/>
  <c r="D13" i="7"/>
  <c r="D3" i="15"/>
  <c r="E5" i="12"/>
  <c r="D14" i="7"/>
  <c r="E26" i="7"/>
  <c r="E31" i="7" s="1"/>
  <c r="D11" i="4"/>
  <c r="F3" i="16"/>
  <c r="G13" i="7"/>
  <c r="G3" i="15"/>
  <c r="G3" i="16"/>
  <c r="H3" i="15"/>
  <c r="H13" i="7"/>
  <c r="D3" i="16"/>
  <c r="E13" i="7"/>
  <c r="E3" i="15"/>
  <c r="E3" i="16"/>
  <c r="F13" i="7"/>
  <c r="F3" i="15"/>
  <c r="I26" i="7"/>
  <c r="I31" i="7" s="1"/>
  <c r="F5" i="12"/>
  <c r="F26" i="7"/>
  <c r="F31" i="7" s="1"/>
  <c r="E14" i="7"/>
  <c r="H8" i="4"/>
  <c r="H26" i="7"/>
  <c r="H31" i="7" s="1"/>
  <c r="G14" i="7"/>
  <c r="C14" i="10"/>
  <c r="C15" i="10" s="1"/>
  <c r="C16" i="10" s="1"/>
  <c r="C6" i="2"/>
  <c r="D4" i="14" s="1"/>
  <c r="C19" i="7"/>
  <c r="B10" i="13"/>
  <c r="C10" i="7"/>
  <c r="C11" i="7" s="1"/>
  <c r="D9" i="7" s="1"/>
  <c r="D10" i="7"/>
  <c r="C10" i="13"/>
  <c r="D35" i="4"/>
  <c r="E14" i="10"/>
  <c r="H9" i="4"/>
  <c r="E8" i="4"/>
  <c r="F8" i="4"/>
  <c r="E9" i="4"/>
  <c r="H5" i="12"/>
  <c r="F9" i="4"/>
  <c r="J6" i="4"/>
  <c r="C7" i="4"/>
  <c r="C6" i="12" s="1"/>
  <c r="J7" i="4"/>
  <c r="J6" i="12" s="1"/>
  <c r="I37" i="5"/>
  <c r="G17" i="4"/>
  <c r="G22" i="4" s="1"/>
  <c r="F15" i="11"/>
  <c r="H17" i="4"/>
  <c r="H22" i="4" s="1"/>
  <c r="F17" i="4"/>
  <c r="F22" i="4" s="1"/>
  <c r="K17" i="4"/>
  <c r="C17" i="4"/>
  <c r="C22" i="4" s="1"/>
  <c r="J17" i="4"/>
  <c r="I17" i="4"/>
  <c r="I22" i="4" s="1"/>
  <c r="E17" i="4"/>
  <c r="E22" i="4" s="1"/>
  <c r="D17" i="4"/>
  <c r="D22" i="4" s="1"/>
  <c r="J18" i="4"/>
  <c r="I5" i="12"/>
  <c r="I8" i="4"/>
  <c r="K8" i="4"/>
  <c r="F34" i="11"/>
  <c r="D15" i="10"/>
  <c r="D16" i="10" s="1"/>
  <c r="D17" i="10" s="1"/>
  <c r="C28" i="5"/>
  <c r="H38" i="5"/>
  <c r="D30" i="5"/>
  <c r="C39" i="5"/>
  <c r="G26" i="7" l="1"/>
  <c r="G31" i="7" s="1"/>
  <c r="I9" i="4"/>
  <c r="I10" i="4" s="1"/>
  <c r="H14" i="7"/>
  <c r="D8" i="4"/>
  <c r="H10" i="4"/>
  <c r="K5" i="12"/>
  <c r="K9" i="4"/>
  <c r="K10" i="4" s="1"/>
  <c r="J14" i="7"/>
  <c r="G8" i="4"/>
  <c r="E10" i="4"/>
  <c r="D26" i="7"/>
  <c r="D31" i="7" s="1"/>
  <c r="D9" i="4"/>
  <c r="C14" i="7"/>
  <c r="C30" i="7" s="1"/>
  <c r="F14" i="7"/>
  <c r="G6" i="12"/>
  <c r="C9" i="4"/>
  <c r="J5" i="12"/>
  <c r="J26" i="7"/>
  <c r="J31" i="7" s="1"/>
  <c r="I14" i="7"/>
  <c r="F10" i="4"/>
  <c r="C26" i="7"/>
  <c r="C31" i="7" s="1"/>
  <c r="C42" i="7"/>
  <c r="C13" i="14"/>
  <c r="C14" i="14" s="1"/>
  <c r="E14" i="14" s="1"/>
  <c r="C9" i="14"/>
  <c r="E9" i="14" s="1"/>
  <c r="C12" i="14"/>
  <c r="C23" i="7" s="1"/>
  <c r="C10" i="14"/>
  <c r="E10" i="14" s="1"/>
  <c r="C11" i="14"/>
  <c r="E11" i="14" s="1"/>
  <c r="C17" i="10"/>
  <c r="C18" i="10" s="1"/>
  <c r="D11" i="7"/>
  <c r="D42" i="7" s="1"/>
  <c r="E10" i="7"/>
  <c r="E35" i="4"/>
  <c r="D10" i="13"/>
  <c r="E15" i="10"/>
  <c r="J9" i="4"/>
  <c r="C8" i="4"/>
  <c r="J8" i="4"/>
  <c r="K18" i="4"/>
  <c r="G10" i="4"/>
  <c r="D10" i="4"/>
  <c r="D18" i="10"/>
  <c r="C31" i="5"/>
  <c r="D28" i="5" s="1"/>
  <c r="E30" i="5"/>
  <c r="D36" i="5"/>
  <c r="C15" i="14" l="1"/>
  <c r="C16" i="7"/>
  <c r="J10" i="4"/>
  <c r="C10" i="4"/>
  <c r="C12" i="4" s="1"/>
  <c r="C14" i="4" s="1"/>
  <c r="C24" i="4" s="1"/>
  <c r="C32" i="7"/>
  <c r="C26" i="4"/>
  <c r="C51" i="7" s="1"/>
  <c r="B4" i="16"/>
  <c r="B5" i="16" s="1"/>
  <c r="B6" i="16" s="1"/>
  <c r="E13" i="14"/>
  <c r="E12" i="14"/>
  <c r="C29" i="4" s="1"/>
  <c r="C31" i="4" s="1"/>
  <c r="E9" i="7"/>
  <c r="E11" i="7" s="1"/>
  <c r="F9" i="7" s="1"/>
  <c r="C19" i="10"/>
  <c r="C20" i="10" s="1"/>
  <c r="F19" i="11" s="1"/>
  <c r="F20" i="11" s="1"/>
  <c r="D36" i="11" s="1"/>
  <c r="D37" i="11" s="1"/>
  <c r="C36" i="7"/>
  <c r="C43" i="7"/>
  <c r="C44" i="7" s="1"/>
  <c r="F35" i="4"/>
  <c r="E10" i="13"/>
  <c r="F10" i="7"/>
  <c r="C16" i="14"/>
  <c r="E15" i="14"/>
  <c r="E16" i="10"/>
  <c r="D13" i="4"/>
  <c r="D31" i="5"/>
  <c r="E28" i="5" s="1"/>
  <c r="E31" i="5" s="1"/>
  <c r="F28" i="5" s="1"/>
  <c r="D12" i="4"/>
  <c r="D19" i="10"/>
  <c r="D20" i="10" s="1"/>
  <c r="F30" i="5"/>
  <c r="D39" i="5"/>
  <c r="E13" i="4" s="1"/>
  <c r="F11" i="7" l="1"/>
  <c r="D12" i="7"/>
  <c r="D16" i="7" s="1"/>
  <c r="E11" i="4"/>
  <c r="E12" i="4" s="1"/>
  <c r="E14" i="4" s="1"/>
  <c r="E24" i="4" s="1"/>
  <c r="E12" i="7"/>
  <c r="E16" i="7" s="1"/>
  <c r="F11" i="4"/>
  <c r="D14" i="4"/>
  <c r="D24" i="4" s="1"/>
  <c r="D26" i="4" s="1"/>
  <c r="D51" i="7" s="1"/>
  <c r="C48" i="7"/>
  <c r="C50" i="7" s="1"/>
  <c r="C52" i="7" s="1"/>
  <c r="C33" i="4"/>
  <c r="E42" i="7"/>
  <c r="D39" i="11"/>
  <c r="D42" i="11" s="1"/>
  <c r="D45" i="11" s="1"/>
  <c r="D38" i="11"/>
  <c r="D41" i="11" s="1"/>
  <c r="D44" i="11" s="1"/>
  <c r="F10" i="13"/>
  <c r="G10" i="7"/>
  <c r="G35" i="4"/>
  <c r="D23" i="7"/>
  <c r="E16" i="14"/>
  <c r="D29" i="4" s="1"/>
  <c r="D31" i="4" s="1"/>
  <c r="D48" i="7" s="1"/>
  <c r="D50" i="7" s="1"/>
  <c r="C17" i="14"/>
  <c r="E17" i="10"/>
  <c r="F42" i="7"/>
  <c r="G9" i="7"/>
  <c r="D30" i="7"/>
  <c r="D32" i="7" s="1"/>
  <c r="F31" i="5"/>
  <c r="G28" i="5" s="1"/>
  <c r="G30" i="5"/>
  <c r="E36" i="5"/>
  <c r="C4" i="16" l="1"/>
  <c r="C5" i="16" s="1"/>
  <c r="C6" i="16" s="1"/>
  <c r="E30" i="7"/>
  <c r="E32" i="7" s="1"/>
  <c r="E26" i="4"/>
  <c r="E51" i="7" s="1"/>
  <c r="D4" i="16"/>
  <c r="D5" i="16" s="1"/>
  <c r="D6" i="16" s="1"/>
  <c r="D52" i="7"/>
  <c r="C36" i="4"/>
  <c r="B7" i="13"/>
  <c r="B9" i="13" s="1"/>
  <c r="B11" i="13" s="1"/>
  <c r="B13" i="13" s="1"/>
  <c r="B14" i="13" s="1"/>
  <c r="C37" i="4" s="1"/>
  <c r="G11" i="7"/>
  <c r="H9" i="7" s="1"/>
  <c r="G10" i="13"/>
  <c r="H10" i="7"/>
  <c r="H35" i="4"/>
  <c r="C18" i="14"/>
  <c r="E17" i="14"/>
  <c r="D36" i="7"/>
  <c r="D43" i="7"/>
  <c r="D44" i="7" s="1"/>
  <c r="D33" i="4"/>
  <c r="D46" i="11"/>
  <c r="E18" i="10"/>
  <c r="G31" i="5"/>
  <c r="H28" i="5" s="1"/>
  <c r="H30" i="5"/>
  <c r="F12" i="4"/>
  <c r="E39" i="5"/>
  <c r="F13" i="4" s="1"/>
  <c r="F12" i="7" l="1"/>
  <c r="F16" i="7" s="1"/>
  <c r="G11" i="4"/>
  <c r="B7" i="16"/>
  <c r="C38" i="4"/>
  <c r="H11" i="7"/>
  <c r="I9" i="7" s="1"/>
  <c r="G42" i="7"/>
  <c r="E19" i="10"/>
  <c r="E20" i="10" s="1"/>
  <c r="I10" i="7"/>
  <c r="I35" i="4"/>
  <c r="H10" i="13"/>
  <c r="D36" i="4"/>
  <c r="C7" i="13"/>
  <c r="C9" i="13" s="1"/>
  <c r="C11" i="13" s="1"/>
  <c r="C13" i="13" s="1"/>
  <c r="C14" i="13" s="1"/>
  <c r="D37" i="4" s="1"/>
  <c r="C19" i="14"/>
  <c r="E18" i="14"/>
  <c r="H31" i="5"/>
  <c r="I28" i="5" s="1"/>
  <c r="J30" i="5"/>
  <c r="I30" i="5"/>
  <c r="F36" i="5"/>
  <c r="F14" i="4"/>
  <c r="F24" i="4" s="1"/>
  <c r="F30" i="7" l="1"/>
  <c r="F32" i="7" s="1"/>
  <c r="F26" i="4"/>
  <c r="F51" i="7" s="1"/>
  <c r="E4" i="16"/>
  <c r="E5" i="16" s="1"/>
  <c r="E6" i="16" s="1"/>
  <c r="I11" i="7"/>
  <c r="I42" i="7" s="1"/>
  <c r="I44" i="7" s="1"/>
  <c r="B8" i="16"/>
  <c r="C39" i="4"/>
  <c r="C40" i="4" s="1"/>
  <c r="C20" i="7" s="1"/>
  <c r="C22" i="7" s="1"/>
  <c r="H42" i="7"/>
  <c r="K10" i="7"/>
  <c r="J10" i="13"/>
  <c r="K35" i="4"/>
  <c r="J35" i="4"/>
  <c r="I10" i="13"/>
  <c r="J10" i="7"/>
  <c r="E19" i="14"/>
  <c r="C20" i="14"/>
  <c r="C7" i="16"/>
  <c r="D38" i="4"/>
  <c r="I31" i="5"/>
  <c r="J28" i="5" s="1"/>
  <c r="F39" i="5"/>
  <c r="G13" i="4" s="1"/>
  <c r="G12" i="4"/>
  <c r="G12" i="7" l="1"/>
  <c r="G16" i="7" s="1"/>
  <c r="H11" i="4"/>
  <c r="J9" i="7"/>
  <c r="J11" i="7" s="1"/>
  <c r="K9" i="7" s="1"/>
  <c r="K11" i="7" s="1"/>
  <c r="K42" i="7" s="1"/>
  <c r="K44" i="7" s="1"/>
  <c r="D19" i="7"/>
  <c r="C37" i="7"/>
  <c r="C38" i="7" s="1"/>
  <c r="C27" i="7"/>
  <c r="D39" i="4"/>
  <c r="D40" i="4" s="1"/>
  <c r="D20" i="7" s="1"/>
  <c r="C8" i="16"/>
  <c r="E20" i="14"/>
  <c r="E29" i="4" s="1"/>
  <c r="E31" i="4" s="1"/>
  <c r="C21" i="14"/>
  <c r="E23" i="7"/>
  <c r="J31" i="5"/>
  <c r="G36" i="5"/>
  <c r="G14" i="4"/>
  <c r="G24" i="4" s="1"/>
  <c r="G30" i="7" l="1"/>
  <c r="G32" i="7" s="1"/>
  <c r="G26" i="4"/>
  <c r="G51" i="7" s="1"/>
  <c r="F4" i="16"/>
  <c r="F5" i="16" s="1"/>
  <c r="F6" i="16" s="1"/>
  <c r="J42" i="7"/>
  <c r="J44" i="7" s="1"/>
  <c r="D22" i="7"/>
  <c r="E19" i="7" s="1"/>
  <c r="E21" i="14"/>
  <c r="C22" i="14"/>
  <c r="E36" i="7"/>
  <c r="E43" i="7"/>
  <c r="E44" i="7" s="1"/>
  <c r="E48" i="7"/>
  <c r="E50" i="7" s="1"/>
  <c r="E52" i="7" s="1"/>
  <c r="E33" i="4"/>
  <c r="G39" i="5"/>
  <c r="H13" i="4" s="1"/>
  <c r="H12" i="4"/>
  <c r="H12" i="7" l="1"/>
  <c r="H30" i="7" s="1"/>
  <c r="H32" i="7" s="1"/>
  <c r="I11" i="4"/>
  <c r="D37" i="7"/>
  <c r="D38" i="7" s="1"/>
  <c r="D27" i="7"/>
  <c r="E36" i="4"/>
  <c r="D7" i="16" s="1"/>
  <c r="D7" i="13"/>
  <c r="D9" i="13" s="1"/>
  <c r="D11" i="13" s="1"/>
  <c r="D13" i="13" s="1"/>
  <c r="D14" i="13" s="1"/>
  <c r="E37" i="4" s="1"/>
  <c r="C23" i="14"/>
  <c r="E22" i="14"/>
  <c r="H36" i="5"/>
  <c r="H14" i="4"/>
  <c r="H24" i="4" s="1"/>
  <c r="H16" i="7" l="1"/>
  <c r="H26" i="4"/>
  <c r="H51" i="7" s="1"/>
  <c r="G4" i="16"/>
  <c r="G5" i="16" s="1"/>
  <c r="G6" i="16" s="1"/>
  <c r="E38" i="4"/>
  <c r="E39" i="4" s="1"/>
  <c r="E40" i="4" s="1"/>
  <c r="E20" i="7" s="1"/>
  <c r="E22" i="7" s="1"/>
  <c r="E23" i="14"/>
  <c r="C24" i="14"/>
  <c r="H39" i="5"/>
  <c r="I13" i="4" s="1"/>
  <c r="I12" i="4"/>
  <c r="I12" i="7" l="1"/>
  <c r="I16" i="7" s="1"/>
  <c r="J11" i="4"/>
  <c r="D8" i="16"/>
  <c r="F19" i="7"/>
  <c r="E37" i="7"/>
  <c r="E38" i="7" s="1"/>
  <c r="E27" i="7"/>
  <c r="E24" i="14"/>
  <c r="F29" i="4" s="1"/>
  <c r="F31" i="4" s="1"/>
  <c r="C25" i="14"/>
  <c r="F23" i="7"/>
  <c r="I36" i="5"/>
  <c r="I14" i="4"/>
  <c r="I24" i="4" s="1"/>
  <c r="I30" i="7" l="1"/>
  <c r="I32" i="7" s="1"/>
  <c r="I26" i="4"/>
  <c r="I51" i="7" s="1"/>
  <c r="H4" i="16"/>
  <c r="H5" i="16" s="1"/>
  <c r="H6" i="16" s="1"/>
  <c r="F33" i="4"/>
  <c r="F48" i="7"/>
  <c r="F50" i="7" s="1"/>
  <c r="F52" i="7" s="1"/>
  <c r="F36" i="7"/>
  <c r="F43" i="7"/>
  <c r="F44" i="7" s="1"/>
  <c r="C26" i="14"/>
  <c r="E25" i="14"/>
  <c r="I13" i="5"/>
  <c r="J13" i="5" s="1"/>
  <c r="J12" i="4"/>
  <c r="C27" i="14" l="1"/>
  <c r="E26" i="14"/>
  <c r="F36" i="4"/>
  <c r="E7" i="13"/>
  <c r="E9" i="13" s="1"/>
  <c r="E11" i="13" s="1"/>
  <c r="E13" i="13" s="1"/>
  <c r="E14" i="13" s="1"/>
  <c r="F37" i="4" s="1"/>
  <c r="I38" i="5"/>
  <c r="I39" i="5" s="1"/>
  <c r="J13" i="4" s="1"/>
  <c r="J21" i="4"/>
  <c r="J22" i="4" s="1"/>
  <c r="J25" i="4"/>
  <c r="J38" i="5"/>
  <c r="K25" i="4"/>
  <c r="K21" i="4"/>
  <c r="K22" i="4" s="1"/>
  <c r="J36" i="5" l="1"/>
  <c r="J39" i="5" s="1"/>
  <c r="K13" i="4" s="1"/>
  <c r="K12" i="7" s="1"/>
  <c r="J12" i="7"/>
  <c r="K11" i="4"/>
  <c r="K12" i="4" s="1"/>
  <c r="J3" i="16"/>
  <c r="K3" i="15"/>
  <c r="K13" i="7"/>
  <c r="I3" i="16"/>
  <c r="J13" i="7"/>
  <c r="J3" i="15"/>
  <c r="E7" i="16"/>
  <c r="F38" i="4"/>
  <c r="C28" i="14"/>
  <c r="E27" i="14"/>
  <c r="J14" i="4"/>
  <c r="J24" i="4" s="1"/>
  <c r="J16" i="7" l="1"/>
  <c r="J30" i="7"/>
  <c r="J32" i="7" s="1"/>
  <c r="J26" i="4"/>
  <c r="I4" i="16"/>
  <c r="I5" i="16" s="1"/>
  <c r="I6" i="16" s="1"/>
  <c r="F39" i="4"/>
  <c r="F40" i="4" s="1"/>
  <c r="F20" i="7" s="1"/>
  <c r="F22" i="7" s="1"/>
  <c r="E8" i="16"/>
  <c r="C29" i="14"/>
  <c r="G23" i="7"/>
  <c r="E28" i="14"/>
  <c r="G29" i="4" s="1"/>
  <c r="G31" i="4" s="1"/>
  <c r="K16" i="7"/>
  <c r="K30" i="7"/>
  <c r="K32" i="7" s="1"/>
  <c r="K14" i="4"/>
  <c r="K24" i="4" s="1"/>
  <c r="K26" i="4" l="1"/>
  <c r="J4" i="16"/>
  <c r="J5" i="16" s="1"/>
  <c r="J6" i="16" s="1"/>
  <c r="J33" i="4"/>
  <c r="J36" i="4" s="1"/>
  <c r="J51" i="7"/>
  <c r="J52" i="7" s="1"/>
  <c r="G36" i="7"/>
  <c r="G43" i="7"/>
  <c r="G44" i="7" s="1"/>
  <c r="G48" i="7"/>
  <c r="G50" i="7" s="1"/>
  <c r="G52" i="7" s="1"/>
  <c r="G33" i="4"/>
  <c r="C30" i="14"/>
  <c r="E29" i="14"/>
  <c r="F37" i="7"/>
  <c r="F38" i="7" s="1"/>
  <c r="G19" i="7"/>
  <c r="F27" i="7"/>
  <c r="K33" i="4" l="1"/>
  <c r="K36" i="4" s="1"/>
  <c r="K51" i="7"/>
  <c r="K52" i="7" s="1"/>
  <c r="I7" i="13"/>
  <c r="I9" i="13" s="1"/>
  <c r="I11" i="13" s="1"/>
  <c r="I13" i="13" s="1"/>
  <c r="I14" i="13" s="1"/>
  <c r="J37" i="4" s="1"/>
  <c r="G36" i="4"/>
  <c r="F7" i="13"/>
  <c r="F9" i="13" s="1"/>
  <c r="F11" i="13" s="1"/>
  <c r="F13" i="13" s="1"/>
  <c r="F14" i="13" s="1"/>
  <c r="G37" i="4" s="1"/>
  <c r="C31" i="14"/>
  <c r="E30" i="14"/>
  <c r="I7" i="16" l="1"/>
  <c r="J38" i="4"/>
  <c r="J7" i="13"/>
  <c r="J9" i="13" s="1"/>
  <c r="J11" i="13" s="1"/>
  <c r="J13" i="13" s="1"/>
  <c r="J14" i="13" s="1"/>
  <c r="K37" i="4" s="1"/>
  <c r="E31" i="14"/>
  <c r="C32" i="14"/>
  <c r="C33" i="14" s="1"/>
  <c r="F7" i="16"/>
  <c r="G38" i="4"/>
  <c r="E33" i="14" l="1"/>
  <c r="C34" i="14"/>
  <c r="H23" i="7"/>
  <c r="J7" i="16"/>
  <c r="K38" i="4"/>
  <c r="J39" i="4"/>
  <c r="J40" i="4" s="1"/>
  <c r="J20" i="7" s="1"/>
  <c r="I8" i="16"/>
  <c r="E32" i="14"/>
  <c r="H29" i="4" s="1"/>
  <c r="H31" i="4" s="1"/>
  <c r="G39" i="4"/>
  <c r="G40" i="4" s="1"/>
  <c r="G20" i="7" s="1"/>
  <c r="G22" i="7" s="1"/>
  <c r="F8" i="16"/>
  <c r="C35" i="14" l="1"/>
  <c r="E34" i="14"/>
  <c r="J8" i="16"/>
  <c r="K39" i="4"/>
  <c r="K40" i="4" s="1"/>
  <c r="K20" i="7" s="1"/>
  <c r="G37" i="7"/>
  <c r="G38" i="7" s="1"/>
  <c r="G27" i="7"/>
  <c r="H19" i="7"/>
  <c r="H33" i="4"/>
  <c r="H48" i="7"/>
  <c r="H50" i="7" s="1"/>
  <c r="H52" i="7" s="1"/>
  <c r="H36" i="7"/>
  <c r="H43" i="7"/>
  <c r="H44" i="7" s="1"/>
  <c r="F45" i="7" s="1"/>
  <c r="C36" i="14" l="1"/>
  <c r="E35" i="14"/>
  <c r="H36" i="4"/>
  <c r="G7" i="13"/>
  <c r="G9" i="13" s="1"/>
  <c r="G11" i="13" s="1"/>
  <c r="G13" i="13" s="1"/>
  <c r="G14" i="13" s="1"/>
  <c r="H37" i="4" s="1"/>
  <c r="E36" i="14" l="1"/>
  <c r="D36" i="14"/>
  <c r="I49" i="7" s="1"/>
  <c r="G7" i="16"/>
  <c r="H38" i="4"/>
  <c r="I29" i="4" l="1"/>
  <c r="I31" i="4" s="1"/>
  <c r="I33" i="4" s="1"/>
  <c r="I36" i="4" s="1"/>
  <c r="H39" i="4"/>
  <c r="H40" i="4" s="1"/>
  <c r="H20" i="7" s="1"/>
  <c r="H22" i="7" s="1"/>
  <c r="G8" i="16"/>
  <c r="I48" i="7" l="1"/>
  <c r="I50" i="7" s="1"/>
  <c r="I52" i="7" s="1"/>
  <c r="F53" i="7" s="1"/>
  <c r="H27" i="7"/>
  <c r="H37" i="7"/>
  <c r="H38" i="7" s="1"/>
  <c r="I19" i="7"/>
  <c r="H7" i="13"/>
  <c r="H9" i="13" s="1"/>
  <c r="H11" i="13" s="1"/>
  <c r="H13" i="13" s="1"/>
  <c r="H14" i="13" s="1"/>
  <c r="I37" i="4" s="1"/>
  <c r="H7" i="16" l="1"/>
  <c r="I38" i="4"/>
  <c r="I39" i="4" l="1"/>
  <c r="I40" i="4" s="1"/>
  <c r="I20" i="7" s="1"/>
  <c r="I22" i="7" s="1"/>
  <c r="H8" i="16"/>
  <c r="I27" i="7" l="1"/>
  <c r="J19" i="7"/>
  <c r="J22" i="7" s="1"/>
  <c r="I37" i="7"/>
  <c r="I38" i="7" s="1"/>
  <c r="K19" i="7" l="1"/>
  <c r="K22" i="7" s="1"/>
  <c r="J27" i="7"/>
  <c r="J37" i="7"/>
  <c r="J38" i="7" s="1"/>
  <c r="K27" i="7" l="1"/>
  <c r="K37" i="7"/>
  <c r="K38" i="7" s="1"/>
  <c r="F39" i="7" s="1"/>
</calcChain>
</file>

<file path=xl/sharedStrings.xml><?xml version="1.0" encoding="utf-8"?>
<sst xmlns="http://schemas.openxmlformats.org/spreadsheetml/2006/main" count="520" uniqueCount="364">
  <si>
    <t>Annexure 1 - Estimated cost of the project</t>
  </si>
  <si>
    <t>Estimated cost of project</t>
  </si>
  <si>
    <t xml:space="preserve">Sr. No. </t>
  </si>
  <si>
    <t>Particulars</t>
  </si>
  <si>
    <t>Grand Total (in lakhs)</t>
  </si>
  <si>
    <t>(a)</t>
  </si>
  <si>
    <t>Land and site development</t>
  </si>
  <si>
    <t>Land (Lease in name of company)</t>
  </si>
  <si>
    <t>Total</t>
  </si>
  <si>
    <t>Civil Work</t>
  </si>
  <si>
    <t>Plant and Machinery (indegenous)</t>
  </si>
  <si>
    <t>Plant and Machinery</t>
  </si>
  <si>
    <t>Miscellanoeus Fixed Assets</t>
  </si>
  <si>
    <t>Cost</t>
  </si>
  <si>
    <t>Working Capital Margin</t>
  </si>
  <si>
    <t>Preliminary Expenses</t>
  </si>
  <si>
    <t>Security Deposit</t>
  </si>
  <si>
    <t>Pre-Operative Expense</t>
  </si>
  <si>
    <t>(for 6 months upto the date od commencement of commercial production)</t>
  </si>
  <si>
    <t>Establisment and Travelling and Other Expenses</t>
  </si>
  <si>
    <t>(b)</t>
  </si>
  <si>
    <t>Legal and Misc Expense</t>
  </si>
  <si>
    <t>Total Cost of Project</t>
  </si>
  <si>
    <t>Annexure 2 - Means of Finance</t>
  </si>
  <si>
    <t>Sr. No.</t>
  </si>
  <si>
    <t>Item</t>
  </si>
  <si>
    <t>Promoter's equity</t>
  </si>
  <si>
    <t>Eligible Assistance</t>
  </si>
  <si>
    <t>Term Loan</t>
  </si>
  <si>
    <t>CC Limit</t>
  </si>
  <si>
    <t>Annexure 3 - Complete Estimate of Civil and Plant and Machinery</t>
  </si>
  <si>
    <t>Complete Estimate of Civil and plant and machinery</t>
  </si>
  <si>
    <t>1. Civil work and other</t>
  </si>
  <si>
    <t>Boundary</t>
  </si>
  <si>
    <t>Guard Room</t>
  </si>
  <si>
    <t>genset area</t>
  </si>
  <si>
    <t>Labour quarter</t>
  </si>
  <si>
    <t>Waste management</t>
  </si>
  <si>
    <t>Tube well</t>
  </si>
  <si>
    <t>Labour changing room with washroom</t>
  </si>
  <si>
    <t>office</t>
  </si>
  <si>
    <t>Visitor room</t>
  </si>
  <si>
    <t>Tool and technical staff room</t>
  </si>
  <si>
    <t>Store room</t>
  </si>
  <si>
    <t>Interlocking paver bock</t>
  </si>
  <si>
    <t>Sliding main gate</t>
  </si>
  <si>
    <t>Area/ capacity</t>
  </si>
  <si>
    <t>1 acre</t>
  </si>
  <si>
    <t>10 sq mtr</t>
  </si>
  <si>
    <t>15 sq mtr</t>
  </si>
  <si>
    <t>20 sq mtr</t>
  </si>
  <si>
    <t>Units</t>
  </si>
  <si>
    <t>120 RM</t>
  </si>
  <si>
    <t>Rate</t>
  </si>
  <si>
    <t>Amt</t>
  </si>
  <si>
    <t>Total (Civil work)</t>
  </si>
  <si>
    <t>Pack house building</t>
  </si>
  <si>
    <t>Sorting grading line</t>
  </si>
  <si>
    <t>Manual Fork lift</t>
  </si>
  <si>
    <t>Dock shelter Leveler</t>
  </si>
  <si>
    <t>Forklift for high rech</t>
  </si>
  <si>
    <t>Genset</t>
  </si>
  <si>
    <t>servo stablizers</t>
  </si>
  <si>
    <t>plastic crates</t>
  </si>
  <si>
    <t>pre cooling unit</t>
  </si>
  <si>
    <t>Staging Room and Cold room</t>
  </si>
  <si>
    <t>program logic controller</t>
  </si>
  <si>
    <t>Reefer vans</t>
  </si>
  <si>
    <t>solar system</t>
  </si>
  <si>
    <t>Fire fighting arrangement</t>
  </si>
  <si>
    <t>Floor cleaning machine</t>
  </si>
  <si>
    <t>Semi automatic stacker</t>
  </si>
  <si>
    <t>2. Plant and machinery</t>
  </si>
  <si>
    <t>800 sq mtr</t>
  </si>
  <si>
    <t>2MT</t>
  </si>
  <si>
    <t>200KVA</t>
  </si>
  <si>
    <t>20 KG</t>
  </si>
  <si>
    <t>6 MT</t>
  </si>
  <si>
    <t>54 MT</t>
  </si>
  <si>
    <t>9 MT</t>
  </si>
  <si>
    <t>Total Plant and Machinery</t>
  </si>
  <si>
    <t>Total fixed Assets</t>
  </si>
  <si>
    <t>Annexure 4 - Estimated Cost of Production</t>
  </si>
  <si>
    <t>Sr. No</t>
  </si>
  <si>
    <t>Description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</si>
  <si>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</si>
  <si>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</si>
  <si>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</si>
  <si>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</si>
  <si>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</si>
  <si>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</si>
  <si>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</si>
  <si>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</si>
  <si>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</si>
  <si>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Year ending March 31st</t>
  </si>
  <si>
    <t>No of Working months</t>
  </si>
  <si>
    <t>Procurement cost of vegetable</t>
  </si>
  <si>
    <t>Cost of Production</t>
  </si>
  <si>
    <t>Add: Opening Stock</t>
  </si>
  <si>
    <t>Sub Total</t>
  </si>
  <si>
    <t>Less: Closing Stock</t>
  </si>
  <si>
    <t>Sales Budget</t>
  </si>
  <si>
    <t>Production budget</t>
  </si>
  <si>
    <t>Demand in kgs</t>
  </si>
  <si>
    <t>Production capacity</t>
  </si>
  <si>
    <t>Production hours in a year</t>
  </si>
  <si>
    <t>Production qty in a year</t>
  </si>
  <si>
    <t>kg per hr</t>
  </si>
  <si>
    <t>hours</t>
  </si>
  <si>
    <t>kgs</t>
  </si>
  <si>
    <t>Processed vegetables</t>
  </si>
  <si>
    <t>Processed fruits</t>
  </si>
  <si>
    <t>Production at 100% capacity</t>
  </si>
  <si>
    <t>-Processed vegetables</t>
  </si>
  <si>
    <t>-Processed fruits</t>
  </si>
  <si>
    <t>Sales qty</t>
  </si>
  <si>
    <t>Opening Stock</t>
  </si>
  <si>
    <t>Add: Production</t>
  </si>
  <si>
    <t>Less: Sales</t>
  </si>
  <si>
    <t>Closing Stock</t>
  </si>
  <si>
    <t>Processed Fruits</t>
  </si>
  <si>
    <t>Processed Vegetables</t>
  </si>
  <si>
    <t>Product mix decided</t>
  </si>
  <si>
    <t>Sales</t>
  </si>
  <si>
    <t>sales prices per kg in year I</t>
  </si>
  <si>
    <t>purchase prices per kg in year I</t>
  </si>
  <si>
    <t>Procurement cost of fruits</t>
  </si>
  <si>
    <t>Valued at average cost of 16</t>
  </si>
  <si>
    <t>valued at average cost of 14.5</t>
  </si>
  <si>
    <t>Assumptions:</t>
  </si>
  <si>
    <t xml:space="preserve">1. Sales for processed vegetables increase by 5% p.a. </t>
  </si>
  <si>
    <t>2. Sales for processed fruits increase by 5.5% p.a.</t>
  </si>
  <si>
    <t>1. In the process of processing vegetables and fruits, it is assumed that there is normal loss of 10% of output produced</t>
  </si>
  <si>
    <t>2. It is assumed that cost of inputs vegetable and fruits will increase 5% p.a.</t>
  </si>
  <si>
    <t>Administrative salaries and wages</t>
  </si>
  <si>
    <t>A. Power</t>
  </si>
  <si>
    <t>Connection load</t>
  </si>
  <si>
    <t>Maximum demand</t>
  </si>
  <si>
    <t>NO. of Working Days</t>
  </si>
  <si>
    <t>100 KW (50 Solar panel and 50 State electricity)</t>
  </si>
  <si>
    <t>No. of Working Hours in a year</t>
  </si>
  <si>
    <t>KW</t>
  </si>
  <si>
    <t>units</t>
  </si>
  <si>
    <t>Less: Units consumed from electricity generated by solar panel</t>
  </si>
  <si>
    <t>Less: units consumed from use of DG Set</t>
  </si>
  <si>
    <t>No. of units purchased</t>
  </si>
  <si>
    <t>Power tariff and cost</t>
  </si>
  <si>
    <t>SEB supply</t>
  </si>
  <si>
    <t>DG Set supply</t>
  </si>
  <si>
    <t>rate per unit</t>
  </si>
  <si>
    <t>Assumption:</t>
  </si>
  <si>
    <t>2. It is assumed that DG Set cost per unit is Avg Rs. 17 p.u.</t>
  </si>
  <si>
    <t>1. It is assumed that state electricity power supply charges are Rs. 10 p.u.(Avg)</t>
  </si>
  <si>
    <t>Value</t>
  </si>
  <si>
    <t>3. Fuel cost is cost of producing the electricity via DG Set, thus not indicated seperately</t>
  </si>
  <si>
    <t>4. It is assumed that cost of operating DG Set is 3% p.a. of cost of acquiring the asset</t>
  </si>
  <si>
    <t>Annexure 7 - Details of Mnpower (Technical)</t>
  </si>
  <si>
    <t>Details of Manpower (technical)</t>
  </si>
  <si>
    <t>S. No.</t>
  </si>
  <si>
    <t>Designation</t>
  </si>
  <si>
    <t>In no.</t>
  </si>
  <si>
    <t>Salary per person per month</t>
  </si>
  <si>
    <t>i.</t>
  </si>
  <si>
    <t>ii.</t>
  </si>
  <si>
    <t>Machine operator</t>
  </si>
  <si>
    <t>Labour</t>
  </si>
  <si>
    <t>Add: beefits @ 30%</t>
  </si>
  <si>
    <t>Total annual wages</t>
  </si>
  <si>
    <t>Annual increase in wages</t>
  </si>
  <si>
    <t>Annexure 8 - Details of Mnpower (Administrative)</t>
  </si>
  <si>
    <t>Executive</t>
  </si>
  <si>
    <t>Accountant</t>
  </si>
  <si>
    <t>iii.</t>
  </si>
  <si>
    <t>Sub staff and security (1 each)</t>
  </si>
  <si>
    <t>Total manpoer technical</t>
  </si>
  <si>
    <t>Total manpower administrative</t>
  </si>
  <si>
    <t>Computation of Depreciation</t>
  </si>
  <si>
    <t>Annexure 9 - Computation of Depreciation</t>
  </si>
  <si>
    <t>Pre operatives</t>
  </si>
  <si>
    <t>Contingencies</t>
  </si>
  <si>
    <t>Building and civil work</t>
  </si>
  <si>
    <t>Misc Fixed Asset</t>
  </si>
  <si>
    <t>Amount in lakhs</t>
  </si>
  <si>
    <t>Rates of Depreciation</t>
  </si>
  <si>
    <t>Year</t>
  </si>
  <si>
    <t>Annexure 11- Break even analysis (At maximum capacity utilization)</t>
  </si>
  <si>
    <t>Break even capacity at maximum capacity utilixzation</t>
  </si>
  <si>
    <t>Variable cost</t>
  </si>
  <si>
    <t>- Procurement cost of vegetable and fruit</t>
  </si>
  <si>
    <t>- Direct overheads</t>
  </si>
  <si>
    <t>- Running and maintenance cost</t>
  </si>
  <si>
    <t>- Selling cost</t>
  </si>
  <si>
    <t>- Interest on Working capital</t>
  </si>
  <si>
    <t>Products</t>
  </si>
  <si>
    <t>Contribution</t>
  </si>
  <si>
    <t>Less: fixed cost</t>
  </si>
  <si>
    <t>Wages and salaries</t>
  </si>
  <si>
    <t>- electricity expense</t>
  </si>
  <si>
    <t>Transportation expense</t>
  </si>
  <si>
    <t>Office expense</t>
  </si>
  <si>
    <t>Depreciation</t>
  </si>
  <si>
    <t>Misc Direct Overheads @ 10% of procurement</t>
  </si>
  <si>
    <t>Running and Manintenance expense @5% of procurement cost</t>
  </si>
  <si>
    <t>transportation cost - Fixed</t>
  </si>
  <si>
    <t>5. 1 unit of electricity produces 20 kg processed vegetable and fruits</t>
  </si>
  <si>
    <t>6. electricity is not a constraint for production as 2 alternatives for input are available: DG Set and solar panel</t>
  </si>
  <si>
    <t>2. Office expenses are fixed with annual increase 2% annually</t>
  </si>
  <si>
    <t>3. selling expenses are variable expenses, incurred Rs. 2 per kg of output sold</t>
  </si>
  <si>
    <t>No. of units consumed in production per year</t>
  </si>
  <si>
    <t>Office Electricity expense</t>
  </si>
  <si>
    <t>4. Office electricity expenses are fixed at Rs. 2 lakhs, while peoduction electricity expenses are variable</t>
  </si>
  <si>
    <t>FC</t>
  </si>
  <si>
    <t>Fixed cost</t>
  </si>
  <si>
    <t>BEP in Rs.</t>
  </si>
  <si>
    <t>Veg</t>
  </si>
  <si>
    <t>Fruits</t>
  </si>
  <si>
    <t>Vegetable</t>
  </si>
  <si>
    <t>Rs. per unit</t>
  </si>
  <si>
    <t>Contribution per unit</t>
  </si>
  <si>
    <t>Contribution margin in %</t>
  </si>
  <si>
    <t>Proportionate Contribution margin</t>
  </si>
  <si>
    <t>Sales ratio</t>
  </si>
  <si>
    <t>Electricity charges</t>
  </si>
  <si>
    <t>selling expenses</t>
  </si>
  <si>
    <t>Interest on Working capital</t>
  </si>
  <si>
    <t>Direct overheads</t>
  </si>
  <si>
    <t>Running and maintenance cost</t>
  </si>
  <si>
    <t>Procurement cost of vegetable and fruit</t>
  </si>
  <si>
    <t>Sales price per kg</t>
  </si>
  <si>
    <t>BEP in KG for Vegetable</t>
  </si>
  <si>
    <t>BEP in KG for Fruits</t>
  </si>
  <si>
    <t>Annexure 12 - Profitability statement</t>
  </si>
  <si>
    <t>Years</t>
  </si>
  <si>
    <t>Vegetable procument expense</t>
  </si>
  <si>
    <t>Fruits procurement expense</t>
  </si>
  <si>
    <t>Direct Expenses</t>
  </si>
  <si>
    <t>Cost of Sales</t>
  </si>
  <si>
    <t>Expected sales revenue</t>
  </si>
  <si>
    <t>Gross Profit</t>
  </si>
  <si>
    <t>Financial expense</t>
  </si>
  <si>
    <t>Interest on Term Loan</t>
  </si>
  <si>
    <t>Ineterst on working capital</t>
  </si>
  <si>
    <t>Annexure 13 - Repayment schedule</t>
  </si>
  <si>
    <t>Administrative selling and distribution expenses:</t>
  </si>
  <si>
    <t>Repayment schedule</t>
  </si>
  <si>
    <t>Amount of Loan (in lakhs)</t>
  </si>
  <si>
    <t>Rate of interest</t>
  </si>
  <si>
    <t>Moratorium period</t>
  </si>
  <si>
    <t>12 months</t>
  </si>
  <si>
    <t>Quarter</t>
  </si>
  <si>
    <t>Balance outstanding</t>
  </si>
  <si>
    <t>Interest</t>
  </si>
  <si>
    <t>Principal instalment</t>
  </si>
  <si>
    <t>total</t>
  </si>
  <si>
    <t>Operating profits (PBT)</t>
  </si>
  <si>
    <t>preliminary expenses</t>
  </si>
  <si>
    <t>depreciation</t>
  </si>
  <si>
    <t>Net Profit before Tax</t>
  </si>
  <si>
    <t>Income Tax</t>
  </si>
  <si>
    <t>Profits after Tax</t>
  </si>
  <si>
    <t>Distribution of profits (80%)</t>
  </si>
  <si>
    <t>Annexure 10 - Calculation of Income tax</t>
  </si>
  <si>
    <t>Calculation of Income Tax</t>
  </si>
  <si>
    <t>BEP for Vegetable</t>
  </si>
  <si>
    <t>BEP for Fruits</t>
  </si>
  <si>
    <t>Office stationery expense</t>
  </si>
  <si>
    <t>6. office stationery expense is Rs. 200000 which increase 2% annually</t>
  </si>
  <si>
    <t>Production capacity utilization</t>
  </si>
  <si>
    <t>4. transportation cost is fiexed at 12 lakhs, bound to increase by 5% annually</t>
  </si>
  <si>
    <t>5. office electricity expense is Rs. 3.5 lakhs which will increase 5% annually</t>
  </si>
  <si>
    <t>Net profit before tax</t>
  </si>
  <si>
    <t>Add- dep on SLM</t>
  </si>
  <si>
    <t>Sub total</t>
  </si>
  <si>
    <t>Less- Dep on WDV</t>
  </si>
  <si>
    <t>Less - Deductions</t>
  </si>
  <si>
    <t>Taxable profits</t>
  </si>
  <si>
    <t>Income tax @30%</t>
  </si>
  <si>
    <t>Profit transfer to balance sheet</t>
  </si>
  <si>
    <t>Annexure 5- Projected balance sheet</t>
  </si>
  <si>
    <t>Projected Baalance sheet</t>
  </si>
  <si>
    <t>Asset</t>
  </si>
  <si>
    <t>Fixed Capital expenditure</t>
  </si>
  <si>
    <t>Gross Block</t>
  </si>
  <si>
    <t>Less- Depreciation</t>
  </si>
  <si>
    <t>net Block</t>
  </si>
  <si>
    <t>Sundry debtors</t>
  </si>
  <si>
    <t>Advances to farmers</t>
  </si>
  <si>
    <t>Cash/ bank balance</t>
  </si>
  <si>
    <t>Liabilities</t>
  </si>
  <si>
    <t>Capital</t>
  </si>
  <si>
    <t>Add- Profit</t>
  </si>
  <si>
    <t>Less- Drawings</t>
  </si>
  <si>
    <t>Closing capital</t>
  </si>
  <si>
    <t>term Loan</t>
  </si>
  <si>
    <t>Unsecured loan</t>
  </si>
  <si>
    <t>Sundry Creditors</t>
  </si>
  <si>
    <t>Total liabilities</t>
  </si>
  <si>
    <t>Total assets</t>
  </si>
  <si>
    <t>Current Ratio</t>
  </si>
  <si>
    <t>Current Assets</t>
  </si>
  <si>
    <t>Current Liabilities</t>
  </si>
  <si>
    <t>1. asssumed that 90 days of purchases are average creditors maintained</t>
  </si>
  <si>
    <t>2. assumed that 30 days of sales are average debtors maintained by the business</t>
  </si>
  <si>
    <t>Debt Equity ratio</t>
  </si>
  <si>
    <t>Debt</t>
  </si>
  <si>
    <t>Equity</t>
  </si>
  <si>
    <t>Ratio</t>
  </si>
  <si>
    <t>cash flow statement</t>
  </si>
  <si>
    <t>Sales realized</t>
  </si>
  <si>
    <t>Term loan</t>
  </si>
  <si>
    <t>assisstance</t>
  </si>
  <si>
    <t>less- Purchase of assets</t>
  </si>
  <si>
    <t>Debt service coverage ratio</t>
  </si>
  <si>
    <t>Interest on loan (TL + WC)</t>
  </si>
  <si>
    <t>Net operating income</t>
  </si>
  <si>
    <t>ratio</t>
  </si>
  <si>
    <t>Instalment of loan</t>
  </si>
  <si>
    <t>A</t>
  </si>
  <si>
    <t>B</t>
  </si>
  <si>
    <t>assumptions</t>
  </si>
  <si>
    <t>Total BEP</t>
  </si>
  <si>
    <t>Average</t>
  </si>
  <si>
    <t>Fixed asset coverage ratio</t>
  </si>
  <si>
    <t>Fixed assets</t>
  </si>
  <si>
    <t>1. Interest on working capital is computed taking 10% rate of interest p.a.</t>
  </si>
  <si>
    <t>Turnover</t>
  </si>
  <si>
    <t>Cost Of operations</t>
  </si>
  <si>
    <t>Gross profit</t>
  </si>
  <si>
    <t>EBITDA</t>
  </si>
  <si>
    <t>Profit before tax</t>
  </si>
  <si>
    <t>Profit after tax</t>
  </si>
  <si>
    <t>S. no.</t>
  </si>
  <si>
    <t>Assumptions</t>
  </si>
  <si>
    <t>In the process of processing vegetables and fruits, it is assumed that there is normal loss of 10% of output produced</t>
  </si>
  <si>
    <t>It is assumed that cost of inputs vegetable and fruits will increase 5% p.a.</t>
  </si>
  <si>
    <t>Transportation cost is fiexed at 12 lakhs, bound to increase by 5% annually</t>
  </si>
  <si>
    <t>Office electricity expense is Rs. 3.5 lakhs which will increase 5% annually</t>
  </si>
  <si>
    <t>Office stationery expense is Rs. 200000 which increase 2% annually</t>
  </si>
  <si>
    <t>It is assumed that 90 days of purchases are average creditors maintained</t>
  </si>
  <si>
    <t>It is assumed that 30 days of sales are average debtors maintained by the business</t>
  </si>
  <si>
    <t>Contents Table</t>
  </si>
  <si>
    <t>Contents</t>
  </si>
  <si>
    <t>Link</t>
  </si>
  <si>
    <t>Ann 1'!A1</t>
  </si>
  <si>
    <t>Ann 2'!A1</t>
  </si>
  <si>
    <t>Ann 3'!A1</t>
  </si>
  <si>
    <t>Ann 4'!A1</t>
  </si>
  <si>
    <t>Ann 5'!A1</t>
  </si>
  <si>
    <t>Ann 6'!A1</t>
  </si>
  <si>
    <t>Ann 7'!A1</t>
  </si>
  <si>
    <t>Ann 8'!A1</t>
  </si>
  <si>
    <t>Ann 9'!A1</t>
  </si>
  <si>
    <t>Ann 10'!A1</t>
  </si>
  <si>
    <t>Ann 11'!A1</t>
  </si>
  <si>
    <t>Ann 13'!A1</t>
  </si>
  <si>
    <t>Assumptions!A1</t>
  </si>
  <si>
    <t>Budgets!A1</t>
  </si>
  <si>
    <t>Annual cost</t>
  </si>
  <si>
    <t>Details of Manpower (Admin)</t>
  </si>
  <si>
    <t>Annexure 6 - Requirement of Power and Fuel</t>
  </si>
  <si>
    <t>Requirement of Power and Fuel</t>
  </si>
  <si>
    <t>DPR without Subsidy</t>
  </si>
  <si>
    <t>3. Cost of closing stock is taken to be 22 (avg cost)</t>
  </si>
  <si>
    <t>Cost of closing stock is taken to be 22 (avg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</si>
</sst>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??_);_(@_)"/>
    <numFmt numFmtId="166" formatCode="_(* #,##0_);_(* \(#,##0\);_(* &quot;-&quot;?_);_(@_)"/>
    <numFmt numFmtId="167" formatCode="0.000"/>
    <numFmt numFmtId="169" formatCode="_(* #,##0.000000_);_(* \(#,##0.000000\);_(* &quot;-&quot;??_);_(@_)"/>
    <numFmt numFmtId="170" formatCode="_(* #,##0.0000000_);_(* \(#,##0.0000000\);_(* &quot;-&quot;??_);_(@_)"/>
    <numFmt numFmtId="171" formatCode="_(* #,##0.00000000_);_(* \(#,##0.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dobe Devanagari"/>
      <family val="1"/>
    </font>
    <font>
      <u/>
      <sz val="11"/>
      <color theme="1"/>
      <name val="Adobe Devanagari"/>
      <family val="1"/>
    </font>
    <font>
      <b/>
      <sz val="11"/>
      <color theme="1"/>
      <name val="Adobe Devanagari"/>
      <family val="1"/>
    </font>
    <font>
      <sz val="11"/>
      <color theme="0"/>
      <name val="Adobe Devanagari"/>
      <family val="1"/>
    </font>
    <font>
      <u/>
      <sz val="11"/>
      <color theme="10"/>
      <name val="Adobe Devanagari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2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0" fontId="3" fillId="0" borderId="0" xfId="0" quotePrefix="1" applyFont="1"/>
    <xf numFmtId="164" fontId="3" fillId="0" borderId="0" xfId="0" applyNumberFormat="1" applyFont="1"/>
    <xf numFmtId="43" fontId="3" fillId="0" borderId="0" xfId="0" applyNumberFormat="1" applyFont="1"/>
    <xf numFmtId="0" fontId="3" fillId="2" borderId="0" xfId="0" applyFont="1" applyFill="1"/>
    <xf numFmtId="10" fontId="3" fillId="0" borderId="0" xfId="2" applyNumberFormat="1" applyFont="1"/>
    <xf numFmtId="0" fontId="5" fillId="0" borderId="0" xfId="0" applyFont="1"/>
    <xf numFmtId="2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2" fontId="3" fillId="0" borderId="1" xfId="0" applyNumberFormat="1" applyFont="1" applyBorder="1"/>
    <xf numFmtId="0" fontId="6" fillId="0" borderId="0" xfId="0" applyFont="1"/>
    <xf numFmtId="0" fontId="3" fillId="3" borderId="1" xfId="0" applyFont="1" applyFill="1" applyBorder="1"/>
    <xf numFmtId="0" fontId="3" fillId="0" borderId="0" xfId="0" applyFont="1" applyAlignment="1"/>
    <xf numFmtId="0" fontId="3" fillId="0" borderId="0" xfId="0" applyFont="1" applyAlignment="1">
      <alignment vertical="top"/>
    </xf>
    <xf numFmtId="164" fontId="3" fillId="0" borderId="1" xfId="1" applyNumberFormat="1" applyFont="1" applyBorder="1"/>
    <xf numFmtId="9" fontId="3" fillId="0" borderId="1" xfId="0" applyNumberFormat="1" applyFont="1" applyBorder="1"/>
    <xf numFmtId="0" fontId="3" fillId="0" borderId="1" xfId="0" quotePrefix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5" fillId="0" borderId="0" xfId="0" applyFont="1" applyBorder="1"/>
    <xf numFmtId="0" fontId="3" fillId="0" borderId="0" xfId="0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43" fontId="3" fillId="0" borderId="1" xfId="1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14" xfId="0" applyFont="1" applyBorder="1"/>
    <xf numFmtId="164" fontId="3" fillId="0" borderId="10" xfId="0" applyNumberFormat="1" applyFont="1" applyBorder="1"/>
    <xf numFmtId="0" fontId="3" fillId="0" borderId="2" xfId="0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3" fillId="0" borderId="10" xfId="0" applyFont="1" applyBorder="1"/>
    <xf numFmtId="0" fontId="5" fillId="3" borderId="1" xfId="0" applyFont="1" applyFill="1" applyBorder="1"/>
    <xf numFmtId="0" fontId="5" fillId="0" borderId="6" xfId="0" applyFont="1" applyBorder="1"/>
    <xf numFmtId="0" fontId="3" fillId="0" borderId="15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9" xfId="0" applyFont="1" applyBorder="1"/>
    <xf numFmtId="164" fontId="3" fillId="0" borderId="11" xfId="0" applyNumberFormat="1" applyFont="1" applyBorder="1"/>
    <xf numFmtId="43" fontId="3" fillId="0" borderId="11" xfId="0" applyNumberFormat="1" applyFont="1" applyBorder="1"/>
    <xf numFmtId="43" fontId="3" fillId="0" borderId="9" xfId="0" applyNumberFormat="1" applyFont="1" applyBorder="1"/>
    <xf numFmtId="164" fontId="3" fillId="0" borderId="9" xfId="0" applyNumberFormat="1" applyFont="1" applyBorder="1"/>
    <xf numFmtId="164" fontId="3" fillId="0" borderId="11" xfId="1" applyNumberFormat="1" applyFont="1" applyBorder="1"/>
    <xf numFmtId="164" fontId="3" fillId="0" borderId="9" xfId="1" applyNumberFormat="1" applyFont="1" applyBorder="1"/>
    <xf numFmtId="0" fontId="3" fillId="0" borderId="0" xfId="0" applyFont="1" applyFill="1" applyBorder="1"/>
    <xf numFmtId="43" fontId="3" fillId="0" borderId="9" xfId="1" applyFont="1" applyBorder="1"/>
    <xf numFmtId="0" fontId="3" fillId="3" borderId="8" xfId="0" applyFont="1" applyFill="1" applyBorder="1"/>
    <xf numFmtId="0" fontId="3" fillId="3" borderId="0" xfId="0" applyFont="1" applyFill="1" applyBorder="1"/>
    <xf numFmtId="0" fontId="3" fillId="3" borderId="11" xfId="0" applyFont="1" applyFill="1" applyBorder="1"/>
    <xf numFmtId="0" fontId="3" fillId="3" borderId="9" xfId="0" applyFont="1" applyFill="1" applyBorder="1"/>
    <xf numFmtId="164" fontId="3" fillId="3" borderId="9" xfId="0" applyNumberFormat="1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6" xfId="0" applyFont="1" applyBorder="1"/>
    <xf numFmtId="0" fontId="3" fillId="0" borderId="19" xfId="0" applyFont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6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Border="1" applyAlignment="1">
      <alignment horizontal="left"/>
    </xf>
    <xf numFmtId="164" fontId="3" fillId="0" borderId="0" xfId="1" applyNumberFormat="1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4" xfId="0" applyNumberFormat="1" applyFont="1" applyBorder="1"/>
    <xf numFmtId="43" fontId="3" fillId="0" borderId="4" xfId="0" applyNumberFormat="1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7" fillId="0" borderId="1" xfId="3" quotePrefix="1" applyFont="1" applyBorder="1"/>
    <xf numFmtId="0" fontId="7" fillId="0" borderId="1" xfId="3" applyFont="1" applyBorder="1"/>
    <xf numFmtId="0" fontId="3" fillId="0" borderId="11" xfId="0" applyFont="1" applyBorder="1" applyAlignment="1">
      <alignment horizontal="left"/>
    </xf>
    <xf numFmtId="2" fontId="3" fillId="0" borderId="9" xfId="0" applyNumberFormat="1" applyFont="1" applyBorder="1"/>
    <xf numFmtId="169" fontId="3" fillId="0" borderId="9" xfId="1" applyNumberFormat="1" applyFont="1" applyBorder="1"/>
    <xf numFmtId="170" fontId="3" fillId="0" borderId="9" xfId="1" applyNumberFormat="1" applyFont="1" applyBorder="1"/>
    <xf numFmtId="170" fontId="3" fillId="0" borderId="9" xfId="0" applyNumberFormat="1" applyFont="1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171" fontId="3" fillId="0" borderId="0" xfId="0" applyNumberFormat="1" applyFont="1"/>
    <xf numFmtId="0" fontId="4" fillId="3" borderId="2" xfId="0" applyFont="1" applyFill="1" applyBorder="1"/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43" fontId="3" fillId="0" borderId="1" xfId="0" applyNumberFormat="1" applyFont="1" applyBorder="1"/>
    <xf numFmtId="0" fontId="4" fillId="3" borderId="0" xfId="0" applyFont="1" applyFill="1"/>
    <xf numFmtId="0" fontId="3" fillId="3" borderId="0" xfId="0" applyFont="1" applyFill="1"/>
    <xf numFmtId="0" fontId="5" fillId="3" borderId="15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3" borderId="12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&amp;V%20Processing%20Unit%20Annexures%20-%20With%20Subsi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nn 1"/>
      <sheetName val="Ann 2"/>
      <sheetName val="Ann 3"/>
      <sheetName val="Ann 4"/>
      <sheetName val="Ann 5"/>
      <sheetName val="Ann 6"/>
      <sheetName val="Ann 7"/>
      <sheetName val="Ann 8"/>
      <sheetName val="Ann 9"/>
      <sheetName val="Ann 10"/>
      <sheetName val="Ann 11"/>
      <sheetName val="Ann 12"/>
      <sheetName val="Ann 13"/>
      <sheetName val="Budgets"/>
      <sheetName val="Assumptions"/>
      <sheetName val="For word file"/>
      <sheetName val="Sheet1"/>
    </sheetNames>
    <sheetDataSet>
      <sheetData sheetId="0"/>
      <sheetData sheetId="1">
        <row r="3">
          <cell r="A3" t="str">
            <v>Annexure 1 - Estimated cost of the project</v>
          </cell>
        </row>
      </sheetData>
      <sheetData sheetId="2">
        <row r="1">
          <cell r="A1" t="str">
            <v>Annexure 2 - Means of Finance</v>
          </cell>
        </row>
      </sheetData>
      <sheetData sheetId="3">
        <row r="1">
          <cell r="A1" t="str">
            <v>Annexure 3 - Complete Estimate of Civil and Plant and Machinery</v>
          </cell>
        </row>
      </sheetData>
      <sheetData sheetId="4">
        <row r="1">
          <cell r="A1" t="str">
            <v>Annexure 4 - Estimated Cost of Production</v>
          </cell>
        </row>
      </sheetData>
      <sheetData sheetId="5">
        <row r="1">
          <cell r="A1" t="str">
            <v>Annexure 5- Projected balance sheet</v>
          </cell>
        </row>
      </sheetData>
      <sheetData sheetId="6">
        <row r="1">
          <cell r="A1" t="str">
            <v>Annexure 6 - Requirement of Power and Fuel</v>
          </cell>
        </row>
      </sheetData>
      <sheetData sheetId="7">
        <row r="1">
          <cell r="A1" t="str">
            <v>Annexure 7 - Details of Mnpower (Technical)</v>
          </cell>
        </row>
      </sheetData>
      <sheetData sheetId="8">
        <row r="1">
          <cell r="A1" t="str">
            <v>Annexure 8 - Details of Mnpower (Administrative)</v>
          </cell>
        </row>
      </sheetData>
      <sheetData sheetId="9">
        <row r="1">
          <cell r="A1" t="str">
            <v>Annexure 9 - Computation of Depreciation</v>
          </cell>
        </row>
      </sheetData>
      <sheetData sheetId="10">
        <row r="1">
          <cell r="A1" t="str">
            <v>Annexure 10 - Calculation of Income tax</v>
          </cell>
        </row>
      </sheetData>
      <sheetData sheetId="11">
        <row r="1">
          <cell r="A1" t="str">
            <v>Annexure 11- Break even analysis (At maximum capacity utilization)</v>
          </cell>
        </row>
      </sheetData>
      <sheetData sheetId="12"/>
      <sheetData sheetId="13">
        <row r="1">
          <cell r="A1" t="str">
            <v>Annexure 13 - Repayment schedule</v>
          </cell>
        </row>
      </sheetData>
      <sheetData sheetId="14">
        <row r="1">
          <cell r="A1" t="str">
            <v>Sales Budget</v>
          </cell>
        </row>
      </sheetData>
      <sheetData sheetId="15">
        <row r="1">
          <cell r="B1" t="str">
            <v>Assumptions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82E6-A493-49EC-B5C1-DE8540A4435F}">
  <dimension ref="A1:B17"/>
  <sheetViews>
    <sheetView tabSelected="1" workbookViewId="0">
      <selection activeCell="A4" sqref="A4"/>
    </sheetView>
  </sheetViews>
  <sheetFormatPr defaultRowHeight="17" x14ac:dyDescent="0.6"/>
  <cols>
    <col min="1" max="1" width="57.90625" style="3" bestFit="1" customWidth="1"/>
    <col min="2" max="2" width="14.453125" style="3" bestFit="1" customWidth="1"/>
    <col min="3" max="16384" width="8.7265625" style="3"/>
  </cols>
  <sheetData>
    <row r="1" spans="1:2" x14ac:dyDescent="0.6">
      <c r="A1" s="11" t="s">
        <v>340</v>
      </c>
    </row>
    <row r="3" spans="1:2" x14ac:dyDescent="0.6">
      <c r="A3" s="44" t="s">
        <v>341</v>
      </c>
      <c r="B3" s="44" t="s">
        <v>342</v>
      </c>
    </row>
    <row r="4" spans="1:2" x14ac:dyDescent="0.6">
      <c r="A4" s="15" t="str">
        <f>'[1]Ann 1'!A3</f>
        <v>Annexure 1 - Estimated cost of the project</v>
      </c>
      <c r="B4" s="93" t="s">
        <v>343</v>
      </c>
    </row>
    <row r="5" spans="1:2" x14ac:dyDescent="0.6">
      <c r="A5" s="15" t="str">
        <f>'[1]Ann 2'!A1</f>
        <v>Annexure 2 - Means of Finance</v>
      </c>
      <c r="B5" s="93" t="s">
        <v>344</v>
      </c>
    </row>
    <row r="6" spans="1:2" x14ac:dyDescent="0.6">
      <c r="A6" s="15" t="str">
        <f>'[1]Ann 3'!A1</f>
        <v>Annexure 3 - Complete Estimate of Civil and Plant and Machinery</v>
      </c>
      <c r="B6" s="93" t="s">
        <v>345</v>
      </c>
    </row>
    <row r="7" spans="1:2" x14ac:dyDescent="0.6">
      <c r="A7" s="15" t="str">
        <f>'[1]Ann 4'!A1</f>
        <v>Annexure 4 - Estimated Cost of Production</v>
      </c>
      <c r="B7" s="93" t="s">
        <v>346</v>
      </c>
    </row>
    <row r="8" spans="1:2" x14ac:dyDescent="0.6">
      <c r="A8" s="15" t="str">
        <f>'[1]Ann 5'!A1</f>
        <v>Annexure 5- Projected balance sheet</v>
      </c>
      <c r="B8" s="93" t="s">
        <v>347</v>
      </c>
    </row>
    <row r="9" spans="1:2" x14ac:dyDescent="0.6">
      <c r="A9" s="15" t="str">
        <f>'[1]Ann 6'!A1</f>
        <v>Annexure 6 - Requirement of Power and Fuel</v>
      </c>
      <c r="B9" s="93" t="s">
        <v>348</v>
      </c>
    </row>
    <row r="10" spans="1:2" x14ac:dyDescent="0.6">
      <c r="A10" s="15" t="str">
        <f>'[1]Ann 7'!A1</f>
        <v>Annexure 7 - Details of Mnpower (Technical)</v>
      </c>
      <c r="B10" s="93" t="s">
        <v>349</v>
      </c>
    </row>
    <row r="11" spans="1:2" x14ac:dyDescent="0.6">
      <c r="A11" s="15" t="str">
        <f>'[1]Ann 8'!A1</f>
        <v>Annexure 8 - Details of Mnpower (Administrative)</v>
      </c>
      <c r="B11" s="93" t="s">
        <v>350</v>
      </c>
    </row>
    <row r="12" spans="1:2" x14ac:dyDescent="0.6">
      <c r="A12" s="15" t="str">
        <f>'[1]Ann 9'!A1</f>
        <v>Annexure 9 - Computation of Depreciation</v>
      </c>
      <c r="B12" s="93" t="s">
        <v>351</v>
      </c>
    </row>
    <row r="13" spans="1:2" x14ac:dyDescent="0.6">
      <c r="A13" s="15" t="str">
        <f>'[1]Ann 10'!A1</f>
        <v>Annexure 10 - Calculation of Income tax</v>
      </c>
      <c r="B13" s="93" t="s">
        <v>352</v>
      </c>
    </row>
    <row r="14" spans="1:2" x14ac:dyDescent="0.6">
      <c r="A14" s="15" t="str">
        <f>'[1]Ann 11'!A1</f>
        <v>Annexure 11- Break even analysis (At maximum capacity utilization)</v>
      </c>
      <c r="B14" s="93" t="s">
        <v>353</v>
      </c>
    </row>
    <row r="15" spans="1:2" x14ac:dyDescent="0.6">
      <c r="A15" s="15" t="str">
        <f>'[1]Ann 13'!A1</f>
        <v>Annexure 13 - Repayment schedule</v>
      </c>
      <c r="B15" s="93" t="s">
        <v>354</v>
      </c>
    </row>
    <row r="16" spans="1:2" x14ac:dyDescent="0.6">
      <c r="A16" s="15" t="str">
        <f>[1]Assumptions!B1</f>
        <v>Assumptions</v>
      </c>
      <c r="B16" s="94" t="s">
        <v>355</v>
      </c>
    </row>
    <row r="17" spans="1:2" x14ac:dyDescent="0.6">
      <c r="A17" s="15" t="str">
        <f>[1]Budgets!A1</f>
        <v>Sales Budget</v>
      </c>
      <c r="B17" s="94" t="s">
        <v>356</v>
      </c>
    </row>
  </sheetData>
  <hyperlinks>
    <hyperlink ref="B4" location="'Ann 1'!A1" display="Ann 1'!A1" xr:uid="{2BA1C4CC-B890-457F-A81E-6D38B0B5D626}"/>
    <hyperlink ref="B5" location="'Ann 2'!A1" display="Ann 2'!A1" xr:uid="{93829F39-AB07-430B-B734-FD048CC7D412}"/>
    <hyperlink ref="B6" location="'Ann 3'!A1" display="'Ann 3'!A1" xr:uid="{314E71D5-CC23-487D-A75C-454AE000FFC7}"/>
    <hyperlink ref="B7" location="'Ann 5'!A1" display="Ann 4'!A1" xr:uid="{326DAC80-FA23-42C6-9CAD-D92A045740C9}"/>
    <hyperlink ref="B8" location="'Ann 6'!A1" display="Ann 5'!A1" xr:uid="{D450B567-0AF5-4731-827B-911F9301E27C}"/>
    <hyperlink ref="B9" location="'Ann 6'!A1" display="'Ann 6'!A1" xr:uid="{4A63601B-5D58-4BA3-BA0F-FC7A2F07CEC1}"/>
    <hyperlink ref="B10" location="'Ann 7'!A1" display="'Ann 7'!A1" xr:uid="{CD039F65-93F9-45E1-A99A-A5DCA9855D00}"/>
    <hyperlink ref="B11" location="'Ann 8'!A1" display="'Ann 8'!A1" xr:uid="{2FFC0C2C-8178-4A42-A41E-0A3A8DA5ACF4}"/>
    <hyperlink ref="B12" location="'Ann 9'!A1" display="'Ann 9'!A1" xr:uid="{79B3AC77-CED9-46FF-B61B-FC28B71E9B0C}"/>
    <hyperlink ref="B13" location="'Ann 10'!A1" display="'Ann 10'!A1" xr:uid="{A4E4C7CC-4E29-41D4-BEB5-A8D2BF124FCC}"/>
    <hyperlink ref="B14" location="'Ann 11'!A1" display="'Ann 11'!A1" xr:uid="{8CA969FD-B77D-48C0-8DD0-987F13265783}"/>
    <hyperlink ref="B15" location="'Ann 13'!A1" display="'Ann 13'!A1" xr:uid="{517308D9-98BA-48DF-A642-E4BB68F4CC22}"/>
    <hyperlink ref="B16" location="Assumptions!A1" display="Assumptions!A1" xr:uid="{A403A942-18E0-4839-BA52-A6F420D29D16}"/>
    <hyperlink ref="B17" location="Budgets!A1" display="Budgets!A1" xr:uid="{149FD867-4B85-4874-A69C-85F985AE88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6B57-BA66-499F-8B17-ED356988118B}">
  <dimension ref="A1:F21"/>
  <sheetViews>
    <sheetView topLeftCell="A2" workbookViewId="0">
      <selection activeCell="C11" sqref="C11"/>
    </sheetView>
  </sheetViews>
  <sheetFormatPr defaultRowHeight="17" x14ac:dyDescent="0.6"/>
  <cols>
    <col min="1" max="1" width="6.36328125" style="3" bestFit="1" customWidth="1"/>
    <col min="2" max="2" width="19" style="3" customWidth="1"/>
    <col min="3" max="3" width="19.453125" style="3" bestFit="1" customWidth="1"/>
    <col min="4" max="4" width="18.08984375" style="3" bestFit="1" customWidth="1"/>
    <col min="5" max="5" width="14.453125" style="3" bestFit="1" customWidth="1"/>
    <col min="6" max="6" width="14.36328125" style="3" bestFit="1" customWidth="1"/>
    <col min="7" max="16384" width="8.7265625" style="3"/>
  </cols>
  <sheetData>
    <row r="1" spans="1:6" x14ac:dyDescent="0.6">
      <c r="A1" s="11" t="s">
        <v>177</v>
      </c>
    </row>
    <row r="3" spans="1:6" x14ac:dyDescent="0.6">
      <c r="A3" s="4" t="s">
        <v>176</v>
      </c>
    </row>
    <row r="5" spans="1:6" x14ac:dyDescent="0.6">
      <c r="A5" s="18" t="s">
        <v>24</v>
      </c>
      <c r="B5" s="18" t="s">
        <v>3</v>
      </c>
      <c r="C5" s="18" t="s">
        <v>180</v>
      </c>
      <c r="D5" s="18" t="s">
        <v>11</v>
      </c>
      <c r="E5" s="18" t="s">
        <v>181</v>
      </c>
      <c r="F5" s="18" t="s">
        <v>182</v>
      </c>
    </row>
    <row r="6" spans="1:6" x14ac:dyDescent="0.6">
      <c r="A6" s="15" t="s">
        <v>162</v>
      </c>
      <c r="B6" s="15" t="s">
        <v>13</v>
      </c>
      <c r="C6" s="21">
        <f>'Ann 3'!G18</f>
        <v>3106858</v>
      </c>
      <c r="D6" s="21">
        <f>'Ann 3'!G37</f>
        <v>22391142</v>
      </c>
      <c r="E6" s="21">
        <f>'Ann 1'!C20*100000</f>
        <v>500000</v>
      </c>
      <c r="F6" s="15">
        <f>SUM(C6:E6)/100000</f>
        <v>259.98</v>
      </c>
    </row>
    <row r="7" spans="1:6" x14ac:dyDescent="0.6">
      <c r="A7" s="15" t="s">
        <v>163</v>
      </c>
      <c r="B7" s="15" t="s">
        <v>178</v>
      </c>
      <c r="C7" s="21">
        <v>0</v>
      </c>
      <c r="D7" s="21">
        <v>0</v>
      </c>
      <c r="E7" s="21">
        <v>0</v>
      </c>
      <c r="F7" s="21">
        <f>SUM(C7:E7)/100000</f>
        <v>0</v>
      </c>
    </row>
    <row r="8" spans="1:6" x14ac:dyDescent="0.6">
      <c r="A8" s="15" t="s">
        <v>172</v>
      </c>
      <c r="B8" s="15" t="s">
        <v>179</v>
      </c>
      <c r="C8" s="21">
        <v>0</v>
      </c>
      <c r="D8" s="21">
        <v>0</v>
      </c>
      <c r="E8" s="21">
        <v>0</v>
      </c>
      <c r="F8" s="21">
        <f>SUM(C8:E8)/100000</f>
        <v>0</v>
      </c>
    </row>
    <row r="9" spans="1:6" x14ac:dyDescent="0.6">
      <c r="A9" s="15"/>
      <c r="B9" s="67" t="s">
        <v>8</v>
      </c>
      <c r="C9" s="67"/>
      <c r="D9" s="67"/>
      <c r="E9" s="67"/>
      <c r="F9" s="15">
        <f>SUM(F6:F8)</f>
        <v>259.98</v>
      </c>
    </row>
    <row r="11" spans="1:6" x14ac:dyDescent="0.6">
      <c r="A11" s="15"/>
      <c r="B11" s="15" t="s">
        <v>183</v>
      </c>
      <c r="C11" s="22">
        <v>0.1</v>
      </c>
      <c r="D11" s="22">
        <v>0.15</v>
      </c>
      <c r="E11" s="22">
        <v>0.1</v>
      </c>
    </row>
    <row r="12" spans="1:6" x14ac:dyDescent="0.6">
      <c r="A12" s="106" t="s">
        <v>184</v>
      </c>
      <c r="B12" s="32">
        <v>1</v>
      </c>
      <c r="C12" s="107">
        <f>C11*C6</f>
        <v>310685.8</v>
      </c>
      <c r="D12" s="107">
        <f>D11*D6</f>
        <v>3358671.3</v>
      </c>
      <c r="E12" s="107">
        <f>E11*E6</f>
        <v>50000</v>
      </c>
    </row>
    <row r="13" spans="1:6" x14ac:dyDescent="0.6">
      <c r="A13" s="106" t="s">
        <v>184</v>
      </c>
      <c r="B13" s="32">
        <v>2</v>
      </c>
      <c r="C13" s="107">
        <f>(C6-C12)*C11</f>
        <v>279617.22000000003</v>
      </c>
      <c r="D13" s="107">
        <f>(D6-D12)*D11</f>
        <v>2854870.605</v>
      </c>
      <c r="E13" s="107">
        <f>(E6-E12)*E11</f>
        <v>45000</v>
      </c>
    </row>
    <row r="14" spans="1:6" x14ac:dyDescent="0.6">
      <c r="A14" s="106" t="s">
        <v>184</v>
      </c>
      <c r="B14" s="32">
        <v>3</v>
      </c>
      <c r="C14" s="107">
        <f>(C6-C12-C13)*C11</f>
        <v>251655.49800000002</v>
      </c>
      <c r="D14" s="107">
        <f>(D6-D12-D13)*D11</f>
        <v>2426640.0142499995</v>
      </c>
      <c r="E14" s="107">
        <f>(E6-E12-E13)*E11</f>
        <v>40500</v>
      </c>
    </row>
    <row r="15" spans="1:6" x14ac:dyDescent="0.6">
      <c r="A15" s="106" t="s">
        <v>184</v>
      </c>
      <c r="B15" s="32">
        <v>4</v>
      </c>
      <c r="C15" s="107">
        <f>(C6-C12-C13-C14)*C11</f>
        <v>226489.94819999998</v>
      </c>
      <c r="D15" s="107">
        <f>(D6-D12-D13-D14)*D11</f>
        <v>2062644.0121124999</v>
      </c>
      <c r="E15" s="107">
        <f>(E6-E12-E13-E14)*E11</f>
        <v>36450</v>
      </c>
    </row>
    <row r="16" spans="1:6" x14ac:dyDescent="0.6">
      <c r="A16" s="106" t="s">
        <v>184</v>
      </c>
      <c r="B16" s="32">
        <v>5</v>
      </c>
      <c r="C16" s="107">
        <f>(C6-C12-C13-C14-C15)*C11</f>
        <v>203840.95337999999</v>
      </c>
      <c r="D16" s="107">
        <f>(D6-D12-D13-D14-D15)*D11</f>
        <v>1753247.410295625</v>
      </c>
      <c r="E16" s="107">
        <f>(E6-E12-E13-E14-E15)*E11</f>
        <v>32805</v>
      </c>
    </row>
    <row r="17" spans="1:5" x14ac:dyDescent="0.6">
      <c r="A17" s="106" t="s">
        <v>184</v>
      </c>
      <c r="B17" s="32">
        <v>6</v>
      </c>
      <c r="C17" s="107">
        <f>(C6-C12-C13-C14-C15-C16)*C11</f>
        <v>183456.85804199998</v>
      </c>
      <c r="D17" s="107">
        <f>(D6-D12-D13-D14-D15-D16)*D11</f>
        <v>1490260.2987512813</v>
      </c>
      <c r="E17" s="107">
        <f>(E6-E12-E13-E14-E15-E16)*E11</f>
        <v>29524.5</v>
      </c>
    </row>
    <row r="18" spans="1:5" x14ac:dyDescent="0.6">
      <c r="A18" s="106" t="s">
        <v>184</v>
      </c>
      <c r="B18" s="32">
        <v>7</v>
      </c>
      <c r="C18" s="107">
        <f>(C6-C12-C13-C14-C15-C16-C17)*C11</f>
        <v>165111.17223779997</v>
      </c>
      <c r="D18" s="107">
        <f>(D6-D12-D13-D14-D15-D16-D17)*D11</f>
        <v>1266721.253938589</v>
      </c>
      <c r="E18" s="107">
        <f>(E6-E12-E13-E14-E15-E16-E17)*E11</f>
        <v>26572.050000000003</v>
      </c>
    </row>
    <row r="19" spans="1:5" x14ac:dyDescent="0.6">
      <c r="A19" s="106" t="s">
        <v>184</v>
      </c>
      <c r="B19" s="32">
        <v>8</v>
      </c>
      <c r="C19" s="107">
        <f>(C6-C12-C13-C14-C15-C16-C17-C18)*C11</f>
        <v>148600.05501401998</v>
      </c>
      <c r="D19" s="107">
        <f>(D6-D12-D13-D14-D15-D16-D17-D18)*D11</f>
        <v>1076713.0658478006</v>
      </c>
      <c r="E19" s="107">
        <f>(E6-E12-E13-E14-E15-E16-E17-E18)*E11</f>
        <v>23914.845000000001</v>
      </c>
    </row>
    <row r="20" spans="1:5" x14ac:dyDescent="0.6">
      <c r="A20" s="106" t="s">
        <v>184</v>
      </c>
      <c r="B20" s="32">
        <v>9</v>
      </c>
      <c r="C20" s="107">
        <f>(C6-C12-C13-C14-C15-C16-C17-C18-C19)*C11</f>
        <v>133740.04951261796</v>
      </c>
      <c r="D20" s="107">
        <f>(D6-D12-D13-D14-D15-D16-D17-D18-D19)*D11</f>
        <v>915206.10597063054</v>
      </c>
      <c r="E20" s="107">
        <f>(E6-E12-E13-E14-E15-E16-E17-E18-E19)*E11</f>
        <v>21523.360500000003</v>
      </c>
    </row>
    <row r="21" spans="1:5" x14ac:dyDescent="0.6">
      <c r="B21" s="33"/>
    </row>
  </sheetData>
  <mergeCells count="1">
    <mergeCell ref="B9:E9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521A-756D-4D90-8C99-73BDFD6A7811}">
  <sheetPr>
    <pageSetUpPr fitToPage="1"/>
  </sheetPr>
  <dimension ref="A1:J14"/>
  <sheetViews>
    <sheetView workbookViewId="0">
      <selection activeCell="A5" sqref="A5:A6"/>
    </sheetView>
  </sheetViews>
  <sheetFormatPr defaultRowHeight="17" x14ac:dyDescent="0.6"/>
  <cols>
    <col min="1" max="1" width="18" style="3" bestFit="1" customWidth="1"/>
    <col min="2" max="10" width="13.6328125" style="3" bestFit="1" customWidth="1"/>
    <col min="11" max="16384" width="8.7265625" style="3"/>
  </cols>
  <sheetData>
    <row r="1" spans="1:10" x14ac:dyDescent="0.6">
      <c r="A1" s="11" t="s">
        <v>261</v>
      </c>
    </row>
    <row r="3" spans="1:10" x14ac:dyDescent="0.6">
      <c r="A3" s="4" t="s">
        <v>262</v>
      </c>
    </row>
    <row r="5" spans="1:10" x14ac:dyDescent="0.6">
      <c r="A5" s="74" t="s">
        <v>3</v>
      </c>
      <c r="B5" s="74" t="s">
        <v>94</v>
      </c>
      <c r="C5" s="74"/>
      <c r="D5" s="74"/>
      <c r="E5" s="74"/>
      <c r="F5" s="74"/>
      <c r="G5" s="74"/>
      <c r="H5" s="74"/>
      <c r="I5" s="74"/>
      <c r="J5" s="74"/>
    </row>
    <row r="6" spans="1:10" x14ac:dyDescent="0.6">
      <c r="A6" s="74"/>
      <c r="B6" s="92" t="s">
        <v>85</v>
      </c>
      <c r="C6" s="92" t="s">
        <v>86</v>
      </c>
      <c r="D6" s="92" t="s">
        <v>87</v>
      </c>
      <c r="E6" s="92" t="s">
        <v>88</v>
      </c>
      <c r="F6" s="92" t="s">
        <v>89</v>
      </c>
      <c r="G6" s="92" t="s">
        <v>90</v>
      </c>
      <c r="H6" s="92" t="s">
        <v>91</v>
      </c>
      <c r="I6" s="92" t="s">
        <v>92</v>
      </c>
      <c r="J6" s="92" t="s">
        <v>93</v>
      </c>
    </row>
    <row r="7" spans="1:10" x14ac:dyDescent="0.6">
      <c r="A7" s="15" t="s">
        <v>270</v>
      </c>
      <c r="B7" s="21">
        <f>'Ann 4'!C33</f>
        <v>31157120</v>
      </c>
      <c r="C7" s="21">
        <f>'Ann 4'!D33</f>
        <v>30582261.5</v>
      </c>
      <c r="D7" s="21">
        <f>'Ann 4'!E33</f>
        <v>32979052.002499998</v>
      </c>
      <c r="E7" s="21">
        <f>'Ann 4'!F33</f>
        <v>35354537.646087483</v>
      </c>
      <c r="F7" s="21">
        <f>'Ann 4'!G33</f>
        <v>37707691.423906803</v>
      </c>
      <c r="G7" s="21">
        <f>'Ann 4'!H33</f>
        <v>40037435.764400721</v>
      </c>
      <c r="H7" s="21">
        <f>'Ann 4'!I33</f>
        <v>39727389.98780486</v>
      </c>
      <c r="I7" s="21">
        <f>'Ann 4'!J33</f>
        <v>39221070.273607016</v>
      </c>
      <c r="J7" s="21">
        <f>'Ann 4'!K33</f>
        <v>38044945.860247433</v>
      </c>
    </row>
    <row r="8" spans="1:10" x14ac:dyDescent="0.6">
      <c r="A8" s="15" t="s">
        <v>271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</row>
    <row r="9" spans="1:10" x14ac:dyDescent="0.6">
      <c r="A9" s="15" t="s">
        <v>272</v>
      </c>
      <c r="B9" s="21">
        <f>B7+B8</f>
        <v>31157120</v>
      </c>
      <c r="C9" s="21">
        <f t="shared" ref="C9:J9" si="0">C7+C8</f>
        <v>30582261.5</v>
      </c>
      <c r="D9" s="21">
        <f t="shared" si="0"/>
        <v>32979052.002499998</v>
      </c>
      <c r="E9" s="21">
        <f t="shared" si="0"/>
        <v>35354537.646087483</v>
      </c>
      <c r="F9" s="21">
        <f t="shared" si="0"/>
        <v>37707691.423906803</v>
      </c>
      <c r="G9" s="21">
        <f t="shared" si="0"/>
        <v>40037435.764400721</v>
      </c>
      <c r="H9" s="21">
        <f t="shared" si="0"/>
        <v>39727389.98780486</v>
      </c>
      <c r="I9" s="21">
        <f t="shared" si="0"/>
        <v>39221070.273607016</v>
      </c>
      <c r="J9" s="21">
        <f t="shared" si="0"/>
        <v>38044945.860247433</v>
      </c>
    </row>
    <row r="10" spans="1:10" x14ac:dyDescent="0.6">
      <c r="A10" s="15" t="s">
        <v>273</v>
      </c>
      <c r="B10" s="21">
        <f>SUM('Ann 9'!C12:E12)</f>
        <v>3719357.0999999996</v>
      </c>
      <c r="C10" s="21">
        <f>SUM('Ann 9'!C13:E13)</f>
        <v>3179487.8250000002</v>
      </c>
      <c r="D10" s="21">
        <f>SUM('Ann 9'!C14:E14)</f>
        <v>2718795.5122499997</v>
      </c>
      <c r="E10" s="21">
        <f>SUM('Ann 9'!C15:E15)</f>
        <v>2325583.9603124997</v>
      </c>
      <c r="F10" s="21">
        <f>SUM('Ann 9'!C16:E16)</f>
        <v>1989893.3636756251</v>
      </c>
      <c r="G10" s="21">
        <f>SUM('Ann 9'!C17:E17)</f>
        <v>1703241.6567932814</v>
      </c>
      <c r="H10" s="21">
        <f>SUM('Ann 9'!C18:E18)</f>
        <v>1458404.476176389</v>
      </c>
      <c r="I10" s="21">
        <f>SUM('Ann 9'!C19:E19)</f>
        <v>1249227.9658618206</v>
      </c>
      <c r="J10" s="21">
        <f>SUM('Ann 9'!C20:E20)</f>
        <v>1070469.5159832484</v>
      </c>
    </row>
    <row r="11" spans="1:10" x14ac:dyDescent="0.6">
      <c r="A11" s="15" t="s">
        <v>272</v>
      </c>
      <c r="B11" s="21">
        <f>B9-B10</f>
        <v>27437762.899999999</v>
      </c>
      <c r="C11" s="21">
        <f t="shared" ref="C11:J11" si="1">C9-C10</f>
        <v>27402773.675000001</v>
      </c>
      <c r="D11" s="21">
        <f t="shared" si="1"/>
        <v>30260256.490249999</v>
      </c>
      <c r="E11" s="21">
        <f t="shared" si="1"/>
        <v>33028953.685774982</v>
      </c>
      <c r="F11" s="21">
        <f t="shared" si="1"/>
        <v>35717798.060231179</v>
      </c>
      <c r="G11" s="21">
        <f t="shared" si="1"/>
        <v>38334194.107607439</v>
      </c>
      <c r="H11" s="21">
        <f t="shared" si="1"/>
        <v>38268985.511628471</v>
      </c>
      <c r="I11" s="21">
        <f t="shared" si="1"/>
        <v>37971842.307745196</v>
      </c>
      <c r="J11" s="21">
        <f t="shared" si="1"/>
        <v>36974476.344264187</v>
      </c>
    </row>
    <row r="12" spans="1:10" x14ac:dyDescent="0.6">
      <c r="A12" s="15" t="s">
        <v>274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</row>
    <row r="13" spans="1:10" x14ac:dyDescent="0.6">
      <c r="A13" s="15" t="s">
        <v>275</v>
      </c>
      <c r="B13" s="24">
        <f>B11</f>
        <v>27437762.899999999</v>
      </c>
      <c r="C13" s="24">
        <f t="shared" ref="C13:J13" si="2">C11</f>
        <v>27402773.675000001</v>
      </c>
      <c r="D13" s="24">
        <f t="shared" si="2"/>
        <v>30260256.490249999</v>
      </c>
      <c r="E13" s="24">
        <f t="shared" si="2"/>
        <v>33028953.685774982</v>
      </c>
      <c r="F13" s="24">
        <f t="shared" si="2"/>
        <v>35717798.060231179</v>
      </c>
      <c r="G13" s="24">
        <f t="shared" si="2"/>
        <v>38334194.107607439</v>
      </c>
      <c r="H13" s="24">
        <f t="shared" si="2"/>
        <v>38268985.511628471</v>
      </c>
      <c r="I13" s="24">
        <f t="shared" si="2"/>
        <v>37971842.307745196</v>
      </c>
      <c r="J13" s="24">
        <f t="shared" si="2"/>
        <v>36974476.344264187</v>
      </c>
    </row>
    <row r="14" spans="1:10" x14ac:dyDescent="0.6">
      <c r="A14" s="15" t="s">
        <v>276</v>
      </c>
      <c r="B14" s="24">
        <f>B13*30%</f>
        <v>8231328.8699999992</v>
      </c>
      <c r="C14" s="24">
        <f t="shared" ref="C14:J14" si="3">C13*30%</f>
        <v>8220832.1025</v>
      </c>
      <c r="D14" s="24">
        <f t="shared" si="3"/>
        <v>9078076.947075</v>
      </c>
      <c r="E14" s="24">
        <f t="shared" si="3"/>
        <v>9908686.105732495</v>
      </c>
      <c r="F14" s="24">
        <f t="shared" si="3"/>
        <v>10715339.418069353</v>
      </c>
      <c r="G14" s="24">
        <f t="shared" si="3"/>
        <v>11500258.232282231</v>
      </c>
      <c r="H14" s="24">
        <f t="shared" si="3"/>
        <v>11480695.653488541</v>
      </c>
      <c r="I14" s="24">
        <f t="shared" si="3"/>
        <v>11391552.692323558</v>
      </c>
      <c r="J14" s="24">
        <f t="shared" si="3"/>
        <v>11092342.903279256</v>
      </c>
    </row>
  </sheetData>
  <mergeCells count="2">
    <mergeCell ref="B5:J5"/>
    <mergeCell ref="A5:A6"/>
  </mergeCells>
  <pageMargins left="0.7" right="0.7" top="0.75" bottom="0.75" header="0.3" footer="0.3"/>
  <pageSetup scale="8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239D-A793-4055-957C-367EF6B7112E}">
  <sheetPr>
    <pageSetUpPr fitToPage="1"/>
  </sheetPr>
  <dimension ref="A1:H52"/>
  <sheetViews>
    <sheetView workbookViewId="0">
      <selection activeCell="A4" sqref="A4"/>
    </sheetView>
  </sheetViews>
  <sheetFormatPr defaultRowHeight="17" x14ac:dyDescent="0.6"/>
  <cols>
    <col min="1" max="1" width="8.7265625" style="3"/>
    <col min="2" max="2" width="23.54296875" style="3" bestFit="1" customWidth="1"/>
    <col min="3" max="3" width="8.7265625" style="3"/>
    <col min="4" max="4" width="14.6328125" style="3" bestFit="1" customWidth="1"/>
    <col min="5" max="5" width="12.54296875" style="3" bestFit="1" customWidth="1"/>
    <col min="6" max="6" width="13.6328125" style="3" bestFit="1" customWidth="1"/>
    <col min="7" max="15" width="8.7265625" style="3"/>
    <col min="16" max="16" width="13.6328125" style="3" bestFit="1" customWidth="1"/>
    <col min="17" max="17" width="12.54296875" style="3" bestFit="1" customWidth="1"/>
    <col min="18" max="16384" width="8.7265625" style="3"/>
  </cols>
  <sheetData>
    <row r="1" spans="1:8" x14ac:dyDescent="0.6">
      <c r="A1" s="11" t="s">
        <v>185</v>
      </c>
    </row>
    <row r="3" spans="1:8" x14ac:dyDescent="0.6">
      <c r="A3" s="108" t="s">
        <v>186</v>
      </c>
      <c r="B3" s="109"/>
      <c r="C3" s="109"/>
      <c r="D3" s="109"/>
      <c r="E3" s="109"/>
      <c r="F3" s="109"/>
    </row>
    <row r="5" spans="1:8" x14ac:dyDescent="0.6">
      <c r="B5" s="3" t="s">
        <v>123</v>
      </c>
      <c r="F5" s="5">
        <f>(3000000*Budgets!D22)+(3000000*Budgets!D23)</f>
        <v>141000000</v>
      </c>
    </row>
    <row r="6" spans="1:8" x14ac:dyDescent="0.6">
      <c r="B6" s="3" t="s">
        <v>187</v>
      </c>
    </row>
    <row r="7" spans="1:8" x14ac:dyDescent="0.6">
      <c r="B7" s="6" t="s">
        <v>188</v>
      </c>
      <c r="E7" s="5">
        <f>(3000000*1.1*Budgets!E22)+(3000000*1.1*Budgets!E23)</f>
        <v>66000000.000000015</v>
      </c>
    </row>
    <row r="8" spans="1:8" x14ac:dyDescent="0.6">
      <c r="B8" s="6" t="s">
        <v>189</v>
      </c>
      <c r="E8" s="7">
        <f>E7*10%</f>
        <v>6600000.0000000019</v>
      </c>
    </row>
    <row r="9" spans="1:8" x14ac:dyDescent="0.6">
      <c r="B9" s="6" t="s">
        <v>190</v>
      </c>
      <c r="E9" s="7">
        <f>E7*5%</f>
        <v>3300000.0000000009</v>
      </c>
    </row>
    <row r="10" spans="1:8" x14ac:dyDescent="0.6">
      <c r="B10" s="6" t="s">
        <v>191</v>
      </c>
      <c r="E10" s="7">
        <f>6000000*2</f>
        <v>12000000</v>
      </c>
      <c r="G10" s="6"/>
    </row>
    <row r="11" spans="1:8" x14ac:dyDescent="0.6">
      <c r="B11" s="6" t="s">
        <v>192</v>
      </c>
      <c r="E11" s="7">
        <f>1500000*10%</f>
        <v>150000</v>
      </c>
      <c r="F11" s="7"/>
    </row>
    <row r="12" spans="1:8" x14ac:dyDescent="0.6">
      <c r="B12" s="6" t="s">
        <v>197</v>
      </c>
      <c r="E12" s="7">
        <f>'Ann 6'!D20/75*100</f>
        <v>2320000</v>
      </c>
      <c r="F12" s="7">
        <f>SUM(E7:E12)</f>
        <v>90370000.000000015</v>
      </c>
      <c r="H12" s="8"/>
    </row>
    <row r="13" spans="1:8" x14ac:dyDescent="0.6">
      <c r="B13" s="3" t="s">
        <v>194</v>
      </c>
      <c r="F13" s="7">
        <f>F5-F12</f>
        <v>50629999.999999985</v>
      </c>
    </row>
    <row r="14" spans="1:8" x14ac:dyDescent="0.6">
      <c r="B14" s="3" t="s">
        <v>195</v>
      </c>
    </row>
    <row r="15" spans="1:8" x14ac:dyDescent="0.6">
      <c r="B15" s="3" t="s">
        <v>196</v>
      </c>
      <c r="F15" s="7">
        <f>'Ann 7'!E13+'Ann 8'!E14</f>
        <v>5397600</v>
      </c>
    </row>
    <row r="16" spans="1:8" x14ac:dyDescent="0.6">
      <c r="B16" s="3" t="s">
        <v>209</v>
      </c>
      <c r="F16" s="7">
        <v>350000</v>
      </c>
    </row>
    <row r="17" spans="2:6" x14ac:dyDescent="0.6">
      <c r="B17" s="3" t="s">
        <v>198</v>
      </c>
      <c r="F17" s="7">
        <v>1200000</v>
      </c>
    </row>
    <row r="18" spans="2:6" x14ac:dyDescent="0.6">
      <c r="B18" s="3" t="s">
        <v>199</v>
      </c>
      <c r="F18" s="7">
        <v>200000</v>
      </c>
    </row>
    <row r="19" spans="2:6" x14ac:dyDescent="0.6">
      <c r="B19" s="3" t="s">
        <v>200</v>
      </c>
      <c r="F19" s="7">
        <f>SUM('Ann 9'!C12:D20)</f>
        <v>19108171.620552864</v>
      </c>
    </row>
    <row r="20" spans="2:6" x14ac:dyDescent="0.6">
      <c r="B20" s="3" t="s">
        <v>212</v>
      </c>
      <c r="F20" s="7">
        <f>SUM(F15:F19)</f>
        <v>26255771.620552864</v>
      </c>
    </row>
    <row r="22" spans="2:6" x14ac:dyDescent="0.6">
      <c r="D22" s="3" t="s">
        <v>216</v>
      </c>
      <c r="E22" s="3" t="s">
        <v>215</v>
      </c>
    </row>
    <row r="23" spans="2:6" x14ac:dyDescent="0.6">
      <c r="D23" s="3" t="s">
        <v>217</v>
      </c>
      <c r="E23" s="3" t="s">
        <v>217</v>
      </c>
    </row>
    <row r="24" spans="2:6" x14ac:dyDescent="0.6">
      <c r="B24" s="3" t="s">
        <v>228</v>
      </c>
      <c r="D24" s="3">
        <f>Budgets!D22</f>
        <v>21.5</v>
      </c>
      <c r="E24" s="3">
        <f>Budgets!D23</f>
        <v>25.5</v>
      </c>
      <c r="F24" s="9"/>
    </row>
    <row r="25" spans="2:6" x14ac:dyDescent="0.6">
      <c r="B25" s="6" t="s">
        <v>227</v>
      </c>
      <c r="D25" s="3">
        <v>8</v>
      </c>
      <c r="E25" s="3">
        <v>12</v>
      </c>
      <c r="F25" s="9"/>
    </row>
    <row r="26" spans="2:6" x14ac:dyDescent="0.6">
      <c r="B26" s="6" t="s">
        <v>225</v>
      </c>
      <c r="D26" s="3">
        <f>D25*10%</f>
        <v>0.8</v>
      </c>
      <c r="E26" s="3">
        <f>E25*10%</f>
        <v>1.2000000000000002</v>
      </c>
      <c r="F26" s="9"/>
    </row>
    <row r="27" spans="2:6" x14ac:dyDescent="0.6">
      <c r="B27" s="6" t="s">
        <v>226</v>
      </c>
      <c r="D27" s="3">
        <f>D24*5%</f>
        <v>1.075</v>
      </c>
      <c r="E27" s="3">
        <f>E24*5%</f>
        <v>1.2750000000000001</v>
      </c>
      <c r="F27" s="9"/>
    </row>
    <row r="28" spans="2:6" x14ac:dyDescent="0.6">
      <c r="B28" s="6" t="s">
        <v>224</v>
      </c>
      <c r="D28" s="3">
        <f>150000/6000000</f>
        <v>2.5000000000000001E-2</v>
      </c>
      <c r="E28" s="3">
        <f>150000/6000000</f>
        <v>2.5000000000000001E-2</v>
      </c>
      <c r="F28" s="9"/>
    </row>
    <row r="29" spans="2:6" x14ac:dyDescent="0.6">
      <c r="B29" s="3" t="s">
        <v>223</v>
      </c>
      <c r="D29" s="3">
        <v>2</v>
      </c>
      <c r="E29" s="3">
        <v>2</v>
      </c>
      <c r="F29" s="9"/>
    </row>
    <row r="30" spans="2:6" x14ac:dyDescent="0.6">
      <c r="B30" s="3" t="s">
        <v>222</v>
      </c>
      <c r="D30" s="8">
        <f>E12/6000000</f>
        <v>0.38666666666666666</v>
      </c>
      <c r="E30" s="8">
        <f>E12/6000000</f>
        <v>0.38666666666666666</v>
      </c>
      <c r="F30" s="9"/>
    </row>
    <row r="31" spans="2:6" x14ac:dyDescent="0.6">
      <c r="B31" s="3" t="s">
        <v>218</v>
      </c>
      <c r="D31" s="3">
        <f>D24-D25-D26-D27-D28-D29-D30</f>
        <v>9.2133333333333329</v>
      </c>
      <c r="E31" s="3">
        <f>E24-E25-E26-E27-E28-E29-E30</f>
        <v>8.6133333333333333</v>
      </c>
      <c r="F31" s="9"/>
    </row>
    <row r="32" spans="2:6" x14ac:dyDescent="0.6">
      <c r="B32" s="3" t="s">
        <v>219</v>
      </c>
      <c r="D32" s="3">
        <f>D31/D24*100</f>
        <v>42.852713178294572</v>
      </c>
      <c r="E32" s="3">
        <f>E31/E24*100</f>
        <v>33.777777777777779</v>
      </c>
      <c r="F32" s="9"/>
    </row>
    <row r="33" spans="1:6" x14ac:dyDescent="0.6">
      <c r="B33" s="3" t="s">
        <v>221</v>
      </c>
      <c r="D33" s="3">
        <v>50</v>
      </c>
      <c r="E33" s="3">
        <v>50</v>
      </c>
      <c r="F33" s="9"/>
    </row>
    <row r="34" spans="1:6" x14ac:dyDescent="0.6">
      <c r="B34" s="3" t="s">
        <v>220</v>
      </c>
      <c r="D34" s="3">
        <f>D32*D33/100</f>
        <v>21.426356589147286</v>
      </c>
      <c r="E34" s="3">
        <f>E32*E33/100</f>
        <v>16.888888888888889</v>
      </c>
      <c r="F34" s="3">
        <f>SUM(D34:E34)</f>
        <v>38.315245478036175</v>
      </c>
    </row>
    <row r="36" spans="1:6" x14ac:dyDescent="0.6">
      <c r="B36" s="3" t="s">
        <v>211</v>
      </c>
      <c r="D36" s="7">
        <f>F20</f>
        <v>26255771.620552864</v>
      </c>
    </row>
    <row r="37" spans="1:6" x14ac:dyDescent="0.6">
      <c r="B37" s="3" t="s">
        <v>213</v>
      </c>
      <c r="D37" s="8">
        <f>D36/F34%</f>
        <v>68525651.585877791</v>
      </c>
    </row>
    <row r="38" spans="1:6" x14ac:dyDescent="0.6">
      <c r="B38" s="3" t="s">
        <v>214</v>
      </c>
      <c r="D38" s="8">
        <f>D37/2</f>
        <v>34262825.792938896</v>
      </c>
    </row>
    <row r="39" spans="1:6" x14ac:dyDescent="0.6">
      <c r="B39" s="3" t="s">
        <v>215</v>
      </c>
      <c r="D39" s="8">
        <f>D37/2</f>
        <v>34262825.792938896</v>
      </c>
    </row>
    <row r="41" spans="1:6" x14ac:dyDescent="0.6">
      <c r="B41" s="3" t="s">
        <v>229</v>
      </c>
      <c r="D41" s="8">
        <f>D38/D24</f>
        <v>1593619.8043227394</v>
      </c>
    </row>
    <row r="42" spans="1:6" x14ac:dyDescent="0.6">
      <c r="B42" s="3" t="s">
        <v>230</v>
      </c>
      <c r="D42" s="8">
        <f>D39/E24</f>
        <v>1343640.2271740744</v>
      </c>
    </row>
    <row r="44" spans="1:6" x14ac:dyDescent="0.6">
      <c r="B44" s="3" t="s">
        <v>263</v>
      </c>
      <c r="D44" s="10">
        <f>D41/3000000</f>
        <v>0.53120660144091314</v>
      </c>
    </row>
    <row r="45" spans="1:6" x14ac:dyDescent="0.6">
      <c r="B45" s="3" t="s">
        <v>264</v>
      </c>
      <c r="D45" s="10">
        <f>D42/3000000</f>
        <v>0.44788007572469146</v>
      </c>
    </row>
    <row r="46" spans="1:6" x14ac:dyDescent="0.6">
      <c r="B46" s="3" t="s">
        <v>320</v>
      </c>
      <c r="D46" s="10">
        <f>(D42+D41)/6000000</f>
        <v>0.48954333858280225</v>
      </c>
    </row>
    <row r="47" spans="1:6" x14ac:dyDescent="0.6">
      <c r="D47" s="10"/>
    </row>
    <row r="48" spans="1:6" x14ac:dyDescent="0.6">
      <c r="A48" s="3" t="s">
        <v>319</v>
      </c>
    </row>
    <row r="49" spans="1:1" x14ac:dyDescent="0.6">
      <c r="A49" s="3" t="s">
        <v>324</v>
      </c>
    </row>
    <row r="50" spans="1:1" x14ac:dyDescent="0.6">
      <c r="A50" s="3" t="s">
        <v>206</v>
      </c>
    </row>
    <row r="51" spans="1:1" x14ac:dyDescent="0.6">
      <c r="A51" s="3" t="s">
        <v>207</v>
      </c>
    </row>
    <row r="52" spans="1:1" x14ac:dyDescent="0.6">
      <c r="A52" s="3" t="s">
        <v>210</v>
      </c>
    </row>
  </sheetData>
  <pageMargins left="0.7" right="0.7" top="0.75" bottom="0.75" header="0.3" footer="0.3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098D-FBA0-4F7E-BF3C-624224F47C27}">
  <dimension ref="A1:K7"/>
  <sheetViews>
    <sheetView workbookViewId="0">
      <selection activeCell="A8" sqref="A8"/>
    </sheetView>
  </sheetViews>
  <sheetFormatPr defaultRowHeight="14.5" x14ac:dyDescent="0.35"/>
  <sheetData>
    <row r="1" spans="1:11" x14ac:dyDescent="0.35">
      <c r="A1" t="s">
        <v>231</v>
      </c>
    </row>
    <row r="3" spans="1:11" x14ac:dyDescent="0.35">
      <c r="C3" s="69" t="s">
        <v>232</v>
      </c>
      <c r="D3" s="69"/>
      <c r="E3" s="69"/>
      <c r="F3" s="69"/>
      <c r="G3" s="69"/>
      <c r="H3" s="69"/>
      <c r="I3" s="69"/>
      <c r="J3" s="69"/>
      <c r="K3" s="69"/>
    </row>
    <row r="4" spans="1:11" x14ac:dyDescent="0.3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5" spans="1:11" x14ac:dyDescent="0.35">
      <c r="A5" t="s">
        <v>233</v>
      </c>
      <c r="C5">
        <f>'Ann 4'!C6</f>
        <v>19800000</v>
      </c>
      <c r="D5">
        <f>'Ann 4'!D6</f>
        <v>22176000</v>
      </c>
      <c r="E5">
        <f>'Ann 4'!E6</f>
        <v>23562000</v>
      </c>
      <c r="F5">
        <f>'Ann 4'!F6</f>
        <v>24948000.000000004</v>
      </c>
      <c r="G5">
        <f>'Ann 4'!G6</f>
        <v>26334000.000000004</v>
      </c>
      <c r="H5">
        <f>'Ann 4'!H6</f>
        <v>27720000.000000004</v>
      </c>
      <c r="I5">
        <f>'Ann 4'!I6</f>
        <v>27720000.000000004</v>
      </c>
      <c r="J5">
        <f>'Ann 4'!J6</f>
        <v>27720000.000000004</v>
      </c>
      <c r="K5">
        <f>'Ann 4'!K6</f>
        <v>27720000.000000004</v>
      </c>
    </row>
    <row r="6" spans="1:11" x14ac:dyDescent="0.35">
      <c r="A6" t="s">
        <v>234</v>
      </c>
      <c r="C6">
        <f>'Ann 4'!C7</f>
        <v>29700000</v>
      </c>
      <c r="D6">
        <f>'Ann 4'!D7</f>
        <v>33264000</v>
      </c>
      <c r="E6">
        <f>'Ann 4'!E7</f>
        <v>35343000</v>
      </c>
      <c r="F6">
        <f>'Ann 4'!F7</f>
        <v>37422000.000000007</v>
      </c>
      <c r="G6">
        <f>'Ann 4'!G7</f>
        <v>39501000.000000007</v>
      </c>
      <c r="H6">
        <f>'Ann 4'!H7</f>
        <v>41580000.000000007</v>
      </c>
      <c r="I6">
        <f>'Ann 4'!I7</f>
        <v>41580000.000000007</v>
      </c>
      <c r="J6">
        <f>'Ann 4'!J7</f>
        <v>41580000.000000007</v>
      </c>
      <c r="K6">
        <f>'Ann 4'!K7</f>
        <v>41580000.000000007</v>
      </c>
    </row>
    <row r="7" spans="1:11" x14ac:dyDescent="0.35">
      <c r="A7" t="s">
        <v>235</v>
      </c>
    </row>
  </sheetData>
  <mergeCells count="1">
    <mergeCell ref="C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F0C2-594D-4936-9810-7D289B91BEE1}">
  <dimension ref="A1:G36"/>
  <sheetViews>
    <sheetView workbookViewId="0">
      <selection activeCell="E12" sqref="E12"/>
    </sheetView>
  </sheetViews>
  <sheetFormatPr defaultRowHeight="17" x14ac:dyDescent="0.6"/>
  <cols>
    <col min="1" max="1" width="4.54296875" style="3" bestFit="1" customWidth="1"/>
    <col min="2" max="2" width="7.36328125" style="3" bestFit="1" customWidth="1"/>
    <col min="3" max="3" width="17.81640625" style="3" bestFit="1" customWidth="1"/>
    <col min="4" max="4" width="17.36328125" style="3" bestFit="1" customWidth="1"/>
    <col min="5" max="5" width="7.26953125" style="3" bestFit="1" customWidth="1"/>
    <col min="6" max="16384" width="8.7265625" style="3"/>
  </cols>
  <sheetData>
    <row r="1" spans="1:7" x14ac:dyDescent="0.6">
      <c r="A1" s="11" t="s">
        <v>242</v>
      </c>
    </row>
    <row r="3" spans="1:7" x14ac:dyDescent="0.6">
      <c r="A3" s="4" t="s">
        <v>244</v>
      </c>
    </row>
    <row r="4" spans="1:7" x14ac:dyDescent="0.6">
      <c r="A4" s="3" t="s">
        <v>245</v>
      </c>
      <c r="D4" s="12">
        <f>'Ann 2'!C6</f>
        <v>233.18</v>
      </c>
    </row>
    <row r="5" spans="1:7" x14ac:dyDescent="0.6">
      <c r="A5" s="3" t="s">
        <v>246</v>
      </c>
      <c r="D5" s="13">
        <v>0.06</v>
      </c>
    </row>
    <row r="6" spans="1:7" x14ac:dyDescent="0.6">
      <c r="A6" s="3" t="s">
        <v>247</v>
      </c>
      <c r="D6" s="14" t="s">
        <v>248</v>
      </c>
    </row>
    <row r="8" spans="1:7" x14ac:dyDescent="0.6">
      <c r="A8" s="18" t="s">
        <v>184</v>
      </c>
      <c r="B8" s="18" t="s">
        <v>249</v>
      </c>
      <c r="C8" s="18" t="s">
        <v>250</v>
      </c>
      <c r="D8" s="18" t="s">
        <v>252</v>
      </c>
      <c r="E8" s="18" t="s">
        <v>251</v>
      </c>
    </row>
    <row r="9" spans="1:7" x14ac:dyDescent="0.6">
      <c r="A9" s="70">
        <v>1</v>
      </c>
      <c r="B9" s="15">
        <v>1</v>
      </c>
      <c r="C9" s="16">
        <f>$D$4</f>
        <v>233.18</v>
      </c>
      <c r="D9" s="15">
        <v>0</v>
      </c>
      <c r="E9" s="15">
        <f t="shared" ref="E9:E14" si="0">C9*6%/4</f>
        <v>3.4977</v>
      </c>
    </row>
    <row r="10" spans="1:7" x14ac:dyDescent="0.6">
      <c r="A10" s="70"/>
      <c r="B10" s="15">
        <v>2</v>
      </c>
      <c r="C10" s="16">
        <f>$D$4</f>
        <v>233.18</v>
      </c>
      <c r="D10" s="15">
        <v>0</v>
      </c>
      <c r="E10" s="15">
        <f t="shared" si="0"/>
        <v>3.4977</v>
      </c>
      <c r="G10" s="17">
        <f>230/24</f>
        <v>9.5833333333333339</v>
      </c>
    </row>
    <row r="11" spans="1:7" x14ac:dyDescent="0.6">
      <c r="A11" s="70"/>
      <c r="B11" s="15">
        <v>3</v>
      </c>
      <c r="C11" s="16">
        <f>$D$4</f>
        <v>233.18</v>
      </c>
      <c r="D11" s="15">
        <v>0</v>
      </c>
      <c r="E11" s="15">
        <f t="shared" si="0"/>
        <v>3.4977</v>
      </c>
    </row>
    <row r="12" spans="1:7" x14ac:dyDescent="0.6">
      <c r="A12" s="70"/>
      <c r="B12" s="15">
        <v>4</v>
      </c>
      <c r="C12" s="16">
        <f>$D$4</f>
        <v>233.18</v>
      </c>
      <c r="D12" s="15">
        <v>0</v>
      </c>
      <c r="E12" s="15">
        <f t="shared" si="0"/>
        <v>3.4977</v>
      </c>
    </row>
    <row r="13" spans="1:7" x14ac:dyDescent="0.6">
      <c r="A13" s="70">
        <v>2</v>
      </c>
      <c r="B13" s="15">
        <v>1</v>
      </c>
      <c r="C13" s="16">
        <f>$D$4</f>
        <v>233.18</v>
      </c>
      <c r="D13" s="15">
        <v>9.7149999999999999</v>
      </c>
      <c r="E13" s="15">
        <f t="shared" si="0"/>
        <v>3.4977</v>
      </c>
    </row>
    <row r="14" spans="1:7" x14ac:dyDescent="0.6">
      <c r="A14" s="70"/>
      <c r="B14" s="15">
        <v>2</v>
      </c>
      <c r="C14" s="15">
        <f>C13-D13</f>
        <v>223.465</v>
      </c>
      <c r="D14" s="15">
        <f>D13</f>
        <v>9.7149999999999999</v>
      </c>
      <c r="E14" s="15">
        <f t="shared" si="0"/>
        <v>3.3519749999999999</v>
      </c>
    </row>
    <row r="15" spans="1:7" x14ac:dyDescent="0.6">
      <c r="A15" s="70"/>
      <c r="B15" s="15">
        <v>3</v>
      </c>
      <c r="C15" s="15">
        <f>C14-D14</f>
        <v>213.75</v>
      </c>
      <c r="D15" s="15">
        <f t="shared" ref="D15:D35" si="1">D14</f>
        <v>9.7149999999999999</v>
      </c>
      <c r="E15" s="15">
        <f t="shared" ref="E15:E24" si="2">C15*6%/4</f>
        <v>3.2062499999999998</v>
      </c>
    </row>
    <row r="16" spans="1:7" x14ac:dyDescent="0.6">
      <c r="A16" s="70"/>
      <c r="B16" s="15">
        <v>4</v>
      </c>
      <c r="C16" s="15">
        <f>C15-D15</f>
        <v>204.035</v>
      </c>
      <c r="D16" s="15">
        <f t="shared" si="1"/>
        <v>9.7149999999999999</v>
      </c>
      <c r="E16" s="15">
        <f t="shared" si="2"/>
        <v>3.0605249999999997</v>
      </c>
    </row>
    <row r="17" spans="1:5" x14ac:dyDescent="0.6">
      <c r="A17" s="70">
        <v>3</v>
      </c>
      <c r="B17" s="15">
        <v>1</v>
      </c>
      <c r="C17" s="15">
        <f>C16-D16</f>
        <v>194.32</v>
      </c>
      <c r="D17" s="15">
        <f t="shared" si="1"/>
        <v>9.7149999999999999</v>
      </c>
      <c r="E17" s="15">
        <f t="shared" si="2"/>
        <v>2.9147999999999996</v>
      </c>
    </row>
    <row r="18" spans="1:5" x14ac:dyDescent="0.6">
      <c r="A18" s="70"/>
      <c r="B18" s="15">
        <v>2</v>
      </c>
      <c r="C18" s="15">
        <f t="shared" ref="C18:C36" si="3">C17-D17</f>
        <v>184.60499999999999</v>
      </c>
      <c r="D18" s="15">
        <f t="shared" si="1"/>
        <v>9.7149999999999999</v>
      </c>
      <c r="E18" s="15">
        <f t="shared" si="2"/>
        <v>2.769075</v>
      </c>
    </row>
    <row r="19" spans="1:5" x14ac:dyDescent="0.6">
      <c r="A19" s="70"/>
      <c r="B19" s="15">
        <v>3</v>
      </c>
      <c r="C19" s="15">
        <f t="shared" si="3"/>
        <v>174.89</v>
      </c>
      <c r="D19" s="15">
        <f t="shared" si="1"/>
        <v>9.7149999999999999</v>
      </c>
      <c r="E19" s="15">
        <f t="shared" si="2"/>
        <v>2.6233499999999998</v>
      </c>
    </row>
    <row r="20" spans="1:5" x14ac:dyDescent="0.6">
      <c r="A20" s="70"/>
      <c r="B20" s="15">
        <v>4</v>
      </c>
      <c r="C20" s="15">
        <f t="shared" si="3"/>
        <v>165.17499999999998</v>
      </c>
      <c r="D20" s="15">
        <f t="shared" si="1"/>
        <v>9.7149999999999999</v>
      </c>
      <c r="E20" s="15">
        <f t="shared" si="2"/>
        <v>2.4776249999999997</v>
      </c>
    </row>
    <row r="21" spans="1:5" x14ac:dyDescent="0.6">
      <c r="A21" s="70">
        <v>4</v>
      </c>
      <c r="B21" s="15">
        <v>1</v>
      </c>
      <c r="C21" s="15">
        <f t="shared" si="3"/>
        <v>155.45999999999998</v>
      </c>
      <c r="D21" s="15">
        <f t="shared" si="1"/>
        <v>9.7149999999999999</v>
      </c>
      <c r="E21" s="15">
        <f t="shared" si="2"/>
        <v>2.3318999999999996</v>
      </c>
    </row>
    <row r="22" spans="1:5" x14ac:dyDescent="0.6">
      <c r="A22" s="70"/>
      <c r="B22" s="15">
        <v>2</v>
      </c>
      <c r="C22" s="15">
        <f t="shared" si="3"/>
        <v>145.74499999999998</v>
      </c>
      <c r="D22" s="15">
        <f t="shared" si="1"/>
        <v>9.7149999999999999</v>
      </c>
      <c r="E22" s="15">
        <f t="shared" si="2"/>
        <v>2.1861749999999995</v>
      </c>
    </row>
    <row r="23" spans="1:5" x14ac:dyDescent="0.6">
      <c r="A23" s="70"/>
      <c r="B23" s="15">
        <v>3</v>
      </c>
      <c r="C23" s="15">
        <f t="shared" si="3"/>
        <v>136.02999999999997</v>
      </c>
      <c r="D23" s="15">
        <f t="shared" si="1"/>
        <v>9.7149999999999999</v>
      </c>
      <c r="E23" s="15">
        <f t="shared" si="2"/>
        <v>2.0404499999999994</v>
      </c>
    </row>
    <row r="24" spans="1:5" x14ac:dyDescent="0.6">
      <c r="A24" s="70"/>
      <c r="B24" s="15">
        <v>4</v>
      </c>
      <c r="C24" s="15">
        <f t="shared" si="3"/>
        <v>126.31499999999997</v>
      </c>
      <c r="D24" s="15">
        <f t="shared" si="1"/>
        <v>9.7149999999999999</v>
      </c>
      <c r="E24" s="15">
        <f t="shared" si="2"/>
        <v>1.8947249999999995</v>
      </c>
    </row>
    <row r="25" spans="1:5" x14ac:dyDescent="0.6">
      <c r="A25" s="70">
        <v>5</v>
      </c>
      <c r="B25" s="15">
        <v>1</v>
      </c>
      <c r="C25" s="15">
        <f t="shared" si="3"/>
        <v>116.59999999999997</v>
      </c>
      <c r="D25" s="15">
        <f t="shared" si="1"/>
        <v>9.7149999999999999</v>
      </c>
      <c r="E25" s="15">
        <f t="shared" ref="E25:E36" si="4">C25*6%/4</f>
        <v>1.7489999999999994</v>
      </c>
    </row>
    <row r="26" spans="1:5" x14ac:dyDescent="0.6">
      <c r="A26" s="70"/>
      <c r="B26" s="15">
        <v>2</v>
      </c>
      <c r="C26" s="15">
        <f t="shared" si="3"/>
        <v>106.88499999999996</v>
      </c>
      <c r="D26" s="15">
        <f t="shared" si="1"/>
        <v>9.7149999999999999</v>
      </c>
      <c r="E26" s="15">
        <f t="shared" si="4"/>
        <v>1.6032749999999993</v>
      </c>
    </row>
    <row r="27" spans="1:5" x14ac:dyDescent="0.6">
      <c r="A27" s="70"/>
      <c r="B27" s="15">
        <v>3</v>
      </c>
      <c r="C27" s="15">
        <f t="shared" si="3"/>
        <v>97.169999999999959</v>
      </c>
      <c r="D27" s="15">
        <f t="shared" si="1"/>
        <v>9.7149999999999999</v>
      </c>
      <c r="E27" s="15">
        <f t="shared" si="4"/>
        <v>1.4575499999999992</v>
      </c>
    </row>
    <row r="28" spans="1:5" x14ac:dyDescent="0.6">
      <c r="A28" s="70"/>
      <c r="B28" s="15">
        <v>4</v>
      </c>
      <c r="C28" s="15">
        <f t="shared" si="3"/>
        <v>87.454999999999956</v>
      </c>
      <c r="D28" s="15">
        <f t="shared" si="1"/>
        <v>9.7149999999999999</v>
      </c>
      <c r="E28" s="15">
        <f t="shared" si="4"/>
        <v>1.3118249999999994</v>
      </c>
    </row>
    <row r="29" spans="1:5" x14ac:dyDescent="0.6">
      <c r="A29" s="70">
        <v>6</v>
      </c>
      <c r="B29" s="15">
        <v>1</v>
      </c>
      <c r="C29" s="15">
        <f t="shared" si="3"/>
        <v>77.739999999999952</v>
      </c>
      <c r="D29" s="15">
        <f t="shared" si="1"/>
        <v>9.7149999999999999</v>
      </c>
      <c r="E29" s="15">
        <f t="shared" si="4"/>
        <v>1.1660999999999992</v>
      </c>
    </row>
    <row r="30" spans="1:5" x14ac:dyDescent="0.6">
      <c r="A30" s="70"/>
      <c r="B30" s="15">
        <v>2</v>
      </c>
      <c r="C30" s="15">
        <f t="shared" si="3"/>
        <v>68.024999999999949</v>
      </c>
      <c r="D30" s="15">
        <f t="shared" si="1"/>
        <v>9.7149999999999999</v>
      </c>
      <c r="E30" s="15">
        <f t="shared" si="4"/>
        <v>1.0203749999999991</v>
      </c>
    </row>
    <row r="31" spans="1:5" x14ac:dyDescent="0.6">
      <c r="A31" s="70"/>
      <c r="B31" s="15">
        <v>3</v>
      </c>
      <c r="C31" s="15">
        <f t="shared" si="3"/>
        <v>58.309999999999945</v>
      </c>
      <c r="D31" s="15">
        <f t="shared" si="1"/>
        <v>9.7149999999999999</v>
      </c>
      <c r="E31" s="15">
        <f t="shared" si="4"/>
        <v>0.87464999999999915</v>
      </c>
    </row>
    <row r="32" spans="1:5" x14ac:dyDescent="0.6">
      <c r="A32" s="70"/>
      <c r="B32" s="15">
        <v>4</v>
      </c>
      <c r="C32" s="15">
        <f t="shared" si="3"/>
        <v>48.594999999999942</v>
      </c>
      <c r="D32" s="15">
        <f t="shared" si="1"/>
        <v>9.7149999999999999</v>
      </c>
      <c r="E32" s="15">
        <f t="shared" si="4"/>
        <v>0.72892499999999916</v>
      </c>
    </row>
    <row r="33" spans="1:5" x14ac:dyDescent="0.6">
      <c r="A33" s="70">
        <v>7</v>
      </c>
      <c r="B33" s="15">
        <v>1</v>
      </c>
      <c r="C33" s="15">
        <f t="shared" si="3"/>
        <v>38.879999999999939</v>
      </c>
      <c r="D33" s="15">
        <f t="shared" si="1"/>
        <v>9.7149999999999999</v>
      </c>
      <c r="E33" s="15">
        <f t="shared" si="4"/>
        <v>0.58319999999999905</v>
      </c>
    </row>
    <row r="34" spans="1:5" x14ac:dyDescent="0.6">
      <c r="A34" s="70"/>
      <c r="B34" s="15">
        <v>2</v>
      </c>
      <c r="C34" s="15">
        <f t="shared" si="3"/>
        <v>29.164999999999939</v>
      </c>
      <c r="D34" s="15">
        <f t="shared" si="1"/>
        <v>9.7149999999999999</v>
      </c>
      <c r="E34" s="15">
        <f t="shared" si="4"/>
        <v>0.43747499999999906</v>
      </c>
    </row>
    <row r="35" spans="1:5" x14ac:dyDescent="0.6">
      <c r="A35" s="70"/>
      <c r="B35" s="15">
        <v>3</v>
      </c>
      <c r="C35" s="15">
        <f t="shared" si="3"/>
        <v>19.449999999999939</v>
      </c>
      <c r="D35" s="15">
        <f t="shared" si="1"/>
        <v>9.7149999999999999</v>
      </c>
      <c r="E35" s="15">
        <f t="shared" si="4"/>
        <v>0.29174999999999907</v>
      </c>
    </row>
    <row r="36" spans="1:5" x14ac:dyDescent="0.6">
      <c r="A36" s="70"/>
      <c r="B36" s="15">
        <v>4</v>
      </c>
      <c r="C36" s="15">
        <f t="shared" si="3"/>
        <v>9.734999999999939</v>
      </c>
      <c r="D36" s="16">
        <f>C36</f>
        <v>9.734999999999939</v>
      </c>
      <c r="E36" s="15">
        <f t="shared" si="4"/>
        <v>0.14602499999999907</v>
      </c>
    </row>
  </sheetData>
  <mergeCells count="7">
    <mergeCell ref="A33:A36"/>
    <mergeCell ref="A9:A12"/>
    <mergeCell ref="A13:A16"/>
    <mergeCell ref="A17:A20"/>
    <mergeCell ref="A21:A24"/>
    <mergeCell ref="A25:A28"/>
    <mergeCell ref="A29:A3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4B1E-1B30-425C-A7A4-40C1C892524E}">
  <sheetPr>
    <pageSetUpPr fitToPage="1"/>
  </sheetPr>
  <dimension ref="A2:K43"/>
  <sheetViews>
    <sheetView workbookViewId="0">
      <selection activeCell="A3" sqref="A3:A4"/>
    </sheetView>
  </sheetViews>
  <sheetFormatPr defaultRowHeight="17" x14ac:dyDescent="0.6"/>
  <cols>
    <col min="1" max="1" width="26.08984375" style="3" bestFit="1" customWidth="1"/>
    <col min="2" max="2" width="17.90625" style="3" bestFit="1" customWidth="1"/>
    <col min="3" max="3" width="12.54296875" style="3" bestFit="1" customWidth="1"/>
    <col min="4" max="4" width="13.6328125" style="3" bestFit="1" customWidth="1"/>
    <col min="5" max="11" width="12.54296875" style="3" bestFit="1" customWidth="1"/>
    <col min="12" max="16384" width="8.7265625" style="3"/>
  </cols>
  <sheetData>
    <row r="2" spans="1:11" s="27" customFormat="1" x14ac:dyDescent="0.6">
      <c r="A2" s="26" t="s">
        <v>101</v>
      </c>
    </row>
    <row r="3" spans="1:11" s="11" customFormat="1" x14ac:dyDescent="0.6">
      <c r="A3" s="110" t="s">
        <v>3</v>
      </c>
      <c r="B3" s="73" t="s">
        <v>94</v>
      </c>
      <c r="C3" s="73"/>
      <c r="D3" s="73"/>
      <c r="E3" s="73"/>
      <c r="F3" s="73"/>
      <c r="G3" s="73"/>
      <c r="H3" s="73"/>
      <c r="I3" s="73"/>
      <c r="J3" s="73"/>
      <c r="K3" s="111"/>
    </row>
    <row r="4" spans="1:11" s="11" customFormat="1" x14ac:dyDescent="0.6">
      <c r="A4" s="112"/>
      <c r="B4" s="75" t="s">
        <v>85</v>
      </c>
      <c r="C4" s="75" t="s">
        <v>86</v>
      </c>
      <c r="D4" s="75" t="s">
        <v>87</v>
      </c>
      <c r="E4" s="75" t="s">
        <v>88</v>
      </c>
      <c r="F4" s="75" t="s">
        <v>89</v>
      </c>
      <c r="G4" s="75" t="s">
        <v>90</v>
      </c>
      <c r="H4" s="75" t="s">
        <v>91</v>
      </c>
      <c r="I4" s="75" t="s">
        <v>92</v>
      </c>
      <c r="J4" s="75" t="s">
        <v>93</v>
      </c>
    </row>
    <row r="5" spans="1:11" x14ac:dyDescent="0.6">
      <c r="A5" s="15" t="s">
        <v>267</v>
      </c>
      <c r="B5" s="22">
        <v>0.75</v>
      </c>
      <c r="C5" s="22">
        <v>0.8</v>
      </c>
      <c r="D5" s="22">
        <v>0.85</v>
      </c>
      <c r="E5" s="22">
        <v>0.9</v>
      </c>
      <c r="F5" s="22">
        <v>0.95</v>
      </c>
      <c r="G5" s="22">
        <v>1</v>
      </c>
      <c r="H5" s="22">
        <v>1</v>
      </c>
      <c r="I5" s="22">
        <v>1</v>
      </c>
      <c r="J5" s="22">
        <v>1</v>
      </c>
    </row>
    <row r="6" spans="1:11" x14ac:dyDescent="0.6">
      <c r="A6" s="23" t="s">
        <v>113</v>
      </c>
      <c r="B6" s="21">
        <f>($C$22*$B$5)/2</f>
        <v>2250000</v>
      </c>
      <c r="C6" s="21">
        <f>($C$5*$C$22)/2</f>
        <v>2400000</v>
      </c>
      <c r="D6" s="21">
        <f>($D$5*$C$22)/2</f>
        <v>2550000</v>
      </c>
      <c r="E6" s="21">
        <f>($E$5*$C$22)/2</f>
        <v>2700000</v>
      </c>
      <c r="F6" s="21">
        <f>($F$5*$C$22)/2</f>
        <v>2850000</v>
      </c>
      <c r="G6" s="21">
        <f t="shared" ref="G6:J7" si="0">($G$5*$C$22)/2</f>
        <v>3000000</v>
      </c>
      <c r="H6" s="21">
        <f t="shared" si="0"/>
        <v>3000000</v>
      </c>
      <c r="I6" s="21">
        <f t="shared" si="0"/>
        <v>3000000</v>
      </c>
      <c r="J6" s="21">
        <f t="shared" si="0"/>
        <v>3000000</v>
      </c>
    </row>
    <row r="7" spans="1:11" x14ac:dyDescent="0.6">
      <c r="A7" s="23" t="s">
        <v>114</v>
      </c>
      <c r="B7" s="21">
        <f>($C$22*$B$5)/2</f>
        <v>2250000</v>
      </c>
      <c r="C7" s="21">
        <f>($C$5*$C$22)/2</f>
        <v>2400000</v>
      </c>
      <c r="D7" s="21">
        <f>($D$5*$C$22)/2</f>
        <v>2550000</v>
      </c>
      <c r="E7" s="21">
        <f>($E$5*$C$22)/2</f>
        <v>2700000</v>
      </c>
      <c r="F7" s="21">
        <f>($F$5*$C$22)/2</f>
        <v>2850000</v>
      </c>
      <c r="G7" s="21">
        <f t="shared" si="0"/>
        <v>3000000</v>
      </c>
      <c r="H7" s="21">
        <f t="shared" si="0"/>
        <v>3000000</v>
      </c>
      <c r="I7" s="21">
        <f t="shared" si="0"/>
        <v>3000000</v>
      </c>
      <c r="J7" s="21">
        <f t="shared" si="0"/>
        <v>3000000</v>
      </c>
    </row>
    <row r="8" spans="1:11" x14ac:dyDescent="0.6">
      <c r="A8" s="15" t="s">
        <v>103</v>
      </c>
      <c r="B8" s="21"/>
      <c r="C8" s="21"/>
      <c r="D8" s="21"/>
      <c r="E8" s="21"/>
      <c r="F8" s="21"/>
      <c r="G8" s="21"/>
      <c r="H8" s="21"/>
      <c r="I8" s="21"/>
      <c r="J8" s="21"/>
    </row>
    <row r="9" spans="1:11" x14ac:dyDescent="0.6">
      <c r="A9" s="23" t="s">
        <v>113</v>
      </c>
      <c r="B9" s="21">
        <v>5000000</v>
      </c>
      <c r="C9" s="24">
        <f>B9*1.02</f>
        <v>5100000</v>
      </c>
      <c r="D9" s="24">
        <f t="shared" ref="D9:J9" si="1">C9*1.02</f>
        <v>5202000</v>
      </c>
      <c r="E9" s="24">
        <f t="shared" si="1"/>
        <v>5306040</v>
      </c>
      <c r="F9" s="24">
        <f t="shared" si="1"/>
        <v>5412160.7999999998</v>
      </c>
      <c r="G9" s="24">
        <f t="shared" si="1"/>
        <v>5520404.0159999998</v>
      </c>
      <c r="H9" s="24">
        <f t="shared" si="1"/>
        <v>5630812.0963199995</v>
      </c>
      <c r="I9" s="24">
        <f t="shared" si="1"/>
        <v>5743428.3382463995</v>
      </c>
      <c r="J9" s="24">
        <f t="shared" si="1"/>
        <v>5858296.9050113279</v>
      </c>
    </row>
    <row r="10" spans="1:11" x14ac:dyDescent="0.6">
      <c r="A10" s="23" t="s">
        <v>114</v>
      </c>
      <c r="B10" s="21">
        <v>8000000</v>
      </c>
      <c r="C10" s="25">
        <f>B10*1.05</f>
        <v>8400000</v>
      </c>
      <c r="D10" s="25">
        <f t="shared" ref="D10:J10" si="2">C10*1.05</f>
        <v>8820000</v>
      </c>
      <c r="E10" s="25">
        <f t="shared" si="2"/>
        <v>9261000</v>
      </c>
      <c r="F10" s="25">
        <f t="shared" si="2"/>
        <v>9724050</v>
      </c>
      <c r="G10" s="25">
        <f t="shared" si="2"/>
        <v>10210252.5</v>
      </c>
      <c r="H10" s="25">
        <f t="shared" si="2"/>
        <v>10720765.125</v>
      </c>
      <c r="I10" s="25">
        <f t="shared" si="2"/>
        <v>11256803.38125</v>
      </c>
      <c r="J10" s="25">
        <f t="shared" si="2"/>
        <v>11819643.5503125</v>
      </c>
    </row>
    <row r="11" spans="1:11" x14ac:dyDescent="0.6">
      <c r="A11" s="15" t="s">
        <v>115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1" x14ac:dyDescent="0.6">
      <c r="A12" s="23" t="s">
        <v>113</v>
      </c>
      <c r="B12" s="24">
        <v>2237000</v>
      </c>
      <c r="C12" s="24">
        <f>B12*1.05</f>
        <v>2348850</v>
      </c>
      <c r="D12" s="24">
        <f t="shared" ref="D12:J12" si="3">C12*1.05</f>
        <v>2466292.5</v>
      </c>
      <c r="E12" s="24">
        <f t="shared" si="3"/>
        <v>2589607.125</v>
      </c>
      <c r="F12" s="24">
        <f t="shared" si="3"/>
        <v>2719087.4812500002</v>
      </c>
      <c r="G12" s="24">
        <f t="shared" si="3"/>
        <v>2855041.8553125001</v>
      </c>
      <c r="H12" s="24">
        <f t="shared" si="3"/>
        <v>2997793.9480781252</v>
      </c>
      <c r="I12" s="24">
        <f t="shared" si="3"/>
        <v>3147683.6454820316</v>
      </c>
      <c r="J12" s="24">
        <f t="shared" si="3"/>
        <v>3305067.8277561334</v>
      </c>
    </row>
    <row r="13" spans="1:11" x14ac:dyDescent="0.6">
      <c r="A13" s="23" t="s">
        <v>114</v>
      </c>
      <c r="B13" s="24">
        <v>2243000</v>
      </c>
      <c r="C13" s="24">
        <f>B13*1.055</f>
        <v>2366365</v>
      </c>
      <c r="D13" s="24">
        <f t="shared" ref="D13:H13" si="4">C13*1.055</f>
        <v>2496515.0749999997</v>
      </c>
      <c r="E13" s="24">
        <f t="shared" si="4"/>
        <v>2633823.4041249994</v>
      </c>
      <c r="F13" s="24">
        <f t="shared" si="4"/>
        <v>2778683.6913518743</v>
      </c>
      <c r="G13" s="24">
        <f t="shared" si="4"/>
        <v>2931511.2943762271</v>
      </c>
      <c r="H13" s="24">
        <f t="shared" si="4"/>
        <v>3092744.4155669194</v>
      </c>
      <c r="I13" s="24">
        <f>MIN(H13*1.055,3000000+I36)</f>
        <v>3207357.1195799801</v>
      </c>
      <c r="J13" s="24">
        <f>MIN(I13*1.055,3000000)</f>
        <v>3000000</v>
      </c>
    </row>
    <row r="15" spans="1:11" x14ac:dyDescent="0.6">
      <c r="A15" s="11" t="s">
        <v>102</v>
      </c>
    </row>
    <row r="17" spans="1:11" x14ac:dyDescent="0.6">
      <c r="A17" s="3" t="s">
        <v>104</v>
      </c>
      <c r="B17" s="3">
        <v>2000</v>
      </c>
      <c r="C17" s="3" t="s">
        <v>107</v>
      </c>
    </row>
    <row r="18" spans="1:11" x14ac:dyDescent="0.6">
      <c r="A18" s="3" t="s">
        <v>105</v>
      </c>
      <c r="B18" s="3">
        <f>300*10</f>
        <v>3000</v>
      </c>
      <c r="C18" s="3" t="s">
        <v>108</v>
      </c>
    </row>
    <row r="19" spans="1:11" x14ac:dyDescent="0.6">
      <c r="A19" s="3" t="s">
        <v>106</v>
      </c>
      <c r="B19" s="5">
        <f>B18*B17</f>
        <v>6000000</v>
      </c>
      <c r="C19" s="3" t="s">
        <v>109</v>
      </c>
    </row>
    <row r="21" spans="1:11" s="20" customFormat="1" ht="51" x14ac:dyDescent="0.35">
      <c r="A21" s="29" t="s">
        <v>193</v>
      </c>
      <c r="B21" s="29" t="s">
        <v>122</v>
      </c>
      <c r="C21" s="30" t="s">
        <v>112</v>
      </c>
      <c r="D21" s="30" t="s">
        <v>124</v>
      </c>
      <c r="E21" s="30" t="s">
        <v>125</v>
      </c>
    </row>
    <row r="22" spans="1:11" x14ac:dyDescent="0.6">
      <c r="A22" s="15" t="s">
        <v>110</v>
      </c>
      <c r="B22" s="21">
        <f>C22/2</f>
        <v>3000000</v>
      </c>
      <c r="C22" s="71">
        <f>B19</f>
        <v>6000000</v>
      </c>
      <c r="D22" s="15">
        <v>21.5</v>
      </c>
      <c r="E22" s="15">
        <v>8</v>
      </c>
    </row>
    <row r="23" spans="1:11" x14ac:dyDescent="0.6">
      <c r="A23" s="15" t="s">
        <v>111</v>
      </c>
      <c r="B23" s="21">
        <f>C22/2</f>
        <v>3000000</v>
      </c>
      <c r="C23" s="71"/>
      <c r="D23" s="15">
        <v>25.5</v>
      </c>
      <c r="E23" s="15">
        <v>12</v>
      </c>
    </row>
    <row r="25" spans="1:11" x14ac:dyDescent="0.6">
      <c r="A25" s="11" t="s">
        <v>121</v>
      </c>
    </row>
    <row r="26" spans="1:11" x14ac:dyDescent="0.6">
      <c r="A26" s="68" t="s">
        <v>3</v>
      </c>
      <c r="B26" s="72" t="s">
        <v>94</v>
      </c>
      <c r="C26" s="72"/>
      <c r="D26" s="72"/>
      <c r="E26" s="72"/>
      <c r="F26" s="72"/>
      <c r="G26" s="72"/>
      <c r="H26" s="72"/>
      <c r="I26" s="72"/>
      <c r="J26" s="72"/>
      <c r="K26" s="19"/>
    </row>
    <row r="27" spans="1:11" x14ac:dyDescent="0.6">
      <c r="A27" s="68"/>
      <c r="B27" s="28" t="s">
        <v>85</v>
      </c>
      <c r="C27" s="28" t="s">
        <v>86</v>
      </c>
      <c r="D27" s="28" t="s">
        <v>87</v>
      </c>
      <c r="E27" s="28" t="s">
        <v>88</v>
      </c>
      <c r="F27" s="28" t="s">
        <v>89</v>
      </c>
      <c r="G27" s="28" t="s">
        <v>90</v>
      </c>
      <c r="H27" s="28" t="s">
        <v>91</v>
      </c>
      <c r="I27" s="28" t="s">
        <v>92</v>
      </c>
      <c r="J27" s="28" t="s">
        <v>93</v>
      </c>
    </row>
    <row r="28" spans="1:11" x14ac:dyDescent="0.6">
      <c r="A28" s="15" t="s">
        <v>116</v>
      </c>
      <c r="B28" s="24">
        <v>0</v>
      </c>
      <c r="C28" s="24">
        <f>B31</f>
        <v>13000</v>
      </c>
      <c r="D28" s="24">
        <f t="shared" ref="D28:J28" si="5">C31</f>
        <v>64150</v>
      </c>
      <c r="E28" s="24">
        <f t="shared" si="5"/>
        <v>147857.5</v>
      </c>
      <c r="F28" s="24">
        <f t="shared" si="5"/>
        <v>258250.375</v>
      </c>
      <c r="G28" s="24">
        <f t="shared" si="5"/>
        <v>389162.89374999981</v>
      </c>
      <c r="H28" s="24">
        <f t="shared" si="5"/>
        <v>534121.03843749966</v>
      </c>
      <c r="I28" s="24">
        <f t="shared" si="5"/>
        <v>536327.09035937442</v>
      </c>
      <c r="J28" s="24">
        <f t="shared" si="5"/>
        <v>388643.44487734279</v>
      </c>
    </row>
    <row r="29" spans="1:11" x14ac:dyDescent="0.6">
      <c r="A29" s="15" t="s">
        <v>117</v>
      </c>
      <c r="B29" s="24">
        <f>B6</f>
        <v>2250000</v>
      </c>
      <c r="C29" s="24">
        <f t="shared" ref="C29:J29" si="6">C6</f>
        <v>2400000</v>
      </c>
      <c r="D29" s="24">
        <f t="shared" si="6"/>
        <v>2550000</v>
      </c>
      <c r="E29" s="24">
        <f t="shared" si="6"/>
        <v>2700000</v>
      </c>
      <c r="F29" s="24">
        <f t="shared" si="6"/>
        <v>2850000</v>
      </c>
      <c r="G29" s="24">
        <f t="shared" si="6"/>
        <v>3000000</v>
      </c>
      <c r="H29" s="24">
        <f t="shared" si="6"/>
        <v>3000000</v>
      </c>
      <c r="I29" s="24">
        <f t="shared" si="6"/>
        <v>3000000</v>
      </c>
      <c r="J29" s="24">
        <f t="shared" si="6"/>
        <v>3000000</v>
      </c>
    </row>
    <row r="30" spans="1:11" x14ac:dyDescent="0.6">
      <c r="A30" s="15" t="s">
        <v>118</v>
      </c>
      <c r="B30" s="24">
        <f>B12</f>
        <v>2237000</v>
      </c>
      <c r="C30" s="24">
        <f>C12</f>
        <v>2348850</v>
      </c>
      <c r="D30" s="24">
        <f t="shared" ref="D30:J30" si="7">D12</f>
        <v>2466292.5</v>
      </c>
      <c r="E30" s="24">
        <f t="shared" si="7"/>
        <v>2589607.125</v>
      </c>
      <c r="F30" s="24">
        <f t="shared" si="7"/>
        <v>2719087.4812500002</v>
      </c>
      <c r="G30" s="24">
        <f t="shared" si="7"/>
        <v>2855041.8553125001</v>
      </c>
      <c r="H30" s="24">
        <f t="shared" si="7"/>
        <v>2997793.9480781252</v>
      </c>
      <c r="I30" s="24">
        <f t="shared" si="7"/>
        <v>3147683.6454820316</v>
      </c>
      <c r="J30" s="24">
        <f t="shared" si="7"/>
        <v>3305067.8277561334</v>
      </c>
    </row>
    <row r="31" spans="1:11" x14ac:dyDescent="0.6">
      <c r="A31" s="15" t="s">
        <v>119</v>
      </c>
      <c r="B31" s="24">
        <f>B28+B29-B30</f>
        <v>13000</v>
      </c>
      <c r="C31" s="24">
        <f t="shared" ref="C31:J31" si="8">C28+C29-C30</f>
        <v>64150</v>
      </c>
      <c r="D31" s="24">
        <f t="shared" si="8"/>
        <v>147857.5</v>
      </c>
      <c r="E31" s="24">
        <f t="shared" si="8"/>
        <v>258250.375</v>
      </c>
      <c r="F31" s="24">
        <f t="shared" si="8"/>
        <v>389162.89374999981</v>
      </c>
      <c r="G31" s="24">
        <f t="shared" si="8"/>
        <v>534121.03843749966</v>
      </c>
      <c r="H31" s="24">
        <f t="shared" si="8"/>
        <v>536327.09035937442</v>
      </c>
      <c r="I31" s="24">
        <f t="shared" si="8"/>
        <v>388643.44487734279</v>
      </c>
      <c r="J31" s="24">
        <f t="shared" si="8"/>
        <v>83575.61712120939</v>
      </c>
    </row>
    <row r="33" spans="1:10" x14ac:dyDescent="0.6">
      <c r="A33" s="11" t="s">
        <v>120</v>
      </c>
    </row>
    <row r="34" spans="1:10" x14ac:dyDescent="0.6">
      <c r="A34" s="68" t="s">
        <v>3</v>
      </c>
      <c r="B34" s="72" t="s">
        <v>94</v>
      </c>
      <c r="C34" s="72"/>
      <c r="D34" s="72"/>
      <c r="E34" s="72"/>
      <c r="F34" s="72"/>
      <c r="G34" s="72"/>
      <c r="H34" s="72"/>
      <c r="I34" s="72"/>
      <c r="J34" s="72"/>
    </row>
    <row r="35" spans="1:10" x14ac:dyDescent="0.6">
      <c r="A35" s="68"/>
      <c r="B35" s="28" t="s">
        <v>85</v>
      </c>
      <c r="C35" s="28" t="s">
        <v>86</v>
      </c>
      <c r="D35" s="28" t="s">
        <v>87</v>
      </c>
      <c r="E35" s="28" t="s">
        <v>88</v>
      </c>
      <c r="F35" s="28" t="s">
        <v>89</v>
      </c>
      <c r="G35" s="28" t="s">
        <v>90</v>
      </c>
      <c r="H35" s="28" t="s">
        <v>91</v>
      </c>
      <c r="I35" s="28" t="s">
        <v>92</v>
      </c>
      <c r="J35" s="28" t="s">
        <v>93</v>
      </c>
    </row>
    <row r="36" spans="1:10" x14ac:dyDescent="0.6">
      <c r="A36" s="15" t="s">
        <v>116</v>
      </c>
      <c r="B36" s="24">
        <v>0</v>
      </c>
      <c r="C36" s="24">
        <f>B39</f>
        <v>7000</v>
      </c>
      <c r="D36" s="24">
        <f t="shared" ref="D36:J36" si="9">C39</f>
        <v>40635</v>
      </c>
      <c r="E36" s="24">
        <f t="shared" si="9"/>
        <v>94119.925000000279</v>
      </c>
      <c r="F36" s="24">
        <f t="shared" si="9"/>
        <v>160296.52087500086</v>
      </c>
      <c r="G36" s="24">
        <f t="shared" si="9"/>
        <v>231612.82952312659</v>
      </c>
      <c r="H36" s="24">
        <f t="shared" si="9"/>
        <v>300101.53514689952</v>
      </c>
      <c r="I36" s="24">
        <f t="shared" si="9"/>
        <v>207357.11957998015</v>
      </c>
      <c r="J36" s="24">
        <f t="shared" si="9"/>
        <v>0</v>
      </c>
    </row>
    <row r="37" spans="1:10" x14ac:dyDescent="0.6">
      <c r="A37" s="15" t="s">
        <v>117</v>
      </c>
      <c r="B37" s="24">
        <f>B7</f>
        <v>2250000</v>
      </c>
      <c r="C37" s="24">
        <f t="shared" ref="C37:J37" si="10">C7</f>
        <v>2400000</v>
      </c>
      <c r="D37" s="24">
        <f t="shared" si="10"/>
        <v>2550000</v>
      </c>
      <c r="E37" s="24">
        <f t="shared" si="10"/>
        <v>2700000</v>
      </c>
      <c r="F37" s="24">
        <f t="shared" si="10"/>
        <v>2850000</v>
      </c>
      <c r="G37" s="24">
        <f t="shared" si="10"/>
        <v>3000000</v>
      </c>
      <c r="H37" s="24">
        <f t="shared" si="10"/>
        <v>3000000</v>
      </c>
      <c r="I37" s="24">
        <f t="shared" si="10"/>
        <v>3000000</v>
      </c>
      <c r="J37" s="24">
        <f t="shared" si="10"/>
        <v>3000000</v>
      </c>
    </row>
    <row r="38" spans="1:10" x14ac:dyDescent="0.6">
      <c r="A38" s="15" t="s">
        <v>118</v>
      </c>
      <c r="B38" s="24">
        <f>B13</f>
        <v>2243000</v>
      </c>
      <c r="C38" s="24">
        <f t="shared" ref="C38:J38" si="11">C13</f>
        <v>2366365</v>
      </c>
      <c r="D38" s="24">
        <f t="shared" si="11"/>
        <v>2496515.0749999997</v>
      </c>
      <c r="E38" s="24">
        <f t="shared" si="11"/>
        <v>2633823.4041249994</v>
      </c>
      <c r="F38" s="24">
        <f t="shared" si="11"/>
        <v>2778683.6913518743</v>
      </c>
      <c r="G38" s="24">
        <f t="shared" si="11"/>
        <v>2931511.2943762271</v>
      </c>
      <c r="H38" s="24">
        <f t="shared" si="11"/>
        <v>3092744.4155669194</v>
      </c>
      <c r="I38" s="24">
        <f t="shared" si="11"/>
        <v>3207357.1195799801</v>
      </c>
      <c r="J38" s="24">
        <f t="shared" si="11"/>
        <v>3000000</v>
      </c>
    </row>
    <row r="39" spans="1:10" x14ac:dyDescent="0.6">
      <c r="A39" s="15" t="s">
        <v>119</v>
      </c>
      <c r="B39" s="24">
        <f>B36+B37-B38</f>
        <v>7000</v>
      </c>
      <c r="C39" s="24">
        <f t="shared" ref="C39" si="12">C36+C37-C38</f>
        <v>40635</v>
      </c>
      <c r="D39" s="24">
        <f t="shared" ref="D39" si="13">D36+D37-D38</f>
        <v>94119.925000000279</v>
      </c>
      <c r="E39" s="24">
        <f t="shared" ref="E39" si="14">E36+E37-E38</f>
        <v>160296.52087500086</v>
      </c>
      <c r="F39" s="24">
        <f t="shared" ref="F39" si="15">F36+F37-F38</f>
        <v>231612.82952312659</v>
      </c>
      <c r="G39" s="24">
        <f t="shared" ref="G39" si="16">G36+G37-G38</f>
        <v>300101.53514689952</v>
      </c>
      <c r="H39" s="24">
        <f t="shared" ref="H39" si="17">H36+H37-H38</f>
        <v>207357.11957998015</v>
      </c>
      <c r="I39" s="24">
        <f t="shared" ref="I39" si="18">I36+I37-I38</f>
        <v>0</v>
      </c>
      <c r="J39" s="24">
        <f t="shared" ref="J39" si="19">J36+J37-J38</f>
        <v>0</v>
      </c>
    </row>
    <row r="41" spans="1:10" x14ac:dyDescent="0.6">
      <c r="A41" s="3" t="s">
        <v>129</v>
      </c>
    </row>
    <row r="42" spans="1:10" x14ac:dyDescent="0.6">
      <c r="A42" s="3" t="s">
        <v>130</v>
      </c>
    </row>
    <row r="43" spans="1:10" x14ac:dyDescent="0.6">
      <c r="A43" s="3" t="s">
        <v>131</v>
      </c>
    </row>
  </sheetData>
  <mergeCells count="7">
    <mergeCell ref="C22:C23"/>
    <mergeCell ref="B34:J34"/>
    <mergeCell ref="B3:J3"/>
    <mergeCell ref="A3:A4"/>
    <mergeCell ref="A26:A27"/>
    <mergeCell ref="B26:J26"/>
    <mergeCell ref="A34:A35"/>
  </mergeCells>
  <pageMargins left="0.7" right="0.7" top="0.75" bottom="0.75" header="0.3" footer="0.3"/>
  <pageSetup scale="7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DA94-5F23-494F-AD06-0793DB3E738B}">
  <sheetPr>
    <pageSetUpPr fitToPage="1"/>
  </sheetPr>
  <dimension ref="A1:B9"/>
  <sheetViews>
    <sheetView workbookViewId="0">
      <selection activeCell="B1" sqref="B1"/>
    </sheetView>
  </sheetViews>
  <sheetFormatPr defaultRowHeight="17" x14ac:dyDescent="0.6"/>
  <cols>
    <col min="1" max="16384" width="8.7265625" style="3"/>
  </cols>
  <sheetData>
    <row r="1" spans="1:2" x14ac:dyDescent="0.6">
      <c r="A1" s="3" t="s">
        <v>331</v>
      </c>
      <c r="B1" s="3" t="s">
        <v>332</v>
      </c>
    </row>
    <row r="2" spans="1:2" x14ac:dyDescent="0.6">
      <c r="A2" s="3">
        <v>1</v>
      </c>
      <c r="B2" s="3" t="s">
        <v>333</v>
      </c>
    </row>
    <row r="3" spans="1:2" x14ac:dyDescent="0.6">
      <c r="A3" s="3">
        <v>2</v>
      </c>
      <c r="B3" s="3" t="s">
        <v>334</v>
      </c>
    </row>
    <row r="4" spans="1:2" x14ac:dyDescent="0.6">
      <c r="A4" s="3">
        <v>3</v>
      </c>
      <c r="B4" s="3" t="s">
        <v>363</v>
      </c>
    </row>
    <row r="5" spans="1:2" x14ac:dyDescent="0.6">
      <c r="A5" s="3">
        <v>4</v>
      </c>
      <c r="B5" s="3" t="s">
        <v>335</v>
      </c>
    </row>
    <row r="6" spans="1:2" x14ac:dyDescent="0.6">
      <c r="A6" s="3">
        <v>5</v>
      </c>
      <c r="B6" s="3" t="s">
        <v>336</v>
      </c>
    </row>
    <row r="7" spans="1:2" x14ac:dyDescent="0.6">
      <c r="A7" s="3">
        <v>6</v>
      </c>
      <c r="B7" s="3" t="s">
        <v>337</v>
      </c>
    </row>
    <row r="8" spans="1:2" x14ac:dyDescent="0.6">
      <c r="A8" s="3">
        <v>7</v>
      </c>
      <c r="B8" s="3" t="s">
        <v>338</v>
      </c>
    </row>
    <row r="9" spans="1:2" x14ac:dyDescent="0.6">
      <c r="A9" s="3">
        <v>8</v>
      </c>
      <c r="B9" s="3" t="s">
        <v>339</v>
      </c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E9C4-54F8-474E-BB75-1195C1E10BE5}">
  <sheetPr>
    <pageSetUpPr fitToPage="1"/>
  </sheetPr>
  <dimension ref="A2:J8"/>
  <sheetViews>
    <sheetView workbookViewId="0">
      <selection activeCell="B3" sqref="B3:F8"/>
    </sheetView>
  </sheetViews>
  <sheetFormatPr defaultRowHeight="14.5" x14ac:dyDescent="0.35"/>
  <sheetData>
    <row r="2" spans="1:10" x14ac:dyDescent="0.35"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</row>
    <row r="3" spans="1:10" x14ac:dyDescent="0.35">
      <c r="A3" t="s">
        <v>325</v>
      </c>
      <c r="B3" s="1">
        <f>'Ann 4'!C25/100000</f>
        <v>1052.92</v>
      </c>
      <c r="C3" s="1">
        <f>'Ann 4'!D25/100000</f>
        <v>1108.425825</v>
      </c>
      <c r="D3" s="1">
        <f>'Ann 4'!E25/100000</f>
        <v>1166.864231625</v>
      </c>
      <c r="E3" s="1">
        <f>'Ann 4'!F25/100000</f>
        <v>1228.3904999268748</v>
      </c>
      <c r="F3" s="1">
        <f>'Ann 4'!G25/100000</f>
        <v>1293.1681497634781</v>
      </c>
      <c r="G3" s="1">
        <f>'Ann 4'!H25/100000</f>
        <v>1361.3693789581255</v>
      </c>
      <c r="H3" s="1">
        <f>'Ann 4'!I25/100000</f>
        <v>1433.1755248063614</v>
      </c>
      <c r="I3" s="1">
        <f>'Ann 4'!J25/100000</f>
        <v>1494.6280492715316</v>
      </c>
      <c r="J3" s="1">
        <f>'Ann 4'!K25/100000</f>
        <v>1475.5895829675687</v>
      </c>
    </row>
    <row r="4" spans="1:10" x14ac:dyDescent="0.35">
      <c r="A4" t="s">
        <v>326</v>
      </c>
      <c r="B4" s="1">
        <f>'Ann 4'!C24/100000</f>
        <v>725.92600000000004</v>
      </c>
      <c r="C4" s="1">
        <f>'Ann 4'!D24/100000</f>
        <v>788.05475999999999</v>
      </c>
      <c r="D4" s="1">
        <f>'Ann 4'!E24/100000</f>
        <v>824.8568616</v>
      </c>
      <c r="E4" s="1">
        <f>'Ann 4'!F24/100000</f>
        <v>864.95987346599998</v>
      </c>
      <c r="F4" s="1">
        <f>'Ann 4'!G24/100000</f>
        <v>908.53758552441002</v>
      </c>
      <c r="G4" s="1">
        <f>'Ann 4'!H24/100000</f>
        <v>955.77297131411819</v>
      </c>
      <c r="H4" s="1">
        <f>'Ann 4'!I24/100000</f>
        <v>1033.0111749283128</v>
      </c>
      <c r="I4" s="1">
        <f>'Ann 4'!J24/100000</f>
        <v>1100.9853465354615</v>
      </c>
      <c r="J4" s="1">
        <f>'Ann 4'!K24/100000</f>
        <v>1093.7081243650944</v>
      </c>
    </row>
    <row r="5" spans="1:10" x14ac:dyDescent="0.35">
      <c r="A5" t="s">
        <v>327</v>
      </c>
      <c r="B5" s="1">
        <f>B3-B4</f>
        <v>326.99400000000003</v>
      </c>
      <c r="C5" s="1">
        <f t="shared" ref="C5:J5" si="0">C3-C4</f>
        <v>320.37106500000004</v>
      </c>
      <c r="D5" s="1">
        <f t="shared" si="0"/>
        <v>342.007370025</v>
      </c>
      <c r="E5" s="1">
        <f t="shared" si="0"/>
        <v>363.43062646087481</v>
      </c>
      <c r="F5" s="1">
        <f t="shared" si="0"/>
        <v>384.63056423906812</v>
      </c>
      <c r="G5" s="1">
        <f t="shared" si="0"/>
        <v>405.59640764400729</v>
      </c>
      <c r="H5" s="1">
        <f t="shared" si="0"/>
        <v>400.1643498780486</v>
      </c>
      <c r="I5" s="1">
        <f t="shared" si="0"/>
        <v>393.64270273607008</v>
      </c>
      <c r="J5" s="1">
        <f t="shared" si="0"/>
        <v>381.88145860247437</v>
      </c>
    </row>
    <row r="6" spans="1:10" x14ac:dyDescent="0.35">
      <c r="A6" t="s">
        <v>328</v>
      </c>
      <c r="B6" s="1">
        <f>B5</f>
        <v>326.99400000000003</v>
      </c>
      <c r="C6" s="1">
        <f t="shared" ref="C6:J6" si="1">C5</f>
        <v>320.37106500000004</v>
      </c>
      <c r="D6" s="1">
        <f t="shared" si="1"/>
        <v>342.007370025</v>
      </c>
      <c r="E6" s="1">
        <f t="shared" si="1"/>
        <v>363.43062646087481</v>
      </c>
      <c r="F6" s="1">
        <f t="shared" si="1"/>
        <v>384.63056423906812</v>
      </c>
      <c r="G6" s="1">
        <f t="shared" si="1"/>
        <v>405.59640764400729</v>
      </c>
      <c r="H6" s="1">
        <f t="shared" si="1"/>
        <v>400.1643498780486</v>
      </c>
      <c r="I6" s="1">
        <f t="shared" si="1"/>
        <v>393.64270273607008</v>
      </c>
      <c r="J6" s="1">
        <f t="shared" si="1"/>
        <v>381.88145860247437</v>
      </c>
    </row>
    <row r="7" spans="1:10" x14ac:dyDescent="0.35">
      <c r="A7" t="s">
        <v>329</v>
      </c>
      <c r="B7" s="2">
        <f>'Ann 4'!C36/100000</f>
        <v>273.67762899999997</v>
      </c>
      <c r="C7" s="2">
        <f>'Ann 4'!D36/100000</f>
        <v>274.02773675000003</v>
      </c>
      <c r="D7" s="2">
        <f>'Ann 4'!E36/100000</f>
        <v>302.60256490249998</v>
      </c>
      <c r="E7" s="2">
        <f>'Ann 4'!F36/100000</f>
        <v>330.28953685774979</v>
      </c>
      <c r="F7" s="2">
        <f>'Ann 4'!G36/100000</f>
        <v>357.17798060231178</v>
      </c>
      <c r="G7" s="2">
        <f>'Ann 4'!H36/100000</f>
        <v>383.34194107607442</v>
      </c>
      <c r="H7" s="2">
        <f>'Ann 4'!I36/100000</f>
        <v>382.68985511628472</v>
      </c>
      <c r="I7" s="2">
        <f>'Ann 4'!J36/100000</f>
        <v>379.71842307745197</v>
      </c>
      <c r="J7" s="2">
        <f>'Ann 4'!K36/100000</f>
        <v>369.7447634426419</v>
      </c>
    </row>
    <row r="8" spans="1:10" x14ac:dyDescent="0.35">
      <c r="A8" t="s">
        <v>330</v>
      </c>
      <c r="B8" s="2">
        <f>'Ann 4'!C38/100000</f>
        <v>191.36434030000001</v>
      </c>
      <c r="C8" s="2">
        <f>'Ann 4'!D38/100000</f>
        <v>191.81941572500003</v>
      </c>
      <c r="D8" s="2">
        <f>'Ann 4'!E38/100000</f>
        <v>211.82179543174996</v>
      </c>
      <c r="E8" s="2">
        <f>'Ann 4'!F38/100000</f>
        <v>231.20267580042488</v>
      </c>
      <c r="F8" s="2">
        <f>'Ann 4'!G38/100000</f>
        <v>250.02458642161824</v>
      </c>
      <c r="G8" s="2">
        <f>'Ann 4'!H38/100000</f>
        <v>268.3393587532521</v>
      </c>
      <c r="H8" s="2">
        <f>'Ann 4'!I38/100000</f>
        <v>267.88289858139933</v>
      </c>
      <c r="I8" s="2">
        <f>'Ann 4'!J38/100000</f>
        <v>265.8028961542164</v>
      </c>
      <c r="J8" s="2">
        <f>'Ann 4'!K38/100000</f>
        <v>258.82133440984933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8DE0-72C3-4C7B-BCE1-80ED309267B8}">
  <dimension ref="A1:K7"/>
  <sheetViews>
    <sheetView workbookViewId="0">
      <selection activeCell="C5" sqref="C5"/>
    </sheetView>
  </sheetViews>
  <sheetFormatPr defaultRowHeight="14.5" x14ac:dyDescent="0.35"/>
  <cols>
    <col min="3" max="3" width="8.81640625" bestFit="1" customWidth="1"/>
    <col min="4" max="5" width="11.81640625" bestFit="1" customWidth="1"/>
    <col min="6" max="6" width="9.81640625" bestFit="1" customWidth="1"/>
    <col min="7" max="11" width="11.81640625" bestFit="1" customWidth="1"/>
  </cols>
  <sheetData>
    <row r="1" spans="1:11" x14ac:dyDescent="0.35">
      <c r="A1" t="s">
        <v>307</v>
      </c>
    </row>
    <row r="2" spans="1:11" x14ac:dyDescent="0.35"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</row>
    <row r="3" spans="1:11" x14ac:dyDescent="0.35">
      <c r="A3" t="s">
        <v>308</v>
      </c>
      <c r="C3">
        <f>'Ann 4'!C25/300*270</f>
        <v>94762800</v>
      </c>
      <c r="D3">
        <f>'Ann 4'!D25/300*270</f>
        <v>99758324.25</v>
      </c>
      <c r="E3">
        <f>'Ann 4'!E25/300*270</f>
        <v>105017780.84625</v>
      </c>
      <c r="F3">
        <f>'Ann 4'!F25/300*270</f>
        <v>110555144.99341872</v>
      </c>
      <c r="G3">
        <f>'Ann 4'!G25/300*270</f>
        <v>116385133.47871302</v>
      </c>
      <c r="H3">
        <f>'Ann 4'!H25/300*270</f>
        <v>122523244.10623129</v>
      </c>
      <c r="I3">
        <f>'Ann 4'!I25/300*270</f>
        <v>128985797.23257253</v>
      </c>
      <c r="J3">
        <f>'Ann 4'!J25/300*270</f>
        <v>134516524.43443784</v>
      </c>
      <c r="K3">
        <f>'Ann 4'!K25/300*270</f>
        <v>132803062.46708119</v>
      </c>
    </row>
    <row r="4" spans="1:11" x14ac:dyDescent="0.35">
      <c r="A4" t="s">
        <v>309</v>
      </c>
      <c r="C4">
        <v>5000000</v>
      </c>
    </row>
    <row r="5" spans="1:11" x14ac:dyDescent="0.35">
      <c r="A5" t="s">
        <v>310</v>
      </c>
      <c r="C5">
        <v>21492978</v>
      </c>
    </row>
    <row r="7" spans="1:11" x14ac:dyDescent="0.35">
      <c r="A7" t="s">
        <v>311</v>
      </c>
      <c r="C7">
        <f>'Ann 3'!G39</f>
        <v>25498000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A738-A431-4FFB-9E48-2908CC4F126C}">
  <dimension ref="A1:E37"/>
  <sheetViews>
    <sheetView topLeftCell="A2" workbookViewId="0">
      <selection activeCell="C12" sqref="C12"/>
    </sheetView>
  </sheetViews>
  <sheetFormatPr defaultRowHeight="17" x14ac:dyDescent="0.6"/>
  <cols>
    <col min="1" max="1" width="8.7265625" style="3"/>
    <col min="2" max="2" width="44.90625" style="3" customWidth="1"/>
    <col min="3" max="3" width="13.26953125" style="3" customWidth="1"/>
    <col min="4" max="4" width="12.26953125" style="3" bestFit="1" customWidth="1"/>
    <col min="5" max="16384" width="8.7265625" style="3"/>
  </cols>
  <sheetData>
    <row r="1" spans="1:3" x14ac:dyDescent="0.6">
      <c r="A1" s="11" t="s">
        <v>361</v>
      </c>
    </row>
    <row r="2" spans="1:3" x14ac:dyDescent="0.6">
      <c r="A2" s="11"/>
    </row>
    <row r="3" spans="1:3" x14ac:dyDescent="0.6">
      <c r="A3" s="11" t="s">
        <v>0</v>
      </c>
    </row>
    <row r="5" spans="1:3" x14ac:dyDescent="0.6">
      <c r="A5" s="104" t="s">
        <v>1</v>
      </c>
      <c r="B5" s="84"/>
      <c r="C5" s="85"/>
    </row>
    <row r="6" spans="1:3" ht="34" x14ac:dyDescent="0.6">
      <c r="A6" s="18" t="s">
        <v>2</v>
      </c>
      <c r="B6" s="18" t="s">
        <v>3</v>
      </c>
      <c r="C6" s="105" t="s">
        <v>4</v>
      </c>
    </row>
    <row r="7" spans="1:3" x14ac:dyDescent="0.6">
      <c r="A7" s="95">
        <v>1</v>
      </c>
      <c r="B7" s="48" t="s">
        <v>6</v>
      </c>
      <c r="C7" s="49"/>
    </row>
    <row r="8" spans="1:3" x14ac:dyDescent="0.6">
      <c r="A8" s="95" t="s">
        <v>5</v>
      </c>
      <c r="B8" s="48" t="s">
        <v>7</v>
      </c>
      <c r="C8" s="96">
        <v>0</v>
      </c>
    </row>
    <row r="9" spans="1:3" x14ac:dyDescent="0.6">
      <c r="A9" s="95"/>
      <c r="B9" s="48" t="s">
        <v>8</v>
      </c>
      <c r="C9" s="96">
        <f>SUM(C8)</f>
        <v>0</v>
      </c>
    </row>
    <row r="10" spans="1:3" x14ac:dyDescent="0.6">
      <c r="A10" s="95"/>
      <c r="B10" s="48"/>
      <c r="C10" s="49"/>
    </row>
    <row r="11" spans="1:3" x14ac:dyDescent="0.6">
      <c r="A11" s="95">
        <v>2</v>
      </c>
      <c r="B11" s="48" t="s">
        <v>9</v>
      </c>
      <c r="C11" s="49"/>
    </row>
    <row r="12" spans="1:3" x14ac:dyDescent="0.6">
      <c r="A12" s="95" t="s">
        <v>5</v>
      </c>
      <c r="B12" s="48" t="s">
        <v>9</v>
      </c>
      <c r="C12" s="97">
        <f>('Ann 3'!G18)/100000</f>
        <v>31.068580000000001</v>
      </c>
    </row>
    <row r="13" spans="1:3" x14ac:dyDescent="0.6">
      <c r="A13" s="95"/>
      <c r="B13" s="48" t="s">
        <v>8</v>
      </c>
      <c r="C13" s="97">
        <f>C12</f>
        <v>31.068580000000001</v>
      </c>
    </row>
    <row r="14" spans="1:3" x14ac:dyDescent="0.6">
      <c r="A14" s="95"/>
      <c r="B14" s="48"/>
      <c r="C14" s="49"/>
    </row>
    <row r="15" spans="1:3" x14ac:dyDescent="0.6">
      <c r="A15" s="95">
        <v>3</v>
      </c>
      <c r="B15" s="48" t="s">
        <v>10</v>
      </c>
      <c r="C15" s="49"/>
    </row>
    <row r="16" spans="1:3" x14ac:dyDescent="0.6">
      <c r="A16" s="95" t="s">
        <v>5</v>
      </c>
      <c r="B16" s="48" t="s">
        <v>11</v>
      </c>
      <c r="C16" s="98">
        <f>('Ann 3'!G37)/100000</f>
        <v>223.91141999999999</v>
      </c>
    </row>
    <row r="17" spans="1:4" x14ac:dyDescent="0.6">
      <c r="A17" s="95"/>
      <c r="B17" s="48" t="s">
        <v>8</v>
      </c>
      <c r="C17" s="99">
        <f>C16</f>
        <v>223.91141999999999</v>
      </c>
    </row>
    <row r="18" spans="1:4" x14ac:dyDescent="0.6">
      <c r="A18" s="95"/>
      <c r="B18" s="48"/>
      <c r="C18" s="49"/>
    </row>
    <row r="19" spans="1:4" x14ac:dyDescent="0.6">
      <c r="A19" s="95">
        <v>4</v>
      </c>
      <c r="B19" s="48" t="s">
        <v>12</v>
      </c>
      <c r="C19" s="49"/>
    </row>
    <row r="20" spans="1:4" x14ac:dyDescent="0.6">
      <c r="A20" s="95" t="s">
        <v>5</v>
      </c>
      <c r="B20" s="48" t="s">
        <v>13</v>
      </c>
      <c r="C20" s="49">
        <v>5</v>
      </c>
    </row>
    <row r="21" spans="1:4" x14ac:dyDescent="0.6">
      <c r="A21" s="95"/>
      <c r="B21" s="48"/>
      <c r="C21" s="49"/>
    </row>
    <row r="22" spans="1:4" x14ac:dyDescent="0.6">
      <c r="A22" s="95">
        <v>5</v>
      </c>
      <c r="B22" s="48" t="s">
        <v>14</v>
      </c>
      <c r="C22" s="49">
        <v>14.32</v>
      </c>
      <c r="D22" s="8"/>
    </row>
    <row r="23" spans="1:4" x14ac:dyDescent="0.6">
      <c r="A23" s="95"/>
      <c r="B23" s="48"/>
      <c r="C23" s="49"/>
    </row>
    <row r="24" spans="1:4" x14ac:dyDescent="0.6">
      <c r="A24" s="95">
        <v>6</v>
      </c>
      <c r="B24" s="48" t="s">
        <v>15</v>
      </c>
      <c r="C24" s="49"/>
    </row>
    <row r="25" spans="1:4" x14ac:dyDescent="0.6">
      <c r="A25" s="95" t="s">
        <v>5</v>
      </c>
      <c r="B25" s="48" t="s">
        <v>16</v>
      </c>
      <c r="C25" s="49">
        <v>0</v>
      </c>
    </row>
    <row r="26" spans="1:4" x14ac:dyDescent="0.6">
      <c r="A26" s="95"/>
      <c r="B26" s="48" t="s">
        <v>8</v>
      </c>
      <c r="C26" s="49"/>
    </row>
    <row r="27" spans="1:4" x14ac:dyDescent="0.6">
      <c r="A27" s="95"/>
      <c r="B27" s="48"/>
      <c r="C27" s="49"/>
    </row>
    <row r="28" spans="1:4" x14ac:dyDescent="0.6">
      <c r="A28" s="95"/>
      <c r="B28" s="48" t="s">
        <v>17</v>
      </c>
      <c r="C28" s="49"/>
    </row>
    <row r="29" spans="1:4" ht="34" x14ac:dyDescent="0.6">
      <c r="A29" s="95"/>
      <c r="B29" s="100" t="s">
        <v>18</v>
      </c>
      <c r="C29" s="49"/>
    </row>
    <row r="30" spans="1:4" x14ac:dyDescent="0.6">
      <c r="A30" s="95" t="s">
        <v>5</v>
      </c>
      <c r="B30" s="48" t="s">
        <v>19</v>
      </c>
      <c r="C30" s="49">
        <v>0.6</v>
      </c>
    </row>
    <row r="31" spans="1:4" x14ac:dyDescent="0.6">
      <c r="A31" s="95" t="s">
        <v>20</v>
      </c>
      <c r="B31" s="48" t="s">
        <v>21</v>
      </c>
      <c r="C31" s="49">
        <v>0.1</v>
      </c>
    </row>
    <row r="32" spans="1:4" x14ac:dyDescent="0.6">
      <c r="A32" s="95"/>
      <c r="B32" s="48" t="s">
        <v>8</v>
      </c>
      <c r="C32" s="49">
        <f>SUM(C30:C31)</f>
        <v>0.7</v>
      </c>
    </row>
    <row r="33" spans="1:5" x14ac:dyDescent="0.6">
      <c r="A33" s="95"/>
      <c r="B33" s="48"/>
      <c r="C33" s="49"/>
    </row>
    <row r="34" spans="1:5" x14ac:dyDescent="0.6">
      <c r="A34" s="101"/>
      <c r="B34" s="102" t="s">
        <v>22</v>
      </c>
      <c r="C34" s="39">
        <f>C32+C25+C22+C17+C13+C20</f>
        <v>275</v>
      </c>
      <c r="D34" s="103"/>
      <c r="E34" s="8"/>
    </row>
    <row r="35" spans="1:5" x14ac:dyDescent="0.6">
      <c r="A35" s="33"/>
    </row>
    <row r="36" spans="1:5" x14ac:dyDescent="0.6">
      <c r="A36" s="33"/>
    </row>
    <row r="37" spans="1:5" x14ac:dyDescent="0.6">
      <c r="A37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81CD-D127-4212-A91B-7CC6FC2C782F}">
  <dimension ref="A1:D8"/>
  <sheetViews>
    <sheetView workbookViewId="0">
      <selection activeCell="D4" sqref="D4"/>
    </sheetView>
  </sheetViews>
  <sheetFormatPr defaultRowHeight="17" x14ac:dyDescent="0.6"/>
  <cols>
    <col min="1" max="1" width="8.7265625" style="3"/>
    <col min="2" max="2" width="22.08984375" style="3" customWidth="1"/>
    <col min="3" max="3" width="18.81640625" style="3" bestFit="1" customWidth="1"/>
    <col min="4" max="16384" width="8.7265625" style="3"/>
  </cols>
  <sheetData>
    <row r="1" spans="1:4" x14ac:dyDescent="0.6">
      <c r="A1" s="11" t="s">
        <v>23</v>
      </c>
    </row>
    <row r="3" spans="1:4" s="11" customFormat="1" x14ac:dyDescent="0.6">
      <c r="A3" s="86" t="s">
        <v>24</v>
      </c>
      <c r="B3" s="87" t="s">
        <v>25</v>
      </c>
      <c r="C3" s="88" t="s">
        <v>4</v>
      </c>
    </row>
    <row r="4" spans="1:4" x14ac:dyDescent="0.6">
      <c r="A4" s="47">
        <v>1</v>
      </c>
      <c r="B4" s="27" t="s">
        <v>26</v>
      </c>
      <c r="C4" s="52">
        <f>C8*10%</f>
        <v>27.5</v>
      </c>
      <c r="D4" s="10"/>
    </row>
    <row r="5" spans="1:4" x14ac:dyDescent="0.6">
      <c r="A5" s="47">
        <v>2</v>
      </c>
      <c r="B5" s="27" t="s">
        <v>27</v>
      </c>
      <c r="C5" s="52">
        <v>0</v>
      </c>
      <c r="D5" s="12"/>
    </row>
    <row r="6" spans="1:4" x14ac:dyDescent="0.6">
      <c r="A6" s="47">
        <v>3</v>
      </c>
      <c r="B6" s="27" t="s">
        <v>28</v>
      </c>
      <c r="C6" s="52">
        <f>C8-C4-C7</f>
        <v>233.18</v>
      </c>
    </row>
    <row r="7" spans="1:4" x14ac:dyDescent="0.6">
      <c r="A7" s="47">
        <v>4</v>
      </c>
      <c r="B7" s="27" t="s">
        <v>29</v>
      </c>
      <c r="C7" s="49">
        <f>'Ann 1'!C22</f>
        <v>14.32</v>
      </c>
    </row>
    <row r="8" spans="1:4" x14ac:dyDescent="0.6">
      <c r="A8" s="40"/>
      <c r="B8" s="41" t="s">
        <v>8</v>
      </c>
      <c r="C8" s="83">
        <f>'Ann 1'!C34</f>
        <v>275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2858-CA67-4C56-BFC5-E2781F80B181}">
  <dimension ref="A1:G42"/>
  <sheetViews>
    <sheetView workbookViewId="0"/>
  </sheetViews>
  <sheetFormatPr defaultRowHeight="17" x14ac:dyDescent="0.6"/>
  <cols>
    <col min="1" max="1" width="3.6328125" style="3" customWidth="1"/>
    <col min="2" max="2" width="26.08984375" style="3" customWidth="1"/>
    <col min="3" max="3" width="8.7265625" style="3"/>
    <col min="4" max="4" width="12.7265625" style="3" bestFit="1" customWidth="1"/>
    <col min="5" max="5" width="8.7265625" style="3"/>
    <col min="6" max="6" width="10.54296875" style="3" customWidth="1"/>
    <col min="7" max="7" width="11.1796875" style="3" bestFit="1" customWidth="1"/>
    <col min="8" max="16384" width="8.7265625" style="3"/>
  </cols>
  <sheetData>
    <row r="1" spans="1:7" x14ac:dyDescent="0.6">
      <c r="A1" s="11" t="s">
        <v>30</v>
      </c>
    </row>
    <row r="3" spans="1:7" x14ac:dyDescent="0.6">
      <c r="A3" s="89" t="s">
        <v>31</v>
      </c>
      <c r="B3" s="90"/>
      <c r="C3" s="90"/>
      <c r="D3" s="90"/>
      <c r="E3" s="90"/>
      <c r="F3" s="90"/>
      <c r="G3" s="91"/>
    </row>
    <row r="4" spans="1:7" x14ac:dyDescent="0.6">
      <c r="A4" s="86" t="s">
        <v>32</v>
      </c>
      <c r="B4" s="87"/>
      <c r="C4" s="87"/>
      <c r="D4" s="87" t="s">
        <v>46</v>
      </c>
      <c r="E4" s="87" t="s">
        <v>51</v>
      </c>
      <c r="F4" s="87" t="s">
        <v>53</v>
      </c>
      <c r="G4" s="88" t="s">
        <v>54</v>
      </c>
    </row>
    <row r="5" spans="1:7" x14ac:dyDescent="0.6">
      <c r="A5" s="47">
        <v>1</v>
      </c>
      <c r="B5" s="27" t="s">
        <v>33</v>
      </c>
      <c r="C5" s="27"/>
      <c r="D5" s="78" t="s">
        <v>47</v>
      </c>
      <c r="E5" s="78" t="s">
        <v>52</v>
      </c>
      <c r="F5" s="79">
        <v>608621</v>
      </c>
      <c r="G5" s="55">
        <v>608621</v>
      </c>
    </row>
    <row r="6" spans="1:7" x14ac:dyDescent="0.6">
      <c r="A6" s="47">
        <v>2</v>
      </c>
      <c r="B6" s="27" t="s">
        <v>34</v>
      </c>
      <c r="C6" s="27"/>
      <c r="D6" s="78" t="s">
        <v>48</v>
      </c>
      <c r="E6" s="78">
        <v>1</v>
      </c>
      <c r="F6" s="79">
        <v>138000</v>
      </c>
      <c r="G6" s="55">
        <v>138000</v>
      </c>
    </row>
    <row r="7" spans="1:7" x14ac:dyDescent="0.6">
      <c r="A7" s="47">
        <v>3</v>
      </c>
      <c r="B7" s="27" t="s">
        <v>35</v>
      </c>
      <c r="C7" s="27"/>
      <c r="D7" s="78" t="s">
        <v>49</v>
      </c>
      <c r="E7" s="78">
        <v>1</v>
      </c>
      <c r="F7" s="79">
        <v>37500</v>
      </c>
      <c r="G7" s="55">
        <v>37500</v>
      </c>
    </row>
    <row r="8" spans="1:7" x14ac:dyDescent="0.6">
      <c r="A8" s="47">
        <v>4</v>
      </c>
      <c r="B8" s="27" t="s">
        <v>36</v>
      </c>
      <c r="C8" s="27"/>
      <c r="D8" s="78" t="s">
        <v>50</v>
      </c>
      <c r="E8" s="78">
        <v>1</v>
      </c>
      <c r="F8" s="79">
        <v>323037</v>
      </c>
      <c r="G8" s="55">
        <v>323037</v>
      </c>
    </row>
    <row r="9" spans="1:7" x14ac:dyDescent="0.6">
      <c r="A9" s="47">
        <v>5</v>
      </c>
      <c r="B9" s="27" t="s">
        <v>37</v>
      </c>
      <c r="C9" s="27"/>
      <c r="D9" s="78">
        <v>1</v>
      </c>
      <c r="E9" s="78">
        <v>1</v>
      </c>
      <c r="F9" s="79">
        <v>500000</v>
      </c>
      <c r="G9" s="55">
        <v>500000</v>
      </c>
    </row>
    <row r="10" spans="1:7" x14ac:dyDescent="0.6">
      <c r="A10" s="47">
        <v>6</v>
      </c>
      <c r="B10" s="27" t="s">
        <v>38</v>
      </c>
      <c r="C10" s="27"/>
      <c r="D10" s="78">
        <v>1</v>
      </c>
      <c r="E10" s="78">
        <v>1</v>
      </c>
      <c r="F10" s="79">
        <v>250000</v>
      </c>
      <c r="G10" s="55">
        <v>250000</v>
      </c>
    </row>
    <row r="11" spans="1:7" x14ac:dyDescent="0.6">
      <c r="A11" s="47">
        <v>7</v>
      </c>
      <c r="B11" s="27" t="s">
        <v>39</v>
      </c>
      <c r="C11" s="27"/>
      <c r="D11" s="78" t="s">
        <v>49</v>
      </c>
      <c r="E11" s="78">
        <v>1</v>
      </c>
      <c r="F11" s="79">
        <v>207000</v>
      </c>
      <c r="G11" s="55">
        <v>207000</v>
      </c>
    </row>
    <row r="12" spans="1:7" x14ac:dyDescent="0.6">
      <c r="A12" s="47">
        <v>8</v>
      </c>
      <c r="B12" s="27" t="s">
        <v>40</v>
      </c>
      <c r="C12" s="27"/>
      <c r="D12" s="78" t="s">
        <v>49</v>
      </c>
      <c r="E12" s="78">
        <v>1</v>
      </c>
      <c r="F12" s="79">
        <v>45000</v>
      </c>
      <c r="G12" s="55">
        <v>45000</v>
      </c>
    </row>
    <row r="13" spans="1:7" x14ac:dyDescent="0.6">
      <c r="A13" s="47">
        <v>9</v>
      </c>
      <c r="B13" s="27" t="s">
        <v>41</v>
      </c>
      <c r="C13" s="27"/>
      <c r="D13" s="78" t="s">
        <v>49</v>
      </c>
      <c r="E13" s="78">
        <v>1</v>
      </c>
      <c r="F13" s="79">
        <v>45000</v>
      </c>
      <c r="G13" s="55">
        <v>45000</v>
      </c>
    </row>
    <row r="14" spans="1:7" x14ac:dyDescent="0.6">
      <c r="A14" s="47">
        <v>10</v>
      </c>
      <c r="B14" s="27" t="s">
        <v>42</v>
      </c>
      <c r="C14" s="27"/>
      <c r="D14" s="78" t="s">
        <v>48</v>
      </c>
      <c r="E14" s="78">
        <v>1</v>
      </c>
      <c r="F14" s="79">
        <v>30000</v>
      </c>
      <c r="G14" s="55">
        <v>30000</v>
      </c>
    </row>
    <row r="15" spans="1:7" x14ac:dyDescent="0.6">
      <c r="A15" s="47">
        <v>11</v>
      </c>
      <c r="B15" s="27" t="s">
        <v>43</v>
      </c>
      <c r="C15" s="27"/>
      <c r="D15" s="78" t="s">
        <v>48</v>
      </c>
      <c r="E15" s="78">
        <v>1</v>
      </c>
      <c r="F15" s="79">
        <v>30000</v>
      </c>
      <c r="G15" s="55">
        <v>30000</v>
      </c>
    </row>
    <row r="16" spans="1:7" x14ac:dyDescent="0.6">
      <c r="A16" s="47">
        <v>12</v>
      </c>
      <c r="B16" s="27" t="s">
        <v>44</v>
      </c>
      <c r="C16" s="27"/>
      <c r="D16" s="78">
        <v>1</v>
      </c>
      <c r="E16" s="78">
        <v>1</v>
      </c>
      <c r="F16" s="79">
        <v>767678</v>
      </c>
      <c r="G16" s="55">
        <f>767678+22</f>
        <v>767700</v>
      </c>
    </row>
    <row r="17" spans="1:7" x14ac:dyDescent="0.6">
      <c r="A17" s="47">
        <v>13</v>
      </c>
      <c r="B17" s="27" t="s">
        <v>45</v>
      </c>
      <c r="C17" s="27"/>
      <c r="D17" s="78">
        <v>1</v>
      </c>
      <c r="E17" s="78">
        <v>1</v>
      </c>
      <c r="F17" s="79">
        <v>125000</v>
      </c>
      <c r="G17" s="55">
        <v>125000</v>
      </c>
    </row>
    <row r="18" spans="1:7" s="11" customFormat="1" x14ac:dyDescent="0.6">
      <c r="A18" s="80" t="s">
        <v>55</v>
      </c>
      <c r="B18" s="81"/>
      <c r="C18" s="81"/>
      <c r="D18" s="81"/>
      <c r="E18" s="81"/>
      <c r="F18" s="81"/>
      <c r="G18" s="82">
        <f>SUM(G5:G17)</f>
        <v>3106858</v>
      </c>
    </row>
    <row r="19" spans="1:7" x14ac:dyDescent="0.6">
      <c r="A19" s="47"/>
      <c r="B19" s="27"/>
      <c r="C19" s="27"/>
      <c r="D19" s="27"/>
      <c r="E19" s="27"/>
      <c r="F19" s="27"/>
      <c r="G19" s="49"/>
    </row>
    <row r="20" spans="1:7" x14ac:dyDescent="0.6">
      <c r="A20" s="86" t="s">
        <v>72</v>
      </c>
      <c r="B20" s="87"/>
      <c r="C20" s="87"/>
      <c r="D20" s="87" t="s">
        <v>46</v>
      </c>
      <c r="E20" s="87" t="s">
        <v>51</v>
      </c>
      <c r="F20" s="87" t="s">
        <v>53</v>
      </c>
      <c r="G20" s="88" t="s">
        <v>54</v>
      </c>
    </row>
    <row r="21" spans="1:7" x14ac:dyDescent="0.6">
      <c r="A21" s="47">
        <v>1</v>
      </c>
      <c r="B21" s="27" t="s">
        <v>56</v>
      </c>
      <c r="C21" s="27"/>
      <c r="D21" s="78" t="s">
        <v>73</v>
      </c>
      <c r="E21" s="78">
        <v>800</v>
      </c>
      <c r="F21" s="79">
        <v>8000000</v>
      </c>
      <c r="G21" s="55">
        <v>8000000</v>
      </c>
    </row>
    <row r="22" spans="1:7" x14ac:dyDescent="0.6">
      <c r="A22" s="47">
        <v>2</v>
      </c>
      <c r="B22" s="27" t="s">
        <v>57</v>
      </c>
      <c r="C22" s="27"/>
      <c r="D22" s="78" t="s">
        <v>74</v>
      </c>
      <c r="E22" s="78">
        <v>1</v>
      </c>
      <c r="F22" s="79">
        <v>2500000</v>
      </c>
      <c r="G22" s="55">
        <v>2500000</v>
      </c>
    </row>
    <row r="23" spans="1:7" x14ac:dyDescent="0.6">
      <c r="A23" s="47">
        <v>3</v>
      </c>
      <c r="B23" s="27" t="s">
        <v>58</v>
      </c>
      <c r="C23" s="27"/>
      <c r="D23" s="78" t="s">
        <v>74</v>
      </c>
      <c r="E23" s="78">
        <v>2</v>
      </c>
      <c r="F23" s="79">
        <v>17000</v>
      </c>
      <c r="G23" s="55">
        <v>34000</v>
      </c>
    </row>
    <row r="24" spans="1:7" x14ac:dyDescent="0.6">
      <c r="A24" s="47">
        <v>4</v>
      </c>
      <c r="B24" s="27" t="s">
        <v>59</v>
      </c>
      <c r="C24" s="27"/>
      <c r="D24" s="78">
        <v>2</v>
      </c>
      <c r="E24" s="78">
        <v>1</v>
      </c>
      <c r="F24" s="79">
        <v>700000</v>
      </c>
      <c r="G24" s="55">
        <v>700000</v>
      </c>
    </row>
    <row r="25" spans="1:7" x14ac:dyDescent="0.6">
      <c r="A25" s="47">
        <v>5</v>
      </c>
      <c r="B25" s="27" t="s">
        <v>60</v>
      </c>
      <c r="C25" s="27"/>
      <c r="D25" s="78">
        <v>1</v>
      </c>
      <c r="E25" s="78">
        <v>1</v>
      </c>
      <c r="F25" s="79">
        <v>1000000</v>
      </c>
      <c r="G25" s="55">
        <v>1000000</v>
      </c>
    </row>
    <row r="26" spans="1:7" x14ac:dyDescent="0.6">
      <c r="A26" s="47">
        <v>6</v>
      </c>
      <c r="B26" s="27" t="s">
        <v>61</v>
      </c>
      <c r="C26" s="27"/>
      <c r="D26" s="78" t="s">
        <v>75</v>
      </c>
      <c r="E26" s="78">
        <v>1</v>
      </c>
      <c r="F26" s="79">
        <v>1160000</v>
      </c>
      <c r="G26" s="55">
        <v>1160000</v>
      </c>
    </row>
    <row r="27" spans="1:7" x14ac:dyDescent="0.6">
      <c r="A27" s="47">
        <v>7</v>
      </c>
      <c r="B27" s="27" t="s">
        <v>62</v>
      </c>
      <c r="C27" s="27"/>
      <c r="D27" s="78" t="s">
        <v>75</v>
      </c>
      <c r="E27" s="78">
        <v>1</v>
      </c>
      <c r="F27" s="79">
        <v>185000</v>
      </c>
      <c r="G27" s="55">
        <v>185000</v>
      </c>
    </row>
    <row r="28" spans="1:7" x14ac:dyDescent="0.6">
      <c r="A28" s="47">
        <v>8</v>
      </c>
      <c r="B28" s="27" t="s">
        <v>63</v>
      </c>
      <c r="C28" s="27"/>
      <c r="D28" s="78" t="s">
        <v>76</v>
      </c>
      <c r="E28" s="78">
        <v>1000</v>
      </c>
      <c r="F28" s="79">
        <v>250</v>
      </c>
      <c r="G28" s="55">
        <v>250000</v>
      </c>
    </row>
    <row r="29" spans="1:7" x14ac:dyDescent="0.6">
      <c r="A29" s="47">
        <v>9</v>
      </c>
      <c r="B29" s="27" t="s">
        <v>64</v>
      </c>
      <c r="C29" s="27"/>
      <c r="D29" s="78" t="s">
        <v>77</v>
      </c>
      <c r="E29" s="78">
        <v>1</v>
      </c>
      <c r="F29" s="79">
        <v>2500000</v>
      </c>
      <c r="G29" s="55">
        <v>2500000</v>
      </c>
    </row>
    <row r="30" spans="1:7" x14ac:dyDescent="0.6">
      <c r="A30" s="47">
        <v>10</v>
      </c>
      <c r="B30" s="27" t="s">
        <v>65</v>
      </c>
      <c r="C30" s="27"/>
      <c r="D30" s="78" t="s">
        <v>78</v>
      </c>
      <c r="E30" s="78">
        <v>1</v>
      </c>
      <c r="F30" s="79">
        <v>18000</v>
      </c>
      <c r="G30" s="55">
        <v>972000</v>
      </c>
    </row>
    <row r="31" spans="1:7" x14ac:dyDescent="0.6">
      <c r="A31" s="47">
        <v>11</v>
      </c>
      <c r="B31" s="27" t="s">
        <v>66</v>
      </c>
      <c r="C31" s="27"/>
      <c r="D31" s="78">
        <v>1</v>
      </c>
      <c r="E31" s="78"/>
      <c r="F31" s="79">
        <v>300000</v>
      </c>
      <c r="G31" s="55">
        <v>300000</v>
      </c>
    </row>
    <row r="32" spans="1:7" x14ac:dyDescent="0.6">
      <c r="A32" s="47">
        <v>12</v>
      </c>
      <c r="B32" s="27" t="s">
        <v>67</v>
      </c>
      <c r="C32" s="27"/>
      <c r="D32" s="78" t="s">
        <v>79</v>
      </c>
      <c r="E32" s="78">
        <v>1</v>
      </c>
      <c r="F32" s="79">
        <v>2000000</v>
      </c>
      <c r="G32" s="55">
        <v>2000000</v>
      </c>
    </row>
    <row r="33" spans="1:7" x14ac:dyDescent="0.6">
      <c r="A33" s="47">
        <v>13</v>
      </c>
      <c r="B33" s="27" t="s">
        <v>68</v>
      </c>
      <c r="C33" s="27"/>
      <c r="D33" s="78">
        <v>1</v>
      </c>
      <c r="E33" s="78">
        <v>1</v>
      </c>
      <c r="F33" s="79">
        <v>2000000</v>
      </c>
      <c r="G33" s="55">
        <v>2000000</v>
      </c>
    </row>
    <row r="34" spans="1:7" x14ac:dyDescent="0.6">
      <c r="A34" s="47">
        <v>14</v>
      </c>
      <c r="B34" s="27" t="s">
        <v>69</v>
      </c>
      <c r="C34" s="27"/>
      <c r="D34" s="78">
        <v>1</v>
      </c>
      <c r="E34" s="78">
        <v>1</v>
      </c>
      <c r="F34" s="79">
        <v>390142</v>
      </c>
      <c r="G34" s="55">
        <v>390142</v>
      </c>
    </row>
    <row r="35" spans="1:7" x14ac:dyDescent="0.6">
      <c r="A35" s="47">
        <v>15</v>
      </c>
      <c r="B35" s="27" t="s">
        <v>70</v>
      </c>
      <c r="C35" s="27"/>
      <c r="D35" s="78">
        <v>1</v>
      </c>
      <c r="E35" s="78">
        <v>1</v>
      </c>
      <c r="F35" s="79">
        <v>150000</v>
      </c>
      <c r="G35" s="55">
        <v>150000</v>
      </c>
    </row>
    <row r="36" spans="1:7" x14ac:dyDescent="0.6">
      <c r="A36" s="47">
        <v>16</v>
      </c>
      <c r="B36" s="27" t="s">
        <v>71</v>
      </c>
      <c r="C36" s="27"/>
      <c r="D36" s="78">
        <v>1</v>
      </c>
      <c r="E36" s="78">
        <v>1</v>
      </c>
      <c r="F36" s="79">
        <v>250000</v>
      </c>
      <c r="G36" s="55">
        <v>250000</v>
      </c>
    </row>
    <row r="37" spans="1:7" s="11" customFormat="1" x14ac:dyDescent="0.6">
      <c r="A37" s="80" t="s">
        <v>80</v>
      </c>
      <c r="B37" s="81"/>
      <c r="C37" s="81"/>
      <c r="D37" s="81"/>
      <c r="E37" s="81"/>
      <c r="F37" s="81"/>
      <c r="G37" s="82">
        <f>SUM(G21:G36)</f>
        <v>22391142</v>
      </c>
    </row>
    <row r="38" spans="1:7" x14ac:dyDescent="0.6">
      <c r="A38" s="47"/>
      <c r="B38" s="27"/>
      <c r="C38" s="27"/>
      <c r="D38" s="27"/>
      <c r="E38" s="27"/>
      <c r="F38" s="27"/>
      <c r="G38" s="49"/>
    </row>
    <row r="39" spans="1:7" s="11" customFormat="1" x14ac:dyDescent="0.6">
      <c r="A39" s="80" t="s">
        <v>81</v>
      </c>
      <c r="B39" s="81"/>
      <c r="C39" s="81"/>
      <c r="D39" s="81"/>
      <c r="E39" s="81"/>
      <c r="F39" s="81"/>
      <c r="G39" s="82">
        <f>G37+G18</f>
        <v>25498000</v>
      </c>
    </row>
    <row r="40" spans="1:7" x14ac:dyDescent="0.6">
      <c r="G40" s="7"/>
    </row>
    <row r="41" spans="1:7" x14ac:dyDescent="0.6">
      <c r="G41" s="7"/>
    </row>
    <row r="42" spans="1:7" x14ac:dyDescent="0.6">
      <c r="G42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6FA6-76E6-4673-8AD3-A2A7C9EA52B0}">
  <sheetPr>
    <pageSetUpPr fitToPage="1"/>
  </sheetPr>
  <dimension ref="A1:L47"/>
  <sheetViews>
    <sheetView workbookViewId="0">
      <selection activeCell="A8" sqref="A8"/>
    </sheetView>
  </sheetViews>
  <sheetFormatPr defaultRowHeight="17" x14ac:dyDescent="0.6"/>
  <cols>
    <col min="1" max="1" width="8.7265625" style="3"/>
    <col min="2" max="2" width="54.1796875" style="3" bestFit="1" customWidth="1"/>
    <col min="3" max="11" width="13.6328125" style="3" bestFit="1" customWidth="1"/>
    <col min="12" max="16384" width="8.7265625" style="3"/>
  </cols>
  <sheetData>
    <row r="1" spans="1:12" x14ac:dyDescent="0.6">
      <c r="A1" s="11" t="s">
        <v>82</v>
      </c>
    </row>
    <row r="3" spans="1:12" x14ac:dyDescent="0.6">
      <c r="A3" s="74" t="s">
        <v>83</v>
      </c>
      <c r="B3" s="74" t="s">
        <v>84</v>
      </c>
      <c r="C3" s="73" t="s">
        <v>94</v>
      </c>
      <c r="D3" s="73"/>
      <c r="E3" s="73"/>
      <c r="F3" s="73"/>
      <c r="G3" s="73"/>
      <c r="H3" s="73"/>
      <c r="I3" s="73"/>
      <c r="J3" s="73"/>
      <c r="K3" s="73"/>
    </row>
    <row r="4" spans="1:12" x14ac:dyDescent="0.6">
      <c r="A4" s="74"/>
      <c r="B4" s="74"/>
      <c r="C4" s="75" t="s">
        <v>85</v>
      </c>
      <c r="D4" s="75" t="s">
        <v>86</v>
      </c>
      <c r="E4" s="75" t="s">
        <v>87</v>
      </c>
      <c r="F4" s="75" t="s">
        <v>88</v>
      </c>
      <c r="G4" s="75" t="s">
        <v>89</v>
      </c>
      <c r="H4" s="75" t="s">
        <v>90</v>
      </c>
      <c r="I4" s="75" t="s">
        <v>91</v>
      </c>
      <c r="J4" s="75" t="s">
        <v>92</v>
      </c>
      <c r="K4" s="75" t="s">
        <v>93</v>
      </c>
    </row>
    <row r="5" spans="1:12" x14ac:dyDescent="0.6">
      <c r="A5" s="15"/>
      <c r="B5" s="15" t="s">
        <v>95</v>
      </c>
      <c r="C5" s="15">
        <v>12</v>
      </c>
      <c r="D5" s="15">
        <v>12</v>
      </c>
      <c r="E5" s="15">
        <v>12</v>
      </c>
      <c r="F5" s="15">
        <v>12</v>
      </c>
      <c r="G5" s="15">
        <v>12</v>
      </c>
      <c r="H5" s="15">
        <v>12</v>
      </c>
      <c r="I5" s="15">
        <v>12</v>
      </c>
      <c r="J5" s="15">
        <v>12</v>
      </c>
      <c r="K5" s="15">
        <v>12</v>
      </c>
    </row>
    <row r="6" spans="1:12" x14ac:dyDescent="0.6">
      <c r="A6" s="15"/>
      <c r="B6" s="15" t="s">
        <v>96</v>
      </c>
      <c r="C6" s="21">
        <f>Budgets!B6*1.1*Budgets!E22</f>
        <v>19800000</v>
      </c>
      <c r="D6" s="21">
        <f>Budgets!C6*1.1*Budgets!$E$22*1.05</f>
        <v>22176000</v>
      </c>
      <c r="E6" s="21">
        <f>Budgets!D6*1.1*Budgets!$E$22*1.05</f>
        <v>23562000</v>
      </c>
      <c r="F6" s="21">
        <f>Budgets!E6*1.1*Budgets!$E$22*1.05</f>
        <v>24948000.000000004</v>
      </c>
      <c r="G6" s="21">
        <f>Budgets!F6*1.1*Budgets!$E$22*1.05</f>
        <v>26334000.000000004</v>
      </c>
      <c r="H6" s="21">
        <f>Budgets!G6*1.1*Budgets!$E$22*1.05</f>
        <v>27720000.000000004</v>
      </c>
      <c r="I6" s="21">
        <f>Budgets!H6*1.1*Budgets!$E$22*1.05</f>
        <v>27720000.000000004</v>
      </c>
      <c r="J6" s="21">
        <f>Budgets!I6*1.1*Budgets!$E$22*1.05</f>
        <v>27720000.000000004</v>
      </c>
      <c r="K6" s="21">
        <f>Budgets!J6*1.1*Budgets!$E$22*1.05</f>
        <v>27720000.000000004</v>
      </c>
    </row>
    <row r="7" spans="1:12" x14ac:dyDescent="0.6">
      <c r="A7" s="15"/>
      <c r="B7" s="15" t="s">
        <v>126</v>
      </c>
      <c r="C7" s="21">
        <f>Budgets!B7*1.1*Budgets!$E$23</f>
        <v>29700000</v>
      </c>
      <c r="D7" s="21">
        <f>Budgets!C7*1.1*Budgets!$E$23*1.05</f>
        <v>33264000</v>
      </c>
      <c r="E7" s="21">
        <f>Budgets!D7*1.1*Budgets!$E$23*1.05</f>
        <v>35343000</v>
      </c>
      <c r="F7" s="21">
        <f>Budgets!E7*1.1*Budgets!$E$23*1.05</f>
        <v>37422000.000000007</v>
      </c>
      <c r="G7" s="21">
        <f>Budgets!F7*1.1*Budgets!$E$23*1.05</f>
        <v>39501000.000000007</v>
      </c>
      <c r="H7" s="21">
        <f>Budgets!G7*1.1*Budgets!$E$23*1.05</f>
        <v>41580000.000000007</v>
      </c>
      <c r="I7" s="21">
        <f>Budgets!H7*1.1*Budgets!$E$23*1.05</f>
        <v>41580000.000000007</v>
      </c>
      <c r="J7" s="21">
        <f>Budgets!I7*1.1*Budgets!$E$23*1.05</f>
        <v>41580000.000000007</v>
      </c>
      <c r="K7" s="21">
        <f>Budgets!J7*1.1*Budgets!$E$23*1.05</f>
        <v>41580000.000000007</v>
      </c>
    </row>
    <row r="8" spans="1:12" x14ac:dyDescent="0.6">
      <c r="A8" s="15"/>
      <c r="B8" s="15" t="s">
        <v>202</v>
      </c>
      <c r="C8" s="24">
        <f>SUM(C6:C7)*5%</f>
        <v>2475000</v>
      </c>
      <c r="D8" s="24">
        <f t="shared" ref="D8:K8" si="0">SUM(D6:D7)*5%</f>
        <v>2772000</v>
      </c>
      <c r="E8" s="24">
        <f t="shared" si="0"/>
        <v>2945250</v>
      </c>
      <c r="F8" s="24">
        <f t="shared" si="0"/>
        <v>3118500.0000000009</v>
      </c>
      <c r="G8" s="24">
        <f t="shared" si="0"/>
        <v>3291750.0000000009</v>
      </c>
      <c r="H8" s="24">
        <f t="shared" si="0"/>
        <v>3465000.0000000009</v>
      </c>
      <c r="I8" s="24">
        <f t="shared" si="0"/>
        <v>3465000.0000000009</v>
      </c>
      <c r="J8" s="24">
        <f t="shared" si="0"/>
        <v>3465000.0000000009</v>
      </c>
      <c r="K8" s="24">
        <f t="shared" si="0"/>
        <v>3465000.0000000009</v>
      </c>
    </row>
    <row r="9" spans="1:12" x14ac:dyDescent="0.6">
      <c r="A9" s="15"/>
      <c r="B9" s="15" t="s">
        <v>201</v>
      </c>
      <c r="C9" s="24">
        <f>10%*SUM(C6:C7)</f>
        <v>4950000</v>
      </c>
      <c r="D9" s="24">
        <f t="shared" ref="D9:K9" si="1">10%*SUM(D6:D7)</f>
        <v>5544000</v>
      </c>
      <c r="E9" s="24">
        <f t="shared" si="1"/>
        <v>5890500</v>
      </c>
      <c r="F9" s="24">
        <f t="shared" si="1"/>
        <v>6237000.0000000019</v>
      </c>
      <c r="G9" s="24">
        <f t="shared" si="1"/>
        <v>6583500.0000000019</v>
      </c>
      <c r="H9" s="24">
        <f t="shared" si="1"/>
        <v>6930000.0000000019</v>
      </c>
      <c r="I9" s="24">
        <f t="shared" si="1"/>
        <v>6930000.0000000019</v>
      </c>
      <c r="J9" s="24">
        <f t="shared" si="1"/>
        <v>6930000.0000000019</v>
      </c>
      <c r="K9" s="24">
        <f t="shared" si="1"/>
        <v>6930000.0000000019</v>
      </c>
    </row>
    <row r="10" spans="1:12" x14ac:dyDescent="0.6">
      <c r="A10" s="15"/>
      <c r="B10" s="15" t="s">
        <v>97</v>
      </c>
      <c r="C10" s="24">
        <f>SUM(C6:C9)</f>
        <v>56925000</v>
      </c>
      <c r="D10" s="24">
        <f t="shared" ref="D10:K10" si="2">SUM(D6:D9)</f>
        <v>63756000</v>
      </c>
      <c r="E10" s="24">
        <f t="shared" si="2"/>
        <v>67740750</v>
      </c>
      <c r="F10" s="24">
        <f t="shared" si="2"/>
        <v>71725500.000000015</v>
      </c>
      <c r="G10" s="24">
        <f t="shared" si="2"/>
        <v>75710250.000000015</v>
      </c>
      <c r="H10" s="24">
        <f t="shared" si="2"/>
        <v>79695000.000000015</v>
      </c>
      <c r="I10" s="24">
        <f t="shared" si="2"/>
        <v>79695000.000000015</v>
      </c>
      <c r="J10" s="24">
        <f t="shared" si="2"/>
        <v>79695000.000000015</v>
      </c>
      <c r="K10" s="24">
        <f t="shared" si="2"/>
        <v>79695000.000000015</v>
      </c>
    </row>
    <row r="11" spans="1:12" x14ac:dyDescent="0.6">
      <c r="A11" s="15"/>
      <c r="B11" s="15" t="s">
        <v>98</v>
      </c>
      <c r="C11" s="24">
        <f>(Budgets!B36+Budgets!B28)*16.5</f>
        <v>0</v>
      </c>
      <c r="D11" s="24">
        <f>C13</f>
        <v>440000</v>
      </c>
      <c r="E11" s="24">
        <f t="shared" ref="E11:K11" si="3">D13</f>
        <v>2305270</v>
      </c>
      <c r="F11" s="24">
        <f t="shared" si="3"/>
        <v>5323503.3500000061</v>
      </c>
      <c r="G11" s="24">
        <f t="shared" si="3"/>
        <v>9208031.709250018</v>
      </c>
      <c r="H11" s="24">
        <f t="shared" si="3"/>
        <v>13657065.912008781</v>
      </c>
      <c r="I11" s="24">
        <f t="shared" si="3"/>
        <v>18352896.61885678</v>
      </c>
      <c r="J11" s="24">
        <f t="shared" si="3"/>
        <v>16361052.618665799</v>
      </c>
      <c r="K11" s="24">
        <f t="shared" si="3"/>
        <v>8550155.7873015404</v>
      </c>
      <c r="L11" s="17" t="s">
        <v>128</v>
      </c>
    </row>
    <row r="12" spans="1:12" x14ac:dyDescent="0.6">
      <c r="A12" s="15"/>
      <c r="B12" s="15" t="s">
        <v>99</v>
      </c>
      <c r="C12" s="24">
        <f>SUM(C10:C11)</f>
        <v>56925000</v>
      </c>
      <c r="D12" s="24">
        <f t="shared" ref="D12:K12" si="4">SUM(D10:D11)</f>
        <v>64196000</v>
      </c>
      <c r="E12" s="24">
        <f t="shared" si="4"/>
        <v>70046020</v>
      </c>
      <c r="F12" s="24">
        <f t="shared" si="4"/>
        <v>77049003.350000024</v>
      </c>
      <c r="G12" s="24">
        <f t="shared" si="4"/>
        <v>84918281.709250033</v>
      </c>
      <c r="H12" s="24">
        <f t="shared" si="4"/>
        <v>93352065.912008792</v>
      </c>
      <c r="I12" s="24">
        <f t="shared" si="4"/>
        <v>98047896.618856788</v>
      </c>
      <c r="J12" s="24">
        <f t="shared" si="4"/>
        <v>96056052.618665814</v>
      </c>
      <c r="K12" s="24">
        <f t="shared" si="4"/>
        <v>88245155.787301555</v>
      </c>
      <c r="L12" s="17"/>
    </row>
    <row r="13" spans="1:12" x14ac:dyDescent="0.6">
      <c r="A13" s="15"/>
      <c r="B13" s="15" t="s">
        <v>100</v>
      </c>
      <c r="C13" s="24">
        <f>(Budgets!B31+Budgets!B39)*22</f>
        <v>440000</v>
      </c>
      <c r="D13" s="24">
        <f>(Budgets!C31+Budgets!C39)*22</f>
        <v>2305270</v>
      </c>
      <c r="E13" s="24">
        <f>(Budgets!D31+Budgets!D39)*22</f>
        <v>5323503.3500000061</v>
      </c>
      <c r="F13" s="24">
        <f>(Budgets!E31+Budgets!E39)*22</f>
        <v>9208031.709250018</v>
      </c>
      <c r="G13" s="24">
        <f>(Budgets!F31+Budgets!F39)*22</f>
        <v>13657065.912008781</v>
      </c>
      <c r="H13" s="24">
        <f>(Budgets!G31+Budgets!G39)*22</f>
        <v>18352896.61885678</v>
      </c>
      <c r="I13" s="24">
        <f>(Budgets!H31+Budgets!H39)*22</f>
        <v>16361052.618665799</v>
      </c>
      <c r="J13" s="24">
        <f>(Budgets!I31+Budgets!I39)*22</f>
        <v>8550155.7873015404</v>
      </c>
      <c r="K13" s="24">
        <f>(Budgets!J31+Budgets!J39)*22</f>
        <v>1838663.5766666066</v>
      </c>
      <c r="L13" s="17" t="s">
        <v>127</v>
      </c>
    </row>
    <row r="14" spans="1:12" x14ac:dyDescent="0.6">
      <c r="A14" s="15"/>
      <c r="B14" s="15" t="s">
        <v>99</v>
      </c>
      <c r="C14" s="24">
        <f>C12-C13</f>
        <v>56485000</v>
      </c>
      <c r="D14" s="24">
        <f t="shared" ref="D14:K14" si="5">D12-D13</f>
        <v>61890730</v>
      </c>
      <c r="E14" s="24">
        <f t="shared" si="5"/>
        <v>64722516.649999991</v>
      </c>
      <c r="F14" s="24">
        <f t="shared" si="5"/>
        <v>67840971.640750006</v>
      </c>
      <c r="G14" s="24">
        <f t="shared" si="5"/>
        <v>71261215.797241256</v>
      </c>
      <c r="H14" s="24">
        <f t="shared" si="5"/>
        <v>74999169.293152004</v>
      </c>
      <c r="I14" s="24">
        <f t="shared" si="5"/>
        <v>81686844.000190988</v>
      </c>
      <c r="J14" s="24">
        <f t="shared" si="5"/>
        <v>87505896.831364274</v>
      </c>
      <c r="K14" s="24">
        <f t="shared" si="5"/>
        <v>86406492.210634947</v>
      </c>
    </row>
    <row r="15" spans="1:12" x14ac:dyDescent="0.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2" x14ac:dyDescent="0.6">
      <c r="A16" s="15"/>
      <c r="B16" s="15" t="s">
        <v>243</v>
      </c>
      <c r="C16" s="15"/>
      <c r="D16" s="15"/>
      <c r="E16" s="15"/>
      <c r="F16" s="15"/>
      <c r="G16" s="15"/>
      <c r="H16" s="15"/>
      <c r="I16" s="15"/>
      <c r="J16" s="15"/>
      <c r="K16" s="15"/>
    </row>
    <row r="17" spans="1:11" x14ac:dyDescent="0.6">
      <c r="A17" s="15"/>
      <c r="B17" s="15" t="s">
        <v>134</v>
      </c>
      <c r="C17" s="24">
        <f>'Ann 7'!E13+'Ann 8'!E14</f>
        <v>5397600</v>
      </c>
      <c r="D17" s="24">
        <f>('Ann 7'!$E$13*1.04)+('Ann 8'!$E$14*1.06)</f>
        <v>5652816</v>
      </c>
      <c r="E17" s="24">
        <f>('Ann 7'!$E$13*1.04*1.04)+('Ann 8'!$E$14*1.06*1.06)</f>
        <v>5920599.3600000003</v>
      </c>
      <c r="F17" s="24">
        <f>('Ann 7'!$E$13*1.04*1.04*1.04)+('Ann 8'!$E$14*1.06*1.06*1.06)</f>
        <v>6201594.2976000011</v>
      </c>
      <c r="G17" s="24">
        <f>('Ann 7'!$E$13*1.04*1.04*1.04*1.04)+('Ann 8'!$E$14*1.06*1.06*1.06*1.06)</f>
        <v>6496479.290496001</v>
      </c>
      <c r="H17" s="24">
        <f>('Ann 7'!$E$13*1.04*1.04*1.04*1.04*1.04)+('Ann 8'!$E$14*1.06*1.06*1.06*1.06*1.06)</f>
        <v>6805968.9563673604</v>
      </c>
      <c r="I17" s="24">
        <f>('Ann 7'!$E$13*1.04*1.04*1.04*1.04*1.04*1.04)+('Ann 8'!$E$14*1.06*1.06*1.06*1.06*1.06*1.06)</f>
        <v>7130816.0385286668</v>
      </c>
      <c r="J17" s="24">
        <f>('Ann 7'!$E$13*1.04*1.04*1.04*1.04*1.04*1.04*1.04)+('Ann 8'!$E$14*1.06*1.06*1.06*1.06*1.06*1.06*1.06)</f>
        <v>7471813.5034108218</v>
      </c>
      <c r="K17" s="24">
        <f>('Ann 7'!$E$13*1.04*1.04*1.04*1.04*1.04*1.04*1.04*1.04)+('Ann 8'!$E$14*1.06*1.06*1.06*1.06*1.06*1.06*1.06*1.06)</f>
        <v>7829796.7562887231</v>
      </c>
    </row>
    <row r="18" spans="1:11" x14ac:dyDescent="0.6">
      <c r="A18" s="15"/>
      <c r="B18" s="15" t="s">
        <v>203</v>
      </c>
      <c r="C18" s="24">
        <v>1200000</v>
      </c>
      <c r="D18" s="76">
        <f>C18*1.05</f>
        <v>1260000</v>
      </c>
      <c r="E18" s="76">
        <f t="shared" ref="E18:K18" si="6">D18*1.05</f>
        <v>1323000</v>
      </c>
      <c r="F18" s="76">
        <f t="shared" si="6"/>
        <v>1389150</v>
      </c>
      <c r="G18" s="76">
        <f t="shared" si="6"/>
        <v>1458607.5</v>
      </c>
      <c r="H18" s="76">
        <f t="shared" si="6"/>
        <v>1531537.875</v>
      </c>
      <c r="I18" s="76">
        <f t="shared" si="6"/>
        <v>1608114.76875</v>
      </c>
      <c r="J18" s="76">
        <f t="shared" si="6"/>
        <v>1688520.5071875001</v>
      </c>
      <c r="K18" s="76">
        <f t="shared" si="6"/>
        <v>1772946.5325468753</v>
      </c>
    </row>
    <row r="19" spans="1:11" x14ac:dyDescent="0.6">
      <c r="A19" s="15"/>
      <c r="B19" s="15" t="s">
        <v>209</v>
      </c>
      <c r="C19" s="24">
        <v>350000</v>
      </c>
      <c r="D19" s="24">
        <f>C19*1.05</f>
        <v>367500</v>
      </c>
      <c r="E19" s="24">
        <f t="shared" ref="E19:K19" si="7">D19*1.05</f>
        <v>385875</v>
      </c>
      <c r="F19" s="24">
        <f t="shared" si="7"/>
        <v>405168.75</v>
      </c>
      <c r="G19" s="24">
        <f t="shared" si="7"/>
        <v>425427.1875</v>
      </c>
      <c r="H19" s="24">
        <f t="shared" si="7"/>
        <v>446698.546875</v>
      </c>
      <c r="I19" s="24">
        <f t="shared" si="7"/>
        <v>469033.47421875002</v>
      </c>
      <c r="J19" s="24">
        <f t="shared" si="7"/>
        <v>492485.14792968752</v>
      </c>
      <c r="K19" s="24">
        <f t="shared" si="7"/>
        <v>517109.40532617189</v>
      </c>
    </row>
    <row r="20" spans="1:11" x14ac:dyDescent="0.6">
      <c r="A20" s="15"/>
      <c r="B20" s="15" t="s">
        <v>265</v>
      </c>
      <c r="C20" s="24">
        <v>200000</v>
      </c>
      <c r="D20" s="24">
        <f>C20*1.02</f>
        <v>204000</v>
      </c>
      <c r="E20" s="24">
        <f t="shared" ref="E20:K20" si="8">D20*1.02</f>
        <v>208080</v>
      </c>
      <c r="F20" s="24">
        <f t="shared" si="8"/>
        <v>212241.6</v>
      </c>
      <c r="G20" s="24">
        <f t="shared" si="8"/>
        <v>216486.432</v>
      </c>
      <c r="H20" s="24">
        <f t="shared" si="8"/>
        <v>220816.16064000002</v>
      </c>
      <c r="I20" s="24">
        <f t="shared" si="8"/>
        <v>225232.48385280001</v>
      </c>
      <c r="J20" s="24">
        <f t="shared" si="8"/>
        <v>229737.13352985602</v>
      </c>
      <c r="K20" s="24">
        <f t="shared" si="8"/>
        <v>234331.87620045315</v>
      </c>
    </row>
    <row r="21" spans="1:11" x14ac:dyDescent="0.6">
      <c r="A21" s="15"/>
      <c r="B21" s="15" t="s">
        <v>223</v>
      </c>
      <c r="C21" s="24">
        <f>(SUM(Budgets!B12:B13)*2)</f>
        <v>8960000</v>
      </c>
      <c r="D21" s="24">
        <f>(SUM(Budgets!C12:C13)*2)</f>
        <v>9430430</v>
      </c>
      <c r="E21" s="24">
        <f>(SUM(Budgets!D12:D13)*2)</f>
        <v>9925615.1499999985</v>
      </c>
      <c r="F21" s="24">
        <f>(SUM(Budgets!E12:E13)*2)</f>
        <v>10446861.058249999</v>
      </c>
      <c r="G21" s="24">
        <f>(SUM(Budgets!F12:F13)*2)</f>
        <v>10995542.34520375</v>
      </c>
      <c r="H21" s="24">
        <f>(SUM(Budgets!G12:G13)*2)</f>
        <v>11573106.299377454</v>
      </c>
      <c r="I21" s="24">
        <f>(SUM(Budgets!H12:H13)*2)</f>
        <v>12181076.72729009</v>
      </c>
      <c r="J21" s="24">
        <f>(SUM(Budgets!I12:I13)*2)</f>
        <v>12710081.530124024</v>
      </c>
      <c r="K21" s="24">
        <f>(SUM(Budgets!J12:J13)*2)</f>
        <v>12610135.655512266</v>
      </c>
    </row>
    <row r="22" spans="1:11" x14ac:dyDescent="0.6">
      <c r="A22" s="15"/>
      <c r="B22" s="15" t="s">
        <v>8</v>
      </c>
      <c r="C22" s="24">
        <f>SUM(C17:C21)</f>
        <v>16107600</v>
      </c>
      <c r="D22" s="24">
        <f t="shared" ref="D22:K22" si="9">SUM(D17:D21)</f>
        <v>16914746</v>
      </c>
      <c r="E22" s="24">
        <f t="shared" si="9"/>
        <v>17763169.509999998</v>
      </c>
      <c r="F22" s="24">
        <f t="shared" si="9"/>
        <v>18655015.705849998</v>
      </c>
      <c r="G22" s="24">
        <f t="shared" si="9"/>
        <v>19592542.755199753</v>
      </c>
      <c r="H22" s="24">
        <f t="shared" si="9"/>
        <v>20578127.838259816</v>
      </c>
      <c r="I22" s="24">
        <f t="shared" si="9"/>
        <v>21614273.492640309</v>
      </c>
      <c r="J22" s="24">
        <f t="shared" si="9"/>
        <v>22592637.822181888</v>
      </c>
      <c r="K22" s="24">
        <f t="shared" si="9"/>
        <v>22964320.225874491</v>
      </c>
    </row>
    <row r="23" spans="1:11" x14ac:dyDescent="0.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6">
      <c r="A24" s="15"/>
      <c r="B24" s="15" t="s">
        <v>236</v>
      </c>
      <c r="C24" s="24">
        <f>C14+C22</f>
        <v>72592600</v>
      </c>
      <c r="D24" s="24">
        <f t="shared" ref="D24:K24" si="10">D14+D22</f>
        <v>78805476</v>
      </c>
      <c r="E24" s="24">
        <f t="shared" si="10"/>
        <v>82485686.159999996</v>
      </c>
      <c r="F24" s="24">
        <f t="shared" si="10"/>
        <v>86495987.346599996</v>
      </c>
      <c r="G24" s="24">
        <f t="shared" si="10"/>
        <v>90853758.552441001</v>
      </c>
      <c r="H24" s="24">
        <f t="shared" si="10"/>
        <v>95577297.131411821</v>
      </c>
      <c r="I24" s="24">
        <f t="shared" si="10"/>
        <v>103301117.49283129</v>
      </c>
      <c r="J24" s="24">
        <f t="shared" si="10"/>
        <v>110098534.65354615</v>
      </c>
      <c r="K24" s="24">
        <f t="shared" si="10"/>
        <v>109370812.43650943</v>
      </c>
    </row>
    <row r="25" spans="1:11" x14ac:dyDescent="0.6">
      <c r="A25" s="15"/>
      <c r="B25" s="15" t="s">
        <v>237</v>
      </c>
      <c r="C25" s="24">
        <f>(Budgets!B12*Budgets!$D$22)+(Budgets!B13*Budgets!$D$23)</f>
        <v>105292000</v>
      </c>
      <c r="D25" s="24">
        <f>(Budgets!C12*Budgets!$D$22)+(Budgets!C13*Budgets!$D$23)</f>
        <v>110842582.5</v>
      </c>
      <c r="E25" s="24">
        <f>(Budgets!D12*Budgets!$D$22)+(Budgets!D13*Budgets!$D$23)</f>
        <v>116686423.16249999</v>
      </c>
      <c r="F25" s="24">
        <f>(Budgets!E12*Budgets!$D$22)+(Budgets!E13*Budgets!$D$23)</f>
        <v>122839049.99268748</v>
      </c>
      <c r="G25" s="24">
        <f>(Budgets!F12*Budgets!$D$22)+(Budgets!F13*Budgets!$D$23)</f>
        <v>129316814.9763478</v>
      </c>
      <c r="H25" s="24">
        <f>(Budgets!G12*Budgets!$D$22)+(Budgets!G13*Budgets!$D$23)</f>
        <v>136136937.89581254</v>
      </c>
      <c r="I25" s="24">
        <f>(Budgets!H12*Budgets!$D$22)+(Budgets!H13*Budgets!$D$23)</f>
        <v>143317552.48063615</v>
      </c>
      <c r="J25" s="24">
        <f>(Budgets!I12*Budgets!$D$22)+(Budgets!I13*Budgets!$D$23)</f>
        <v>149462804.92715317</v>
      </c>
      <c r="K25" s="24">
        <f>(Budgets!J12*Budgets!$D$22)+(Budgets!J13*Budgets!$D$23)</f>
        <v>147558958.29675686</v>
      </c>
    </row>
    <row r="26" spans="1:11" x14ac:dyDescent="0.6">
      <c r="A26" s="15"/>
      <c r="B26" s="15" t="s">
        <v>238</v>
      </c>
      <c r="C26" s="24">
        <f>C25-C24</f>
        <v>32699400</v>
      </c>
      <c r="D26" s="24">
        <f t="shared" ref="D26:K26" si="11">D25-D24</f>
        <v>32037106.5</v>
      </c>
      <c r="E26" s="24">
        <f t="shared" si="11"/>
        <v>34200737.002499998</v>
      </c>
      <c r="F26" s="24">
        <f t="shared" si="11"/>
        <v>36343062.646087483</v>
      </c>
      <c r="G26" s="24">
        <f t="shared" si="11"/>
        <v>38463056.423906803</v>
      </c>
      <c r="H26" s="24">
        <f t="shared" si="11"/>
        <v>40559640.764400721</v>
      </c>
      <c r="I26" s="24">
        <f t="shared" si="11"/>
        <v>40016434.98780486</v>
      </c>
      <c r="J26" s="24">
        <f t="shared" si="11"/>
        <v>39364270.273607016</v>
      </c>
      <c r="K26" s="24">
        <f t="shared" si="11"/>
        <v>38188145.860247433</v>
      </c>
    </row>
    <row r="27" spans="1:11" x14ac:dyDescent="0.6">
      <c r="A27" s="15"/>
      <c r="B27" s="15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6">
      <c r="A28" s="15"/>
      <c r="B28" s="15" t="s">
        <v>239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 x14ac:dyDescent="0.6">
      <c r="A29" s="15"/>
      <c r="B29" s="15" t="s">
        <v>240</v>
      </c>
      <c r="C29" s="24">
        <f>SUM('Ann 13'!E9:E12)*100000</f>
        <v>1399080</v>
      </c>
      <c r="D29" s="24">
        <f>SUM('Ann 13'!E13:E16)*100000</f>
        <v>1311644.9999999998</v>
      </c>
      <c r="E29" s="24">
        <f>SUM('Ann 13'!E17:E20)*100000</f>
        <v>1078484.9999999998</v>
      </c>
      <c r="F29" s="24">
        <f>SUM('Ann 13'!E21:E24)*100000</f>
        <v>845324.99999999988</v>
      </c>
      <c r="G29" s="24">
        <f>SUM('Ann 13'!E25:E28)*100000</f>
        <v>612164.99999999977</v>
      </c>
      <c r="H29" s="24">
        <f>SUM('Ann 13'!E29:E32)*100000</f>
        <v>379004.99999999965</v>
      </c>
      <c r="I29" s="24">
        <f>SUM('Ann 13'!E33:E36)*100000</f>
        <v>145844.99999999959</v>
      </c>
      <c r="J29" s="24">
        <v>0</v>
      </c>
      <c r="K29" s="24">
        <v>0</v>
      </c>
    </row>
    <row r="30" spans="1:11" x14ac:dyDescent="0.6">
      <c r="A30" s="15"/>
      <c r="B30" s="15" t="s">
        <v>241</v>
      </c>
      <c r="C30" s="24">
        <f>1432000*10%</f>
        <v>143200</v>
      </c>
      <c r="D30" s="24">
        <f t="shared" ref="D30:K30" si="12">1432000*10%</f>
        <v>143200</v>
      </c>
      <c r="E30" s="24">
        <f t="shared" si="12"/>
        <v>143200</v>
      </c>
      <c r="F30" s="24">
        <f t="shared" si="12"/>
        <v>143200</v>
      </c>
      <c r="G30" s="24">
        <f t="shared" si="12"/>
        <v>143200</v>
      </c>
      <c r="H30" s="24">
        <f t="shared" si="12"/>
        <v>143200</v>
      </c>
      <c r="I30" s="24">
        <f t="shared" si="12"/>
        <v>143200</v>
      </c>
      <c r="J30" s="24">
        <f t="shared" si="12"/>
        <v>143200</v>
      </c>
      <c r="K30" s="24">
        <f t="shared" si="12"/>
        <v>143200</v>
      </c>
    </row>
    <row r="31" spans="1:11" x14ac:dyDescent="0.6">
      <c r="A31" s="15"/>
      <c r="B31" s="77" t="s">
        <v>253</v>
      </c>
      <c r="C31" s="24">
        <f>SUM(C29:C30)</f>
        <v>1542280</v>
      </c>
      <c r="D31" s="24">
        <f t="shared" ref="D31:K31" si="13">SUM(D29:D30)</f>
        <v>1454844.9999999998</v>
      </c>
      <c r="E31" s="24">
        <f t="shared" si="13"/>
        <v>1221684.9999999998</v>
      </c>
      <c r="F31" s="24">
        <f t="shared" si="13"/>
        <v>988524.99999999988</v>
      </c>
      <c r="G31" s="24">
        <f t="shared" si="13"/>
        <v>755364.99999999977</v>
      </c>
      <c r="H31" s="24">
        <f t="shared" si="13"/>
        <v>522204.99999999965</v>
      </c>
      <c r="I31" s="24">
        <f t="shared" si="13"/>
        <v>289044.99999999959</v>
      </c>
      <c r="J31" s="24">
        <f t="shared" si="13"/>
        <v>143200</v>
      </c>
      <c r="K31" s="24">
        <f t="shared" si="13"/>
        <v>143200</v>
      </c>
    </row>
    <row r="32" spans="1:11" x14ac:dyDescent="0.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x14ac:dyDescent="0.6">
      <c r="A33" s="15"/>
      <c r="B33" s="15" t="s">
        <v>254</v>
      </c>
      <c r="C33" s="24">
        <f>C26-C31</f>
        <v>31157120</v>
      </c>
      <c r="D33" s="24">
        <f t="shared" ref="D33:K33" si="14">D26-D31</f>
        <v>30582261.5</v>
      </c>
      <c r="E33" s="24">
        <f t="shared" si="14"/>
        <v>32979052.002499998</v>
      </c>
      <c r="F33" s="24">
        <f t="shared" si="14"/>
        <v>35354537.646087483</v>
      </c>
      <c r="G33" s="24">
        <f t="shared" si="14"/>
        <v>37707691.423906803</v>
      </c>
      <c r="H33" s="24">
        <f t="shared" si="14"/>
        <v>40037435.764400721</v>
      </c>
      <c r="I33" s="24">
        <f t="shared" si="14"/>
        <v>39727389.98780486</v>
      </c>
      <c r="J33" s="24">
        <f t="shared" si="14"/>
        <v>39221070.273607016</v>
      </c>
      <c r="K33" s="24">
        <f t="shared" si="14"/>
        <v>38044945.860247433</v>
      </c>
    </row>
    <row r="34" spans="1:11" x14ac:dyDescent="0.6">
      <c r="A34" s="15"/>
      <c r="B34" s="15" t="s">
        <v>255</v>
      </c>
      <c r="C34" s="24">
        <f>'Ann 1'!C32*100000</f>
        <v>70000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</row>
    <row r="35" spans="1:11" x14ac:dyDescent="0.6">
      <c r="A35" s="15"/>
      <c r="B35" s="77" t="s">
        <v>256</v>
      </c>
      <c r="C35" s="24">
        <f>'Ann 9'!C12+'Ann 9'!D12+'Ann 9'!E12</f>
        <v>3719357.0999999996</v>
      </c>
      <c r="D35" s="24">
        <f>'Ann 9'!C13+'Ann 9'!D13+'Ann 9'!E13</f>
        <v>3179487.8250000002</v>
      </c>
      <c r="E35" s="24">
        <f>'Ann 9'!C14+'Ann 9'!D14+'Ann 9'!E14</f>
        <v>2718795.5122499997</v>
      </c>
      <c r="F35" s="24">
        <f>'Ann 9'!C15+'Ann 9'!D15+'Ann 9'!E15</f>
        <v>2325583.9603124997</v>
      </c>
      <c r="G35" s="24">
        <f>'Ann 9'!C16+'Ann 9'!D16+'Ann 9'!E16</f>
        <v>1989893.3636756251</v>
      </c>
      <c r="H35" s="24">
        <f>'Ann 9'!C17+'Ann 9'!D17+'Ann 9'!E17</f>
        <v>1703241.6567932814</v>
      </c>
      <c r="I35" s="24">
        <f>'Ann 9'!C18+'Ann 9'!D18+'Ann 9'!E18</f>
        <v>1458404.476176389</v>
      </c>
      <c r="J35" s="24">
        <f>'Ann 9'!C19+'Ann 9'!D19+'Ann 9'!E19</f>
        <v>1249227.9658618206</v>
      </c>
      <c r="K35" s="24">
        <f>'Ann 9'!C20+'Ann 9'!D20+'Ann 9'!E20</f>
        <v>1070469.5159832484</v>
      </c>
    </row>
    <row r="36" spans="1:11" x14ac:dyDescent="0.6">
      <c r="A36" s="15"/>
      <c r="B36" s="77" t="s">
        <v>257</v>
      </c>
      <c r="C36" s="24">
        <f t="shared" ref="C36:I36" si="15">C33-C34-C35</f>
        <v>27367762.899999999</v>
      </c>
      <c r="D36" s="24">
        <f t="shared" si="15"/>
        <v>27402773.675000001</v>
      </c>
      <c r="E36" s="24">
        <f t="shared" si="15"/>
        <v>30260256.490249999</v>
      </c>
      <c r="F36" s="24">
        <f t="shared" si="15"/>
        <v>33028953.685774982</v>
      </c>
      <c r="G36" s="24">
        <f t="shared" si="15"/>
        <v>35717798.060231179</v>
      </c>
      <c r="H36" s="24">
        <f t="shared" si="15"/>
        <v>38334194.107607439</v>
      </c>
      <c r="I36" s="24">
        <f t="shared" si="15"/>
        <v>38268985.511628471</v>
      </c>
      <c r="J36" s="24">
        <f t="shared" ref="J36:K36" si="16">J33-J34-J35</f>
        <v>37971842.307745196</v>
      </c>
      <c r="K36" s="24">
        <f t="shared" si="16"/>
        <v>36974476.344264187</v>
      </c>
    </row>
    <row r="37" spans="1:11" x14ac:dyDescent="0.6">
      <c r="A37" s="15"/>
      <c r="B37" s="77" t="s">
        <v>258</v>
      </c>
      <c r="C37" s="24">
        <f>'Ann 10'!B14</f>
        <v>8231328.8699999992</v>
      </c>
      <c r="D37" s="24">
        <f>'Ann 10'!C14</f>
        <v>8220832.1025</v>
      </c>
      <c r="E37" s="24">
        <f>'Ann 10'!D14</f>
        <v>9078076.947075</v>
      </c>
      <c r="F37" s="24">
        <f>'Ann 10'!E14</f>
        <v>9908686.105732495</v>
      </c>
      <c r="G37" s="24">
        <f>'Ann 10'!F14</f>
        <v>10715339.418069353</v>
      </c>
      <c r="H37" s="24">
        <f>'Ann 10'!G14</f>
        <v>11500258.232282231</v>
      </c>
      <c r="I37" s="24">
        <f>'Ann 10'!H14</f>
        <v>11480695.653488541</v>
      </c>
      <c r="J37" s="24">
        <f>'Ann 10'!I14</f>
        <v>11391552.692323558</v>
      </c>
      <c r="K37" s="24">
        <f>'Ann 10'!J14</f>
        <v>11092342.903279256</v>
      </c>
    </row>
    <row r="38" spans="1:11" x14ac:dyDescent="0.6">
      <c r="A38" s="15"/>
      <c r="B38" s="77" t="s">
        <v>259</v>
      </c>
      <c r="C38" s="24">
        <f>C36-C37</f>
        <v>19136434.030000001</v>
      </c>
      <c r="D38" s="24">
        <f>D36-D37</f>
        <v>19181941.572500002</v>
      </c>
      <c r="E38" s="24">
        <f t="shared" ref="E38:K38" si="17">E36-E37</f>
        <v>21182179.543174997</v>
      </c>
      <c r="F38" s="24">
        <f t="shared" si="17"/>
        <v>23120267.580042489</v>
      </c>
      <c r="G38" s="24">
        <f t="shared" si="17"/>
        <v>25002458.642161824</v>
      </c>
      <c r="H38" s="24">
        <f t="shared" si="17"/>
        <v>26833935.87532521</v>
      </c>
      <c r="I38" s="24">
        <f t="shared" si="17"/>
        <v>26788289.858139932</v>
      </c>
      <c r="J38" s="24">
        <f t="shared" si="17"/>
        <v>26580289.615421638</v>
      </c>
      <c r="K38" s="24">
        <f t="shared" si="17"/>
        <v>25882133.440984931</v>
      </c>
    </row>
    <row r="39" spans="1:11" x14ac:dyDescent="0.6">
      <c r="A39" s="15"/>
      <c r="B39" s="77" t="s">
        <v>260</v>
      </c>
      <c r="C39" s="24">
        <f>C38*80%</f>
        <v>15309147.224000001</v>
      </c>
      <c r="D39" s="24">
        <f t="shared" ref="D39:K39" si="18">D38*80%</f>
        <v>15345553.258000001</v>
      </c>
      <c r="E39" s="24">
        <f t="shared" si="18"/>
        <v>16945743.634539999</v>
      </c>
      <c r="F39" s="24">
        <f t="shared" si="18"/>
        <v>18496214.064033993</v>
      </c>
      <c r="G39" s="24">
        <f t="shared" si="18"/>
        <v>20001966.913729459</v>
      </c>
      <c r="H39" s="24">
        <f t="shared" si="18"/>
        <v>21467148.70026017</v>
      </c>
      <c r="I39" s="24">
        <f t="shared" si="18"/>
        <v>21430631.886511948</v>
      </c>
      <c r="J39" s="24">
        <f t="shared" si="18"/>
        <v>21264231.692337312</v>
      </c>
      <c r="K39" s="24">
        <f t="shared" si="18"/>
        <v>20705706.752787948</v>
      </c>
    </row>
    <row r="40" spans="1:11" x14ac:dyDescent="0.6">
      <c r="A40" s="15"/>
      <c r="B40" s="77" t="s">
        <v>277</v>
      </c>
      <c r="C40" s="24">
        <f>C38-C39</f>
        <v>3827286.8059999999</v>
      </c>
      <c r="D40" s="24">
        <f t="shared" ref="D40:K40" si="19">D38-D39</f>
        <v>3836388.3145000003</v>
      </c>
      <c r="E40" s="24">
        <f t="shared" si="19"/>
        <v>4236435.9086349979</v>
      </c>
      <c r="F40" s="24">
        <f t="shared" si="19"/>
        <v>4624053.5160084963</v>
      </c>
      <c r="G40" s="24">
        <f t="shared" si="19"/>
        <v>5000491.7284323648</v>
      </c>
      <c r="H40" s="24">
        <f t="shared" si="19"/>
        <v>5366787.1750650406</v>
      </c>
      <c r="I40" s="24">
        <f t="shared" si="19"/>
        <v>5357657.9716279842</v>
      </c>
      <c r="J40" s="24">
        <f t="shared" si="19"/>
        <v>5316057.9230843261</v>
      </c>
      <c r="K40" s="24">
        <f t="shared" si="19"/>
        <v>5176426.6881969832</v>
      </c>
    </row>
    <row r="42" spans="1:11" x14ac:dyDescent="0.6">
      <c r="A42" s="3" t="s">
        <v>132</v>
      </c>
    </row>
    <row r="43" spans="1:11" x14ac:dyDescent="0.6">
      <c r="A43" s="3" t="s">
        <v>133</v>
      </c>
    </row>
    <row r="44" spans="1:11" x14ac:dyDescent="0.6">
      <c r="A44" s="3" t="s">
        <v>362</v>
      </c>
    </row>
    <row r="45" spans="1:11" x14ac:dyDescent="0.6">
      <c r="A45" s="3" t="s">
        <v>268</v>
      </c>
    </row>
    <row r="46" spans="1:11" x14ac:dyDescent="0.6">
      <c r="A46" s="3" t="s">
        <v>269</v>
      </c>
    </row>
    <row r="47" spans="1:11" x14ac:dyDescent="0.6">
      <c r="A47" s="3" t="s">
        <v>266</v>
      </c>
    </row>
  </sheetData>
  <mergeCells count="3">
    <mergeCell ref="C3:K3"/>
    <mergeCell ref="B3:B4"/>
    <mergeCell ref="A3:A4"/>
  </mergeCells>
  <pageMargins left="0.7" right="0.7" top="0.75" bottom="0.75" header="0.3" footer="0.3"/>
  <pageSetup scale="57" orientation="landscape" r:id="rId1"/>
  <ignoredErrors>
    <ignoredError sqref="C29:D2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C10C-E414-4E29-98C1-5FAEC5C52CAE}">
  <sheetPr>
    <pageSetUpPr fitToPage="1"/>
  </sheetPr>
  <dimension ref="A1:K57"/>
  <sheetViews>
    <sheetView topLeftCell="A40" workbookViewId="0">
      <selection activeCell="D52" sqref="D52"/>
    </sheetView>
  </sheetViews>
  <sheetFormatPr defaultRowHeight="17" x14ac:dyDescent="0.6"/>
  <cols>
    <col min="1" max="1" width="8.7265625" style="3"/>
    <col min="2" max="2" width="28.26953125" style="3" customWidth="1"/>
    <col min="3" max="3" width="15.6328125" style="3" bestFit="1" customWidth="1"/>
    <col min="4" max="9" width="13.6328125" style="3" bestFit="1" customWidth="1"/>
    <col min="10" max="11" width="12.54296875" style="3" bestFit="1" customWidth="1"/>
    <col min="12" max="16384" width="8.7265625" style="3"/>
  </cols>
  <sheetData>
    <row r="1" spans="1:11" x14ac:dyDescent="0.6">
      <c r="A1" s="11" t="s">
        <v>278</v>
      </c>
    </row>
    <row r="3" spans="1:11" x14ac:dyDescent="0.6">
      <c r="A3" s="3" t="s">
        <v>279</v>
      </c>
    </row>
    <row r="5" spans="1:11" x14ac:dyDescent="0.6">
      <c r="A5" s="74" t="s">
        <v>83</v>
      </c>
      <c r="B5" s="74" t="s">
        <v>84</v>
      </c>
      <c r="C5" s="73" t="s">
        <v>94</v>
      </c>
      <c r="D5" s="73"/>
      <c r="E5" s="73"/>
      <c r="F5" s="73"/>
      <c r="G5" s="73"/>
      <c r="H5" s="73"/>
      <c r="I5" s="73"/>
      <c r="J5" s="73"/>
      <c r="K5" s="73"/>
    </row>
    <row r="6" spans="1:11" x14ac:dyDescent="0.6">
      <c r="A6" s="74"/>
      <c r="B6" s="74"/>
      <c r="C6" s="75" t="s">
        <v>85</v>
      </c>
      <c r="D6" s="75" t="s">
        <v>86</v>
      </c>
      <c r="E6" s="75" t="s">
        <v>87</v>
      </c>
      <c r="F6" s="75" t="s">
        <v>88</v>
      </c>
      <c r="G6" s="75" t="s">
        <v>89</v>
      </c>
      <c r="H6" s="75" t="s">
        <v>90</v>
      </c>
      <c r="I6" s="75" t="s">
        <v>91</v>
      </c>
      <c r="J6" s="75" t="s">
        <v>92</v>
      </c>
      <c r="K6" s="75" t="s">
        <v>93</v>
      </c>
    </row>
    <row r="7" spans="1:11" x14ac:dyDescent="0.6">
      <c r="A7" s="34" t="s">
        <v>317</v>
      </c>
      <c r="B7" s="45" t="s">
        <v>280</v>
      </c>
      <c r="C7" s="46"/>
      <c r="D7" s="46"/>
      <c r="E7" s="36"/>
      <c r="F7" s="36"/>
      <c r="G7" s="36"/>
      <c r="H7" s="36"/>
      <c r="I7" s="36"/>
      <c r="J7" s="36"/>
      <c r="K7" s="36"/>
    </row>
    <row r="8" spans="1:11" x14ac:dyDescent="0.6">
      <c r="A8" s="47">
        <v>1</v>
      </c>
      <c r="B8" s="27" t="s">
        <v>281</v>
      </c>
      <c r="C8" s="48"/>
      <c r="D8" s="48"/>
      <c r="E8" s="49"/>
      <c r="F8" s="49"/>
      <c r="G8" s="49"/>
      <c r="H8" s="49"/>
      <c r="I8" s="49"/>
      <c r="J8" s="49"/>
      <c r="K8" s="49"/>
    </row>
    <row r="9" spans="1:11" x14ac:dyDescent="0.6">
      <c r="A9" s="47"/>
      <c r="B9" s="27" t="s">
        <v>282</v>
      </c>
      <c r="C9" s="50">
        <f>'Ann 9'!C6+'Ann 9'!D6+'Ann 9'!E6</f>
        <v>25998000</v>
      </c>
      <c r="D9" s="51">
        <f>C11</f>
        <v>22278642.899999999</v>
      </c>
      <c r="E9" s="52">
        <f t="shared" ref="E9:K9" si="0">D11</f>
        <v>19099155.074999999</v>
      </c>
      <c r="F9" s="52">
        <f t="shared" si="0"/>
        <v>16380359.562750001</v>
      </c>
      <c r="G9" s="52">
        <f t="shared" si="0"/>
        <v>14054775.6024375</v>
      </c>
      <c r="H9" s="52">
        <f t="shared" si="0"/>
        <v>12064882.238761876</v>
      </c>
      <c r="I9" s="52">
        <f t="shared" si="0"/>
        <v>10361640.581968594</v>
      </c>
      <c r="J9" s="52">
        <f t="shared" si="0"/>
        <v>8903236.1057922058</v>
      </c>
      <c r="K9" s="52">
        <f t="shared" si="0"/>
        <v>7654008.1399303852</v>
      </c>
    </row>
    <row r="10" spans="1:11" x14ac:dyDescent="0.6">
      <c r="A10" s="47"/>
      <c r="B10" s="27" t="s">
        <v>283</v>
      </c>
      <c r="C10" s="50">
        <f>'Ann 9'!C12+'Ann 9'!D12+'Ann 9'!E12</f>
        <v>3719357.0999999996</v>
      </c>
      <c r="D10" s="51">
        <f>'Ann 9'!C13+'Ann 9'!D13+'Ann 9'!E13</f>
        <v>3179487.8250000002</v>
      </c>
      <c r="E10" s="52">
        <f>'Ann 9'!C14+'Ann 9'!D14+'Ann 9'!E14</f>
        <v>2718795.5122499997</v>
      </c>
      <c r="F10" s="52">
        <f>'Ann 9'!C15+'Ann 9'!D15+'Ann 9'!E15</f>
        <v>2325583.9603124997</v>
      </c>
      <c r="G10" s="52">
        <f>'Ann 9'!C16+'Ann 9'!D16+'Ann 9'!E16</f>
        <v>1989893.3636756251</v>
      </c>
      <c r="H10" s="52">
        <f>'Ann 9'!C17+'Ann 9'!D17+'Ann 9'!E17</f>
        <v>1703241.6567932814</v>
      </c>
      <c r="I10" s="52">
        <f>+'Ann 9'!C18+'Ann 9'!D18+'Ann 9'!E18</f>
        <v>1458404.476176389</v>
      </c>
      <c r="J10" s="52">
        <f>'Ann 9'!C19+'Ann 9'!D19+'Ann 9'!E19</f>
        <v>1249227.9658618206</v>
      </c>
      <c r="K10" s="52">
        <f>+'Ann 9'!C20+'Ann 9'!D20+'Ann 9'!E20</f>
        <v>1070469.5159832484</v>
      </c>
    </row>
    <row r="11" spans="1:11" x14ac:dyDescent="0.6">
      <c r="A11" s="47"/>
      <c r="B11" s="27" t="s">
        <v>284</v>
      </c>
      <c r="C11" s="50">
        <f>C9-C10</f>
        <v>22278642.899999999</v>
      </c>
      <c r="D11" s="51">
        <f>D9-D10</f>
        <v>19099155.074999999</v>
      </c>
      <c r="E11" s="52">
        <f t="shared" ref="E11:K11" si="1">E9-E10</f>
        <v>16380359.562750001</v>
      </c>
      <c r="F11" s="52">
        <f t="shared" si="1"/>
        <v>14054775.6024375</v>
      </c>
      <c r="G11" s="52">
        <f t="shared" si="1"/>
        <v>12064882.238761876</v>
      </c>
      <c r="H11" s="52">
        <f t="shared" si="1"/>
        <v>10361640.581968594</v>
      </c>
      <c r="I11" s="52">
        <f t="shared" si="1"/>
        <v>8903236.1057922058</v>
      </c>
      <c r="J11" s="52">
        <f t="shared" si="1"/>
        <v>7654008.1399303852</v>
      </c>
      <c r="K11" s="52">
        <f t="shared" si="1"/>
        <v>6583538.623947137</v>
      </c>
    </row>
    <row r="12" spans="1:11" x14ac:dyDescent="0.6">
      <c r="A12" s="47">
        <v>2</v>
      </c>
      <c r="B12" s="27" t="s">
        <v>119</v>
      </c>
      <c r="C12" s="50">
        <f>'Ann 4'!C13</f>
        <v>440000</v>
      </c>
      <c r="D12" s="50">
        <f>'Ann 4'!D13</f>
        <v>2305270</v>
      </c>
      <c r="E12" s="53">
        <f>'Ann 4'!E13</f>
        <v>5323503.3500000061</v>
      </c>
      <c r="F12" s="53">
        <f>'Ann 4'!F13</f>
        <v>9208031.709250018</v>
      </c>
      <c r="G12" s="53">
        <f>'Ann 4'!G13</f>
        <v>13657065.912008781</v>
      </c>
      <c r="H12" s="53">
        <f>'Ann 4'!H13</f>
        <v>18352896.61885678</v>
      </c>
      <c r="I12" s="53">
        <f>'Ann 4'!I13</f>
        <v>16361052.618665799</v>
      </c>
      <c r="J12" s="53">
        <f>'Ann 4'!J13</f>
        <v>8550155.7873015404</v>
      </c>
      <c r="K12" s="53">
        <f>'Ann 4'!K13</f>
        <v>1838663.5766666066</v>
      </c>
    </row>
    <row r="13" spans="1:11" x14ac:dyDescent="0.6">
      <c r="A13" s="47">
        <v>3</v>
      </c>
      <c r="B13" s="27" t="s">
        <v>285</v>
      </c>
      <c r="C13" s="50">
        <f>'Ann 4'!C25*30/300</f>
        <v>10529200</v>
      </c>
      <c r="D13" s="50">
        <f>'Ann 4'!D25*30/300</f>
        <v>11084258.25</v>
      </c>
      <c r="E13" s="53">
        <f>'Ann 4'!E25*30/300</f>
        <v>11668642.31625</v>
      </c>
      <c r="F13" s="53">
        <f>'Ann 4'!F25*30/300</f>
        <v>12283904.999268748</v>
      </c>
      <c r="G13" s="53">
        <f>'Ann 4'!G25*30/300</f>
        <v>12931681.49763478</v>
      </c>
      <c r="H13" s="53">
        <f>'Ann 4'!H25*30/300</f>
        <v>13613693.789581254</v>
      </c>
      <c r="I13" s="53">
        <f>'Ann 4'!I25*30/300</f>
        <v>14331755.248063615</v>
      </c>
      <c r="J13" s="53">
        <f>'Ann 4'!J25*30/300</f>
        <v>14946280.492715318</v>
      </c>
      <c r="K13" s="53">
        <f>'Ann 4'!K25*30/300</f>
        <v>14755895.829675687</v>
      </c>
    </row>
    <row r="14" spans="1:11" x14ac:dyDescent="0.6">
      <c r="A14" s="47">
        <v>4</v>
      </c>
      <c r="B14" s="27" t="s">
        <v>286</v>
      </c>
      <c r="C14" s="50">
        <f>('Ann 4'!D6+'Ann 4'!D7)*12%</f>
        <v>6652800</v>
      </c>
      <c r="D14" s="50">
        <f>('Ann 4'!E6+'Ann 4'!E7)*12%</f>
        <v>7068600</v>
      </c>
      <c r="E14" s="53">
        <f>('Ann 4'!F6+'Ann 4'!F7)*12%</f>
        <v>7484400.0000000019</v>
      </c>
      <c r="F14" s="53">
        <f>('Ann 4'!G6+'Ann 4'!G7)*12%</f>
        <v>7900200.0000000019</v>
      </c>
      <c r="G14" s="53">
        <f>('Ann 4'!H6+'Ann 4'!H7)*12%</f>
        <v>8316000.0000000019</v>
      </c>
      <c r="H14" s="53">
        <f>('Ann 4'!I6+'Ann 4'!I7)*12%</f>
        <v>8316000.0000000019</v>
      </c>
      <c r="I14" s="53">
        <f>('Ann 4'!J6+'Ann 4'!J7)*12%</f>
        <v>8316000.0000000019</v>
      </c>
      <c r="J14" s="53">
        <f>('Ann 4'!K6+'Ann 4'!K7)*12%</f>
        <v>8316000.0000000019</v>
      </c>
      <c r="K14" s="53">
        <f>('Ann 4'!L6+'Ann 4'!L7)*12%</f>
        <v>0</v>
      </c>
    </row>
    <row r="15" spans="1:11" x14ac:dyDescent="0.6">
      <c r="A15" s="47">
        <v>5</v>
      </c>
      <c r="B15" s="27" t="s">
        <v>287</v>
      </c>
      <c r="C15" s="54">
        <v>6276643.9060000032</v>
      </c>
      <c r="D15" s="54">
        <v>8352391.7954999954</v>
      </c>
      <c r="E15" s="55">
        <v>8442705.8001349866</v>
      </c>
      <c r="F15" s="55">
        <v>7630252.234187223</v>
      </c>
      <c r="G15" s="55">
        <v>6261526.6251704246</v>
      </c>
      <c r="H15" s="55">
        <v>5107212.4582342654</v>
      </c>
      <c r="I15" s="55">
        <v>9309057.4477472603</v>
      </c>
      <c r="J15" s="55">
        <v>23070714.923405968</v>
      </c>
      <c r="K15" s="55">
        <v>44535488.00126075</v>
      </c>
    </row>
    <row r="16" spans="1:11" x14ac:dyDescent="0.6">
      <c r="A16" s="47"/>
      <c r="B16" s="27" t="s">
        <v>297</v>
      </c>
      <c r="C16" s="50">
        <f>SUM(C11:C15)</f>
        <v>46177286.806000002</v>
      </c>
      <c r="D16" s="50">
        <f t="shared" ref="D16:K16" si="2">SUM(D11:D15)</f>
        <v>47909675.120499998</v>
      </c>
      <c r="E16" s="53">
        <f t="shared" si="2"/>
        <v>49299611.029134996</v>
      </c>
      <c r="F16" s="53">
        <f t="shared" si="2"/>
        <v>51077164.545143493</v>
      </c>
      <c r="G16" s="53">
        <f t="shared" si="2"/>
        <v>53231156.273575857</v>
      </c>
      <c r="H16" s="53">
        <f t="shared" si="2"/>
        <v>55751443.448640898</v>
      </c>
      <c r="I16" s="53">
        <f t="shared" si="2"/>
        <v>57221101.420268878</v>
      </c>
      <c r="J16" s="53">
        <f t="shared" si="2"/>
        <v>62537159.343353212</v>
      </c>
      <c r="K16" s="53">
        <f t="shared" si="2"/>
        <v>67713586.031550184</v>
      </c>
    </row>
    <row r="17" spans="1:11" x14ac:dyDescent="0.6">
      <c r="A17" s="47"/>
      <c r="B17" s="27"/>
      <c r="C17" s="50"/>
      <c r="D17" s="50"/>
      <c r="E17" s="53"/>
      <c r="F17" s="53"/>
      <c r="G17" s="53"/>
      <c r="H17" s="53"/>
      <c r="I17" s="53"/>
      <c r="J17" s="53"/>
      <c r="K17" s="53"/>
    </row>
    <row r="18" spans="1:11" x14ac:dyDescent="0.6">
      <c r="A18" s="47" t="s">
        <v>318</v>
      </c>
      <c r="B18" s="26" t="s">
        <v>288</v>
      </c>
      <c r="C18" s="48"/>
      <c r="D18" s="48"/>
      <c r="E18" s="49"/>
      <c r="F18" s="49"/>
      <c r="G18" s="49"/>
      <c r="H18" s="49"/>
      <c r="I18" s="49"/>
      <c r="J18" s="49"/>
      <c r="K18" s="49"/>
    </row>
    <row r="19" spans="1:11" x14ac:dyDescent="0.6">
      <c r="A19" s="47">
        <v>1</v>
      </c>
      <c r="B19" s="27" t="s">
        <v>289</v>
      </c>
      <c r="C19" s="54">
        <f>'Ann 2'!C4*100000</f>
        <v>2750000</v>
      </c>
      <c r="D19" s="54">
        <f>C22</f>
        <v>6577286.8059999999</v>
      </c>
      <c r="E19" s="55">
        <f t="shared" ref="E19:K19" si="3">D22</f>
        <v>10413675.1205</v>
      </c>
      <c r="F19" s="55">
        <f t="shared" si="3"/>
        <v>14650111.029134998</v>
      </c>
      <c r="G19" s="55">
        <f t="shared" si="3"/>
        <v>19274164.545143493</v>
      </c>
      <c r="H19" s="55">
        <f t="shared" si="3"/>
        <v>24274656.273575857</v>
      </c>
      <c r="I19" s="55">
        <f t="shared" si="3"/>
        <v>29641443.448640898</v>
      </c>
      <c r="J19" s="55">
        <f t="shared" si="3"/>
        <v>34999101.420268878</v>
      </c>
      <c r="K19" s="55">
        <f t="shared" si="3"/>
        <v>40315159.343353204</v>
      </c>
    </row>
    <row r="20" spans="1:11" x14ac:dyDescent="0.6">
      <c r="A20" s="47"/>
      <c r="B20" s="27" t="s">
        <v>290</v>
      </c>
      <c r="C20" s="54">
        <f>'Ann 4'!C40</f>
        <v>3827286.8059999999</v>
      </c>
      <c r="D20" s="54">
        <f>'Ann 4'!D40</f>
        <v>3836388.3145000003</v>
      </c>
      <c r="E20" s="55">
        <f>'Ann 4'!E40</f>
        <v>4236435.9086349979</v>
      </c>
      <c r="F20" s="55">
        <f>'Ann 4'!F40</f>
        <v>4624053.5160084963</v>
      </c>
      <c r="G20" s="55">
        <f>'Ann 4'!G40</f>
        <v>5000491.7284323648</v>
      </c>
      <c r="H20" s="55">
        <f>'Ann 4'!H40</f>
        <v>5366787.1750650406</v>
      </c>
      <c r="I20" s="55">
        <f>'Ann 4'!I40</f>
        <v>5357657.9716279842</v>
      </c>
      <c r="J20" s="55">
        <f>'Ann 4'!J40</f>
        <v>5316057.9230843261</v>
      </c>
      <c r="K20" s="55">
        <f>'Ann 4'!K40</f>
        <v>5176426.6881969832</v>
      </c>
    </row>
    <row r="21" spans="1:11" x14ac:dyDescent="0.6">
      <c r="A21" s="47"/>
      <c r="B21" s="27" t="s">
        <v>291</v>
      </c>
      <c r="C21" s="54">
        <v>0</v>
      </c>
      <c r="D21" s="54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</row>
    <row r="22" spans="1:11" x14ac:dyDescent="0.6">
      <c r="A22" s="47"/>
      <c r="B22" s="27" t="s">
        <v>292</v>
      </c>
      <c r="C22" s="54">
        <f>C19+C20</f>
        <v>6577286.8059999999</v>
      </c>
      <c r="D22" s="54">
        <f t="shared" ref="D22:K22" si="4">D19+D20</f>
        <v>10413675.1205</v>
      </c>
      <c r="E22" s="55">
        <f t="shared" si="4"/>
        <v>14650111.029134998</v>
      </c>
      <c r="F22" s="55">
        <f t="shared" si="4"/>
        <v>19274164.545143493</v>
      </c>
      <c r="G22" s="55">
        <f t="shared" si="4"/>
        <v>24274656.273575857</v>
      </c>
      <c r="H22" s="55">
        <f t="shared" si="4"/>
        <v>29641443.448640898</v>
      </c>
      <c r="I22" s="55">
        <f t="shared" si="4"/>
        <v>34999101.420268878</v>
      </c>
      <c r="J22" s="55">
        <f t="shared" si="4"/>
        <v>40315159.343353204</v>
      </c>
      <c r="K22" s="55">
        <f t="shared" si="4"/>
        <v>45491586.031550184</v>
      </c>
    </row>
    <row r="23" spans="1:11" x14ac:dyDescent="0.6">
      <c r="A23" s="47">
        <v>2</v>
      </c>
      <c r="B23" s="27" t="s">
        <v>293</v>
      </c>
      <c r="C23" s="54">
        <f>'Ann 13'!C12*100000</f>
        <v>23318000</v>
      </c>
      <c r="D23" s="54">
        <f>('Ann 13'!C16-'Ann 13'!D16)*100000</f>
        <v>19432000</v>
      </c>
      <c r="E23" s="55">
        <f>('Ann 13'!C20-'Ann 13'!D20)*100000</f>
        <v>15545999.999999998</v>
      </c>
      <c r="F23" s="55">
        <f>('Ann 13'!C24-'Ann 13'!D24)*100000</f>
        <v>11659999.999999996</v>
      </c>
      <c r="G23" s="55">
        <f>('Ann 13'!C28-'Ann 13'!D28)*100000</f>
        <v>7773999.9999999953</v>
      </c>
      <c r="H23" s="55">
        <f>'Ann 13'!C33*100000</f>
        <v>3887999.9999999939</v>
      </c>
      <c r="I23" s="55">
        <v>0</v>
      </c>
      <c r="J23" s="55">
        <v>0</v>
      </c>
      <c r="K23" s="55">
        <v>0</v>
      </c>
    </row>
    <row r="24" spans="1:11" x14ac:dyDescent="0.6">
      <c r="A24" s="47">
        <v>3</v>
      </c>
      <c r="B24" s="27" t="s">
        <v>294</v>
      </c>
      <c r="C24" s="54">
        <v>0</v>
      </c>
      <c r="D24" s="54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</row>
    <row r="25" spans="1:11" x14ac:dyDescent="0.6">
      <c r="A25" s="47">
        <v>4</v>
      </c>
      <c r="B25" s="27" t="s">
        <v>29</v>
      </c>
      <c r="C25" s="54">
        <f>'Ann 2'!$C$7*100000</f>
        <v>1432000</v>
      </c>
      <c r="D25" s="54">
        <f>'Ann 2'!$C$7*100000</f>
        <v>1432000</v>
      </c>
      <c r="E25" s="54">
        <f>'Ann 2'!$C$7*100000</f>
        <v>1432000</v>
      </c>
      <c r="F25" s="54">
        <f>'Ann 2'!$C$7*100000</f>
        <v>1432000</v>
      </c>
      <c r="G25" s="54">
        <f>'Ann 2'!$C$7*100000</f>
        <v>1432000</v>
      </c>
      <c r="H25" s="54">
        <f>'Ann 2'!$C$7*100000</f>
        <v>1432000</v>
      </c>
      <c r="I25" s="54">
        <f>'Ann 2'!$C$7*100000</f>
        <v>1432000</v>
      </c>
      <c r="J25" s="54">
        <f>'Ann 2'!$C$7*100000</f>
        <v>1432000</v>
      </c>
      <c r="K25" s="54">
        <f>'Ann 2'!$C$7*100000</f>
        <v>1432000</v>
      </c>
    </row>
    <row r="26" spans="1:11" x14ac:dyDescent="0.6">
      <c r="A26" s="47">
        <v>5</v>
      </c>
      <c r="B26" s="27" t="s">
        <v>295</v>
      </c>
      <c r="C26" s="54">
        <f>('Ann 4'!C6+'Ann 4'!C7)*90/300</f>
        <v>14850000</v>
      </c>
      <c r="D26" s="54">
        <f>('Ann 4'!D6+'Ann 4'!D7)*90/300</f>
        <v>16632000</v>
      </c>
      <c r="E26" s="55">
        <f>('Ann 4'!E6+'Ann 4'!E7)*90/300</f>
        <v>17671500</v>
      </c>
      <c r="F26" s="55">
        <f>('Ann 4'!F6+'Ann 4'!F7)*90/300</f>
        <v>18711000.000000004</v>
      </c>
      <c r="G26" s="55">
        <f>('Ann 4'!G6+'Ann 4'!G7)*90/300</f>
        <v>19750500.000000004</v>
      </c>
      <c r="H26" s="55">
        <f>('Ann 4'!H6+'Ann 4'!H7)*90/300</f>
        <v>20790000.000000004</v>
      </c>
      <c r="I26" s="55">
        <f>('Ann 4'!I6+'Ann 4'!I7)*90/300</f>
        <v>20790000.000000004</v>
      </c>
      <c r="J26" s="55">
        <f>('Ann 4'!J6+'Ann 4'!J7)*90/300</f>
        <v>20790000.000000004</v>
      </c>
      <c r="K26" s="55">
        <f>('Ann 4'!K6+'Ann 4'!K7)*90/300</f>
        <v>20790000.000000004</v>
      </c>
    </row>
    <row r="27" spans="1:11" x14ac:dyDescent="0.6">
      <c r="A27" s="47"/>
      <c r="B27" s="27" t="s">
        <v>296</v>
      </c>
      <c r="C27" s="50">
        <f t="shared" ref="C27:K27" si="5">SUM(C22:C26)</f>
        <v>46177286.806000002</v>
      </c>
      <c r="D27" s="50">
        <f t="shared" si="5"/>
        <v>47909675.120499998</v>
      </c>
      <c r="E27" s="53">
        <f t="shared" si="5"/>
        <v>49299611.029134996</v>
      </c>
      <c r="F27" s="53">
        <f t="shared" si="5"/>
        <v>51077164.545143493</v>
      </c>
      <c r="G27" s="53">
        <f t="shared" si="5"/>
        <v>53231156.273575857</v>
      </c>
      <c r="H27" s="53">
        <f t="shared" si="5"/>
        <v>55751443.448640898</v>
      </c>
      <c r="I27" s="53">
        <f t="shared" si="5"/>
        <v>57221101.420268878</v>
      </c>
      <c r="J27" s="53">
        <f t="shared" si="5"/>
        <v>62537159.343353212</v>
      </c>
      <c r="K27" s="53">
        <f t="shared" si="5"/>
        <v>67713586.031550184</v>
      </c>
    </row>
    <row r="28" spans="1:11" x14ac:dyDescent="0.6">
      <c r="A28" s="47"/>
      <c r="B28" s="27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6">
      <c r="A29" s="58"/>
      <c r="B29" s="59" t="s">
        <v>298</v>
      </c>
      <c r="C29" s="60"/>
      <c r="D29" s="60"/>
      <c r="E29" s="61"/>
      <c r="F29" s="61"/>
      <c r="G29" s="61"/>
      <c r="H29" s="61"/>
      <c r="I29" s="61"/>
      <c r="J29" s="61"/>
      <c r="K29" s="61"/>
    </row>
    <row r="30" spans="1:11" x14ac:dyDescent="0.6">
      <c r="A30" s="47"/>
      <c r="B30" s="27" t="s">
        <v>299</v>
      </c>
      <c r="C30" s="50">
        <f t="shared" ref="C30:K30" si="6">SUM(C12:C15)</f>
        <v>23898643.906000003</v>
      </c>
      <c r="D30" s="50">
        <f t="shared" si="6"/>
        <v>28810520.045499995</v>
      </c>
      <c r="E30" s="53">
        <f t="shared" si="6"/>
        <v>32919251.466384992</v>
      </c>
      <c r="F30" s="53">
        <f t="shared" si="6"/>
        <v>37022388.942705989</v>
      </c>
      <c r="G30" s="53">
        <f t="shared" si="6"/>
        <v>41166274.034813985</v>
      </c>
      <c r="H30" s="53">
        <f t="shared" si="6"/>
        <v>45389802.8666723</v>
      </c>
      <c r="I30" s="53">
        <f t="shared" si="6"/>
        <v>48317865.314476676</v>
      </c>
      <c r="J30" s="53">
        <f t="shared" si="6"/>
        <v>54883151.20342283</v>
      </c>
      <c r="K30" s="53">
        <f t="shared" si="6"/>
        <v>61130047.40760304</v>
      </c>
    </row>
    <row r="31" spans="1:11" x14ac:dyDescent="0.6">
      <c r="A31" s="47"/>
      <c r="B31" s="27" t="s">
        <v>300</v>
      </c>
      <c r="C31" s="50">
        <f>SUM(C25:C26)</f>
        <v>16282000</v>
      </c>
      <c r="D31" s="50">
        <f t="shared" ref="D31:K31" si="7">SUM(D25:D26)</f>
        <v>18064000</v>
      </c>
      <c r="E31" s="50">
        <f t="shared" si="7"/>
        <v>19103500</v>
      </c>
      <c r="F31" s="50">
        <f t="shared" si="7"/>
        <v>20143000.000000004</v>
      </c>
      <c r="G31" s="50">
        <f t="shared" si="7"/>
        <v>21182500.000000004</v>
      </c>
      <c r="H31" s="50">
        <f t="shared" si="7"/>
        <v>22222000.000000004</v>
      </c>
      <c r="I31" s="50">
        <f t="shared" si="7"/>
        <v>22222000.000000004</v>
      </c>
      <c r="J31" s="50">
        <f t="shared" si="7"/>
        <v>22222000.000000004</v>
      </c>
      <c r="K31" s="50">
        <f t="shared" si="7"/>
        <v>22222000.000000004</v>
      </c>
    </row>
    <row r="32" spans="1:11" x14ac:dyDescent="0.6">
      <c r="A32" s="47"/>
      <c r="B32" s="27" t="s">
        <v>306</v>
      </c>
      <c r="C32" s="48">
        <f>C30/C31</f>
        <v>1.4677953510625232</v>
      </c>
      <c r="D32" s="48">
        <f>D30/D31</f>
        <v>1.5949136429085471</v>
      </c>
      <c r="E32" s="49">
        <f t="shared" ref="E32:K32" si="8">E30/E31</f>
        <v>1.7232052485871694</v>
      </c>
      <c r="F32" s="49">
        <f t="shared" si="8"/>
        <v>1.8379779051137359</v>
      </c>
      <c r="G32" s="49">
        <f t="shared" si="8"/>
        <v>1.9434096086304251</v>
      </c>
      <c r="H32" s="49">
        <f t="shared" si="8"/>
        <v>2.0425615546157991</v>
      </c>
      <c r="I32" s="49">
        <f t="shared" si="8"/>
        <v>2.174325682408274</v>
      </c>
      <c r="J32" s="49">
        <f t="shared" si="8"/>
        <v>2.4697665018190449</v>
      </c>
      <c r="K32" s="49">
        <f t="shared" si="8"/>
        <v>2.7508796421385577</v>
      </c>
    </row>
    <row r="33" spans="1:11" x14ac:dyDescent="0.6">
      <c r="A33" s="47"/>
      <c r="B33" s="56" t="s">
        <v>321</v>
      </c>
      <c r="C33" s="48"/>
      <c r="D33" s="48"/>
      <c r="E33" s="49"/>
      <c r="F33" s="49">
        <f>AVERAGE(C32:H32)</f>
        <v>1.7683105518197</v>
      </c>
      <c r="G33" s="49"/>
      <c r="H33" s="49"/>
      <c r="I33" s="53"/>
      <c r="J33" s="53"/>
      <c r="K33" s="53"/>
    </row>
    <row r="34" spans="1:11" x14ac:dyDescent="0.6">
      <c r="A34" s="47"/>
      <c r="B34" s="27"/>
      <c r="C34" s="48"/>
      <c r="D34" s="48"/>
      <c r="E34" s="49"/>
      <c r="F34" s="49"/>
      <c r="G34" s="49"/>
      <c r="H34" s="49"/>
      <c r="I34" s="49"/>
      <c r="J34" s="49"/>
      <c r="K34" s="49"/>
    </row>
    <row r="35" spans="1:11" x14ac:dyDescent="0.6">
      <c r="A35" s="58"/>
      <c r="B35" s="59" t="s">
        <v>303</v>
      </c>
      <c r="C35" s="60"/>
      <c r="D35" s="60"/>
      <c r="E35" s="61"/>
      <c r="F35" s="61"/>
      <c r="G35" s="61"/>
      <c r="H35" s="61"/>
      <c r="I35" s="61"/>
      <c r="J35" s="61"/>
      <c r="K35" s="61"/>
    </row>
    <row r="36" spans="1:11" x14ac:dyDescent="0.6">
      <c r="A36" s="47"/>
      <c r="B36" s="27" t="s">
        <v>304</v>
      </c>
      <c r="C36" s="50">
        <f>C23+C25</f>
        <v>24750000</v>
      </c>
      <c r="D36" s="50">
        <f t="shared" ref="D36:K36" si="9">D23+D25</f>
        <v>20864000</v>
      </c>
      <c r="E36" s="50">
        <f t="shared" si="9"/>
        <v>16978000</v>
      </c>
      <c r="F36" s="50">
        <f t="shared" si="9"/>
        <v>13091999.999999996</v>
      </c>
      <c r="G36" s="50">
        <f t="shared" si="9"/>
        <v>9205999.9999999963</v>
      </c>
      <c r="H36" s="50">
        <f t="shared" si="9"/>
        <v>5319999.9999999944</v>
      </c>
      <c r="I36" s="50">
        <f t="shared" si="9"/>
        <v>1432000</v>
      </c>
      <c r="J36" s="50">
        <f t="shared" si="9"/>
        <v>1432000</v>
      </c>
      <c r="K36" s="50">
        <f t="shared" si="9"/>
        <v>1432000</v>
      </c>
    </row>
    <row r="37" spans="1:11" x14ac:dyDescent="0.6">
      <c r="A37" s="47"/>
      <c r="B37" s="27" t="s">
        <v>305</v>
      </c>
      <c r="C37" s="50">
        <f t="shared" ref="C37:K37" si="10">C22</f>
        <v>6577286.8059999999</v>
      </c>
      <c r="D37" s="50">
        <f t="shared" si="10"/>
        <v>10413675.1205</v>
      </c>
      <c r="E37" s="53">
        <f t="shared" si="10"/>
        <v>14650111.029134998</v>
      </c>
      <c r="F37" s="53">
        <f t="shared" si="10"/>
        <v>19274164.545143493</v>
      </c>
      <c r="G37" s="53">
        <f t="shared" si="10"/>
        <v>24274656.273575857</v>
      </c>
      <c r="H37" s="53">
        <f t="shared" si="10"/>
        <v>29641443.448640898</v>
      </c>
      <c r="I37" s="55">
        <f t="shared" si="10"/>
        <v>34999101.420268878</v>
      </c>
      <c r="J37" s="55">
        <f t="shared" si="10"/>
        <v>40315159.343353204</v>
      </c>
      <c r="K37" s="55">
        <f t="shared" si="10"/>
        <v>45491586.031550184</v>
      </c>
    </row>
    <row r="38" spans="1:11" x14ac:dyDescent="0.6">
      <c r="A38" s="47"/>
      <c r="B38" s="27" t="s">
        <v>306</v>
      </c>
      <c r="C38" s="48">
        <f>C36/C37</f>
        <v>3.7629497891778572</v>
      </c>
      <c r="D38" s="48">
        <f t="shared" ref="D38:K38" si="11">D36/D37</f>
        <v>2.0035193875914041</v>
      </c>
      <c r="E38" s="49">
        <f t="shared" si="11"/>
        <v>1.1588990667876495</v>
      </c>
      <c r="F38" s="49">
        <f t="shared" si="11"/>
        <v>0.67925123132243803</v>
      </c>
      <c r="G38" s="49">
        <f t="shared" si="11"/>
        <v>0.37924326903945388</v>
      </c>
      <c r="H38" s="49">
        <f t="shared" si="11"/>
        <v>0.17947843900442453</v>
      </c>
      <c r="I38" s="57">
        <f t="shared" si="11"/>
        <v>4.0915336162621933E-2</v>
      </c>
      <c r="J38" s="57">
        <f t="shared" si="11"/>
        <v>3.5520137420369517E-2</v>
      </c>
      <c r="K38" s="57">
        <f t="shared" si="11"/>
        <v>3.147834852376552E-2</v>
      </c>
    </row>
    <row r="39" spans="1:11" x14ac:dyDescent="0.6">
      <c r="A39" s="47"/>
      <c r="B39" s="56" t="s">
        <v>321</v>
      </c>
      <c r="C39" s="48"/>
      <c r="D39" s="48"/>
      <c r="E39" s="49"/>
      <c r="F39" s="49">
        <f>AVERAGE(C38:K38)</f>
        <v>0.91902833389222061</v>
      </c>
      <c r="G39" s="49"/>
      <c r="H39" s="49"/>
      <c r="I39" s="53"/>
      <c r="J39" s="53"/>
      <c r="K39" s="53"/>
    </row>
    <row r="40" spans="1:11" x14ac:dyDescent="0.6">
      <c r="A40" s="47"/>
      <c r="B40" s="27"/>
      <c r="C40" s="48"/>
      <c r="D40" s="48"/>
      <c r="E40" s="49"/>
      <c r="F40" s="49"/>
      <c r="G40" s="49"/>
      <c r="H40" s="49"/>
      <c r="I40" s="53"/>
      <c r="J40" s="53"/>
      <c r="K40" s="53"/>
    </row>
    <row r="41" spans="1:11" x14ac:dyDescent="0.6">
      <c r="A41" s="58"/>
      <c r="B41" s="59" t="s">
        <v>322</v>
      </c>
      <c r="C41" s="60"/>
      <c r="D41" s="60"/>
      <c r="E41" s="61"/>
      <c r="F41" s="61"/>
      <c r="G41" s="61"/>
      <c r="H41" s="61"/>
      <c r="I41" s="62"/>
      <c r="J41" s="62"/>
      <c r="K41" s="62"/>
    </row>
    <row r="42" spans="1:11" x14ac:dyDescent="0.6">
      <c r="A42" s="47"/>
      <c r="B42" s="56" t="s">
        <v>323</v>
      </c>
      <c r="C42" s="50">
        <f t="shared" ref="C42:K42" si="12">C11</f>
        <v>22278642.899999999</v>
      </c>
      <c r="D42" s="50">
        <f t="shared" si="12"/>
        <v>19099155.074999999</v>
      </c>
      <c r="E42" s="50">
        <f t="shared" si="12"/>
        <v>16380359.562750001</v>
      </c>
      <c r="F42" s="50">
        <f t="shared" si="12"/>
        <v>14054775.6024375</v>
      </c>
      <c r="G42" s="50">
        <f t="shared" si="12"/>
        <v>12064882.238761876</v>
      </c>
      <c r="H42" s="50">
        <f t="shared" si="12"/>
        <v>10361640.581968594</v>
      </c>
      <c r="I42" s="50">
        <f t="shared" si="12"/>
        <v>8903236.1057922058</v>
      </c>
      <c r="J42" s="50">
        <f t="shared" si="12"/>
        <v>7654008.1399303852</v>
      </c>
      <c r="K42" s="50">
        <f t="shared" si="12"/>
        <v>6583538.623947137</v>
      </c>
    </row>
    <row r="43" spans="1:11" x14ac:dyDescent="0.6">
      <c r="A43" s="47"/>
      <c r="B43" s="56" t="s">
        <v>304</v>
      </c>
      <c r="C43" s="50">
        <f t="shared" ref="C43:K43" si="13">C23+C25</f>
        <v>24750000</v>
      </c>
      <c r="D43" s="50">
        <f t="shared" si="13"/>
        <v>20864000</v>
      </c>
      <c r="E43" s="50">
        <f t="shared" si="13"/>
        <v>16978000</v>
      </c>
      <c r="F43" s="50">
        <f t="shared" si="13"/>
        <v>13091999.999999996</v>
      </c>
      <c r="G43" s="50">
        <f t="shared" si="13"/>
        <v>9205999.9999999963</v>
      </c>
      <c r="H43" s="50">
        <f t="shared" si="13"/>
        <v>5319999.9999999944</v>
      </c>
      <c r="I43" s="50">
        <f t="shared" si="13"/>
        <v>1432000</v>
      </c>
      <c r="J43" s="50">
        <f t="shared" si="13"/>
        <v>1432000</v>
      </c>
      <c r="K43" s="50">
        <f t="shared" si="13"/>
        <v>1432000</v>
      </c>
    </row>
    <row r="44" spans="1:11" x14ac:dyDescent="0.6">
      <c r="A44" s="47"/>
      <c r="B44" s="56" t="s">
        <v>315</v>
      </c>
      <c r="C44" s="48">
        <f>C42/C43</f>
        <v>0.90014718787878778</v>
      </c>
      <c r="D44" s="48">
        <f t="shared" ref="D44:K44" si="14">D42/D43</f>
        <v>0.91541195719900303</v>
      </c>
      <c r="E44" s="48">
        <f t="shared" si="14"/>
        <v>0.96479912608964546</v>
      </c>
      <c r="F44" s="48">
        <f t="shared" si="14"/>
        <v>1.0735392302503439</v>
      </c>
      <c r="G44" s="48">
        <f t="shared" si="14"/>
        <v>1.3105455397308148</v>
      </c>
      <c r="H44" s="48">
        <f t="shared" si="14"/>
        <v>1.9476768011219183</v>
      </c>
      <c r="I44" s="48">
        <f t="shared" si="14"/>
        <v>6.2173436492962333</v>
      </c>
      <c r="J44" s="48">
        <f t="shared" si="14"/>
        <v>5.3449777513480345</v>
      </c>
      <c r="K44" s="48">
        <f t="shared" si="14"/>
        <v>4.5974431731474423</v>
      </c>
    </row>
    <row r="45" spans="1:11" x14ac:dyDescent="0.6">
      <c r="A45" s="47"/>
      <c r="B45" s="56" t="s">
        <v>321</v>
      </c>
      <c r="C45" s="48"/>
      <c r="D45" s="48"/>
      <c r="E45" s="49"/>
      <c r="F45" s="49">
        <f>AVERAGE(C44:K44)</f>
        <v>2.585764935118025</v>
      </c>
      <c r="G45" s="49"/>
      <c r="H45" s="49"/>
      <c r="I45" s="49"/>
      <c r="J45" s="49"/>
      <c r="K45" s="49"/>
    </row>
    <row r="46" spans="1:11" x14ac:dyDescent="0.6">
      <c r="A46" s="47"/>
      <c r="B46" s="27"/>
      <c r="C46" s="48"/>
      <c r="D46" s="48"/>
      <c r="E46" s="49"/>
      <c r="F46" s="49"/>
      <c r="G46" s="49"/>
      <c r="H46" s="49"/>
      <c r="I46" s="53"/>
      <c r="J46" s="53"/>
      <c r="K46" s="53"/>
    </row>
    <row r="47" spans="1:11" x14ac:dyDescent="0.6">
      <c r="A47" s="58"/>
      <c r="B47" s="59" t="s">
        <v>312</v>
      </c>
      <c r="C47" s="60"/>
      <c r="D47" s="60"/>
      <c r="E47" s="61"/>
      <c r="F47" s="61"/>
      <c r="G47" s="61"/>
      <c r="H47" s="61"/>
      <c r="I47" s="62"/>
      <c r="J47" s="62"/>
      <c r="K47" s="62"/>
    </row>
    <row r="48" spans="1:11" x14ac:dyDescent="0.6">
      <c r="A48" s="47"/>
      <c r="B48" s="27" t="s">
        <v>313</v>
      </c>
      <c r="C48" s="54">
        <f>'Ann 4'!C31</f>
        <v>1542280</v>
      </c>
      <c r="D48" s="54">
        <f>'Ann 4'!D31</f>
        <v>1454844.9999999998</v>
      </c>
      <c r="E48" s="55">
        <f>'Ann 4'!E31</f>
        <v>1221684.9999999998</v>
      </c>
      <c r="F48" s="55">
        <f>'Ann 4'!F31</f>
        <v>988524.99999999988</v>
      </c>
      <c r="G48" s="55">
        <f>'Ann 4'!G31</f>
        <v>755364.99999999977</v>
      </c>
      <c r="H48" s="55">
        <f>'Ann 4'!H31</f>
        <v>522204.99999999965</v>
      </c>
      <c r="I48" s="55">
        <f>'Ann 4'!I31</f>
        <v>289044.99999999959</v>
      </c>
      <c r="J48" s="55">
        <f>'Ann 4'!J31</f>
        <v>143200</v>
      </c>
      <c r="K48" s="55">
        <f>'Ann 4'!K31</f>
        <v>143200</v>
      </c>
    </row>
    <row r="49" spans="1:11" x14ac:dyDescent="0.6">
      <c r="A49" s="47"/>
      <c r="B49" s="27" t="s">
        <v>316</v>
      </c>
      <c r="C49" s="54">
        <f>SUM('Ann 13'!D9:D12)</f>
        <v>0</v>
      </c>
      <c r="D49" s="54">
        <f>SUM('Ann 13'!D13:D16)*100000</f>
        <v>3886000</v>
      </c>
      <c r="E49" s="55">
        <f>SUM('Ann 13'!D17:D20)*100000</f>
        <v>3886000</v>
      </c>
      <c r="F49" s="55">
        <f>SUM('Ann 13'!D21:D24)*100000</f>
        <v>3886000</v>
      </c>
      <c r="G49" s="55">
        <f>SUM('Ann 13'!D25:D28)*100000</f>
        <v>3886000</v>
      </c>
      <c r="H49" s="55">
        <f>SUM('Ann 13'!D29:D32)*100000</f>
        <v>3886000</v>
      </c>
      <c r="I49" s="55">
        <f>SUM('Ann 13'!D33:D36)*100000</f>
        <v>3887999.9999999939</v>
      </c>
      <c r="J49" s="55">
        <v>0</v>
      </c>
      <c r="K49" s="55">
        <v>0</v>
      </c>
    </row>
    <row r="50" spans="1:11" x14ac:dyDescent="0.6">
      <c r="A50" s="47"/>
      <c r="B50" s="27" t="s">
        <v>8</v>
      </c>
      <c r="C50" s="54">
        <f>SUM(C48:C49)</f>
        <v>1542280</v>
      </c>
      <c r="D50" s="54">
        <f t="shared" ref="D50:K50" si="15">SUM(D48:D49)</f>
        <v>5340845</v>
      </c>
      <c r="E50" s="55">
        <f t="shared" si="15"/>
        <v>5107685</v>
      </c>
      <c r="F50" s="55">
        <f t="shared" si="15"/>
        <v>4874525</v>
      </c>
      <c r="G50" s="55">
        <f t="shared" si="15"/>
        <v>4641365</v>
      </c>
      <c r="H50" s="55">
        <f t="shared" si="15"/>
        <v>4408205</v>
      </c>
      <c r="I50" s="55">
        <f t="shared" si="15"/>
        <v>4177044.9999999935</v>
      </c>
      <c r="J50" s="55">
        <f t="shared" si="15"/>
        <v>143200</v>
      </c>
      <c r="K50" s="55">
        <f t="shared" si="15"/>
        <v>143200</v>
      </c>
    </row>
    <row r="51" spans="1:11" x14ac:dyDescent="0.6">
      <c r="A51" s="47"/>
      <c r="B51" s="27" t="s">
        <v>314</v>
      </c>
      <c r="C51" s="54">
        <f>'Ann 4'!C26</f>
        <v>32699400</v>
      </c>
      <c r="D51" s="54">
        <f>'Ann 4'!D26</f>
        <v>32037106.5</v>
      </c>
      <c r="E51" s="55">
        <f>'Ann 4'!E26</f>
        <v>34200737.002499998</v>
      </c>
      <c r="F51" s="55">
        <f>'Ann 4'!F26</f>
        <v>36343062.646087483</v>
      </c>
      <c r="G51" s="55">
        <f>'Ann 4'!G26</f>
        <v>38463056.423906803</v>
      </c>
      <c r="H51" s="55">
        <f>'Ann 4'!H26</f>
        <v>40559640.764400721</v>
      </c>
      <c r="I51" s="55">
        <f>'Ann 4'!I26</f>
        <v>40016434.98780486</v>
      </c>
      <c r="J51" s="55">
        <f>'Ann 4'!J26</f>
        <v>39364270.273607016</v>
      </c>
      <c r="K51" s="55">
        <f>'Ann 4'!K26</f>
        <v>38188145.860247433</v>
      </c>
    </row>
    <row r="52" spans="1:11" x14ac:dyDescent="0.6">
      <c r="A52" s="47"/>
      <c r="B52" s="27" t="s">
        <v>315</v>
      </c>
      <c r="C52" s="48">
        <f>C51/C50</f>
        <v>21.201986669087326</v>
      </c>
      <c r="D52" s="48">
        <f t="shared" ref="D52:K52" si="16">D51/D50</f>
        <v>5.998508943809453</v>
      </c>
      <c r="E52" s="49">
        <f t="shared" si="16"/>
        <v>6.6959370052186067</v>
      </c>
      <c r="F52" s="49">
        <f t="shared" si="16"/>
        <v>7.4557136636056809</v>
      </c>
      <c r="G52" s="49">
        <f t="shared" si="16"/>
        <v>8.2870139331655235</v>
      </c>
      <c r="H52" s="49">
        <f t="shared" si="16"/>
        <v>9.2009425070750392</v>
      </c>
      <c r="I52" s="49">
        <f t="shared" si="16"/>
        <v>9.5800823280105725</v>
      </c>
      <c r="J52" s="49">
        <f t="shared" si="16"/>
        <v>274.89015554194845</v>
      </c>
      <c r="K52" s="49">
        <f t="shared" si="16"/>
        <v>266.67699623077817</v>
      </c>
    </row>
    <row r="53" spans="1:11" ht="17.5" thickBot="1" x14ac:dyDescent="0.65">
      <c r="A53" s="63"/>
      <c r="B53" s="64" t="s">
        <v>321</v>
      </c>
      <c r="C53" s="65"/>
      <c r="D53" s="65"/>
      <c r="E53" s="66"/>
      <c r="F53" s="66">
        <f>AVERAGE(D52:I52)</f>
        <v>7.8696997301474783</v>
      </c>
      <c r="G53" s="66"/>
      <c r="H53" s="66"/>
      <c r="I53" s="66"/>
      <c r="J53" s="66"/>
      <c r="K53" s="66"/>
    </row>
    <row r="54" spans="1:11" ht="17.5" thickTop="1" x14ac:dyDescent="0.6">
      <c r="I54" s="7"/>
      <c r="J54" s="7"/>
      <c r="K54" s="7"/>
    </row>
    <row r="56" spans="1:11" x14ac:dyDescent="0.6">
      <c r="A56" s="3" t="s">
        <v>301</v>
      </c>
    </row>
    <row r="57" spans="1:11" x14ac:dyDescent="0.6">
      <c r="A57" s="3" t="s">
        <v>302</v>
      </c>
    </row>
  </sheetData>
  <mergeCells count="3">
    <mergeCell ref="A5:A6"/>
    <mergeCell ref="B5:B6"/>
    <mergeCell ref="C5:K5"/>
  </mergeCells>
  <pageMargins left="0.7" right="0.7" top="0.75" bottom="0.75" header="0.3" footer="0.3"/>
  <pageSetup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54E2-CB20-41F0-BD9E-E7A405754354}">
  <sheetPr>
    <pageSetUpPr fitToPage="1"/>
  </sheetPr>
  <dimension ref="A1:D28"/>
  <sheetViews>
    <sheetView workbookViewId="0">
      <selection activeCell="A13" sqref="A13"/>
    </sheetView>
  </sheetViews>
  <sheetFormatPr defaultRowHeight="17" x14ac:dyDescent="0.6"/>
  <cols>
    <col min="1" max="1" width="53.453125" style="3" bestFit="1" customWidth="1"/>
    <col min="2" max="2" width="8.7265625" style="3"/>
    <col min="3" max="3" width="11.1796875" style="3" bestFit="1" customWidth="1"/>
    <col min="4" max="4" width="12.54296875" style="3" bestFit="1" customWidth="1"/>
    <col min="5" max="16384" width="8.7265625" style="3"/>
  </cols>
  <sheetData>
    <row r="1" spans="1:3" x14ac:dyDescent="0.6">
      <c r="A1" s="11" t="s">
        <v>359</v>
      </c>
    </row>
    <row r="3" spans="1:3" x14ac:dyDescent="0.6">
      <c r="A3" s="4" t="s">
        <v>360</v>
      </c>
    </row>
    <row r="5" spans="1:3" x14ac:dyDescent="0.6">
      <c r="A5" s="11" t="s">
        <v>135</v>
      </c>
    </row>
    <row r="7" spans="1:3" x14ac:dyDescent="0.6">
      <c r="A7" s="3" t="s">
        <v>136</v>
      </c>
      <c r="B7" s="3" t="s">
        <v>139</v>
      </c>
    </row>
    <row r="8" spans="1:3" x14ac:dyDescent="0.6">
      <c r="A8" s="3" t="s">
        <v>137</v>
      </c>
      <c r="B8" s="3">
        <v>75</v>
      </c>
      <c r="C8" s="3" t="s">
        <v>141</v>
      </c>
    </row>
    <row r="9" spans="1:3" x14ac:dyDescent="0.6">
      <c r="A9" s="3" t="s">
        <v>138</v>
      </c>
      <c r="B9" s="3">
        <v>300</v>
      </c>
    </row>
    <row r="10" spans="1:3" x14ac:dyDescent="0.6">
      <c r="A10" s="3" t="s">
        <v>140</v>
      </c>
      <c r="B10" s="3">
        <f>10*B9</f>
        <v>3000</v>
      </c>
    </row>
    <row r="12" spans="1:3" x14ac:dyDescent="0.6">
      <c r="A12" s="3" t="s">
        <v>208</v>
      </c>
      <c r="B12" s="3">
        <f>1/20*(6000000*75%)</f>
        <v>225000</v>
      </c>
      <c r="C12" s="3" t="s">
        <v>142</v>
      </c>
    </row>
    <row r="13" spans="1:3" x14ac:dyDescent="0.6">
      <c r="A13" s="3" t="s">
        <v>143</v>
      </c>
      <c r="B13" s="3">
        <f>6000*12</f>
        <v>72000</v>
      </c>
      <c r="C13" s="3" t="s">
        <v>142</v>
      </c>
    </row>
    <row r="14" spans="1:3" x14ac:dyDescent="0.6">
      <c r="A14" s="3" t="s">
        <v>144</v>
      </c>
      <c r="B14" s="3">
        <v>30000</v>
      </c>
      <c r="C14" s="3" t="s">
        <v>142</v>
      </c>
    </row>
    <row r="15" spans="1:3" x14ac:dyDescent="0.6">
      <c r="A15" s="3" t="s">
        <v>145</v>
      </c>
      <c r="B15" s="3">
        <f>B12-B13-B14</f>
        <v>123000</v>
      </c>
      <c r="C15" s="3" t="s">
        <v>142</v>
      </c>
    </row>
    <row r="17" spans="1:4" x14ac:dyDescent="0.6">
      <c r="A17" s="44" t="s">
        <v>146</v>
      </c>
      <c r="B17" s="18" t="s">
        <v>142</v>
      </c>
      <c r="C17" s="18" t="s">
        <v>149</v>
      </c>
      <c r="D17" s="18" t="s">
        <v>153</v>
      </c>
    </row>
    <row r="18" spans="1:4" x14ac:dyDescent="0.6">
      <c r="A18" s="15" t="s">
        <v>147</v>
      </c>
      <c r="B18" s="15">
        <f>B15</f>
        <v>123000</v>
      </c>
      <c r="C18" s="15">
        <v>10</v>
      </c>
      <c r="D18" s="21">
        <f>B18*C18</f>
        <v>1230000</v>
      </c>
    </row>
    <row r="19" spans="1:4" x14ac:dyDescent="0.6">
      <c r="A19" s="15" t="s">
        <v>148</v>
      </c>
      <c r="B19" s="15">
        <f>B14</f>
        <v>30000</v>
      </c>
      <c r="C19" s="15">
        <v>17</v>
      </c>
      <c r="D19" s="21">
        <f>B19*C19</f>
        <v>510000</v>
      </c>
    </row>
    <row r="20" spans="1:4" x14ac:dyDescent="0.6">
      <c r="A20" s="15"/>
      <c r="B20" s="15"/>
      <c r="C20" s="15"/>
      <c r="D20" s="21">
        <f>SUM(D18:D19)</f>
        <v>1740000</v>
      </c>
    </row>
    <row r="22" spans="1:4" x14ac:dyDescent="0.6">
      <c r="A22" s="3" t="s">
        <v>150</v>
      </c>
    </row>
    <row r="23" spans="1:4" x14ac:dyDescent="0.6">
      <c r="A23" s="3" t="s">
        <v>152</v>
      </c>
    </row>
    <row r="24" spans="1:4" x14ac:dyDescent="0.6">
      <c r="A24" s="3" t="s">
        <v>151</v>
      </c>
    </row>
    <row r="25" spans="1:4" x14ac:dyDescent="0.6">
      <c r="A25" s="3" t="s">
        <v>154</v>
      </c>
    </row>
    <row r="26" spans="1:4" x14ac:dyDescent="0.6">
      <c r="A26" s="3" t="s">
        <v>155</v>
      </c>
    </row>
    <row r="27" spans="1:4" x14ac:dyDescent="0.6">
      <c r="A27" s="3" t="s">
        <v>204</v>
      </c>
    </row>
    <row r="28" spans="1:4" x14ac:dyDescent="0.6">
      <c r="A28" s="3" t="s">
        <v>205</v>
      </c>
    </row>
  </sheetData>
  <pageMargins left="0.7" right="0.7" top="0.75" bottom="0.75" header="0.3" footer="0.3"/>
  <pageSetup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8411-6E7E-4040-8DF0-1401D63BE310}">
  <sheetPr>
    <pageSetUpPr fitToPage="1"/>
  </sheetPr>
  <dimension ref="A1:E15"/>
  <sheetViews>
    <sheetView workbookViewId="0">
      <selection activeCell="A14" sqref="A14"/>
    </sheetView>
  </sheetViews>
  <sheetFormatPr defaultRowHeight="17" x14ac:dyDescent="0.6"/>
  <cols>
    <col min="1" max="1" width="5.6328125" style="3" bestFit="1" customWidth="1"/>
    <col min="2" max="2" width="15.90625" style="3" bestFit="1" customWidth="1"/>
    <col min="3" max="3" width="8.7265625" style="3"/>
    <col min="4" max="4" width="25" style="3" bestFit="1" customWidth="1"/>
    <col min="5" max="5" width="12.54296875" style="3" bestFit="1" customWidth="1"/>
    <col min="6" max="16384" width="8.7265625" style="3"/>
  </cols>
  <sheetData>
    <row r="1" spans="1:5" x14ac:dyDescent="0.6">
      <c r="A1" s="11" t="s">
        <v>156</v>
      </c>
    </row>
    <row r="3" spans="1:5" x14ac:dyDescent="0.6">
      <c r="A3" s="4" t="s">
        <v>157</v>
      </c>
    </row>
    <row r="5" spans="1:5" x14ac:dyDescent="0.6">
      <c r="A5" s="18" t="s">
        <v>158</v>
      </c>
      <c r="B5" s="18" t="s">
        <v>159</v>
      </c>
      <c r="C5" s="18" t="s">
        <v>160</v>
      </c>
      <c r="D5" s="18" t="s">
        <v>161</v>
      </c>
      <c r="E5" s="18" t="s">
        <v>357</v>
      </c>
    </row>
    <row r="6" spans="1:5" x14ac:dyDescent="0.6">
      <c r="A6" s="15" t="s">
        <v>162</v>
      </c>
      <c r="B6" s="15" t="s">
        <v>164</v>
      </c>
      <c r="C6" s="15">
        <v>5</v>
      </c>
      <c r="D6" s="21">
        <v>20000</v>
      </c>
      <c r="E6" s="21">
        <f>D6*C6*12</f>
        <v>1200000</v>
      </c>
    </row>
    <row r="7" spans="1:5" x14ac:dyDescent="0.6">
      <c r="A7" s="15" t="s">
        <v>163</v>
      </c>
      <c r="B7" s="15" t="s">
        <v>165</v>
      </c>
      <c r="C7" s="15">
        <v>10</v>
      </c>
      <c r="D7" s="21">
        <v>12000</v>
      </c>
      <c r="E7" s="21">
        <f>D7*C7*12</f>
        <v>1440000</v>
      </c>
    </row>
    <row r="8" spans="1:5" x14ac:dyDescent="0.6">
      <c r="A8" s="67" t="s">
        <v>8</v>
      </c>
      <c r="B8" s="67"/>
      <c r="C8" s="67"/>
      <c r="D8" s="67"/>
      <c r="E8" s="24">
        <f>SUM(E6:E7)</f>
        <v>2640000</v>
      </c>
    </row>
    <row r="9" spans="1:5" x14ac:dyDescent="0.6">
      <c r="A9" s="34"/>
      <c r="B9" s="35"/>
      <c r="C9" s="35"/>
      <c r="D9" s="36"/>
      <c r="E9" s="36"/>
    </row>
    <row r="10" spans="1:5" x14ac:dyDescent="0.6">
      <c r="A10" s="37" t="s">
        <v>166</v>
      </c>
      <c r="B10" s="38"/>
      <c r="C10" s="38"/>
      <c r="D10" s="43"/>
      <c r="E10" s="39">
        <f>E8*30%</f>
        <v>792000</v>
      </c>
    </row>
    <row r="11" spans="1:5" x14ac:dyDescent="0.6">
      <c r="A11" s="37" t="s">
        <v>8</v>
      </c>
      <c r="B11" s="38"/>
      <c r="C11" s="38"/>
      <c r="D11" s="43"/>
      <c r="E11" s="39">
        <f>SUM(E8:E10)</f>
        <v>3432000</v>
      </c>
    </row>
    <row r="12" spans="1:5" x14ac:dyDescent="0.6">
      <c r="A12" s="34"/>
      <c r="B12" s="35"/>
      <c r="C12" s="35"/>
      <c r="D12" s="36"/>
      <c r="E12" s="36"/>
    </row>
    <row r="13" spans="1:5" x14ac:dyDescent="0.6">
      <c r="A13" s="37" t="s">
        <v>167</v>
      </c>
      <c r="B13" s="38"/>
      <c r="C13" s="38"/>
      <c r="D13" s="43"/>
      <c r="E13" s="39">
        <f>E11</f>
        <v>3432000</v>
      </c>
    </row>
    <row r="14" spans="1:5" x14ac:dyDescent="0.6">
      <c r="A14" s="3" t="s">
        <v>168</v>
      </c>
      <c r="E14" s="13">
        <v>0.05</v>
      </c>
    </row>
    <row r="15" spans="1:5" x14ac:dyDescent="0.6">
      <c r="A15" s="3" t="s">
        <v>174</v>
      </c>
      <c r="E15" s="3">
        <f>SUM(C6:C7)</f>
        <v>15</v>
      </c>
    </row>
  </sheetData>
  <mergeCells count="1">
    <mergeCell ref="A8:D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1FBF-6FFA-405B-9A95-302F8FAA33B6}">
  <dimension ref="A1:E16"/>
  <sheetViews>
    <sheetView workbookViewId="0">
      <selection activeCell="A12" sqref="A12"/>
    </sheetView>
  </sheetViews>
  <sheetFormatPr defaultRowHeight="17" x14ac:dyDescent="0.6"/>
  <cols>
    <col min="1" max="1" width="5.6328125" style="3" bestFit="1" customWidth="1"/>
    <col min="2" max="2" width="26.08984375" style="3" bestFit="1" customWidth="1"/>
    <col min="3" max="3" width="8.7265625" style="3"/>
    <col min="4" max="4" width="25" style="3" bestFit="1" customWidth="1"/>
    <col min="5" max="5" width="12.54296875" style="3" bestFit="1" customWidth="1"/>
    <col min="6" max="16384" width="8.7265625" style="3"/>
  </cols>
  <sheetData>
    <row r="1" spans="1:5" x14ac:dyDescent="0.6">
      <c r="A1" s="11" t="s">
        <v>169</v>
      </c>
    </row>
    <row r="3" spans="1:5" x14ac:dyDescent="0.6">
      <c r="A3" s="4" t="s">
        <v>358</v>
      </c>
    </row>
    <row r="5" spans="1:5" x14ac:dyDescent="0.6">
      <c r="A5" s="18" t="s">
        <v>158</v>
      </c>
      <c r="B5" s="18" t="s">
        <v>159</v>
      </c>
      <c r="C5" s="18" t="s">
        <v>160</v>
      </c>
      <c r="D5" s="18" t="s">
        <v>161</v>
      </c>
      <c r="E5" s="18" t="s">
        <v>357</v>
      </c>
    </row>
    <row r="6" spans="1:5" x14ac:dyDescent="0.6">
      <c r="A6" s="15" t="s">
        <v>162</v>
      </c>
      <c r="B6" s="15" t="s">
        <v>170</v>
      </c>
      <c r="C6" s="15">
        <v>2</v>
      </c>
      <c r="D6" s="21">
        <v>32000</v>
      </c>
      <c r="E6" s="21">
        <f>D6*C6*12</f>
        <v>768000</v>
      </c>
    </row>
    <row r="7" spans="1:5" x14ac:dyDescent="0.6">
      <c r="A7" s="15" t="s">
        <v>163</v>
      </c>
      <c r="B7" s="15" t="s">
        <v>171</v>
      </c>
      <c r="C7" s="15">
        <v>1</v>
      </c>
      <c r="D7" s="21">
        <v>30000</v>
      </c>
      <c r="E7" s="21">
        <f>D7*C7*12</f>
        <v>360000</v>
      </c>
    </row>
    <row r="8" spans="1:5" x14ac:dyDescent="0.6">
      <c r="A8" s="15" t="s">
        <v>172</v>
      </c>
      <c r="B8" s="15" t="s">
        <v>173</v>
      </c>
      <c r="C8" s="15">
        <v>2</v>
      </c>
      <c r="D8" s="21">
        <v>16000</v>
      </c>
      <c r="E8" s="21">
        <f>D8*C8*12</f>
        <v>384000</v>
      </c>
    </row>
    <row r="9" spans="1:5" x14ac:dyDescent="0.6">
      <c r="A9" s="67" t="s">
        <v>8</v>
      </c>
      <c r="B9" s="67"/>
      <c r="C9" s="67"/>
      <c r="D9" s="67"/>
      <c r="E9" s="24">
        <f>SUM(E6:E8)</f>
        <v>1512000</v>
      </c>
    </row>
    <row r="10" spans="1:5" x14ac:dyDescent="0.6">
      <c r="A10" s="34"/>
      <c r="B10" s="35"/>
      <c r="C10" s="35"/>
      <c r="D10" s="35"/>
      <c r="E10" s="36"/>
    </row>
    <row r="11" spans="1:5" x14ac:dyDescent="0.6">
      <c r="A11" s="37" t="s">
        <v>166</v>
      </c>
      <c r="B11" s="38"/>
      <c r="C11" s="38"/>
      <c r="D11" s="38"/>
      <c r="E11" s="39">
        <f>E9*30%</f>
        <v>453600</v>
      </c>
    </row>
    <row r="12" spans="1:5" x14ac:dyDescent="0.6">
      <c r="A12" s="40" t="s">
        <v>8</v>
      </c>
      <c r="B12" s="41"/>
      <c r="C12" s="41"/>
      <c r="D12" s="41"/>
      <c r="E12" s="42">
        <f>SUM(E9:E11)</f>
        <v>1965600</v>
      </c>
    </row>
    <row r="14" spans="1:5" x14ac:dyDescent="0.6">
      <c r="A14" s="3" t="s">
        <v>167</v>
      </c>
      <c r="E14" s="7">
        <f>E12</f>
        <v>1965600</v>
      </c>
    </row>
    <row r="15" spans="1:5" x14ac:dyDescent="0.6">
      <c r="A15" s="3" t="s">
        <v>168</v>
      </c>
      <c r="E15" s="13">
        <v>7.0000000000000007E-2</v>
      </c>
    </row>
    <row r="16" spans="1:5" x14ac:dyDescent="0.6">
      <c r="A16" s="3" t="s">
        <v>175</v>
      </c>
      <c r="E16" s="3">
        <f>SUM(C6:C8)</f>
        <v>5</v>
      </c>
    </row>
  </sheetData>
  <mergeCells count="1"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</vt:lpstr>
      <vt:lpstr>Ann 1</vt:lpstr>
      <vt:lpstr>Ann 2</vt:lpstr>
      <vt:lpstr>Ann 3</vt:lpstr>
      <vt:lpstr>Ann 4</vt:lpstr>
      <vt:lpstr>Ann 5</vt:lpstr>
      <vt:lpstr>Ann 6</vt:lpstr>
      <vt:lpstr>Ann 7</vt:lpstr>
      <vt:lpstr>Ann 8</vt:lpstr>
      <vt:lpstr>Ann 9</vt:lpstr>
      <vt:lpstr>Ann 10</vt:lpstr>
      <vt:lpstr>Ann 11</vt:lpstr>
      <vt:lpstr>Ann 12</vt:lpstr>
      <vt:lpstr>Ann 13</vt:lpstr>
      <vt:lpstr>Budgets</vt:lpstr>
      <vt:lpstr>Assumptions</vt:lpstr>
      <vt:lpstr>For word 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Navodita Arya</dc:creator>
  <cp:lastModifiedBy>Navodita Arya</cp:lastModifiedBy>
  <cp:lastPrinted>2021-07-15T06:08:04Z</cp:lastPrinted>
  <dcterms:created xsi:type="dcterms:W3CDTF">2021-07-04T07:21:16Z</dcterms:created>
  <dcterms:modified xsi:type="dcterms:W3CDTF">2021-11-08T11:04:02Z</dcterms:modified>
</cp:coreProperties>
</file>