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1. Assignments\6. Ashiwini Mittal Sir- Nabcons\12. Rice Mill\Without Subsidy\"/>
    </mc:Choice>
  </mc:AlternateContent>
  <xr:revisionPtr revIDLastSave="0" documentId="13_ncr:1_{51783F42-2E29-47B4-9122-C682D180BD0B}" xr6:coauthVersionLast="47" xr6:coauthVersionMax="47" xr10:uidLastSave="{00000000-0000-0000-0000-000000000000}"/>
  <bookViews>
    <workbookView xWindow="-110" yWindow="-110" windowWidth="19420" windowHeight="11020"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state="hidden"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externalReferences>
    <externalReference r:id="rId19"/>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4" l="1"/>
  <c r="J10" i="4"/>
  <c r="I10" i="4"/>
  <c r="H10" i="4"/>
  <c r="G10" i="4"/>
  <c r="G24" i="7" s="1"/>
  <c r="F10" i="4"/>
  <c r="F24" i="7" s="1"/>
  <c r="E10" i="4"/>
  <c r="D10" i="4"/>
  <c r="C35" i="4"/>
  <c r="E7" i="4"/>
  <c r="F7" i="4"/>
  <c r="G7" i="4"/>
  <c r="E5" i="22"/>
  <c r="F5" i="22"/>
  <c r="G5" i="22"/>
  <c r="H5" i="22"/>
  <c r="I5" i="22"/>
  <c r="J5" i="22"/>
  <c r="K5" i="22"/>
  <c r="L5" i="22"/>
  <c r="H7" i="4"/>
  <c r="I7" i="4"/>
  <c r="J7" i="4"/>
  <c r="K7" i="4"/>
  <c r="D7" i="4"/>
  <c r="K24" i="7"/>
  <c r="E12" i="19"/>
  <c r="F12" i="19"/>
  <c r="G12" i="19"/>
  <c r="H12" i="19" s="1"/>
  <c r="I12" i="19" s="1"/>
  <c r="J12" i="19" s="1"/>
  <c r="K12" i="19" s="1"/>
  <c r="D12" i="19"/>
  <c r="E16" i="4"/>
  <c r="F16" i="4"/>
  <c r="G16" i="4" s="1"/>
  <c r="H16" i="4" s="1"/>
  <c r="I16" i="4" s="1"/>
  <c r="J16" i="4" s="1"/>
  <c r="K16" i="4" s="1"/>
  <c r="D16" i="4"/>
  <c r="D41" i="4"/>
  <c r="E41" i="4"/>
  <c r="F41" i="4"/>
  <c r="G41" i="4"/>
  <c r="H41" i="4"/>
  <c r="I41" i="4"/>
  <c r="J41" i="4"/>
  <c r="K41" i="4"/>
  <c r="B5" i="18"/>
  <c r="C18" i="7"/>
  <c r="C6" i="2"/>
  <c r="C4" i="2"/>
  <c r="C15" i="1"/>
  <c r="D5" i="22"/>
  <c r="C41" i="4"/>
  <c r="C10" i="4"/>
  <c r="C24" i="7" s="1"/>
  <c r="C23" i="11"/>
  <c r="D13" i="4"/>
  <c r="E13" i="4"/>
  <c r="F13" i="4"/>
  <c r="G13" i="4"/>
  <c r="H13" i="4"/>
  <c r="I13" i="4"/>
  <c r="J13" i="4"/>
  <c r="K13" i="4"/>
  <c r="C13" i="4"/>
  <c r="E13" i="11"/>
  <c r="E4" i="3"/>
  <c r="D23" i="7"/>
  <c r="E23" i="7"/>
  <c r="F23" i="7"/>
  <c r="G23" i="7"/>
  <c r="H23" i="7"/>
  <c r="I23" i="7"/>
  <c r="J23" i="7"/>
  <c r="K23" i="7"/>
  <c r="C23" i="7"/>
  <c r="C17" i="19"/>
  <c r="C7" i="2"/>
  <c r="B4" i="18" s="1"/>
  <c r="J24" i="7" l="1"/>
  <c r="I24" i="7"/>
  <c r="H24" i="7"/>
  <c r="E24" i="7"/>
  <c r="D24" i="7"/>
  <c r="E10" i="9"/>
  <c r="D8" i="11"/>
  <c r="E4" i="22"/>
  <c r="B8" i="18"/>
  <c r="C30" i="4"/>
  <c r="B13" i="18" s="1"/>
  <c r="G5" i="19"/>
  <c r="G6" i="19" s="1"/>
  <c r="C8" i="4"/>
  <c r="E18" i="9"/>
  <c r="E12" i="10"/>
  <c r="E8" i="10"/>
  <c r="E6" i="10"/>
  <c r="E13" i="10" l="1"/>
  <c r="E14" i="10"/>
  <c r="E15" i="10"/>
  <c r="G11" i="19"/>
  <c r="G10" i="19"/>
  <c r="G27" i="19"/>
  <c r="G28" i="19"/>
  <c r="G8" i="19"/>
  <c r="C26" i="11"/>
  <c r="G7" i="19"/>
  <c r="G9" i="19" s="1"/>
  <c r="F4" i="22"/>
  <c r="G4" i="22" s="1"/>
  <c r="C5" i="19"/>
  <c r="C11" i="19" s="1"/>
  <c r="D5" i="19"/>
  <c r="E5" i="19"/>
  <c r="K5" i="19"/>
  <c r="J5" i="19"/>
  <c r="F5" i="19"/>
  <c r="I5" i="19"/>
  <c r="H5" i="19"/>
  <c r="H4" i="22"/>
  <c r="C23" i="1"/>
  <c r="E17" i="3"/>
  <c r="E8" i="9"/>
  <c r="C21" i="11"/>
  <c r="C25" i="11" s="1"/>
  <c r="D26" i="4"/>
  <c r="E26" i="4"/>
  <c r="F26" i="4"/>
  <c r="G26" i="4"/>
  <c r="H26" i="4"/>
  <c r="I26" i="4"/>
  <c r="J26" i="4"/>
  <c r="K26" i="4"/>
  <c r="C26" i="4"/>
  <c r="E5" i="3"/>
  <c r="B13" i="23"/>
  <c r="B15" i="23" s="1"/>
  <c r="B17" i="23" s="1"/>
  <c r="B9" i="23"/>
  <c r="C9" i="4" l="1"/>
  <c r="D9" i="4" s="1"/>
  <c r="E9" i="4" s="1"/>
  <c r="F9" i="4" s="1"/>
  <c r="G9" i="4" s="1"/>
  <c r="H9" i="4" s="1"/>
  <c r="I9" i="4" s="1"/>
  <c r="J9" i="4" s="1"/>
  <c r="K9" i="4" s="1"/>
  <c r="E16" i="10"/>
  <c r="E17" i="10" s="1"/>
  <c r="E18" i="10"/>
  <c r="H10" i="19"/>
  <c r="H11" i="19"/>
  <c r="G13" i="19"/>
  <c r="G21" i="4" s="1"/>
  <c r="G12" i="7" s="1"/>
  <c r="F10" i="19"/>
  <c r="F11" i="19"/>
  <c r="I10" i="19"/>
  <c r="I11" i="19"/>
  <c r="J10" i="19"/>
  <c r="J11" i="19"/>
  <c r="D10" i="19"/>
  <c r="D11" i="19"/>
  <c r="C10" i="19"/>
  <c r="C7" i="4" s="1"/>
  <c r="C12" i="19"/>
  <c r="K10" i="19"/>
  <c r="K11" i="19"/>
  <c r="E10" i="19"/>
  <c r="E11" i="19"/>
  <c r="E6" i="19"/>
  <c r="D6" i="19"/>
  <c r="C6" i="19"/>
  <c r="H6" i="19"/>
  <c r="F6" i="19"/>
  <c r="J6" i="19"/>
  <c r="J7" i="19" s="1"/>
  <c r="J9" i="19" s="1"/>
  <c r="I6" i="19"/>
  <c r="K6" i="19"/>
  <c r="I4" i="22"/>
  <c r="C6" i="10"/>
  <c r="E21" i="3"/>
  <c r="C21" i="19"/>
  <c r="A6" i="21"/>
  <c r="E19" i="10" l="1"/>
  <c r="E20" i="10"/>
  <c r="I28" i="19"/>
  <c r="I8" i="19"/>
  <c r="I27" i="19"/>
  <c r="C28" i="19"/>
  <c r="C8" i="19"/>
  <c r="C27" i="19"/>
  <c r="I7" i="19"/>
  <c r="I9" i="19" s="1"/>
  <c r="C7" i="19"/>
  <c r="C9" i="19" s="1"/>
  <c r="D27" i="19"/>
  <c r="D8" i="19"/>
  <c r="D28" i="19"/>
  <c r="J8" i="19"/>
  <c r="J13" i="19" s="1"/>
  <c r="J21" i="4" s="1"/>
  <c r="J12" i="7" s="1"/>
  <c r="J28" i="19"/>
  <c r="J27" i="19"/>
  <c r="D7" i="19"/>
  <c r="D9" i="19" s="1"/>
  <c r="F27" i="19"/>
  <c r="F8" i="19"/>
  <c r="F28" i="19"/>
  <c r="E27" i="19"/>
  <c r="E8" i="19"/>
  <c r="E28" i="19"/>
  <c r="F7" i="19"/>
  <c r="F9" i="19" s="1"/>
  <c r="E7" i="19"/>
  <c r="E9" i="19" s="1"/>
  <c r="K8" i="19"/>
  <c r="K28" i="19"/>
  <c r="K27" i="19"/>
  <c r="H28" i="19"/>
  <c r="H27" i="19"/>
  <c r="H8" i="19"/>
  <c r="K7" i="19"/>
  <c r="K9" i="19" s="1"/>
  <c r="H7" i="19"/>
  <c r="H9" i="19" s="1"/>
  <c r="J4" i="22"/>
  <c r="A13" i="21"/>
  <c r="A11" i="21"/>
  <c r="A10" i="21"/>
  <c r="A9" i="21"/>
  <c r="K47" i="7"/>
  <c r="J47" i="7"/>
  <c r="I34" i="7"/>
  <c r="J34" i="7"/>
  <c r="K34" i="7"/>
  <c r="E9" i="9"/>
  <c r="A14" i="21"/>
  <c r="K13" i="19" l="1"/>
  <c r="K21" i="4" s="1"/>
  <c r="K12" i="7" s="1"/>
  <c r="F13" i="19"/>
  <c r="F21" i="4" s="1"/>
  <c r="F12" i="7" s="1"/>
  <c r="C13" i="19"/>
  <c r="C21" i="4" s="1"/>
  <c r="C12" i="7" s="1"/>
  <c r="H13" i="19"/>
  <c r="H21" i="4" s="1"/>
  <c r="H12" i="7" s="1"/>
  <c r="E13" i="19"/>
  <c r="E21" i="4" s="1"/>
  <c r="E12" i="7" s="1"/>
  <c r="D13" i="19"/>
  <c r="D21" i="4" s="1"/>
  <c r="D12" i="7" s="1"/>
  <c r="I13" i="19"/>
  <c r="I21" i="4" s="1"/>
  <c r="I12" i="7" s="1"/>
  <c r="C29" i="19"/>
  <c r="K4" i="22"/>
  <c r="A16" i="21"/>
  <c r="A15" i="21"/>
  <c r="A12" i="21"/>
  <c r="A8" i="21"/>
  <c r="A7" i="21"/>
  <c r="A5" i="21"/>
  <c r="A4" i="21"/>
  <c r="C24" i="18"/>
  <c r="K24" i="18"/>
  <c r="J24" i="18"/>
  <c r="I24" i="18"/>
  <c r="H24" i="18"/>
  <c r="G24" i="18"/>
  <c r="F24" i="18"/>
  <c r="E24" i="18"/>
  <c r="D24" i="18"/>
  <c r="D26" i="19" l="1"/>
  <c r="D29" i="19" s="1"/>
  <c r="L4" i="22"/>
  <c r="I41" i="7"/>
  <c r="J41" i="7"/>
  <c r="K41" i="7"/>
  <c r="E26" i="19" l="1"/>
  <c r="E29" i="19" s="1"/>
  <c r="C13" i="7"/>
  <c r="D12" i="4"/>
  <c r="C19" i="1"/>
  <c r="D40" i="4"/>
  <c r="D13" i="7" l="1"/>
  <c r="E12" i="4"/>
  <c r="F26" i="19"/>
  <c r="F29" i="19" s="1"/>
  <c r="D8" i="4"/>
  <c r="E40" i="4"/>
  <c r="G26" i="19" l="1"/>
  <c r="G29" i="19" s="1"/>
  <c r="F12" i="4"/>
  <c r="E13" i="7"/>
  <c r="E8" i="4"/>
  <c r="F40" i="4"/>
  <c r="H26" i="19" l="1"/>
  <c r="H29" i="19" s="1"/>
  <c r="F13" i="7"/>
  <c r="G12" i="4"/>
  <c r="F8" i="4"/>
  <c r="G40" i="4"/>
  <c r="I26" i="19" l="1"/>
  <c r="I29" i="19" s="1"/>
  <c r="H12" i="4"/>
  <c r="G13" i="7"/>
  <c r="K29" i="7"/>
  <c r="G8" i="4"/>
  <c r="C9" i="18"/>
  <c r="E5" i="11"/>
  <c r="D7" i="11" s="1"/>
  <c r="J3" i="20"/>
  <c r="B3" i="20"/>
  <c r="H40" i="4"/>
  <c r="J26" i="19" l="1"/>
  <c r="J29" i="19" s="1"/>
  <c r="I12" i="4"/>
  <c r="H13" i="7"/>
  <c r="I29" i="7"/>
  <c r="G29" i="7"/>
  <c r="D9" i="18"/>
  <c r="J29" i="7"/>
  <c r="E9" i="18"/>
  <c r="H29" i="7"/>
  <c r="C11" i="4"/>
  <c r="C14" i="4" s="1"/>
  <c r="C29" i="7"/>
  <c r="G11" i="4"/>
  <c r="G14" i="4" s="1"/>
  <c r="H8" i="4"/>
  <c r="G3" i="20"/>
  <c r="C3" i="20"/>
  <c r="D3" i="20"/>
  <c r="I3" i="20"/>
  <c r="H3" i="20"/>
  <c r="E3" i="20"/>
  <c r="F3" i="20"/>
  <c r="I40" i="4"/>
  <c r="K26" i="19" l="1"/>
  <c r="K29" i="19" s="1"/>
  <c r="I13" i="7"/>
  <c r="J12" i="4"/>
  <c r="H11" i="4"/>
  <c r="H14" i="4" s="1"/>
  <c r="D11" i="4"/>
  <c r="D14" i="4" s="1"/>
  <c r="D29" i="7"/>
  <c r="E11" i="4"/>
  <c r="E14" i="4" s="1"/>
  <c r="E29" i="7"/>
  <c r="F11" i="4"/>
  <c r="F14" i="4" s="1"/>
  <c r="F29" i="7"/>
  <c r="J40" i="4"/>
  <c r="J8" i="4" s="1"/>
  <c r="I8" i="4" l="1"/>
  <c r="I11" i="4" s="1"/>
  <c r="I14" i="4" s="1"/>
  <c r="K13" i="7"/>
  <c r="K12" i="4"/>
  <c r="J13" i="7"/>
  <c r="K40" i="4"/>
  <c r="J11" i="4"/>
  <c r="J14" i="4" s="1"/>
  <c r="C12" i="1"/>
  <c r="C35" i="1"/>
  <c r="J27" i="4"/>
  <c r="K27" i="4"/>
  <c r="K14" i="18" s="1"/>
  <c r="J14" i="18" l="1"/>
  <c r="J46" i="7"/>
  <c r="K46" i="7"/>
  <c r="E6" i="9"/>
  <c r="K8" i="4" l="1"/>
  <c r="K11" i="4" s="1"/>
  <c r="K14" i="4" s="1"/>
  <c r="D9" i="11"/>
  <c r="E9" i="11" l="1"/>
  <c r="E10" i="11" s="1"/>
  <c r="C24" i="11"/>
  <c r="C27" i="11" s="1"/>
  <c r="J48" i="7"/>
  <c r="K48" i="7"/>
  <c r="C12" i="10"/>
  <c r="C20" i="1"/>
  <c r="C16" i="1"/>
  <c r="F8" i="10"/>
  <c r="F7" i="10"/>
  <c r="E7" i="9"/>
  <c r="E11" i="9" s="1"/>
  <c r="E13" i="9" s="1"/>
  <c r="C9" i="1"/>
  <c r="C41" i="1" l="1"/>
  <c r="D6" i="10"/>
  <c r="D12" i="10" s="1"/>
  <c r="D13" i="10" s="1"/>
  <c r="D14" i="10" s="1"/>
  <c r="D11" i="18"/>
  <c r="C7" i="15"/>
  <c r="E11" i="18"/>
  <c r="C13" i="10"/>
  <c r="C3" i="15"/>
  <c r="K6" i="12"/>
  <c r="E5" i="12"/>
  <c r="H6" i="12"/>
  <c r="E6" i="12"/>
  <c r="D6" i="12"/>
  <c r="F6" i="12"/>
  <c r="F5" i="12"/>
  <c r="G5" i="12"/>
  <c r="I6" i="12"/>
  <c r="C8" i="2" l="1"/>
  <c r="B10" i="13"/>
  <c r="C10" i="7"/>
  <c r="F12" i="10"/>
  <c r="E14" i="11" s="1"/>
  <c r="F6" i="10"/>
  <c r="C31" i="4"/>
  <c r="F13" i="10"/>
  <c r="E14" i="9"/>
  <c r="E12" i="11" s="1"/>
  <c r="F3" i="15"/>
  <c r="F11" i="18"/>
  <c r="C14" i="10"/>
  <c r="F14" i="10" s="1"/>
  <c r="C10" i="13"/>
  <c r="D31" i="4"/>
  <c r="D10" i="7"/>
  <c r="E3" i="15"/>
  <c r="D3" i="15"/>
  <c r="H5" i="12"/>
  <c r="J5" i="12"/>
  <c r="C6" i="12"/>
  <c r="J6" i="12"/>
  <c r="D5" i="12"/>
  <c r="I5" i="12"/>
  <c r="C5" i="12"/>
  <c r="G6" i="12"/>
  <c r="K5" i="12"/>
  <c r="D15" i="10"/>
  <c r="D16" i="10" s="1"/>
  <c r="D17" i="10" s="1"/>
  <c r="F9" i="10" l="1"/>
  <c r="E16" i="9"/>
  <c r="C16" i="4"/>
  <c r="G11" i="18"/>
  <c r="E31" i="4"/>
  <c r="E10" i="7"/>
  <c r="D10" i="13"/>
  <c r="C15" i="10"/>
  <c r="D18" i="10"/>
  <c r="D4" i="14" l="1"/>
  <c r="D11" i="14" s="1"/>
  <c r="D12" i="14" s="1"/>
  <c r="D13" i="14" s="1"/>
  <c r="B6" i="18"/>
  <c r="B25" i="18" s="1"/>
  <c r="B7" i="18"/>
  <c r="B27" i="18" s="1"/>
  <c r="B28" i="18" s="1"/>
  <c r="C9" i="7"/>
  <c r="C11" i="7" s="1"/>
  <c r="D9" i="7" s="1"/>
  <c r="D11" i="7" s="1"/>
  <c r="D40" i="7" s="1"/>
  <c r="C18" i="4"/>
  <c r="C10" i="14"/>
  <c r="E10" i="14" s="1"/>
  <c r="F15" i="10"/>
  <c r="F9" i="18"/>
  <c r="H11" i="18"/>
  <c r="G3" i="15"/>
  <c r="F10" i="7"/>
  <c r="E10" i="13"/>
  <c r="F31" i="4"/>
  <c r="C16" i="10"/>
  <c r="C17" i="10" s="1"/>
  <c r="D19" i="10"/>
  <c r="D20" i="10" s="1"/>
  <c r="C9" i="14" l="1"/>
  <c r="E9" i="14" s="1"/>
  <c r="C11" i="14"/>
  <c r="B21" i="18"/>
  <c r="C4" i="18" s="1"/>
  <c r="C25" i="18" s="1"/>
  <c r="C26" i="18" s="1"/>
  <c r="B15" i="18"/>
  <c r="C20" i="18"/>
  <c r="C47" i="7"/>
  <c r="D14" i="14"/>
  <c r="E9" i="7"/>
  <c r="E11" i="7" s="1"/>
  <c r="E40" i="7" s="1"/>
  <c r="C40" i="7"/>
  <c r="D18" i="4"/>
  <c r="E11" i="14"/>
  <c r="C12" i="14"/>
  <c r="D10" i="18"/>
  <c r="B30" i="18"/>
  <c r="B26" i="18"/>
  <c r="B31" i="18" s="1"/>
  <c r="F16" i="10"/>
  <c r="G9" i="18"/>
  <c r="I11" i="18"/>
  <c r="H3" i="15"/>
  <c r="G10" i="7"/>
  <c r="F10" i="13"/>
  <c r="G31" i="4"/>
  <c r="C18" i="10"/>
  <c r="H31" i="4"/>
  <c r="D15" i="14" l="1"/>
  <c r="F9" i="7"/>
  <c r="F11" i="7" s="1"/>
  <c r="F40" i="7" s="1"/>
  <c r="E18" i="4"/>
  <c r="E20" i="4" s="1"/>
  <c r="E12" i="14"/>
  <c r="E17" i="11" s="1"/>
  <c r="E18" i="11" s="1"/>
  <c r="C28" i="11" s="1"/>
  <c r="C29" i="11" s="1"/>
  <c r="C13" i="14"/>
  <c r="D12" i="18"/>
  <c r="E10" i="18"/>
  <c r="D20" i="4"/>
  <c r="D22" i="4" s="1"/>
  <c r="D49" i="7" s="1"/>
  <c r="F17" i="10"/>
  <c r="H9" i="18"/>
  <c r="J11" i="18"/>
  <c r="I3" i="15"/>
  <c r="H10" i="7"/>
  <c r="G10" i="13"/>
  <c r="C19" i="10"/>
  <c r="G9" i="7" l="1"/>
  <c r="G11" i="7" s="1"/>
  <c r="G40" i="7" s="1"/>
  <c r="D16" i="14"/>
  <c r="D20" i="18" s="1"/>
  <c r="E12" i="18"/>
  <c r="F18" i="4"/>
  <c r="F20" i="4" s="1"/>
  <c r="C25" i="4"/>
  <c r="C27" i="4" s="1"/>
  <c r="C14" i="18" s="1"/>
  <c r="E13" i="14"/>
  <c r="C22" i="7"/>
  <c r="C14" i="14"/>
  <c r="F10" i="18"/>
  <c r="C4" i="20"/>
  <c r="C5" i="20" s="1"/>
  <c r="C6" i="20" s="1"/>
  <c r="F18" i="10"/>
  <c r="E22" i="4"/>
  <c r="E49" i="7" s="1"/>
  <c r="D4" i="20"/>
  <c r="C20" i="10"/>
  <c r="F19" i="10"/>
  <c r="I9" i="18"/>
  <c r="K11" i="18"/>
  <c r="I10" i="7"/>
  <c r="I31" i="4"/>
  <c r="H10" i="13"/>
  <c r="I10" i="13"/>
  <c r="J10" i="7"/>
  <c r="J31" i="4"/>
  <c r="H9" i="7" l="1"/>
  <c r="H11" i="7" s="1"/>
  <c r="H40" i="7" s="1"/>
  <c r="D47" i="7"/>
  <c r="D17" i="14"/>
  <c r="G18" i="4"/>
  <c r="G20" i="4" s="1"/>
  <c r="F4" i="20" s="1"/>
  <c r="F5" i="20" s="1"/>
  <c r="F6" i="20" s="1"/>
  <c r="F12" i="18"/>
  <c r="C46" i="7"/>
  <c r="C48" i="7" s="1"/>
  <c r="C41" i="7"/>
  <c r="C42" i="7" s="1"/>
  <c r="C34" i="7"/>
  <c r="E14" i="14"/>
  <c r="C15" i="14"/>
  <c r="G10" i="18"/>
  <c r="F20" i="10"/>
  <c r="F22" i="4"/>
  <c r="F49" i="7" s="1"/>
  <c r="E4" i="20"/>
  <c r="E5" i="20" s="1"/>
  <c r="E6" i="20" s="1"/>
  <c r="D5" i="20"/>
  <c r="D6" i="20" s="1"/>
  <c r="K31" i="4"/>
  <c r="J10" i="13"/>
  <c r="J9" i="18"/>
  <c r="K9" i="18"/>
  <c r="K10" i="7"/>
  <c r="I9" i="7" l="1"/>
  <c r="I11" i="7" s="1"/>
  <c r="J9" i="7" s="1"/>
  <c r="J11" i="7" s="1"/>
  <c r="J40" i="7" s="1"/>
  <c r="D18" i="14"/>
  <c r="G12" i="18"/>
  <c r="H18" i="4"/>
  <c r="H12" i="18" s="1"/>
  <c r="E15" i="14"/>
  <c r="C16" i="14"/>
  <c r="H10" i="18"/>
  <c r="I40" i="7"/>
  <c r="G22" i="4"/>
  <c r="G49" i="7" s="1"/>
  <c r="K9" i="7" l="1"/>
  <c r="K11" i="7" s="1"/>
  <c r="K40" i="7" s="1"/>
  <c r="D19" i="14"/>
  <c r="H20" i="4"/>
  <c r="G4" i="20" s="1"/>
  <c r="G5" i="20" s="1"/>
  <c r="G6" i="20" s="1"/>
  <c r="I18" i="4"/>
  <c r="I20" i="4" s="1"/>
  <c r="H4" i="20" s="1"/>
  <c r="H5" i="20" s="1"/>
  <c r="H6" i="20" s="1"/>
  <c r="E16" i="14"/>
  <c r="D25" i="4" s="1"/>
  <c r="D27" i="4" s="1"/>
  <c r="C17" i="14"/>
  <c r="I10" i="18"/>
  <c r="D20" i="14" l="1"/>
  <c r="E47" i="7" s="1"/>
  <c r="E20" i="18"/>
  <c r="I12" i="18"/>
  <c r="K18" i="4"/>
  <c r="J18" i="4"/>
  <c r="J20" i="4" s="1"/>
  <c r="I4" i="20" s="1"/>
  <c r="I5" i="20" s="1"/>
  <c r="I6" i="20" s="1"/>
  <c r="E17" i="14"/>
  <c r="D22" i="7"/>
  <c r="C18" i="14"/>
  <c r="D14" i="18"/>
  <c r="D46" i="7"/>
  <c r="D48" i="7" s="1"/>
  <c r="D50" i="7" s="1"/>
  <c r="D29" i="4"/>
  <c r="J10" i="18"/>
  <c r="H22" i="4"/>
  <c r="H49" i="7" s="1"/>
  <c r="D21" i="14" l="1"/>
  <c r="J12" i="18"/>
  <c r="D32" i="4"/>
  <c r="C7" i="13"/>
  <c r="C9" i="13" s="1"/>
  <c r="C11" i="13" s="1"/>
  <c r="C13" i="13" s="1"/>
  <c r="C14" i="13" s="1"/>
  <c r="D33" i="4" s="1"/>
  <c r="D16" i="18" s="1"/>
  <c r="E18" i="14"/>
  <c r="C19" i="14"/>
  <c r="D34" i="7"/>
  <c r="D41" i="7"/>
  <c r="D42" i="7" s="1"/>
  <c r="K10" i="18"/>
  <c r="D22" i="14" l="1"/>
  <c r="E19" i="14"/>
  <c r="C20" i="14"/>
  <c r="C7" i="20"/>
  <c r="D34" i="4"/>
  <c r="D35" i="4" s="1"/>
  <c r="K12" i="18"/>
  <c r="K20" i="4"/>
  <c r="J4" i="20" s="1"/>
  <c r="J5" i="20" s="1"/>
  <c r="J6" i="20" s="1"/>
  <c r="I22" i="4"/>
  <c r="I49" i="7" s="1"/>
  <c r="D23" i="14" l="1"/>
  <c r="D18" i="18"/>
  <c r="D27" i="18" s="1"/>
  <c r="D28" i="18" s="1"/>
  <c r="C8" i="20"/>
  <c r="E20" i="14"/>
  <c r="E25" i="4" s="1"/>
  <c r="E27" i="4" s="1"/>
  <c r="C21" i="14"/>
  <c r="D24" i="14" l="1"/>
  <c r="D25" i="14" s="1"/>
  <c r="D36" i="4"/>
  <c r="D19" i="7" s="1"/>
  <c r="E29" i="4"/>
  <c r="E46" i="7"/>
  <c r="E48" i="7" s="1"/>
  <c r="E50" i="7" s="1"/>
  <c r="E14" i="18"/>
  <c r="E21" i="14"/>
  <c r="C22" i="14"/>
  <c r="E22" i="7"/>
  <c r="F47" i="7" l="1"/>
  <c r="F20" i="18"/>
  <c r="D26" i="14"/>
  <c r="D27" i="14" s="1"/>
  <c r="D28" i="14" s="1"/>
  <c r="D29" i="14" s="1"/>
  <c r="G47" i="7"/>
  <c r="E34" i="7"/>
  <c r="E41" i="7"/>
  <c r="E42" i="7" s="1"/>
  <c r="E22" i="14"/>
  <c r="C23" i="14"/>
  <c r="E32" i="4"/>
  <c r="D7" i="13"/>
  <c r="D9" i="13" s="1"/>
  <c r="D11" i="13" s="1"/>
  <c r="D13" i="13" s="1"/>
  <c r="D14" i="13" s="1"/>
  <c r="E33" i="4" s="1"/>
  <c r="E16" i="18" s="1"/>
  <c r="J22" i="4"/>
  <c r="J3" i="15"/>
  <c r="K3" i="15"/>
  <c r="G20" i="18" l="1"/>
  <c r="D30" i="14"/>
  <c r="D31" i="14" s="1"/>
  <c r="D32" i="14" s="1"/>
  <c r="D33" i="14" s="1"/>
  <c r="D7" i="20"/>
  <c r="E34" i="4"/>
  <c r="E35" i="4" s="1"/>
  <c r="E23" i="14"/>
  <c r="C24" i="14"/>
  <c r="J29" i="4"/>
  <c r="J32" i="4" s="1"/>
  <c r="J49" i="7"/>
  <c r="K22" i="4"/>
  <c r="H47" i="7" l="1"/>
  <c r="H20" i="18"/>
  <c r="D34" i="14"/>
  <c r="D35" i="14" s="1"/>
  <c r="D36" i="14" s="1"/>
  <c r="E24" i="14"/>
  <c r="F25" i="4" s="1"/>
  <c r="F27" i="4" s="1"/>
  <c r="C25" i="14"/>
  <c r="E18" i="18"/>
  <c r="E27" i="18" s="1"/>
  <c r="E28" i="18" s="1"/>
  <c r="D8" i="20"/>
  <c r="I7" i="20"/>
  <c r="I7" i="13"/>
  <c r="I9" i="13" s="1"/>
  <c r="I11" i="13" s="1"/>
  <c r="I13" i="13" s="1"/>
  <c r="I14" i="13" s="1"/>
  <c r="J33" i="4" s="1"/>
  <c r="J16" i="18" s="1"/>
  <c r="K29" i="4"/>
  <c r="K32" i="4" s="1"/>
  <c r="K49" i="7"/>
  <c r="I20" i="18" l="1"/>
  <c r="I47" i="7"/>
  <c r="E36" i="4"/>
  <c r="E19" i="7" s="1"/>
  <c r="F46" i="7"/>
  <c r="F48" i="7" s="1"/>
  <c r="F50" i="7" s="1"/>
  <c r="F29" i="4"/>
  <c r="F14" i="18"/>
  <c r="E25" i="14"/>
  <c r="F22" i="7"/>
  <c r="C26" i="14"/>
  <c r="J7" i="20"/>
  <c r="J34" i="4"/>
  <c r="J35" i="4" s="1"/>
  <c r="J7" i="13"/>
  <c r="J9" i="13" s="1"/>
  <c r="J11" i="13" s="1"/>
  <c r="J13" i="13" s="1"/>
  <c r="J14" i="13" s="1"/>
  <c r="K33" i="4" s="1"/>
  <c r="E26" i="14" l="1"/>
  <c r="C27" i="14"/>
  <c r="F34" i="7"/>
  <c r="F41" i="7"/>
  <c r="F42" i="7" s="1"/>
  <c r="F32" i="4"/>
  <c r="E7" i="13"/>
  <c r="E9" i="13" s="1"/>
  <c r="E11" i="13" s="1"/>
  <c r="E13" i="13" s="1"/>
  <c r="E14" i="13" s="1"/>
  <c r="F33" i="4" s="1"/>
  <c r="F16" i="18" s="1"/>
  <c r="J36" i="4"/>
  <c r="J19" i="7" s="1"/>
  <c r="I8" i="20"/>
  <c r="K34" i="4"/>
  <c r="K35" i="4" s="1"/>
  <c r="K16" i="18"/>
  <c r="C28" i="14" l="1"/>
  <c r="E27" i="14"/>
  <c r="E7" i="20"/>
  <c r="F34" i="4"/>
  <c r="F35" i="4" s="1"/>
  <c r="J18" i="18"/>
  <c r="J27" i="18" s="1"/>
  <c r="K36" i="4"/>
  <c r="K19" i="7" s="1"/>
  <c r="J8" i="20"/>
  <c r="F18" i="18" l="1"/>
  <c r="F27" i="18" s="1"/>
  <c r="F28" i="18" s="1"/>
  <c r="E8" i="20"/>
  <c r="C29" i="14"/>
  <c r="E28" i="14"/>
  <c r="G25" i="4" s="1"/>
  <c r="G27" i="4" s="1"/>
  <c r="G22" i="7"/>
  <c r="J28" i="18"/>
  <c r="K18" i="18"/>
  <c r="K27" i="18" s="1"/>
  <c r="F36" i="4" l="1"/>
  <c r="F19" i="7" s="1"/>
  <c r="G41" i="7"/>
  <c r="G42" i="7" s="1"/>
  <c r="G34" i="7"/>
  <c r="C30" i="14"/>
  <c r="E29" i="14"/>
  <c r="G14" i="18"/>
  <c r="G46" i="7"/>
  <c r="G48" i="7" s="1"/>
  <c r="G50" i="7" s="1"/>
  <c r="G29" i="4"/>
  <c r="K28" i="18"/>
  <c r="G32" i="4" l="1"/>
  <c r="F7" i="13"/>
  <c r="F9" i="13" s="1"/>
  <c r="F11" i="13" s="1"/>
  <c r="F13" i="13" s="1"/>
  <c r="F14" i="13" s="1"/>
  <c r="G33" i="4" s="1"/>
  <c r="G16" i="18" s="1"/>
  <c r="E30" i="14"/>
  <c r="C31" i="14"/>
  <c r="C32" i="14" l="1"/>
  <c r="E31" i="14"/>
  <c r="F7" i="20"/>
  <c r="G34" i="4"/>
  <c r="G35" i="4" s="1"/>
  <c r="G18" i="18" l="1"/>
  <c r="G27" i="18" s="1"/>
  <c r="G28" i="18" s="1"/>
  <c r="F8" i="20"/>
  <c r="C33" i="14"/>
  <c r="E32" i="14"/>
  <c r="H25" i="4" s="1"/>
  <c r="H27" i="4" s="1"/>
  <c r="H22" i="7"/>
  <c r="G36" i="4" l="1"/>
  <c r="G19" i="7" s="1"/>
  <c r="H46" i="7"/>
  <c r="H48" i="7" s="1"/>
  <c r="H50" i="7" s="1"/>
  <c r="H29" i="4"/>
  <c r="H14" i="18"/>
  <c r="H34" i="7"/>
  <c r="H41" i="7"/>
  <c r="F43" i="7" s="1"/>
  <c r="E33" i="14"/>
  <c r="C34" i="14"/>
  <c r="C35" i="14" l="1"/>
  <c r="E34" i="14"/>
  <c r="H32" i="4"/>
  <c r="G7" i="13"/>
  <c r="G9" i="13" s="1"/>
  <c r="G11" i="13" s="1"/>
  <c r="G13" i="13" s="1"/>
  <c r="G14" i="13" s="1"/>
  <c r="H33" i="4" s="1"/>
  <c r="H16" i="18" s="1"/>
  <c r="G7" i="20" l="1"/>
  <c r="H34" i="4"/>
  <c r="H35" i="4" s="1"/>
  <c r="C36" i="14"/>
  <c r="E36" i="14" s="1"/>
  <c r="E35" i="14"/>
  <c r="I25" i="4" l="1"/>
  <c r="I27" i="4" s="1"/>
  <c r="I14" i="18" s="1"/>
  <c r="H18" i="18"/>
  <c r="H27" i="18" s="1"/>
  <c r="H28" i="18" s="1"/>
  <c r="G8" i="20"/>
  <c r="I29" i="4" l="1"/>
  <c r="I32" i="4" s="1"/>
  <c r="I46" i="7"/>
  <c r="I48" i="7" s="1"/>
  <c r="H36" i="4"/>
  <c r="H19" i="7" s="1"/>
  <c r="H7" i="13" l="1"/>
  <c r="H9" i="13" s="1"/>
  <c r="H11" i="13" s="1"/>
  <c r="H13" i="13" s="1"/>
  <c r="H14" i="13" s="1"/>
  <c r="I33" i="4" s="1"/>
  <c r="I16" i="18" s="1"/>
  <c r="H7" i="20"/>
  <c r="I34" i="4" l="1"/>
  <c r="I35" i="4" s="1"/>
  <c r="H8" i="20" l="1"/>
  <c r="I18" i="18"/>
  <c r="I27" i="18" s="1"/>
  <c r="I28" i="18" s="1"/>
  <c r="I36" i="4"/>
  <c r="I19" i="7" s="1"/>
  <c r="C12" i="18"/>
  <c r="C15" i="18" s="1"/>
  <c r="C20" i="4"/>
  <c r="C22" i="4" l="1"/>
  <c r="B4" i="20"/>
  <c r="B5" i="20" s="1"/>
  <c r="B6" i="20" s="1"/>
  <c r="C49" i="7" l="1"/>
  <c r="C50" i="7" s="1"/>
  <c r="F51" i="7" s="1"/>
  <c r="C29" i="4"/>
  <c r="C32" i="4" s="1"/>
  <c r="B7" i="13" l="1"/>
  <c r="B9" i="13" s="1"/>
  <c r="B11" i="13" s="1"/>
  <c r="B13" i="13" s="1"/>
  <c r="B14" i="13" s="1"/>
  <c r="C33" i="4" s="1"/>
  <c r="C16" i="18" s="1"/>
  <c r="C17" i="18" l="1"/>
  <c r="C34" i="4"/>
  <c r="B7" i="20"/>
  <c r="B8" i="20" l="1"/>
  <c r="C18" i="18" l="1"/>
  <c r="C27" i="18" s="1"/>
  <c r="C36" i="4"/>
  <c r="C19" i="7" s="1"/>
  <c r="C21" i="7" s="1"/>
  <c r="C35" i="7" l="1"/>
  <c r="C36" i="7" s="1"/>
  <c r="C25" i="7"/>
  <c r="D18" i="7"/>
  <c r="D21" i="7" s="1"/>
  <c r="C19" i="18"/>
  <c r="C21" i="18" s="1"/>
  <c r="C14" i="7" s="1"/>
  <c r="D4" i="18" l="1"/>
  <c r="D15" i="18" s="1"/>
  <c r="C30" i="18"/>
  <c r="C31" i="18" s="1"/>
  <c r="C28" i="18"/>
  <c r="E18" i="7"/>
  <c r="E21" i="7" s="1"/>
  <c r="D25" i="7"/>
  <c r="D35" i="7"/>
  <c r="D36" i="7" s="1"/>
  <c r="E35" i="7" l="1"/>
  <c r="E36" i="7" s="1"/>
  <c r="F18" i="7"/>
  <c r="F21" i="7" s="1"/>
  <c r="E25" i="7"/>
  <c r="D25" i="18"/>
  <c r="D17" i="18"/>
  <c r="D19" i="18" s="1"/>
  <c r="D21" i="18" s="1"/>
  <c r="C15" i="7"/>
  <c r="C28" i="7"/>
  <c r="C30" i="7" s="1"/>
  <c r="E4" i="18" l="1"/>
  <c r="E15" i="18" s="1"/>
  <c r="D14" i="7"/>
  <c r="D30" i="18"/>
  <c r="D31" i="18" s="1"/>
  <c r="D26" i="18"/>
  <c r="F35" i="7"/>
  <c r="F36" i="7" s="1"/>
  <c r="F25" i="7"/>
  <c r="G18" i="7"/>
  <c r="G21" i="7" s="1"/>
  <c r="G35" i="7" l="1"/>
  <c r="G36" i="7" s="1"/>
  <c r="G25" i="7"/>
  <c r="H18" i="7"/>
  <c r="H21" i="7" s="1"/>
  <c r="D28" i="7"/>
  <c r="D30" i="7" s="1"/>
  <c r="D15" i="7"/>
  <c r="E17" i="18"/>
  <c r="E19" i="18" s="1"/>
  <c r="E21" i="18" s="1"/>
  <c r="E25" i="18"/>
  <c r="E14" i="7" l="1"/>
  <c r="F4" i="18"/>
  <c r="E26" i="18"/>
  <c r="E30" i="18"/>
  <c r="E31" i="18" s="1"/>
  <c r="I18" i="7"/>
  <c r="I21" i="7" s="1"/>
  <c r="H25" i="7"/>
  <c r="H35" i="7"/>
  <c r="H36" i="7" s="1"/>
  <c r="J18" i="7" l="1"/>
  <c r="J21" i="7" s="1"/>
  <c r="I35" i="7"/>
  <c r="I36" i="7" s="1"/>
  <c r="I25" i="7"/>
  <c r="F25" i="18"/>
  <c r="F15" i="18"/>
  <c r="F17" i="18" s="1"/>
  <c r="F19" i="18" s="1"/>
  <c r="F21" i="18" s="1"/>
  <c r="E28" i="7"/>
  <c r="E30" i="7" s="1"/>
  <c r="E15" i="7"/>
  <c r="F14" i="7" l="1"/>
  <c r="G4" i="18"/>
  <c r="F30" i="18"/>
  <c r="F31" i="18" s="1"/>
  <c r="F26" i="18"/>
  <c r="J25" i="7"/>
  <c r="K18" i="7"/>
  <c r="K21" i="7" s="1"/>
  <c r="J35" i="7"/>
  <c r="J36" i="7" s="1"/>
  <c r="K35" i="7" l="1"/>
  <c r="K36" i="7" s="1"/>
  <c r="F37" i="7" s="1"/>
  <c r="K25" i="7"/>
  <c r="G15" i="18"/>
  <c r="G17" i="18" s="1"/>
  <c r="G19" i="18" s="1"/>
  <c r="G21" i="18" s="1"/>
  <c r="G25" i="18"/>
  <c r="F15" i="7"/>
  <c r="F28" i="7"/>
  <c r="F30" i="7" s="1"/>
  <c r="G30" i="18" l="1"/>
  <c r="G31" i="18" s="1"/>
  <c r="G26" i="18"/>
  <c r="H4" i="18"/>
  <c r="G14" i="7"/>
  <c r="G28" i="7" l="1"/>
  <c r="G30" i="7" s="1"/>
  <c r="G15" i="7"/>
  <c r="H25" i="18"/>
  <c r="H15" i="18"/>
  <c r="H17" i="18" s="1"/>
  <c r="H19" i="18" s="1"/>
  <c r="H21" i="18" s="1"/>
  <c r="H26" i="18" l="1"/>
  <c r="H30" i="18"/>
  <c r="H31" i="18" s="1"/>
  <c r="I4" i="18"/>
  <c r="H14" i="7"/>
  <c r="H15" i="7" l="1"/>
  <c r="H28" i="7"/>
  <c r="H30" i="7" s="1"/>
  <c r="I25" i="18"/>
  <c r="I15" i="18"/>
  <c r="I17" i="18" s="1"/>
  <c r="I19" i="18" s="1"/>
  <c r="I21" i="18" s="1"/>
  <c r="J4" i="18" l="1"/>
  <c r="I14" i="7"/>
  <c r="I26" i="18"/>
  <c r="I30" i="18"/>
  <c r="I31" i="18" s="1"/>
  <c r="I15" i="7" l="1"/>
  <c r="I28" i="7"/>
  <c r="I30" i="7" s="1"/>
  <c r="J25" i="18"/>
  <c r="J15" i="18"/>
  <c r="J17" i="18" s="1"/>
  <c r="J19" i="18" s="1"/>
  <c r="J21" i="18" s="1"/>
  <c r="K4" i="18" l="1"/>
  <c r="J14" i="7"/>
  <c r="J30" i="18"/>
  <c r="J31" i="18" s="1"/>
  <c r="J26" i="18"/>
  <c r="J15" i="7" l="1"/>
  <c r="J28" i="7"/>
  <c r="J30" i="7" s="1"/>
  <c r="K25" i="18"/>
  <c r="K15" i="18"/>
  <c r="K17" i="18" s="1"/>
  <c r="K19" i="18" s="1"/>
  <c r="K21" i="18" s="1"/>
  <c r="K14" i="7" s="1"/>
  <c r="K28" i="7" l="1"/>
  <c r="K30" i="7" s="1"/>
  <c r="F31" i="7" s="1"/>
  <c r="K15" i="7"/>
  <c r="K30" i="18"/>
  <c r="K31" i="18" s="1"/>
  <c r="L31" i="18" s="1"/>
  <c r="K26" i="18"/>
</calcChain>
</file>

<file path=xl/sharedStrings.xml><?xml version="1.0" encoding="utf-8"?>
<sst xmlns="http://schemas.openxmlformats.org/spreadsheetml/2006/main" count="459" uniqueCount="335">
  <si>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</si>
  <si>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</si>
  <si>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</si>
  <si>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</si>
  <si>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</si>
  <si>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</si>
  <si>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</si>
  <si>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</si>
  <si>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</si>
  <si>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</si>
  <si>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</si>
  <si>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</si>
  <si>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</si>
  <si>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</si>
  <si>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</si>
  <si>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</si>
  <si>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</si>
  <si>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</si>
  <si>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</si>
  <si>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</si>
  <si>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</si>
  <si>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</si>
  <si>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</si>
  <si>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</si>
  <si>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</si>
  <si>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</si>
  <si>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</si>
  <si>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</si>
  <si>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</si>
  <si>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</si>
  <si>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</si>
  <si>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</si>
  <si>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</si>
  <si>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2. Plant and machinery</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</si>
  <si>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</si>
  <si>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</si>
  <si>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</si>
  <si>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</si>
  <si>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</si>
  <si>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</si>
  <si>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</si>
  <si>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</si>
  <si>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</si>
  <si>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</si>
  <si>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</si>
  <si>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</si>
  <si>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</si>
  <si>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</si>
  <si>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</si>
  <si>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</si>
  <si>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</si>
  <si>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</si>
  <si>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</si>
  <si>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</si>
  <si>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</si>
  <si>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</si>
  <si>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</si>
  <si>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</si>
  <si>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</si>
  <si>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</si>
  <si>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iii.</t>
  </si>
  <si>
    <t>Computation of Depreciation</t>
  </si>
  <si>
    <t>Annexure 9 - Computation of Depreciation</t>
  </si>
  <si>
    <t>Pre operatives</t>
  </si>
  <si>
    <t>Contingencies</t>
  </si>
  <si>
    <t>Building and civil work</t>
  </si>
  <si>
    <t>Misc Fixed Asset</t>
  </si>
  <si>
    <t>Amount in lakhs</t>
  </si>
  <si>
    <t>Rates of Depreciation</t>
  </si>
  <si>
    <t>Year</t>
  </si>
  <si>
    <t>Annexure 11- Break even analysis (At maximum capacity utilization)</t>
  </si>
  <si>
    <t>Break even capacity at maximum capacity utilixzation</t>
  </si>
  <si>
    <t>Variable cost</t>
  </si>
  <si>
    <t>- Running and maintenance cost</t>
  </si>
  <si>
    <t>- Interest on Working capital</t>
  </si>
  <si>
    <t>Contribution</t>
  </si>
  <si>
    <t>Wages and salaries</t>
  </si>
  <si>
    <t>- electricity expense</t>
  </si>
  <si>
    <t>Depreciation</t>
  </si>
  <si>
    <t>Fixed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</si>
  <si>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</si>
  <si>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</si>
  <si>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</si>
  <si>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</si>
  <si>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</si>
  <si>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</si>
  <si>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</si>
  <si>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</si>
  <si>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</si>
  <si>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</si>
  <si>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</si>
  <si>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</si>
  <si>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</si>
  <si>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</si>
  <si>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</si>
  <si>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</si>
  <si>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</si>
  <si>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</si>
  <si>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</si>
  <si>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</si>
  <si>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Operating profits (PBT)</t>
  </si>
  <si>
    <t>depreciation</t>
  </si>
  <si>
    <t>Net Profit before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</si>
  <si>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</si>
  <si>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</si>
  <si>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</si>
  <si>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</si>
  <si>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</si>
  <si>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</si>
  <si>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</si>
  <si>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</si>
  <si>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</si>
  <si>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</si>
  <si>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</si>
  <si>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</si>
  <si>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Projected Baalance sheet</t>
  </si>
  <si>
    <t>Asset</t>
  </si>
  <si>
    <t>Fixed Capital expenditure</t>
  </si>
  <si>
    <t>Gross Block</t>
  </si>
  <si>
    <t>Less- Depreciation</t>
  </si>
  <si>
    <t>net Block</t>
  </si>
  <si>
    <t>Sundry debtors</t>
  </si>
  <si>
    <t>Cash/ bank balance</t>
  </si>
  <si>
    <t>Liabilities</t>
  </si>
  <si>
    <t>Capital</t>
  </si>
  <si>
    <t>Add- Profit</t>
  </si>
  <si>
    <t>Less- Drawings</t>
  </si>
  <si>
    <t>Closing capital</t>
  </si>
  <si>
    <t>term Loan</t>
  </si>
  <si>
    <t>Total liabilities</t>
  </si>
  <si>
    <t>Total assets</t>
  </si>
  <si>
    <t>Current Ratio</t>
  </si>
  <si>
    <t>Current Assets</t>
  </si>
  <si>
    <t>Current Liabilities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</si>
  <si>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</si>
  <si>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</si>
  <si>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</si>
  <si>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</si>
  <si>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</si>
  <si>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</si>
  <si>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</si>
  <si>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</si>
  <si>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</si>
  <si>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</si>
  <si>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</si>
  <si>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</si>
  <si>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ratio</t>
  </si>
  <si>
    <t>Instalment of loan</t>
  </si>
  <si>
    <t>A</t>
  </si>
  <si>
    <t>B</t>
  </si>
  <si>
    <t>Average</t>
  </si>
  <si>
    <t>Fixed asset coverage ratio</t>
  </si>
  <si>
    <t>Fixed assets</t>
  </si>
  <si>
    <t>6 months</t>
  </si>
  <si>
    <t>Annexure 8 - Details of Mnpower</t>
  </si>
  <si>
    <t>Details of Manpower</t>
  </si>
  <si>
    <t>Security</t>
  </si>
  <si>
    <t>Creditors</t>
  </si>
  <si>
    <t>Total manpower</t>
  </si>
  <si>
    <t>opening balance</t>
  </si>
  <si>
    <t>Add: Sales realizations</t>
  </si>
  <si>
    <t>Less: Interest payments</t>
  </si>
  <si>
    <t>Working capital</t>
  </si>
  <si>
    <t>Interest on WC Loan</t>
  </si>
  <si>
    <t>Site Development</t>
  </si>
  <si>
    <t>Sales Budget</t>
  </si>
  <si>
    <t>Products</t>
  </si>
  <si>
    <t>Production at 100% capacity</t>
  </si>
  <si>
    <t>Output</t>
  </si>
  <si>
    <t>Electricity expense</t>
  </si>
  <si>
    <t>Usage in units</t>
  </si>
  <si>
    <t>Cost of Production</t>
  </si>
  <si>
    <t>Sub Total</t>
  </si>
  <si>
    <t>Total depreciation for the year</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</si>
  <si>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</si>
  <si>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</si>
  <si>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</si>
  <si>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</si>
  <si>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</si>
  <si>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</si>
  <si>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</si>
  <si>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</si>
  <si>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</si>
  <si>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</si>
  <si>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</si>
  <si>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</si>
  <si>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</si>
  <si>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</si>
  <si>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</si>
  <si>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</si>
  <si>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</si>
  <si>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</si>
  <si>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</si>
  <si>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</si>
  <si>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</si>
  <si>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</si>
  <si>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</si>
  <si>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</si>
  <si>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</si>
  <si>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</si>
  <si>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</si>
  <si>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</si>
  <si>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</si>
  <si>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</si>
  <si>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</si>
  <si>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</si>
  <si>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</si>
  <si>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</si>
  <si>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</si>
  <si>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</si>
  <si>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</si>
  <si>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</si>
  <si>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</si>
  <si>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</si>
  <si>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</si>
  <si>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</si>
  <si>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</si>
  <si>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Electricity usage in units is given below</t>
  </si>
  <si>
    <t>DPR without subsidy</t>
  </si>
  <si>
    <t>iv.</t>
  </si>
  <si>
    <t>Annual cost</t>
  </si>
  <si>
    <t>Ann 3'!A1</t>
  </si>
  <si>
    <t>Break-even point is the condition when an entity generate sufficient revenue that it can meet its fixed expense after deducting any variable expense, i.e., the point where contribution is equal to the fixed expense.</t>
  </si>
  <si>
    <t>Annexure 6 - requirement of Power and Fuel</t>
  </si>
  <si>
    <t>Fuel</t>
  </si>
  <si>
    <t>Mileage</t>
  </si>
  <si>
    <t>requirement of Fuel</t>
  </si>
  <si>
    <t>Speed of tractor</t>
  </si>
  <si>
    <t>Fuel requirement as per the operative hours</t>
  </si>
  <si>
    <t xml:space="preserve"> km per litre</t>
  </si>
  <si>
    <t xml:space="preserve"> km per hour</t>
  </si>
  <si>
    <t>litres</t>
  </si>
  <si>
    <t>- For Tractor</t>
  </si>
  <si>
    <t>- For Pwer tiller</t>
  </si>
  <si>
    <t>Litre per hour</t>
  </si>
  <si>
    <t>Fuel requirement during the year for 30 units</t>
  </si>
  <si>
    <t>Litres</t>
  </si>
  <si>
    <t>Total fuel requirement</t>
  </si>
  <si>
    <t>Fuel cost per litre</t>
  </si>
  <si>
    <t>Total fuel cost at 100% capacity utilization</t>
  </si>
  <si>
    <t>1. Civil Work</t>
  </si>
  <si>
    <t>Total Civil Work</t>
  </si>
  <si>
    <t>Per annum capacity in kgs</t>
  </si>
  <si>
    <t>Estimated ocupational capacity</t>
  </si>
  <si>
    <t>Less: Pre incorporation expense</t>
  </si>
  <si>
    <t>Electricity fixed charge</t>
  </si>
  <si>
    <t>BEP in kgs</t>
  </si>
  <si>
    <t>Less: Fixed costs</t>
  </si>
  <si>
    <t>Rs. per kg</t>
  </si>
  <si>
    <t>Service Centre Infrastructure</t>
  </si>
  <si>
    <t>3. Miscellanoeus Fixed Asset</t>
  </si>
  <si>
    <t>Civil work for building</t>
  </si>
  <si>
    <t>Factory manager</t>
  </si>
  <si>
    <t>Accountant cum cashier</t>
  </si>
  <si>
    <t>Mechanic</t>
  </si>
  <si>
    <t xml:space="preserve">v. </t>
  </si>
  <si>
    <t>Labour</t>
  </si>
  <si>
    <t>Add: benefits @ 10%</t>
  </si>
  <si>
    <t>Insurance cost @ 2% of purchase cost</t>
  </si>
  <si>
    <t>It is assumed that insuarance cost is 2% of purchase price and this will increase 5% annually</t>
  </si>
  <si>
    <t>Add: Opening Stock</t>
  </si>
  <si>
    <t>Less: Closing Stock</t>
  </si>
  <si>
    <t>225 days</t>
  </si>
  <si>
    <t>Operational days</t>
  </si>
  <si>
    <t>purchase price per kg</t>
  </si>
  <si>
    <t>sales prices per kg</t>
  </si>
  <si>
    <t>Production Budget</t>
  </si>
  <si>
    <t>Estimation of Production capacity</t>
  </si>
  <si>
    <t>Opening Stock</t>
  </si>
  <si>
    <t>Production</t>
  </si>
  <si>
    <t>Closing Stock</t>
  </si>
  <si>
    <t>Input paddy cost</t>
  </si>
  <si>
    <t>Less: Land purchase</t>
  </si>
  <si>
    <t>Closing stock</t>
  </si>
  <si>
    <t xml:space="preserve">It is assumed that 2/3rd capacity of rice mill is used to process own produce, i.e., to process paddy into rice which is further sold by rice mill in the market. The balance 1/3rd capacity is used to process the government produce, for such processing rice mill charges minimal processing charges. </t>
  </si>
  <si>
    <t>In case of processing own produce, paddy is procured from farmers and processed for selling. While for government produce, paddy is provided to mill for further processing and only processing charges are taken for such work.</t>
  </si>
  <si>
    <t>Processing charges for government produce per kg</t>
  </si>
  <si>
    <t>Total revenue</t>
  </si>
  <si>
    <t>Total Financial expense</t>
  </si>
  <si>
    <t>Variable costs</t>
  </si>
  <si>
    <t>Inut paddy cost</t>
  </si>
  <si>
    <t>Electricity cost</t>
  </si>
  <si>
    <t>Running and maintenance</t>
  </si>
  <si>
    <t>Interest on working capital</t>
  </si>
  <si>
    <t>Contribution per unit</t>
  </si>
  <si>
    <t>Fixed charges for office</t>
  </si>
  <si>
    <t>Fixed charge for office</t>
  </si>
  <si>
    <t>2. Electricity usage in units is given below</t>
  </si>
  <si>
    <t>3. It is assumed that insuarance cost is 2% of purchase price and this will increase 5% annually</t>
  </si>
  <si>
    <t>See note</t>
  </si>
  <si>
    <t>Note- It is assumed that some of the labour remains even in the off days, considering working days to be 300 days</t>
  </si>
  <si>
    <t>Input output ratio is taken to be 70%</t>
  </si>
  <si>
    <t>Running and Manintenance expense @10% of sales</t>
  </si>
  <si>
    <t>Sale of by products -Husk</t>
  </si>
  <si>
    <t>Sale of by products -Bran</t>
  </si>
  <si>
    <t>Assumed that Husk being by product of producing the rice, is 10% of the total production capacity. Sale price of husk per kg is rs. 10</t>
  </si>
  <si>
    <t>4. Closing stock is valued at Rs 38 (avg cost)</t>
  </si>
  <si>
    <t>2. assumed that 30 days of sales are average debtors maintained by the business</t>
  </si>
  <si>
    <t>Annexure 14 - Cash flow statement</t>
  </si>
  <si>
    <t>A.</t>
  </si>
  <si>
    <t>B.</t>
  </si>
  <si>
    <t>C.</t>
  </si>
  <si>
    <t>D.</t>
  </si>
  <si>
    <t>E.</t>
  </si>
  <si>
    <t>F.</t>
  </si>
  <si>
    <t>G.</t>
  </si>
  <si>
    <t>H.</t>
  </si>
  <si>
    <t>I.</t>
  </si>
  <si>
    <t>Production capacity (kgs) [A. X Total capacity]</t>
  </si>
  <si>
    <t>Own produce (kgs) [B. X 2/3]</t>
  </si>
  <si>
    <t>Government produce (kgs) [B. X 1/3]</t>
  </si>
  <si>
    <t>Revenue from sale of own produce [C. X Sale price per kg]</t>
  </si>
  <si>
    <t>Revenue from processing government produce [D. X Processing charges]</t>
  </si>
  <si>
    <t>Input required (kgs) [C. X Input output ratio]</t>
  </si>
  <si>
    <t>Ann 14'!A1</t>
  </si>
  <si>
    <t>Income Tax/ savings on tax</t>
  </si>
  <si>
    <t>Assumed that 30 days of sales are average debtors maintained by the business</t>
  </si>
  <si>
    <t>Butterfly separator</t>
  </si>
  <si>
    <t>Destoner</t>
  </si>
  <si>
    <t>Paddy dehusker</t>
  </si>
  <si>
    <t>Rubber sheller</t>
  </si>
  <si>
    <t>Rice whitener</t>
  </si>
  <si>
    <t>Rice drum grader</t>
  </si>
  <si>
    <t>Bucket elevator</t>
  </si>
  <si>
    <t>Weighing machine at platform</t>
  </si>
  <si>
    <t>Form fill and seal machine</t>
  </si>
  <si>
    <t>Insurance</t>
  </si>
  <si>
    <t>1. asssumed that 60 days of purchases are average creditors maintained</t>
  </si>
  <si>
    <t>Asssumed that 60 days of purchases are average creditors maintained</t>
  </si>
  <si>
    <t>For the first year of operation the break-even capacity comes at 9.59% capacity, it is because of the fact that in the Initial year the fixed expense of consultancy for project is taken in to consideration for calculation of BEP. considering our operational capacity in year 1 to be 75% which is more than the BEP, hence we can conclude that the project is sound enough to cover its fixed expense.</t>
  </si>
  <si>
    <t>1. Electricity are semi-fixed cost. Rs. 100,000 pa is fixed, balance is variable at Rs. 14 per unit usage</t>
  </si>
  <si>
    <t>Electricity are semi-fixed cost. Rs. 100,000 pa is fixed, balance is variable at Rs. 14 per unit usage</t>
  </si>
  <si>
    <t>Sales proce per kg is Rs. 35 (considering single type of output rice) which will increase 5% annually</t>
  </si>
  <si>
    <t>5. Input paddy cost is considered to increase by 5% annually.</t>
  </si>
  <si>
    <t>Distribution of profits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</si>
</sst>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_(* #,##0.000000000_);_(* \(#,##0.000000000\);_(* &quot;-&quot;??_);_(@_)"/>
    <numFmt numFmtId="167" formatCode="0.000"/>
    <numFmt numFmtId="168" formatCode="_(* #,##0.000_);_(* \(#,##0.000\);_(* &quot;-&quot;??_);_(@_)"/>
    <numFmt numFmtId="169" formatCode="_(* #,##0.0000_);_(* \(#,##0.0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0"/>
      <name val="Adobe Devanagari"/>
      <family val="1"/>
    </font>
    <font>
      <u/>
      <sz val="11"/>
      <color theme="1"/>
      <name val="Adobe Devanagari"/>
      <family val="1"/>
    </font>
    <font>
      <sz val="11"/>
      <name val="Adobe Devanagari"/>
      <family val="1"/>
    </font>
    <font>
      <sz val="11"/>
      <color theme="0"/>
      <name val="Adobe Devanagari"/>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37">
    <xf numFmtId="0" fontId="0" fillId="0" borderId="0" xfId="0"/>
    <xf numFmtId="2" fontId="0" fillId="0" borderId="0" xfId="0" applyNumberFormat="1"/>
    <xf numFmtId="0" fontId="3" fillId="0" borderId="0" xfId="0" applyFont="1"/>
    <xf numFmtId="0" fontId="2" fillId="0" borderId="0" xfId="0" applyFont="1"/>
    <xf numFmtId="0" fontId="0" fillId="0" borderId="0" xfId="0" quotePrefix="1"/>
    <xf numFmtId="167" fontId="0" fillId="0" borderId="0" xfId="0" applyNumberFormat="1"/>
    <xf numFmtId="43" fontId="0" fillId="0" borderId="0" xfId="1" applyFont="1"/>
    <xf numFmtId="0" fontId="5" fillId="0" borderId="0" xfId="0" applyFont="1"/>
    <xf numFmtId="0" fontId="6" fillId="0" borderId="0" xfId="0" applyFont="1"/>
    <xf numFmtId="0" fontId="6" fillId="0" borderId="1" xfId="0" applyFont="1" applyBorder="1"/>
    <xf numFmtId="0" fontId="7" fillId="0" borderId="1" xfId="3" quotePrefix="1" applyFont="1" applyBorder="1"/>
    <xf numFmtId="0" fontId="7" fillId="0" borderId="1" xfId="3" applyFont="1" applyBorder="1"/>
    <xf numFmtId="0" fontId="5" fillId="3" borderId="1" xfId="0" applyFont="1" applyFill="1" applyBorder="1"/>
    <xf numFmtId="0" fontId="6" fillId="0" borderId="11" xfId="0" applyFont="1" applyBorder="1" applyAlignment="1">
      <alignment horizontal="left"/>
    </xf>
    <xf numFmtId="0" fontId="6" fillId="0" borderId="11" xfId="0" applyFont="1" applyBorder="1"/>
    <xf numFmtId="0" fontId="6" fillId="0" borderId="9" xfId="0" applyFont="1" applyBorder="1"/>
    <xf numFmtId="43" fontId="6" fillId="0" borderId="9" xfId="1" applyFont="1" applyBorder="1"/>
    <xf numFmtId="43" fontId="6" fillId="0" borderId="9" xfId="1" applyNumberFormat="1" applyFont="1" applyBorder="1"/>
    <xf numFmtId="43" fontId="6" fillId="0" borderId="9" xfId="0" applyNumberFormat="1" applyFont="1" applyBorder="1"/>
    <xf numFmtId="0" fontId="6" fillId="0" borderId="11" xfId="0" applyFont="1" applyBorder="1" applyAlignment="1">
      <alignment wrapText="1"/>
    </xf>
    <xf numFmtId="168" fontId="6" fillId="0" borderId="9" xfId="1" applyNumberFormat="1" applyFont="1" applyBorder="1"/>
    <xf numFmtId="43" fontId="6" fillId="0" borderId="0" xfId="0" applyNumberFormat="1" applyFont="1"/>
    <xf numFmtId="0" fontId="6" fillId="0" borderId="12" xfId="0" applyFont="1" applyBorder="1" applyAlignment="1">
      <alignment horizontal="left"/>
    </xf>
    <xf numFmtId="0" fontId="6" fillId="0" borderId="12" xfId="0" applyFont="1" applyBorder="1"/>
    <xf numFmtId="43" fontId="6" fillId="0" borderId="10" xfId="0" applyNumberFormat="1" applyFont="1" applyBorder="1"/>
    <xf numFmtId="0" fontId="6" fillId="0" borderId="0" xfId="0" applyFont="1" applyAlignment="1">
      <alignment horizontal="left"/>
    </xf>
    <xf numFmtId="0" fontId="8" fillId="3" borderId="2" xfId="0" applyFont="1" applyFill="1" applyBorder="1"/>
    <xf numFmtId="0" fontId="6" fillId="3" borderId="3" xfId="0" applyFont="1" applyFill="1" applyBorder="1"/>
    <xf numFmtId="0" fontId="6" fillId="3" borderId="4" xfId="0" applyFont="1" applyFill="1" applyBorder="1"/>
    <xf numFmtId="0" fontId="6" fillId="3" borderId="1" xfId="0" applyFont="1" applyFill="1" applyBorder="1"/>
    <xf numFmtId="0" fontId="6" fillId="3" borderId="1" xfId="0" applyFont="1" applyFill="1" applyBorder="1" applyAlignment="1">
      <alignment wrapText="1"/>
    </xf>
    <xf numFmtId="0" fontId="6" fillId="0" borderId="8" xfId="0" applyFont="1" applyBorder="1"/>
    <xf numFmtId="0" fontId="6" fillId="0" borderId="0" xfId="0" applyFont="1" applyBorder="1"/>
    <xf numFmtId="10" fontId="6" fillId="0" borderId="0" xfId="2" applyNumberFormat="1" applyFont="1"/>
    <xf numFmtId="2" fontId="6" fillId="0" borderId="0" xfId="0" applyNumberFormat="1" applyFont="1"/>
    <xf numFmtId="0" fontId="6" fillId="0" borderId="2" xfId="0" applyFont="1" applyBorder="1"/>
    <xf numFmtId="0" fontId="6" fillId="0" borderId="3" xfId="0" applyFont="1" applyBorder="1"/>
    <xf numFmtId="0" fontId="6" fillId="0" borderId="5" xfId="0" applyFont="1" applyBorder="1"/>
    <xf numFmtId="0" fontId="6" fillId="0" borderId="6" xfId="0" applyFont="1" applyBorder="1" applyAlignment="1">
      <alignment horizontal="left" wrapText="1"/>
    </xf>
    <xf numFmtId="0" fontId="6" fillId="0" borderId="6" xfId="0" applyFont="1" applyBorder="1" applyAlignment="1">
      <alignment horizontal="left"/>
    </xf>
    <xf numFmtId="164" fontId="6" fillId="0" borderId="6" xfId="1" applyNumberFormat="1" applyFont="1" applyBorder="1"/>
    <xf numFmtId="164" fontId="6" fillId="0" borderId="7" xfId="1" applyNumberFormat="1" applyFont="1" applyBorder="1" applyAlignment="1">
      <alignment horizontal="left"/>
    </xf>
    <xf numFmtId="0" fontId="5" fillId="0" borderId="13" xfId="0" applyFont="1" applyBorder="1"/>
    <xf numFmtId="0" fontId="5" fillId="0" borderId="14" xfId="0" applyFont="1" applyBorder="1"/>
    <xf numFmtId="164" fontId="5" fillId="0" borderId="10" xfId="0" applyNumberFormat="1" applyFont="1" applyBorder="1"/>
    <xf numFmtId="0" fontId="6" fillId="0" borderId="4" xfId="0" applyFont="1" applyBorder="1"/>
    <xf numFmtId="0" fontId="6" fillId="0" borderId="0" xfId="0" applyFont="1" applyBorder="1" applyAlignment="1">
      <alignment horizontal="left"/>
    </xf>
    <xf numFmtId="164" fontId="6" fillId="0" borderId="0" xfId="1" applyNumberFormat="1" applyFont="1" applyBorder="1"/>
    <xf numFmtId="0" fontId="5" fillId="0" borderId="2" xfId="0" applyFont="1" applyBorder="1"/>
    <xf numFmtId="0" fontId="5" fillId="0" borderId="3" xfId="0" applyFont="1" applyBorder="1"/>
    <xf numFmtId="164" fontId="5" fillId="0" borderId="4" xfId="0" applyNumberFormat="1" applyFont="1" applyBorder="1"/>
    <xf numFmtId="164" fontId="6" fillId="0" borderId="0" xfId="0" applyNumberFormat="1" applyFont="1"/>
    <xf numFmtId="0" fontId="5" fillId="3" borderId="2" xfId="0" applyFont="1" applyFill="1" applyBorder="1"/>
    <xf numFmtId="0" fontId="5" fillId="3" borderId="3" xfId="0" applyFont="1" applyFill="1" applyBorder="1"/>
    <xf numFmtId="0" fontId="5" fillId="3" borderId="4" xfId="0" applyFont="1" applyFill="1" applyBorder="1"/>
    <xf numFmtId="164" fontId="6" fillId="0" borderId="1" xfId="1" applyNumberFormat="1" applyFont="1" applyBorder="1"/>
    <xf numFmtId="0" fontId="6" fillId="0" borderId="1" xfId="0" applyFont="1" applyFill="1" applyBorder="1"/>
    <xf numFmtId="0" fontId="5" fillId="3" borderId="6" xfId="0" applyFont="1" applyFill="1" applyBorder="1" applyAlignment="1">
      <alignment horizontal="center"/>
    </xf>
    <xf numFmtId="0" fontId="5" fillId="3" borderId="1" xfId="0" applyFont="1" applyFill="1" applyBorder="1" applyAlignment="1">
      <alignment horizontal="center"/>
    </xf>
    <xf numFmtId="0" fontId="5" fillId="0" borderId="6" xfId="0" applyFont="1" applyBorder="1"/>
    <xf numFmtId="0" fontId="6" fillId="0" borderId="15" xfId="0" applyFont="1" applyBorder="1"/>
    <xf numFmtId="0" fontId="6" fillId="0" borderId="7" xfId="0" applyFont="1" applyBorder="1"/>
    <xf numFmtId="164" fontId="6" fillId="0" borderId="11" xfId="0" applyNumberFormat="1" applyFont="1" applyBorder="1"/>
    <xf numFmtId="43" fontId="6" fillId="0" borderId="11" xfId="0" applyNumberFormat="1" applyFont="1" applyBorder="1"/>
    <xf numFmtId="0" fontId="6" fillId="0" borderId="0" xfId="0" applyFont="1" applyFill="1" applyBorder="1"/>
    <xf numFmtId="164" fontId="6" fillId="0" borderId="11" xfId="1" applyNumberFormat="1" applyFont="1" applyBorder="1"/>
    <xf numFmtId="164" fontId="6" fillId="0" borderId="9" xfId="0" applyNumberFormat="1" applyFont="1" applyBorder="1"/>
    <xf numFmtId="0" fontId="5" fillId="0" borderId="0" xfId="0" applyFont="1" applyBorder="1"/>
    <xf numFmtId="164" fontId="6" fillId="0" borderId="9" xfId="1" applyNumberFormat="1" applyFont="1" applyBorder="1"/>
    <xf numFmtId="164" fontId="6" fillId="0" borderId="8" xfId="0" applyNumberFormat="1" applyFont="1" applyFill="1" applyBorder="1"/>
    <xf numFmtId="0" fontId="6" fillId="0" borderId="13" xfId="0" applyFont="1" applyBorder="1"/>
    <xf numFmtId="0" fontId="6" fillId="0" borderId="14" xfId="0" applyFont="1" applyBorder="1"/>
    <xf numFmtId="0" fontId="6" fillId="0" borderId="10" xfId="0" applyFont="1" applyBorder="1"/>
    <xf numFmtId="43" fontId="6" fillId="0" borderId="10" xfId="1" applyFont="1" applyBorder="1"/>
    <xf numFmtId="0" fontId="5" fillId="3" borderId="1" xfId="0" applyFont="1" applyFill="1" applyBorder="1" applyAlignment="1">
      <alignment horizontal="center" vertical="center"/>
    </xf>
    <xf numFmtId="0" fontId="6" fillId="3" borderId="8" xfId="0" applyFont="1" applyFill="1" applyBorder="1"/>
    <xf numFmtId="0" fontId="6" fillId="3" borderId="0" xfId="0" applyFont="1" applyFill="1" applyBorder="1"/>
    <xf numFmtId="0" fontId="6" fillId="3" borderId="11" xfId="0" applyFont="1" applyFill="1" applyBorder="1"/>
    <xf numFmtId="0" fontId="6" fillId="3" borderId="9" xfId="0" applyFont="1" applyFill="1" applyBorder="1"/>
    <xf numFmtId="164" fontId="6" fillId="3" borderId="9" xfId="0" applyNumberFormat="1" applyFont="1" applyFill="1" applyBorder="1"/>
    <xf numFmtId="0" fontId="8" fillId="0" borderId="0" xfId="0" applyFont="1"/>
    <xf numFmtId="164" fontId="6" fillId="0" borderId="1" xfId="0" applyNumberFormat="1" applyFont="1" applyBorder="1"/>
    <xf numFmtId="0" fontId="6" fillId="0" borderId="6" xfId="0" applyFont="1" applyBorder="1"/>
    <xf numFmtId="164" fontId="6" fillId="0" borderId="10" xfId="0" applyNumberFormat="1" applyFont="1" applyBorder="1"/>
    <xf numFmtId="164" fontId="6" fillId="0" borderId="4" xfId="0" applyNumberFormat="1" applyFont="1" applyBorder="1"/>
    <xf numFmtId="9" fontId="6" fillId="0" borderId="0" xfId="0" applyNumberFormat="1" applyFont="1"/>
    <xf numFmtId="2" fontId="6" fillId="0" borderId="1" xfId="0" applyNumberFormat="1" applyFont="1" applyBorder="1"/>
    <xf numFmtId="2" fontId="6" fillId="0" borderId="1" xfId="1" applyNumberFormat="1" applyFont="1" applyBorder="1"/>
    <xf numFmtId="0" fontId="5" fillId="0" borderId="1" xfId="0" applyFont="1" applyBorder="1"/>
    <xf numFmtId="9" fontId="5" fillId="0" borderId="1" xfId="0" applyNumberFormat="1" applyFont="1" applyBorder="1"/>
    <xf numFmtId="0" fontId="6" fillId="0" borderId="1" xfId="0" applyFont="1" applyBorder="1" applyAlignment="1">
      <alignment horizontal="right"/>
    </xf>
    <xf numFmtId="0" fontId="6" fillId="0" borderId="1" xfId="0" applyFont="1" applyBorder="1" applyAlignment="1">
      <alignment horizontal="left"/>
    </xf>
    <xf numFmtId="43" fontId="6" fillId="0" borderId="1" xfId="0" applyNumberFormat="1" applyFont="1" applyBorder="1"/>
    <xf numFmtId="0" fontId="6" fillId="0" borderId="0" xfId="0" applyFont="1" applyAlignment="1">
      <alignment horizontal="right"/>
    </xf>
    <xf numFmtId="43" fontId="6" fillId="0" borderId="1" xfId="1" applyFont="1" applyBorder="1"/>
    <xf numFmtId="0" fontId="6" fillId="3" borderId="1" xfId="0" applyFont="1" applyFill="1" applyBorder="1" applyAlignment="1">
      <alignment horizontal="center"/>
    </xf>
    <xf numFmtId="164" fontId="6" fillId="0" borderId="0" xfId="1" applyNumberFormat="1" applyFont="1"/>
    <xf numFmtId="0" fontId="6" fillId="0" borderId="0" xfId="0" quotePrefix="1" applyFont="1"/>
    <xf numFmtId="0" fontId="8" fillId="3" borderId="0" xfId="0" applyFont="1" applyFill="1"/>
    <xf numFmtId="0" fontId="6" fillId="3" borderId="0" xfId="0" applyFont="1" applyFill="1"/>
    <xf numFmtId="10" fontId="6" fillId="0" borderId="1" xfId="2" applyNumberFormat="1" applyFont="1" applyBorder="1"/>
    <xf numFmtId="167" fontId="6" fillId="0" borderId="0" xfId="0" applyNumberFormat="1" applyFont="1"/>
    <xf numFmtId="10" fontId="6" fillId="2" borderId="0" xfId="0" applyNumberFormat="1" applyFont="1" applyFill="1"/>
    <xf numFmtId="0" fontId="6" fillId="2" borderId="0" xfId="0" applyFont="1" applyFill="1" applyAlignment="1">
      <alignment horizontal="right"/>
    </xf>
    <xf numFmtId="0" fontId="9" fillId="0" borderId="0" xfId="0" applyFont="1"/>
    <xf numFmtId="164" fontId="10" fillId="0" borderId="0" xfId="1" applyNumberFormat="1" applyFont="1"/>
    <xf numFmtId="10" fontId="10" fillId="0" borderId="0" xfId="1" applyNumberFormat="1" applyFont="1"/>
    <xf numFmtId="0" fontId="10" fillId="0" borderId="0" xfId="0" applyFont="1"/>
    <xf numFmtId="166" fontId="10" fillId="0" borderId="0" xfId="1" applyNumberFormat="1" applyFont="1"/>
    <xf numFmtId="9" fontId="6" fillId="0" borderId="1" xfId="0" applyNumberFormat="1" applyFont="1" applyBorder="1" applyAlignment="1">
      <alignment horizontal="center"/>
    </xf>
    <xf numFmtId="164" fontId="6" fillId="0" borderId="1" xfId="1" applyNumberFormat="1" applyFont="1" applyBorder="1" applyAlignment="1">
      <alignment horizontal="right"/>
    </xf>
    <xf numFmtId="16" fontId="6" fillId="0" borderId="0" xfId="0" applyNumberFormat="1" applyFont="1"/>
    <xf numFmtId="164" fontId="6" fillId="0" borderId="0" xfId="1" applyNumberFormat="1" applyFont="1" applyAlignment="1">
      <alignment horizontal="right"/>
    </xf>
    <xf numFmtId="0" fontId="6" fillId="0" borderId="1" xfId="0" applyFont="1" applyBorder="1" applyAlignment="1">
      <alignment vertical="top"/>
    </xf>
    <xf numFmtId="0" fontId="6" fillId="0" borderId="0" xfId="0" applyFont="1" applyAlignment="1">
      <alignment vertical="top"/>
    </xf>
    <xf numFmtId="164" fontId="6" fillId="0" borderId="1" xfId="0" applyNumberFormat="1" applyFont="1" applyBorder="1" applyAlignment="1">
      <alignment vertical="top"/>
    </xf>
    <xf numFmtId="165" fontId="6" fillId="0" borderId="1" xfId="0" applyNumberFormat="1" applyFont="1" applyBorder="1" applyAlignment="1">
      <alignment vertical="top" wrapText="1"/>
    </xf>
    <xf numFmtId="0" fontId="5" fillId="0" borderId="1" xfId="0" applyFont="1" applyBorder="1" applyAlignment="1">
      <alignment horizontal="center"/>
    </xf>
    <xf numFmtId="0" fontId="5" fillId="0" borderId="0" xfId="0" applyFont="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169" fontId="6" fillId="0" borderId="0" xfId="0" applyNumberFormat="1" applyFont="1"/>
    <xf numFmtId="164" fontId="6" fillId="0" borderId="7" xfId="1" applyNumberFormat="1" applyFont="1" applyBorder="1" applyAlignment="1">
      <alignment horizontal="center"/>
    </xf>
    <xf numFmtId="164" fontId="6" fillId="0" borderId="9" xfId="1" applyNumberFormat="1" applyFont="1" applyBorder="1" applyAlignment="1">
      <alignment horizontal="center"/>
    </xf>
    <xf numFmtId="164" fontId="6" fillId="0" borderId="10" xfId="1" applyNumberFormat="1" applyFont="1" applyBorder="1" applyAlignment="1">
      <alignment horizontal="center"/>
    </xf>
    <xf numFmtId="0" fontId="5" fillId="3" borderId="1" xfId="0" applyFont="1" applyFill="1" applyBorder="1" applyAlignment="1">
      <alignment horizontal="center"/>
    </xf>
    <xf numFmtId="0" fontId="5" fillId="3" borderId="6"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1" xfId="0" applyFont="1" applyBorder="1" applyAlignment="1">
      <alignment horizontal="left"/>
    </xf>
    <xf numFmtId="0" fontId="6" fillId="3" borderId="1" xfId="0" applyFont="1" applyFill="1" applyBorder="1" applyAlignment="1">
      <alignment horizontal="center"/>
    </xf>
    <xf numFmtId="0" fontId="6" fillId="0" borderId="0" xfId="0" applyFont="1" applyAlignment="1">
      <alignment horizontal="left" wrapText="1"/>
    </xf>
    <xf numFmtId="0" fontId="0" fillId="0" borderId="0" xfId="0" applyAlignment="1">
      <alignment horizontal="center"/>
    </xf>
    <xf numFmtId="0" fontId="6"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43" fontId="5" fillId="0" borderId="4" xfId="0" applyNumberFormat="1" applyFont="1" applyBorder="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Assignments/6.%20Ashiwini%20Mittal%20uncle's%20bid%20for%20work/1.%20F&amp;V%20Processing%20unit/F&amp;V%20Processing%20Unit%20Annexures%20-%20With%20Subsi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nn 1"/>
      <sheetName val="Ann 2"/>
      <sheetName val="Ann 3"/>
      <sheetName val="Ann 4"/>
      <sheetName val="Ann 5"/>
      <sheetName val="Ann 6"/>
      <sheetName val="Ann 7"/>
      <sheetName val="Ann 8"/>
      <sheetName val="Ann 9"/>
      <sheetName val="Ann 10"/>
      <sheetName val="Ann 11"/>
      <sheetName val="Ann 12"/>
      <sheetName val="Ann 13"/>
      <sheetName val="Budgets"/>
      <sheetName val="Assumptions"/>
      <sheetName val="For word file"/>
      <sheetName val="Sheet1"/>
    </sheetNames>
    <sheetDataSet>
      <sheetData sheetId="0"/>
      <sheetData sheetId="1">
        <row r="3">
          <cell r="A3" t="str">
            <v>Annexure 1 - Estimated cost of the project</v>
          </cell>
        </row>
      </sheetData>
      <sheetData sheetId="2">
        <row r="1">
          <cell r="A1" t="str">
            <v>Annexure 2 - Means of Finance</v>
          </cell>
        </row>
      </sheetData>
      <sheetData sheetId="3"/>
      <sheetData sheetId="4">
        <row r="1">
          <cell r="A1" t="str">
            <v>Annexure 4 - Estimated Cost of Production</v>
          </cell>
        </row>
      </sheetData>
      <sheetData sheetId="5">
        <row r="1">
          <cell r="A1" t="str">
            <v>Annexure 5- Projected balance sheet</v>
          </cell>
        </row>
      </sheetData>
      <sheetData sheetId="6"/>
      <sheetData sheetId="7"/>
      <sheetData sheetId="8"/>
      <sheetData sheetId="9"/>
      <sheetData sheetId="10"/>
      <sheetData sheetId="11">
        <row r="1">
          <cell r="A1" t="str">
            <v>Annexure 11- Break even analysis (At maximum capacity utilization)</v>
          </cell>
        </row>
      </sheetData>
      <sheetData sheetId="12"/>
      <sheetData sheetId="13"/>
      <sheetData sheetId="14">
        <row r="1">
          <cell r="A1" t="str">
            <v>Sales Budget</v>
          </cell>
        </row>
      </sheetData>
      <sheetData sheetId="15">
        <row r="1">
          <cell r="B1" t="str">
            <v>Assumptions</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6"/>
  <sheetViews>
    <sheetView tabSelected="1" workbookViewId="0">
      <selection activeCell="A15" sqref="A15"/>
    </sheetView>
  </sheetViews>
  <sheetFormatPr defaultRowHeight="17" x14ac:dyDescent="0.6"/>
  <cols>
    <col min="1" max="1" width="57.90625" style="8" bestFit="1" customWidth="1"/>
    <col min="2" max="2" width="14.453125" style="8" bestFit="1" customWidth="1"/>
    <col min="3" max="16384" width="8.7265625" style="8"/>
  </cols>
  <sheetData>
    <row r="1" spans="1:2" x14ac:dyDescent="0.6">
      <c r="A1" s="7" t="s">
        <v>201</v>
      </c>
    </row>
    <row r="3" spans="1:2" x14ac:dyDescent="0.6">
      <c r="A3" s="12" t="s">
        <v>202</v>
      </c>
      <c r="B3" s="12" t="s">
        <v>203</v>
      </c>
    </row>
    <row r="4" spans="1:2" x14ac:dyDescent="0.6">
      <c r="A4" s="9" t="str">
        <f>'[1]Ann 1'!A3</f>
        <v>Annexure 1 - Estimated cost of the project</v>
      </c>
      <c r="B4" s="10" t="s">
        <v>204</v>
      </c>
    </row>
    <row r="5" spans="1:2" x14ac:dyDescent="0.6">
      <c r="A5" s="9" t="str">
        <f>'[1]Ann 2'!A1</f>
        <v>Annexure 2 - Means of Finance</v>
      </c>
      <c r="B5" s="10" t="s">
        <v>205</v>
      </c>
    </row>
    <row r="6" spans="1:2" x14ac:dyDescent="0.6">
      <c r="A6" s="9" t="str">
        <f>'Ann 3'!A1</f>
        <v>Annexure 3 - Complete Estimate of Civil and Plant and Machinery</v>
      </c>
      <c r="B6" s="10" t="s">
        <v>221</v>
      </c>
    </row>
    <row r="7" spans="1:2" x14ac:dyDescent="0.6">
      <c r="A7" s="9" t="str">
        <f>'[1]Ann 4'!A1</f>
        <v>Annexure 4 - Estimated Cost of Production</v>
      </c>
      <c r="B7" s="10" t="s">
        <v>206</v>
      </c>
    </row>
    <row r="8" spans="1:2" x14ac:dyDescent="0.6">
      <c r="A8" s="9" t="str">
        <f>'[1]Ann 5'!A1</f>
        <v>Annexure 5- Projected balance sheet</v>
      </c>
      <c r="B8" s="10" t="s">
        <v>207</v>
      </c>
    </row>
    <row r="9" spans="1:2" x14ac:dyDescent="0.6">
      <c r="A9" s="9" t="str">
        <f>'Ann 8'!A1</f>
        <v>Annexure 8 - Details of Mnpower</v>
      </c>
      <c r="B9" s="10" t="s">
        <v>208</v>
      </c>
    </row>
    <row r="10" spans="1:2" x14ac:dyDescent="0.6">
      <c r="A10" s="9" t="str">
        <f>'Ann 9'!A1</f>
        <v>Annexure 9 - Computation of Depreciation</v>
      </c>
      <c r="B10" s="10" t="s">
        <v>209</v>
      </c>
    </row>
    <row r="11" spans="1:2" x14ac:dyDescent="0.6">
      <c r="A11" s="9" t="str">
        <f>'Ann 10'!A1</f>
        <v>Annexure 10 - Calculation of Income tax</v>
      </c>
      <c r="B11" s="10" t="s">
        <v>210</v>
      </c>
    </row>
    <row r="12" spans="1:2" x14ac:dyDescent="0.6">
      <c r="A12" s="9" t="str">
        <f>'[1]Ann 11'!A1</f>
        <v>Annexure 11- Break even analysis (At maximum capacity utilization)</v>
      </c>
      <c r="B12" s="10" t="s">
        <v>211</v>
      </c>
    </row>
    <row r="13" spans="1:2" x14ac:dyDescent="0.6">
      <c r="A13" s="9" t="str">
        <f>'Ann 13'!A1</f>
        <v>Annexure 13 - Repayment schedule</v>
      </c>
      <c r="B13" s="10" t="s">
        <v>212</v>
      </c>
    </row>
    <row r="14" spans="1:2" x14ac:dyDescent="0.6">
      <c r="A14" s="9" t="str">
        <f>'Ann 14'!A1</f>
        <v>Annexure 14 - Cash flow statement</v>
      </c>
      <c r="B14" s="10" t="s">
        <v>314</v>
      </c>
    </row>
    <row r="15" spans="1:2" x14ac:dyDescent="0.6">
      <c r="A15" s="9" t="str">
        <f>[1]Assumptions!B1</f>
        <v>Assumptions</v>
      </c>
      <c r="B15" s="11" t="s">
        <v>213</v>
      </c>
    </row>
    <row r="16" spans="1:2" x14ac:dyDescent="0.6">
      <c r="A16" s="9" t="str">
        <f>[1]Budgets!A1</f>
        <v>Sales Budget</v>
      </c>
      <c r="B16" s="11" t="s">
        <v>214</v>
      </c>
    </row>
  </sheetData>
  <hyperlinks>
    <hyperlink ref="B4" location="'Ann 1'!A1" display="Ann 1'!A1" xr:uid="{8392AB6D-212E-479A-A76E-720E2C0CDF1A}"/>
    <hyperlink ref="B5" location="'Ann 2'!A1" display="Ann 2'!A1" xr:uid="{B4E13D04-8C42-46A6-BAFD-20DB089CE0CE}"/>
    <hyperlink ref="B7" location="'Ann 5'!A1" display="Ann 4'!A1" xr:uid="{13CD8BC8-123F-4B27-B558-7700BF617505}"/>
    <hyperlink ref="B8" location="'Ann 6'!A1" display="Ann 5'!A1" xr:uid="{48243C34-7BE1-4B2C-9BAF-A4BEE1FA52A7}"/>
    <hyperlink ref="B9" location="'Ann 8'!A1" display="'Ann 8'!A1" xr:uid="{4BFF2D8E-3B2F-47B1-821E-2A9D5F3C599D}"/>
    <hyperlink ref="B10" location="'Ann 9'!A1" display="'Ann 9'!A1" xr:uid="{E91052E2-C8F3-4E24-802C-38C31EA75505}"/>
    <hyperlink ref="B11" location="'Ann 10'!A1" display="'Ann 10'!A1" xr:uid="{6A4B47E0-EA66-439F-8C5A-E0DF1C723C34}"/>
    <hyperlink ref="B12" location="'Ann 11'!A1" display="'Ann 11'!A1" xr:uid="{91648EFB-F5F2-42E9-8853-705ACD4F62EF}"/>
    <hyperlink ref="B13" location="'Ann 13'!A1" display="'Ann 13'!A1" xr:uid="{D748CAF8-9377-4D17-A5F2-F1A083E6D389}"/>
    <hyperlink ref="B15" location="Assumptions!A1" display="Assumptions!A1" xr:uid="{E978F649-0532-497D-92AA-EF316AAFA8E7}"/>
    <hyperlink ref="B16" location="Budgets!A1" display="Budgets!A1" xr:uid="{4CD23AF4-AE8A-40D8-A5ED-3F33524C9974}"/>
    <hyperlink ref="B6" location="'Ann 3'!A1" display="'Ann 3'!A1" xr:uid="{103D0423-931A-4127-89EA-F0D3EE7C4F91}"/>
    <hyperlink ref="B14" location="'Ann 14'!A1" display="'Ann 14'!A1" xr:uid="{C838FF0E-FB21-4681-BB24-3699D664F32C}"/>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election activeCell="B7" sqref="B7"/>
    </sheetView>
  </sheetViews>
  <sheetFormatPr defaultRowHeight="17" x14ac:dyDescent="0.6"/>
  <cols>
    <col min="1" max="1" width="20.90625" style="8" customWidth="1"/>
    <col min="2" max="10" width="13.6328125" style="8" bestFit="1" customWidth="1"/>
    <col min="11" max="16384" width="8.7265625" style="8"/>
  </cols>
  <sheetData>
    <row r="1" spans="1:10" x14ac:dyDescent="0.6">
      <c r="A1" s="7" t="s">
        <v>104</v>
      </c>
    </row>
    <row r="3" spans="1:10" x14ac:dyDescent="0.6">
      <c r="A3" s="80" t="s">
        <v>105</v>
      </c>
    </row>
    <row r="5" spans="1:10" x14ac:dyDescent="0.6">
      <c r="A5" s="130" t="s">
        <v>3</v>
      </c>
      <c r="B5" s="130" t="s">
        <v>48</v>
      </c>
      <c r="C5" s="130"/>
      <c r="D5" s="130"/>
      <c r="E5" s="130"/>
      <c r="F5" s="130"/>
      <c r="G5" s="130"/>
      <c r="H5" s="130"/>
      <c r="I5" s="130"/>
      <c r="J5" s="130"/>
    </row>
    <row r="6" spans="1:10" x14ac:dyDescent="0.6">
      <c r="A6" s="130"/>
      <c r="B6" s="95" t="s">
        <v>39</v>
      </c>
      <c r="C6" s="95" t="s">
        <v>40</v>
      </c>
      <c r="D6" s="95" t="s">
        <v>41</v>
      </c>
      <c r="E6" s="95" t="s">
        <v>42</v>
      </c>
      <c r="F6" s="95" t="s">
        <v>43</v>
      </c>
      <c r="G6" s="95" t="s">
        <v>44</v>
      </c>
      <c r="H6" s="95" t="s">
        <v>45</v>
      </c>
      <c r="I6" s="95" t="s">
        <v>46</v>
      </c>
      <c r="J6" s="95" t="s">
        <v>47</v>
      </c>
    </row>
    <row r="7" spans="1:10" x14ac:dyDescent="0.6">
      <c r="A7" s="9" t="s">
        <v>106</v>
      </c>
      <c r="B7" s="55">
        <f>'Ann 4'!C29</f>
        <v>3130176.2807692424</v>
      </c>
      <c r="C7" s="55">
        <f>'Ann 4'!D29</f>
        <v>4191790.7307691714</v>
      </c>
      <c r="D7" s="55">
        <f>'Ann 4'!E29</f>
        <v>8332529.5430768682</v>
      </c>
      <c r="E7" s="55">
        <f>'Ann 4'!F29</f>
        <v>13391606.775184609</v>
      </c>
      <c r="F7" s="55">
        <f>'Ann 4'!G29</f>
        <v>19505222.360168297</v>
      </c>
      <c r="G7" s="55">
        <f>'Ann 4'!H29</f>
        <v>21533464.34182477</v>
      </c>
      <c r="H7" s="55">
        <f>'Ann 4'!I29</f>
        <v>29959778.127714556</v>
      </c>
      <c r="I7" s="55">
        <f>'Ann 4'!J29</f>
        <v>37837268.57642442</v>
      </c>
      <c r="J7" s="55">
        <f>'Ann 4'!K29</f>
        <v>46564661.928427219</v>
      </c>
    </row>
    <row r="8" spans="1:10" x14ac:dyDescent="0.6">
      <c r="A8" s="9" t="s">
        <v>107</v>
      </c>
      <c r="B8" s="55">
        <v>0</v>
      </c>
      <c r="C8" s="55">
        <v>0</v>
      </c>
      <c r="D8" s="55">
        <v>0</v>
      </c>
      <c r="E8" s="55">
        <v>0</v>
      </c>
      <c r="F8" s="55">
        <v>0</v>
      </c>
      <c r="G8" s="55">
        <v>0</v>
      </c>
      <c r="H8" s="55">
        <v>0</v>
      </c>
      <c r="I8" s="55">
        <v>0</v>
      </c>
      <c r="J8" s="55">
        <v>0</v>
      </c>
    </row>
    <row r="9" spans="1:10" x14ac:dyDescent="0.6">
      <c r="A9" s="9" t="s">
        <v>108</v>
      </c>
      <c r="B9" s="55">
        <f>B7+B8</f>
        <v>3130176.2807692424</v>
      </c>
      <c r="C9" s="55">
        <f t="shared" ref="C9:J9" si="0">C7+C8</f>
        <v>4191790.7307691714</v>
      </c>
      <c r="D9" s="55">
        <f t="shared" si="0"/>
        <v>8332529.5430768682</v>
      </c>
      <c r="E9" s="55">
        <f t="shared" si="0"/>
        <v>13391606.775184609</v>
      </c>
      <c r="F9" s="55">
        <f t="shared" si="0"/>
        <v>19505222.360168297</v>
      </c>
      <c r="G9" s="55">
        <f t="shared" si="0"/>
        <v>21533464.34182477</v>
      </c>
      <c r="H9" s="55">
        <f t="shared" si="0"/>
        <v>29959778.127714556</v>
      </c>
      <c r="I9" s="55">
        <f t="shared" si="0"/>
        <v>37837268.57642442</v>
      </c>
      <c r="J9" s="55">
        <f t="shared" si="0"/>
        <v>46564661.928427219</v>
      </c>
    </row>
    <row r="10" spans="1:10" x14ac:dyDescent="0.6">
      <c r="A10" s="9" t="s">
        <v>109</v>
      </c>
      <c r="B10" s="55">
        <f>SUM('Ann 9'!C12:E12)</f>
        <v>1524150</v>
      </c>
      <c r="C10" s="55">
        <f>SUM('Ann 9'!C13:E13)</f>
        <v>1307985</v>
      </c>
      <c r="D10" s="55">
        <f>SUM('Ann 9'!C14:E14)</f>
        <v>1122999</v>
      </c>
      <c r="E10" s="55">
        <f>SUM('Ann 9'!C15:E15)</f>
        <v>964639.72499999998</v>
      </c>
      <c r="F10" s="55">
        <f>SUM('Ann 9'!C16:E16)</f>
        <v>829025.28374999994</v>
      </c>
      <c r="G10" s="55">
        <f>SUM('Ann 9'!C17:E17)</f>
        <v>712844.85693749995</v>
      </c>
      <c r="H10" s="55">
        <f>SUM('Ann 9'!C18:E18)</f>
        <v>613274.15757187502</v>
      </c>
      <c r="I10" s="55">
        <f>SUM('Ann 9'!C19:E19)</f>
        <v>527903.46019359375</v>
      </c>
      <c r="J10" s="55">
        <f>SUM('Ann 9'!C20:E20)</f>
        <v>454676.32479630469</v>
      </c>
    </row>
    <row r="11" spans="1:10" x14ac:dyDescent="0.6">
      <c r="A11" s="9" t="s">
        <v>108</v>
      </c>
      <c r="B11" s="55">
        <f>B9-B10</f>
        <v>1606026.2807692424</v>
      </c>
      <c r="C11" s="55">
        <f t="shared" ref="C11:J11" si="1">C9-C10</f>
        <v>2883805.7307691714</v>
      </c>
      <c r="D11" s="55">
        <f t="shared" si="1"/>
        <v>7209530.5430768682</v>
      </c>
      <c r="E11" s="55">
        <f t="shared" si="1"/>
        <v>12426967.050184609</v>
      </c>
      <c r="F11" s="55">
        <f t="shared" si="1"/>
        <v>18676197.076418296</v>
      </c>
      <c r="G11" s="55">
        <f t="shared" si="1"/>
        <v>20820619.484887268</v>
      </c>
      <c r="H11" s="55">
        <f t="shared" si="1"/>
        <v>29346503.970142681</v>
      </c>
      <c r="I11" s="55">
        <f t="shared" si="1"/>
        <v>37309365.116230823</v>
      </c>
      <c r="J11" s="55">
        <f t="shared" si="1"/>
        <v>46109985.603630915</v>
      </c>
    </row>
    <row r="12" spans="1:10" x14ac:dyDescent="0.6">
      <c r="A12" s="9" t="s">
        <v>110</v>
      </c>
      <c r="B12" s="94">
        <v>0</v>
      </c>
      <c r="C12" s="94">
        <v>0</v>
      </c>
      <c r="D12" s="94">
        <v>0</v>
      </c>
      <c r="E12" s="94">
        <v>0</v>
      </c>
      <c r="F12" s="94">
        <v>0</v>
      </c>
      <c r="G12" s="94">
        <v>0</v>
      </c>
      <c r="H12" s="94">
        <v>0</v>
      </c>
      <c r="I12" s="94">
        <v>0</v>
      </c>
      <c r="J12" s="94">
        <v>0</v>
      </c>
    </row>
    <row r="13" spans="1:10" x14ac:dyDescent="0.6">
      <c r="A13" s="9" t="s">
        <v>111</v>
      </c>
      <c r="B13" s="81">
        <f>B11</f>
        <v>1606026.2807692424</v>
      </c>
      <c r="C13" s="81">
        <f t="shared" ref="C13:J13" si="2">C11</f>
        <v>2883805.7307691714</v>
      </c>
      <c r="D13" s="81">
        <f t="shared" si="2"/>
        <v>7209530.5430768682</v>
      </c>
      <c r="E13" s="81">
        <f t="shared" si="2"/>
        <v>12426967.050184609</v>
      </c>
      <c r="F13" s="81">
        <f t="shared" si="2"/>
        <v>18676197.076418296</v>
      </c>
      <c r="G13" s="81">
        <f t="shared" si="2"/>
        <v>20820619.484887268</v>
      </c>
      <c r="H13" s="81">
        <f t="shared" si="2"/>
        <v>29346503.970142681</v>
      </c>
      <c r="I13" s="81">
        <f t="shared" si="2"/>
        <v>37309365.116230823</v>
      </c>
      <c r="J13" s="81">
        <f t="shared" si="2"/>
        <v>46109985.603630915</v>
      </c>
    </row>
    <row r="14" spans="1:10" x14ac:dyDescent="0.6">
      <c r="A14" s="9" t="s">
        <v>112</v>
      </c>
      <c r="B14" s="81">
        <f>B13*30%</f>
        <v>481807.88423077273</v>
      </c>
      <c r="C14" s="81">
        <f t="shared" ref="C14:J14" si="3">C13*30%</f>
        <v>865141.71923075139</v>
      </c>
      <c r="D14" s="81">
        <f t="shared" si="3"/>
        <v>2162859.1629230604</v>
      </c>
      <c r="E14" s="81">
        <f t="shared" si="3"/>
        <v>3728090.1150553827</v>
      </c>
      <c r="F14" s="81">
        <f t="shared" si="3"/>
        <v>5602859.1229254883</v>
      </c>
      <c r="G14" s="81">
        <f t="shared" si="3"/>
        <v>6246185.8454661807</v>
      </c>
      <c r="H14" s="81">
        <f t="shared" si="3"/>
        <v>8803951.1910428032</v>
      </c>
      <c r="I14" s="81">
        <f t="shared" si="3"/>
        <v>11192809.534869246</v>
      </c>
      <c r="J14" s="81">
        <f t="shared" si="3"/>
        <v>13832995.681089275</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32"/>
  <sheetViews>
    <sheetView workbookViewId="0">
      <selection activeCell="E19" sqref="E19"/>
    </sheetView>
  </sheetViews>
  <sheetFormatPr defaultRowHeight="17" x14ac:dyDescent="0.6"/>
  <cols>
    <col min="1" max="1" width="8.7265625" style="8"/>
    <col min="2" max="2" width="26.7265625" style="8" bestFit="1" customWidth="1"/>
    <col min="3" max="3" width="14.6328125" style="8" bestFit="1" customWidth="1"/>
    <col min="4" max="4" width="13.54296875" style="8" bestFit="1" customWidth="1"/>
    <col min="5" max="5" width="13.6328125" style="8" bestFit="1" customWidth="1"/>
    <col min="6" max="14" width="8.7265625" style="8"/>
    <col min="15" max="15" width="13.6328125" style="8" bestFit="1" customWidth="1"/>
    <col min="16" max="16" width="12.54296875" style="8" bestFit="1" customWidth="1"/>
    <col min="17" max="16384" width="8.7265625" style="8"/>
  </cols>
  <sheetData>
    <row r="1" spans="1:7" x14ac:dyDescent="0.6">
      <c r="A1" s="7" t="s">
        <v>70</v>
      </c>
    </row>
    <row r="3" spans="1:7" x14ac:dyDescent="0.6">
      <c r="A3" s="98" t="s">
        <v>71</v>
      </c>
      <c r="B3" s="99"/>
      <c r="C3" s="99"/>
      <c r="D3" s="99"/>
      <c r="E3" s="99"/>
    </row>
    <row r="5" spans="1:7" x14ac:dyDescent="0.6">
      <c r="B5" s="8" t="s">
        <v>50</v>
      </c>
      <c r="E5" s="96">
        <f>'Ann 4'!C21/70%</f>
        <v>377239440</v>
      </c>
    </row>
    <row r="6" spans="1:7" x14ac:dyDescent="0.6">
      <c r="B6" s="8" t="s">
        <v>72</v>
      </c>
    </row>
    <row r="7" spans="1:7" x14ac:dyDescent="0.6">
      <c r="B7" s="97" t="s">
        <v>73</v>
      </c>
      <c r="D7" s="51">
        <f>E5*5%</f>
        <v>18861972</v>
      </c>
    </row>
    <row r="8" spans="1:7" x14ac:dyDescent="0.6">
      <c r="B8" s="97" t="s">
        <v>74</v>
      </c>
      <c r="D8" s="51">
        <f>'Ann 2'!C5*100000*10%</f>
        <v>0</v>
      </c>
      <c r="E8" s="51"/>
    </row>
    <row r="9" spans="1:7" x14ac:dyDescent="0.6">
      <c r="B9" s="97" t="s">
        <v>77</v>
      </c>
      <c r="D9" s="51">
        <f>'Ann 4'!K41</f>
        <v>1313293.7278125002</v>
      </c>
      <c r="E9" s="51">
        <f>SUM(D7:D9)</f>
        <v>20175265.727812499</v>
      </c>
      <c r="G9" s="21"/>
    </row>
    <row r="10" spans="1:7" x14ac:dyDescent="0.6">
      <c r="B10" s="8" t="s">
        <v>75</v>
      </c>
      <c r="E10" s="51">
        <f>E5-E9</f>
        <v>357064174.27218747</v>
      </c>
    </row>
    <row r="11" spans="1:7" x14ac:dyDescent="0.6">
      <c r="B11" s="8" t="s">
        <v>247</v>
      </c>
    </row>
    <row r="12" spans="1:7" x14ac:dyDescent="0.6">
      <c r="B12" s="8" t="s">
        <v>76</v>
      </c>
      <c r="E12" s="51">
        <f>'Ann 8'!E14</f>
        <v>2072400</v>
      </c>
    </row>
    <row r="13" spans="1:7" x14ac:dyDescent="0.6">
      <c r="B13" s="8" t="s">
        <v>326</v>
      </c>
      <c r="E13" s="51">
        <f>'Ann 4'!C9</f>
        <v>170000</v>
      </c>
    </row>
    <row r="14" spans="1:7" x14ac:dyDescent="0.6">
      <c r="B14" s="8" t="s">
        <v>78</v>
      </c>
      <c r="E14" s="51">
        <f>'Ann 9'!F12</f>
        <v>1524150</v>
      </c>
    </row>
    <row r="15" spans="1:7" x14ac:dyDescent="0.6">
      <c r="B15" s="8" t="s">
        <v>285</v>
      </c>
      <c r="E15" s="51">
        <v>240000</v>
      </c>
    </row>
    <row r="16" spans="1:7" x14ac:dyDescent="0.6">
      <c r="B16" s="8" t="s">
        <v>245</v>
      </c>
      <c r="E16" s="51">
        <v>100000</v>
      </c>
    </row>
    <row r="17" spans="1:5" x14ac:dyDescent="0.6">
      <c r="B17" s="8" t="s">
        <v>197</v>
      </c>
      <c r="E17" s="51">
        <f>SUM('Ann 13'!E9:E12)*100000</f>
        <v>590754.51923076937</v>
      </c>
    </row>
    <row r="18" spans="1:5" x14ac:dyDescent="0.6">
      <c r="B18" s="8" t="s">
        <v>79</v>
      </c>
      <c r="E18" s="51">
        <f>SUM(E12:E17)</f>
        <v>4697304.519230769</v>
      </c>
    </row>
    <row r="20" spans="1:5" x14ac:dyDescent="0.6">
      <c r="B20" s="58" t="s">
        <v>3</v>
      </c>
      <c r="C20" s="58" t="s">
        <v>248</v>
      </c>
    </row>
    <row r="21" spans="1:5" x14ac:dyDescent="0.6">
      <c r="B21" s="9" t="s">
        <v>80</v>
      </c>
      <c r="C21" s="9">
        <f>Budgets!D21</f>
        <v>35</v>
      </c>
    </row>
    <row r="22" spans="1:5" x14ac:dyDescent="0.6">
      <c r="B22" s="9" t="s">
        <v>279</v>
      </c>
      <c r="C22" s="9"/>
    </row>
    <row r="23" spans="1:5" x14ac:dyDescent="0.6">
      <c r="B23" s="9" t="s">
        <v>280</v>
      </c>
      <c r="C23" s="9">
        <f>Budgets!E21*1.1/70%</f>
        <v>28.285714285714288</v>
      </c>
    </row>
    <row r="24" spans="1:5" x14ac:dyDescent="0.6">
      <c r="B24" s="9" t="s">
        <v>281</v>
      </c>
      <c r="C24" s="92">
        <f>D9/Budgets!C21</f>
        <v>0.10055231898601159</v>
      </c>
    </row>
    <row r="25" spans="1:5" x14ac:dyDescent="0.6">
      <c r="B25" s="9" t="s">
        <v>282</v>
      </c>
      <c r="C25" s="9">
        <f>C21*10%</f>
        <v>3.5</v>
      </c>
    </row>
    <row r="26" spans="1:5" x14ac:dyDescent="0.6">
      <c r="B26" s="9" t="s">
        <v>283</v>
      </c>
      <c r="C26" s="92">
        <f>D8/Budgets!C17</f>
        <v>0</v>
      </c>
    </row>
    <row r="27" spans="1:5" x14ac:dyDescent="0.6">
      <c r="B27" s="9" t="s">
        <v>284</v>
      </c>
      <c r="C27" s="9">
        <f>C21-SUM(C23:C26)</f>
        <v>3.1137333952997004</v>
      </c>
    </row>
    <row r="28" spans="1:5" x14ac:dyDescent="0.6">
      <c r="B28" s="9" t="s">
        <v>246</v>
      </c>
      <c r="C28" s="94">
        <f>E18/C27</f>
        <v>1508576.3367928448</v>
      </c>
    </row>
    <row r="29" spans="1:5" x14ac:dyDescent="0.6">
      <c r="B29" s="9" t="s">
        <v>196</v>
      </c>
      <c r="C29" s="100">
        <f>C28/Budgets!C21</f>
        <v>0.11550412966991645</v>
      </c>
    </row>
    <row r="30" spans="1:5" x14ac:dyDescent="0.6">
      <c r="C30" s="33"/>
    </row>
    <row r="31" spans="1:5" ht="49" customHeight="1" x14ac:dyDescent="0.6">
      <c r="A31" s="131" t="s">
        <v>222</v>
      </c>
      <c r="B31" s="131"/>
      <c r="C31" s="131"/>
      <c r="D31" s="131"/>
      <c r="E31" s="131"/>
    </row>
    <row r="32" spans="1:5" ht="86.5" customHeight="1" x14ac:dyDescent="0.6">
      <c r="A32" s="131" t="s">
        <v>329</v>
      </c>
      <c r="B32" s="131"/>
      <c r="C32" s="131"/>
      <c r="D32" s="131"/>
      <c r="E32" s="131"/>
    </row>
  </sheetData>
  <mergeCells count="2">
    <mergeCell ref="A31:E31"/>
    <mergeCell ref="A32:E3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81</v>
      </c>
    </row>
    <row r="3" spans="1:11" x14ac:dyDescent="0.35">
      <c r="C3" s="132" t="s">
        <v>82</v>
      </c>
      <c r="D3" s="132"/>
      <c r="E3" s="132"/>
      <c r="F3" s="132"/>
      <c r="G3" s="132"/>
      <c r="H3" s="132"/>
      <c r="I3" s="132"/>
      <c r="J3" s="132"/>
      <c r="K3" s="132"/>
    </row>
    <row r="4" spans="1:11" x14ac:dyDescent="0.35">
      <c r="C4">
        <v>1</v>
      </c>
      <c r="D4">
        <v>2</v>
      </c>
      <c r="E4">
        <v>3</v>
      </c>
      <c r="F4">
        <v>4</v>
      </c>
      <c r="G4">
        <v>5</v>
      </c>
      <c r="H4">
        <v>6</v>
      </c>
      <c r="I4">
        <v>7</v>
      </c>
      <c r="J4">
        <v>8</v>
      </c>
      <c r="K4">
        <v>9</v>
      </c>
    </row>
    <row r="5" spans="1:11" x14ac:dyDescent="0.35">
      <c r="A5" t="s">
        <v>83</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84</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85</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dimension ref="A1:G36"/>
  <sheetViews>
    <sheetView workbookViewId="0">
      <selection activeCell="D12" sqref="D12"/>
    </sheetView>
  </sheetViews>
  <sheetFormatPr defaultRowHeight="17" x14ac:dyDescent="0.6"/>
  <cols>
    <col min="1" max="1" width="4.54296875" style="8" bestFit="1" customWidth="1"/>
    <col min="2" max="2" width="7.36328125" style="8" bestFit="1" customWidth="1"/>
    <col min="3" max="3" width="17.81640625" style="8" bestFit="1" customWidth="1"/>
    <col min="4" max="4" width="17.36328125" style="8" bestFit="1" customWidth="1"/>
    <col min="5" max="5" width="7.26953125" style="8" bestFit="1" customWidth="1"/>
    <col min="6" max="16384" width="8.7265625" style="8"/>
  </cols>
  <sheetData>
    <row r="1" spans="1:7" x14ac:dyDescent="0.6">
      <c r="A1" s="7" t="s">
        <v>91</v>
      </c>
    </row>
    <row r="3" spans="1:7" x14ac:dyDescent="0.6">
      <c r="A3" s="80" t="s">
        <v>92</v>
      </c>
    </row>
    <row r="4" spans="1:7" x14ac:dyDescent="0.6">
      <c r="A4" s="8" t="s">
        <v>93</v>
      </c>
      <c r="D4" s="101">
        <f>'Ann 2'!C6</f>
        <v>99.41500000000002</v>
      </c>
    </row>
    <row r="5" spans="1:7" x14ac:dyDescent="0.6">
      <c r="A5" s="8" t="s">
        <v>94</v>
      </c>
      <c r="D5" s="102">
        <v>0.06</v>
      </c>
    </row>
    <row r="6" spans="1:7" x14ac:dyDescent="0.6">
      <c r="A6" s="8" t="s">
        <v>95</v>
      </c>
      <c r="D6" s="103" t="s">
        <v>153</v>
      </c>
    </row>
    <row r="8" spans="1:7" x14ac:dyDescent="0.6">
      <c r="A8" s="29" t="s">
        <v>69</v>
      </c>
      <c r="B8" s="29" t="s">
        <v>96</v>
      </c>
      <c r="C8" s="29" t="s">
        <v>97</v>
      </c>
      <c r="D8" s="29" t="s">
        <v>99</v>
      </c>
      <c r="E8" s="29" t="s">
        <v>98</v>
      </c>
    </row>
    <row r="9" spans="1:7" x14ac:dyDescent="0.6">
      <c r="A9" s="133">
        <v>1</v>
      </c>
      <c r="B9" s="9">
        <v>1</v>
      </c>
      <c r="C9" s="86">
        <f>$D$4</f>
        <v>99.41500000000002</v>
      </c>
      <c r="D9" s="9">
        <v>0</v>
      </c>
      <c r="E9" s="9">
        <f>C9*$D$5/4</f>
        <v>1.4912250000000002</v>
      </c>
    </row>
    <row r="10" spans="1:7" x14ac:dyDescent="0.6">
      <c r="A10" s="133"/>
      <c r="B10" s="9">
        <v>2</v>
      </c>
      <c r="C10" s="86">
        <f>$D$4</f>
        <v>99.41500000000002</v>
      </c>
      <c r="D10" s="9">
        <v>0</v>
      </c>
      <c r="E10" s="9">
        <f t="shared" ref="E10:E36" si="0">C10*$D$5/4</f>
        <v>1.4912250000000002</v>
      </c>
      <c r="G10" s="104"/>
    </row>
    <row r="11" spans="1:7" x14ac:dyDescent="0.6">
      <c r="A11" s="133"/>
      <c r="B11" s="9">
        <v>3</v>
      </c>
      <c r="C11" s="86">
        <f>$D$4</f>
        <v>99.41500000000002</v>
      </c>
      <c r="D11" s="9">
        <f>D4/26</f>
        <v>3.8236538461538467</v>
      </c>
      <c r="E11" s="9">
        <f t="shared" si="0"/>
        <v>1.4912250000000002</v>
      </c>
    </row>
    <row r="12" spans="1:7" x14ac:dyDescent="0.6">
      <c r="A12" s="133"/>
      <c r="B12" s="9">
        <v>4</v>
      </c>
      <c r="C12" s="9">
        <f t="shared" ref="C12:C17" si="1">C11-D11</f>
        <v>95.591346153846175</v>
      </c>
      <c r="D12" s="9">
        <f>D11</f>
        <v>3.8236538461538467</v>
      </c>
      <c r="E12" s="9">
        <f t="shared" si="0"/>
        <v>1.4338701923076926</v>
      </c>
    </row>
    <row r="13" spans="1:7" x14ac:dyDescent="0.6">
      <c r="A13" s="133">
        <v>2</v>
      </c>
      <c r="B13" s="9">
        <v>1</v>
      </c>
      <c r="C13" s="9">
        <f t="shared" si="1"/>
        <v>91.767692307692329</v>
      </c>
      <c r="D13" s="9">
        <f t="shared" ref="D13:D35" si="2">D12</f>
        <v>3.8236538461538467</v>
      </c>
      <c r="E13" s="9">
        <f t="shared" si="0"/>
        <v>1.3765153846153848</v>
      </c>
    </row>
    <row r="14" spans="1:7" x14ac:dyDescent="0.6">
      <c r="A14" s="133"/>
      <c r="B14" s="9">
        <v>2</v>
      </c>
      <c r="C14" s="9">
        <f t="shared" si="1"/>
        <v>87.944038461538483</v>
      </c>
      <c r="D14" s="9">
        <f t="shared" si="2"/>
        <v>3.8236538461538467</v>
      </c>
      <c r="E14" s="9">
        <f t="shared" si="0"/>
        <v>1.3191605769230772</v>
      </c>
    </row>
    <row r="15" spans="1:7" x14ac:dyDescent="0.6">
      <c r="A15" s="133"/>
      <c r="B15" s="9">
        <v>3</v>
      </c>
      <c r="C15" s="9">
        <f t="shared" si="1"/>
        <v>84.120384615384637</v>
      </c>
      <c r="D15" s="9">
        <f t="shared" si="2"/>
        <v>3.8236538461538467</v>
      </c>
      <c r="E15" s="9">
        <f t="shared" si="0"/>
        <v>1.2618057692307696</v>
      </c>
    </row>
    <row r="16" spans="1:7" x14ac:dyDescent="0.6">
      <c r="A16" s="133"/>
      <c r="B16" s="9">
        <v>4</v>
      </c>
      <c r="C16" s="9">
        <f t="shared" si="1"/>
        <v>80.296730769230791</v>
      </c>
      <c r="D16" s="9">
        <f t="shared" si="2"/>
        <v>3.8236538461538467</v>
      </c>
      <c r="E16" s="9">
        <f t="shared" si="0"/>
        <v>1.2044509615384618</v>
      </c>
    </row>
    <row r="17" spans="1:5" x14ac:dyDescent="0.6">
      <c r="A17" s="133">
        <v>3</v>
      </c>
      <c r="B17" s="9">
        <v>1</v>
      </c>
      <c r="C17" s="9">
        <f t="shared" si="1"/>
        <v>76.473076923076945</v>
      </c>
      <c r="D17" s="9">
        <f t="shared" si="2"/>
        <v>3.8236538461538467</v>
      </c>
      <c r="E17" s="9">
        <f t="shared" si="0"/>
        <v>1.1470961538461542</v>
      </c>
    </row>
    <row r="18" spans="1:5" x14ac:dyDescent="0.6">
      <c r="A18" s="133"/>
      <c r="B18" s="9">
        <v>2</v>
      </c>
      <c r="C18" s="9">
        <f t="shared" ref="C18:C36" si="3">C17-D17</f>
        <v>72.6494230769231</v>
      </c>
      <c r="D18" s="9">
        <f t="shared" si="2"/>
        <v>3.8236538461538467</v>
      </c>
      <c r="E18" s="9">
        <f t="shared" si="0"/>
        <v>1.0897413461538465</v>
      </c>
    </row>
    <row r="19" spans="1:5" x14ac:dyDescent="0.6">
      <c r="A19" s="133"/>
      <c r="B19" s="9">
        <v>3</v>
      </c>
      <c r="C19" s="9">
        <f t="shared" si="3"/>
        <v>68.825769230769254</v>
      </c>
      <c r="D19" s="9">
        <f t="shared" si="2"/>
        <v>3.8236538461538467</v>
      </c>
      <c r="E19" s="9">
        <f t="shared" si="0"/>
        <v>1.0323865384615387</v>
      </c>
    </row>
    <row r="20" spans="1:5" x14ac:dyDescent="0.6">
      <c r="A20" s="133"/>
      <c r="B20" s="9">
        <v>4</v>
      </c>
      <c r="C20" s="9">
        <f t="shared" si="3"/>
        <v>65.002115384615408</v>
      </c>
      <c r="D20" s="9">
        <f t="shared" si="2"/>
        <v>3.8236538461538467</v>
      </c>
      <c r="E20" s="9">
        <f t="shared" si="0"/>
        <v>0.97503173076923111</v>
      </c>
    </row>
    <row r="21" spans="1:5" x14ac:dyDescent="0.6">
      <c r="A21" s="133">
        <v>4</v>
      </c>
      <c r="B21" s="9">
        <v>1</v>
      </c>
      <c r="C21" s="9">
        <f t="shared" si="3"/>
        <v>61.178461538461562</v>
      </c>
      <c r="D21" s="9">
        <f t="shared" si="2"/>
        <v>3.8236538461538467</v>
      </c>
      <c r="E21" s="9">
        <f t="shared" si="0"/>
        <v>0.91767692307692339</v>
      </c>
    </row>
    <row r="22" spans="1:5" x14ac:dyDescent="0.6">
      <c r="A22" s="133"/>
      <c r="B22" s="9">
        <v>2</v>
      </c>
      <c r="C22" s="9">
        <f t="shared" si="3"/>
        <v>57.354807692307716</v>
      </c>
      <c r="D22" s="9">
        <f t="shared" si="2"/>
        <v>3.8236538461538467</v>
      </c>
      <c r="E22" s="9">
        <f t="shared" si="0"/>
        <v>0.86032211538461567</v>
      </c>
    </row>
    <row r="23" spans="1:5" x14ac:dyDescent="0.6">
      <c r="A23" s="133"/>
      <c r="B23" s="9">
        <v>3</v>
      </c>
      <c r="C23" s="9">
        <f t="shared" si="3"/>
        <v>53.53115384615387</v>
      </c>
      <c r="D23" s="9">
        <f t="shared" si="2"/>
        <v>3.8236538461538467</v>
      </c>
      <c r="E23" s="9">
        <f t="shared" si="0"/>
        <v>0.80296730769230806</v>
      </c>
    </row>
    <row r="24" spans="1:5" x14ac:dyDescent="0.6">
      <c r="A24" s="133"/>
      <c r="B24" s="9">
        <v>4</v>
      </c>
      <c r="C24" s="9">
        <f t="shared" si="3"/>
        <v>49.707500000000024</v>
      </c>
      <c r="D24" s="9">
        <f t="shared" si="2"/>
        <v>3.8236538461538467</v>
      </c>
      <c r="E24" s="9">
        <f t="shared" si="0"/>
        <v>0.74561250000000034</v>
      </c>
    </row>
    <row r="25" spans="1:5" x14ac:dyDescent="0.6">
      <c r="A25" s="133">
        <v>5</v>
      </c>
      <c r="B25" s="9">
        <v>1</v>
      </c>
      <c r="C25" s="9">
        <f t="shared" si="3"/>
        <v>45.883846153846179</v>
      </c>
      <c r="D25" s="9">
        <f t="shared" si="2"/>
        <v>3.8236538461538467</v>
      </c>
      <c r="E25" s="9">
        <f t="shared" si="0"/>
        <v>0.68825769230769263</v>
      </c>
    </row>
    <row r="26" spans="1:5" x14ac:dyDescent="0.6">
      <c r="A26" s="133"/>
      <c r="B26" s="9">
        <v>2</v>
      </c>
      <c r="C26" s="9">
        <f t="shared" si="3"/>
        <v>42.060192307692333</v>
      </c>
      <c r="D26" s="9">
        <f t="shared" si="2"/>
        <v>3.8236538461538467</v>
      </c>
      <c r="E26" s="9">
        <f t="shared" si="0"/>
        <v>0.63090288461538502</v>
      </c>
    </row>
    <row r="27" spans="1:5" x14ac:dyDescent="0.6">
      <c r="A27" s="133"/>
      <c r="B27" s="9">
        <v>3</v>
      </c>
      <c r="C27" s="9">
        <f t="shared" si="3"/>
        <v>38.236538461538487</v>
      </c>
      <c r="D27" s="9">
        <f t="shared" si="2"/>
        <v>3.8236538461538467</v>
      </c>
      <c r="E27" s="9">
        <f t="shared" si="0"/>
        <v>0.5735480769230773</v>
      </c>
    </row>
    <row r="28" spans="1:5" x14ac:dyDescent="0.6">
      <c r="A28" s="133"/>
      <c r="B28" s="9">
        <v>4</v>
      </c>
      <c r="C28" s="9">
        <f t="shared" si="3"/>
        <v>34.412884615384641</v>
      </c>
      <c r="D28" s="9">
        <f t="shared" si="2"/>
        <v>3.8236538461538467</v>
      </c>
      <c r="E28" s="9">
        <f t="shared" si="0"/>
        <v>0.51619326923076958</v>
      </c>
    </row>
    <row r="29" spans="1:5" x14ac:dyDescent="0.6">
      <c r="A29" s="133">
        <v>6</v>
      </c>
      <c r="B29" s="9">
        <v>1</v>
      </c>
      <c r="C29" s="9">
        <f t="shared" si="3"/>
        <v>30.589230769230795</v>
      </c>
      <c r="D29" s="9">
        <f t="shared" si="2"/>
        <v>3.8236538461538467</v>
      </c>
      <c r="E29" s="9">
        <f t="shared" si="0"/>
        <v>0.45883846153846192</v>
      </c>
    </row>
    <row r="30" spans="1:5" x14ac:dyDescent="0.6">
      <c r="A30" s="133"/>
      <c r="B30" s="9">
        <v>2</v>
      </c>
      <c r="C30" s="9">
        <f t="shared" si="3"/>
        <v>26.765576923076949</v>
      </c>
      <c r="D30" s="9">
        <f t="shared" si="2"/>
        <v>3.8236538461538467</v>
      </c>
      <c r="E30" s="9">
        <f t="shared" si="0"/>
        <v>0.4014836538461542</v>
      </c>
    </row>
    <row r="31" spans="1:5" x14ac:dyDescent="0.6">
      <c r="A31" s="133"/>
      <c r="B31" s="9">
        <v>3</v>
      </c>
      <c r="C31" s="9">
        <f t="shared" si="3"/>
        <v>22.941923076923104</v>
      </c>
      <c r="D31" s="9">
        <f t="shared" si="2"/>
        <v>3.8236538461538467</v>
      </c>
      <c r="E31" s="9">
        <f t="shared" si="0"/>
        <v>0.34412884615384653</v>
      </c>
    </row>
    <row r="32" spans="1:5" x14ac:dyDescent="0.6">
      <c r="A32" s="133"/>
      <c r="B32" s="9">
        <v>4</v>
      </c>
      <c r="C32" s="9">
        <f t="shared" si="3"/>
        <v>19.118269230769258</v>
      </c>
      <c r="D32" s="9">
        <f t="shared" si="2"/>
        <v>3.8236538461538467</v>
      </c>
      <c r="E32" s="9">
        <f t="shared" si="0"/>
        <v>0.28677403846153887</v>
      </c>
    </row>
    <row r="33" spans="1:5" x14ac:dyDescent="0.6">
      <c r="A33" s="133">
        <v>7</v>
      </c>
      <c r="B33" s="9">
        <v>1</v>
      </c>
      <c r="C33" s="9">
        <f t="shared" si="3"/>
        <v>15.294615384615412</v>
      </c>
      <c r="D33" s="9">
        <f t="shared" si="2"/>
        <v>3.8236538461538467</v>
      </c>
      <c r="E33" s="9">
        <f t="shared" si="0"/>
        <v>0.22941923076923118</v>
      </c>
    </row>
    <row r="34" spans="1:5" x14ac:dyDescent="0.6">
      <c r="A34" s="133"/>
      <c r="B34" s="9">
        <v>2</v>
      </c>
      <c r="C34" s="9">
        <f t="shared" si="3"/>
        <v>11.470961538461566</v>
      </c>
      <c r="D34" s="9">
        <f t="shared" si="2"/>
        <v>3.8236538461538467</v>
      </c>
      <c r="E34" s="9">
        <f t="shared" si="0"/>
        <v>0.17206442307692349</v>
      </c>
    </row>
    <row r="35" spans="1:5" x14ac:dyDescent="0.6">
      <c r="A35" s="133"/>
      <c r="B35" s="9">
        <v>3</v>
      </c>
      <c r="C35" s="9">
        <f t="shared" si="3"/>
        <v>7.6473076923077192</v>
      </c>
      <c r="D35" s="9">
        <f t="shared" si="2"/>
        <v>3.8236538461538467</v>
      </c>
      <c r="E35" s="9">
        <f t="shared" si="0"/>
        <v>0.11470961538461578</v>
      </c>
    </row>
    <row r="36" spans="1:5" x14ac:dyDescent="0.6">
      <c r="A36" s="133"/>
      <c r="B36" s="9">
        <v>4</v>
      </c>
      <c r="C36" s="9">
        <f t="shared" si="3"/>
        <v>3.8236538461538725</v>
      </c>
      <c r="D36" s="86">
        <f>D4-SUM(D9:D35)</f>
        <v>3.8236538461538601</v>
      </c>
      <c r="E36" s="9">
        <f t="shared" si="0"/>
        <v>5.7354807692308087E-2</v>
      </c>
    </row>
  </sheetData>
  <mergeCells count="7">
    <mergeCell ref="A33:A36"/>
    <mergeCell ref="A9:A12"/>
    <mergeCell ref="A13:A16"/>
    <mergeCell ref="A17:A20"/>
    <mergeCell ref="A21:A24"/>
    <mergeCell ref="A25:A28"/>
    <mergeCell ref="A29:A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2"/>
  <sheetViews>
    <sheetView workbookViewId="0">
      <selection activeCell="C9" sqref="C9"/>
    </sheetView>
  </sheetViews>
  <sheetFormatPr defaultRowHeight="17" x14ac:dyDescent="0.6"/>
  <cols>
    <col min="1" max="1" width="41.1796875" style="8" bestFit="1" customWidth="1"/>
    <col min="2" max="2" width="14.7265625" style="8" customWidth="1"/>
    <col min="3" max="11" width="14.7265625" style="8" bestFit="1" customWidth="1"/>
    <col min="12" max="12" width="13.6328125" style="8" bestFit="1" customWidth="1"/>
    <col min="13" max="16384" width="8.7265625" style="8"/>
  </cols>
  <sheetData>
    <row r="1" spans="1:11" x14ac:dyDescent="0.6">
      <c r="A1" s="7" t="s">
        <v>298</v>
      </c>
      <c r="B1" s="7"/>
    </row>
    <row r="2" spans="1:11" x14ac:dyDescent="0.6">
      <c r="A2" s="7"/>
      <c r="B2" s="7"/>
    </row>
    <row r="3" spans="1:11" x14ac:dyDescent="0.6">
      <c r="A3" s="58" t="s">
        <v>3</v>
      </c>
      <c r="B3" s="58">
        <v>0</v>
      </c>
      <c r="C3" s="58" t="s">
        <v>39</v>
      </c>
      <c r="D3" s="58" t="s">
        <v>40</v>
      </c>
      <c r="E3" s="58" t="s">
        <v>41</v>
      </c>
      <c r="F3" s="58" t="s">
        <v>42</v>
      </c>
      <c r="G3" s="58" t="s">
        <v>43</v>
      </c>
      <c r="H3" s="58" t="s">
        <v>44</v>
      </c>
      <c r="I3" s="58" t="s">
        <v>45</v>
      </c>
      <c r="J3" s="58" t="s">
        <v>46</v>
      </c>
      <c r="K3" s="58" t="s">
        <v>47</v>
      </c>
    </row>
    <row r="4" spans="1:11" x14ac:dyDescent="0.6">
      <c r="A4" s="9" t="s">
        <v>159</v>
      </c>
      <c r="B4" s="55">
        <f>'Ann 2'!C7*100000</f>
        <v>1308500</v>
      </c>
      <c r="C4" s="55">
        <f>B21</f>
        <v>1308500.0000000019</v>
      </c>
      <c r="D4" s="55">
        <f>C21</f>
        <v>21597356.110076915</v>
      </c>
      <c r="E4" s="55">
        <f t="shared" ref="E4:K4" si="0">D21</f>
        <v>22406349.373923048</v>
      </c>
      <c r="F4" s="55">
        <f t="shared" si="0"/>
        <v>22183452.031492334</v>
      </c>
      <c r="G4" s="55">
        <f t="shared" si="0"/>
        <v>22337621.094556525</v>
      </c>
      <c r="H4" s="55">
        <f t="shared" si="0"/>
        <v>23026130.771193549</v>
      </c>
      <c r="I4" s="55">
        <f t="shared" si="0"/>
        <v>28976399.477269989</v>
      </c>
      <c r="J4" s="55">
        <f t="shared" si="0"/>
        <v>36070198.890917815</v>
      </c>
      <c r="K4" s="55">
        <f t="shared" si="0"/>
        <v>44133853.546522923</v>
      </c>
    </row>
    <row r="5" spans="1:11" x14ac:dyDescent="0.6">
      <c r="A5" s="9" t="s">
        <v>198</v>
      </c>
      <c r="B5" s="55">
        <f>'Ann 2'!C4*100000</f>
        <v>1250000.0000000002</v>
      </c>
      <c r="C5" s="55">
        <v>0</v>
      </c>
      <c r="D5" s="55">
        <v>0</v>
      </c>
      <c r="E5" s="55">
        <v>0</v>
      </c>
      <c r="F5" s="55">
        <v>0</v>
      </c>
      <c r="G5" s="55">
        <v>0</v>
      </c>
      <c r="H5" s="55">
        <v>0</v>
      </c>
      <c r="I5" s="55">
        <v>0</v>
      </c>
      <c r="J5" s="55">
        <v>0</v>
      </c>
      <c r="K5" s="55">
        <v>0</v>
      </c>
    </row>
    <row r="6" spans="1:11" x14ac:dyDescent="0.6">
      <c r="A6" s="9" t="s">
        <v>199</v>
      </c>
      <c r="B6" s="55">
        <f>'Ann 2'!C6*100000</f>
        <v>9941500.0000000019</v>
      </c>
      <c r="C6" s="55">
        <v>0</v>
      </c>
      <c r="D6" s="55">
        <v>0</v>
      </c>
      <c r="E6" s="55">
        <v>0</v>
      </c>
      <c r="F6" s="55">
        <v>0</v>
      </c>
      <c r="G6" s="55">
        <v>0</v>
      </c>
      <c r="H6" s="55">
        <v>0</v>
      </c>
      <c r="I6" s="55">
        <v>0</v>
      </c>
      <c r="J6" s="55">
        <v>0</v>
      </c>
      <c r="K6" s="55">
        <v>0</v>
      </c>
    </row>
    <row r="7" spans="1:11" x14ac:dyDescent="0.6">
      <c r="A7" s="9" t="s">
        <v>200</v>
      </c>
      <c r="B7" s="55">
        <f>'Ann 9'!F9*100000</f>
        <v>10991500</v>
      </c>
      <c r="C7" s="55">
        <v>0</v>
      </c>
      <c r="D7" s="55">
        <v>0</v>
      </c>
      <c r="E7" s="55">
        <v>0</v>
      </c>
      <c r="F7" s="55">
        <v>0</v>
      </c>
      <c r="G7" s="55">
        <v>0</v>
      </c>
      <c r="H7" s="55">
        <v>0</v>
      </c>
      <c r="I7" s="55">
        <v>0</v>
      </c>
      <c r="J7" s="55">
        <v>0</v>
      </c>
      <c r="K7" s="55">
        <v>0</v>
      </c>
    </row>
    <row r="8" spans="1:11" x14ac:dyDescent="0.6">
      <c r="A8" s="9" t="s">
        <v>272</v>
      </c>
      <c r="B8" s="55">
        <f>'Ann 1'!C8*100000</f>
        <v>0</v>
      </c>
      <c r="C8" s="55"/>
      <c r="D8" s="55"/>
      <c r="E8" s="55"/>
      <c r="F8" s="55"/>
      <c r="G8" s="55"/>
      <c r="H8" s="55"/>
      <c r="I8" s="55"/>
      <c r="J8" s="55"/>
      <c r="K8" s="55"/>
    </row>
    <row r="9" spans="1:11" x14ac:dyDescent="0.6">
      <c r="A9" s="9" t="s">
        <v>160</v>
      </c>
      <c r="B9" s="55">
        <v>0</v>
      </c>
      <c r="C9" s="55">
        <f>'Ann 4'!C21-'Ann 5'!C12</f>
        <v>242061974</v>
      </c>
      <c r="D9" s="55">
        <f>'Ann 4'!D21-'Ann 5'!D12</f>
        <v>273868650</v>
      </c>
      <c r="E9" s="55">
        <f>'Ann 4'!E21-'Ann 5'!E12</f>
        <v>296867630.40000004</v>
      </c>
      <c r="F9" s="55">
        <f>'Ann 4'!F21-'Ann 5'!F12</f>
        <v>320962983.32999998</v>
      </c>
      <c r="G9" s="55">
        <f>'Ann 4'!G21-'Ann 5'!G12</f>
        <v>346296940.90200001</v>
      </c>
      <c r="H9" s="55">
        <f>'Ann 4'!H21-'Ann 5'!H12</f>
        <v>373029217.92510003</v>
      </c>
      <c r="I9" s="55">
        <f>'Ann 4'!I21-'Ann 5'!I12</f>
        <v>401339086.1238001</v>
      </c>
      <c r="J9" s="55">
        <f>'Ann 4'!J21-'Ann 5'!J12</f>
        <v>410883512.73618007</v>
      </c>
      <c r="K9" s="55">
        <f>'Ann 4'!K21-'Ann 5'!K12</f>
        <v>421382382.00979805</v>
      </c>
    </row>
    <row r="10" spans="1:11" x14ac:dyDescent="0.6">
      <c r="A10" s="9" t="s">
        <v>175</v>
      </c>
      <c r="B10" s="55">
        <v>0</v>
      </c>
      <c r="C10" s="55">
        <v>0</v>
      </c>
      <c r="D10" s="55">
        <f>'Ann 5'!C24</f>
        <v>43100640</v>
      </c>
      <c r="E10" s="55">
        <f>'Ann 5'!D24</f>
        <v>48708621.000000007</v>
      </c>
      <c r="F10" s="55">
        <f>'Ann 5'!E24</f>
        <v>52202711.520000011</v>
      </c>
      <c r="G10" s="55">
        <f>'Ann 5'!F24</f>
        <v>55740772.039500006</v>
      </c>
      <c r="H10" s="55">
        <f>'Ann 5'!G24</f>
        <v>59325811.032150015</v>
      </c>
      <c r="I10" s="55">
        <f>'Ann 5'!H24</f>
        <v>62961027.893966265</v>
      </c>
      <c r="J10" s="55">
        <f>'Ann 5'!I24</f>
        <v>66649824.514383763</v>
      </c>
      <c r="K10" s="55">
        <f>'Ann 5'!J24</f>
        <v>67043635.740102947</v>
      </c>
    </row>
    <row r="11" spans="1:11" x14ac:dyDescent="0.6">
      <c r="A11" s="9" t="s">
        <v>176</v>
      </c>
      <c r="B11" s="55">
        <v>0</v>
      </c>
      <c r="C11" s="55">
        <v>0</v>
      </c>
      <c r="D11" s="55">
        <f>'Ann 5'!C12</f>
        <v>22005634</v>
      </c>
      <c r="E11" s="55">
        <f>'Ann 5'!D12</f>
        <v>24897150</v>
      </c>
      <c r="F11" s="55">
        <f>'Ann 5'!E12</f>
        <v>26987966.399999999</v>
      </c>
      <c r="G11" s="55">
        <f>'Ann 5'!F12</f>
        <v>29178453.030000005</v>
      </c>
      <c r="H11" s="55">
        <f>'Ann 5'!G12</f>
        <v>31481540.082000002</v>
      </c>
      <c r="I11" s="55">
        <f>'Ann 5'!H12</f>
        <v>33911747.084100001</v>
      </c>
      <c r="J11" s="55">
        <f>'Ann 5'!I12</f>
        <v>36485371.46580001</v>
      </c>
      <c r="K11" s="55">
        <f>'Ann 5'!J12</f>
        <v>37353046.612380005</v>
      </c>
    </row>
    <row r="12" spans="1:11" x14ac:dyDescent="0.6">
      <c r="A12" s="9" t="s">
        <v>177</v>
      </c>
      <c r="B12" s="55">
        <v>0</v>
      </c>
      <c r="C12" s="55">
        <f>'Ann 4'!C11+'Ann 4'!C18-'Ann 5'!C24</f>
        <v>219065600</v>
      </c>
      <c r="D12" s="55">
        <f>'Ann 4'!D11+'Ann 4'!D18-'Ann 5'!D24</f>
        <v>247308073.00000006</v>
      </c>
      <c r="E12" s="55">
        <f>'Ann 4'!E11+'Ann 4'!E18-'Ann 5'!E24</f>
        <v>264994123.36000004</v>
      </c>
      <c r="F12" s="55">
        <f>'Ann 4'!F11+'Ann 4'!F18-'Ann 5'!F24</f>
        <v>282913908.06070006</v>
      </c>
      <c r="G12" s="55">
        <f>'Ann 4'!G11+'Ann 4'!G18-'Ann 5'!G24</f>
        <v>301083380.99937403</v>
      </c>
      <c r="H12" s="55">
        <f>'Ann 4'!H11+'Ann 4'!H18-'Ann 5'!H24</f>
        <v>319519511.473409</v>
      </c>
      <c r="I12" s="55">
        <f>'Ann 4'!I11+'Ann 4'!I18-'Ann 5'!I24</f>
        <v>338240346.13980949</v>
      </c>
      <c r="J12" s="55">
        <f>'Ann 4'!J11+'Ann 4'!J18-'Ann 5'!J24</f>
        <v>340438501.03203273</v>
      </c>
      <c r="K12" s="55">
        <f>'Ann 4'!K11+'Ann 4'!K18-'Ann 5'!K24</f>
        <v>342750917.82788074</v>
      </c>
    </row>
    <row r="13" spans="1:11" x14ac:dyDescent="0.6">
      <c r="A13" s="9" t="s">
        <v>244</v>
      </c>
      <c r="B13" s="55">
        <f>'Ann 4'!C30</f>
        <v>200000</v>
      </c>
      <c r="C13" s="55">
        <v>0</v>
      </c>
      <c r="D13" s="55">
        <v>0</v>
      </c>
      <c r="E13" s="55">
        <v>0</v>
      </c>
      <c r="F13" s="55">
        <v>0</v>
      </c>
      <c r="G13" s="55">
        <v>0</v>
      </c>
      <c r="H13" s="55">
        <v>0</v>
      </c>
      <c r="I13" s="55">
        <v>0</v>
      </c>
      <c r="J13" s="55">
        <v>0</v>
      </c>
      <c r="K13" s="55">
        <v>0</v>
      </c>
    </row>
    <row r="14" spans="1:11" x14ac:dyDescent="0.6">
      <c r="A14" s="9" t="s">
        <v>161</v>
      </c>
      <c r="B14" s="55">
        <v>0</v>
      </c>
      <c r="C14" s="55">
        <f>'Ann 4'!C27</f>
        <v>721604.51923076937</v>
      </c>
      <c r="D14" s="55">
        <f>'Ann 4'!D27</f>
        <v>647043.26923076925</v>
      </c>
      <c r="E14" s="55">
        <f>'Ann 4'!E27</f>
        <v>555275.57692307699</v>
      </c>
      <c r="F14" s="55">
        <f>'Ann 4'!F27</f>
        <v>463507.88461538474</v>
      </c>
      <c r="G14" s="55">
        <f>'Ann 4'!G27</f>
        <v>371740.19230769243</v>
      </c>
      <c r="H14" s="55">
        <f>'Ann 4'!H27</f>
        <v>279972.50000000012</v>
      </c>
      <c r="I14" s="55">
        <f>'Ann 4'!I27</f>
        <v>188204.80769230786</v>
      </c>
      <c r="J14" s="55">
        <f>'Ann 4'!J27</f>
        <v>130850</v>
      </c>
      <c r="K14" s="55">
        <f>'Ann 4'!K27</f>
        <v>130850</v>
      </c>
    </row>
    <row r="15" spans="1:11" x14ac:dyDescent="0.6">
      <c r="A15" s="9"/>
      <c r="B15" s="55">
        <f>B4+B5+B6-B7-B8-B13</f>
        <v>1308500.0000000019</v>
      </c>
      <c r="C15" s="55">
        <f>C4+C9-C10+C11-C12-C14+C5+C6-C7</f>
        <v>23583269.480769232</v>
      </c>
      <c r="D15" s="55">
        <f>D4+D9-D10+D11-D12-D14+D5+D6-D7</f>
        <v>26415883.840846077</v>
      </c>
      <c r="E15" s="55">
        <f>E4+E9-E10+E11-E12-E14+E5+E6-E7</f>
        <v>29913109.836999979</v>
      </c>
      <c r="F15" s="55">
        <f t="shared" ref="F15:K15" si="1">F4+F9-F10+F11-F12-F14+F5+F6-F7</f>
        <v>34554274.296176828</v>
      </c>
      <c r="G15" s="55">
        <f t="shared" si="1"/>
        <v>40617121.795374826</v>
      </c>
      <c r="H15" s="55">
        <f t="shared" si="1"/>
        <v>48411593.772734582</v>
      </c>
      <c r="I15" s="55">
        <f t="shared" si="1"/>
        <v>62837653.843702063</v>
      </c>
      <c r="J15" s="55">
        <f t="shared" si="1"/>
        <v>76219907.546481431</v>
      </c>
      <c r="K15" s="55">
        <f t="shared" si="1"/>
        <v>92943878.600717306</v>
      </c>
    </row>
    <row r="16" spans="1:11" x14ac:dyDescent="0.6">
      <c r="A16" s="9" t="s">
        <v>179</v>
      </c>
      <c r="B16" s="55">
        <v>0</v>
      </c>
      <c r="C16" s="55">
        <f>'Ann 4'!C33</f>
        <v>481807.88423077273</v>
      </c>
      <c r="D16" s="55">
        <f>'Ann 4'!D33</f>
        <v>865141.71923075139</v>
      </c>
      <c r="E16" s="55">
        <f>'Ann 4'!E33</f>
        <v>2162859.1629230604</v>
      </c>
      <c r="F16" s="55">
        <f>'Ann 4'!F33</f>
        <v>3728090.1150553827</v>
      </c>
      <c r="G16" s="55">
        <f>'Ann 4'!G33</f>
        <v>5602859.1229254883</v>
      </c>
      <c r="H16" s="55">
        <f>'Ann 4'!H33</f>
        <v>6246185.8454661807</v>
      </c>
      <c r="I16" s="55">
        <f>'Ann 4'!I33</f>
        <v>8803951.1910428032</v>
      </c>
      <c r="J16" s="55">
        <f>'Ann 4'!J33</f>
        <v>11192809.534869246</v>
      </c>
      <c r="K16" s="55">
        <f>'Ann 4'!K33</f>
        <v>13832995.681089275</v>
      </c>
    </row>
    <row r="17" spans="1:12" x14ac:dyDescent="0.6">
      <c r="A17" s="9"/>
      <c r="B17" s="55">
        <v>0</v>
      </c>
      <c r="C17" s="55">
        <f>C15-C16</f>
        <v>23101461.596538458</v>
      </c>
      <c r="D17" s="55">
        <f t="shared" ref="D17:K17" si="2">D15-D16</f>
        <v>25550742.121615324</v>
      </c>
      <c r="E17" s="55">
        <f t="shared" si="2"/>
        <v>27750250.674076919</v>
      </c>
      <c r="F17" s="55">
        <f t="shared" si="2"/>
        <v>30826184.181121446</v>
      </c>
      <c r="G17" s="55">
        <f t="shared" si="2"/>
        <v>35014262.672449335</v>
      </c>
      <c r="H17" s="55">
        <f t="shared" si="2"/>
        <v>42165407.927268401</v>
      </c>
      <c r="I17" s="55">
        <f t="shared" si="2"/>
        <v>54033702.65265926</v>
      </c>
      <c r="J17" s="55">
        <f t="shared" si="2"/>
        <v>65027098.011612184</v>
      </c>
      <c r="K17" s="55">
        <f t="shared" si="2"/>
        <v>79110882.919628024</v>
      </c>
    </row>
    <row r="18" spans="1:12" x14ac:dyDescent="0.6">
      <c r="A18" s="9" t="s">
        <v>178</v>
      </c>
      <c r="B18" s="55">
        <v>0</v>
      </c>
      <c r="C18" s="55">
        <f>'Ann 4'!C35</f>
        <v>739374.71723077586</v>
      </c>
      <c r="D18" s="55">
        <f>'Ann 4'!D35</f>
        <v>1614931.2092307359</v>
      </c>
      <c r="E18" s="55">
        <f>'Ann 4'!E35</f>
        <v>4037337.1041230466</v>
      </c>
      <c r="F18" s="55">
        <f>'Ann 4'!F35</f>
        <v>6959101.5481033819</v>
      </c>
      <c r="G18" s="55">
        <f>'Ann 4'!G35</f>
        <v>10458670.362794247</v>
      </c>
      <c r="H18" s="55">
        <f>'Ann 4'!H35</f>
        <v>11659546.911536871</v>
      </c>
      <c r="I18" s="55">
        <f>'Ann 4'!I35</f>
        <v>16434042.223279903</v>
      </c>
      <c r="J18" s="55">
        <f>'Ann 4'!J35</f>
        <v>20893244.465089262</v>
      </c>
      <c r="K18" s="55">
        <f>'Ann 4'!K35</f>
        <v>25821591.938033313</v>
      </c>
    </row>
    <row r="19" spans="1:12" x14ac:dyDescent="0.6">
      <c r="A19" s="9"/>
      <c r="B19" s="55">
        <v>0</v>
      </c>
      <c r="C19" s="55">
        <f>C17-C18</f>
        <v>22362086.879307684</v>
      </c>
      <c r="D19" s="55">
        <f t="shared" ref="D19:K19" si="3">D17-D18</f>
        <v>23935810.912384588</v>
      </c>
      <c r="E19" s="55">
        <f t="shared" si="3"/>
        <v>23712913.569953874</v>
      </c>
      <c r="F19" s="55">
        <f t="shared" si="3"/>
        <v>23867082.633018065</v>
      </c>
      <c r="G19" s="55">
        <f t="shared" si="3"/>
        <v>24555592.309655089</v>
      </c>
      <c r="H19" s="55">
        <f t="shared" si="3"/>
        <v>30505861.015731528</v>
      </c>
      <c r="I19" s="55">
        <f t="shared" si="3"/>
        <v>37599660.429379359</v>
      </c>
      <c r="J19" s="55">
        <f t="shared" si="3"/>
        <v>44133853.546522923</v>
      </c>
      <c r="K19" s="55">
        <f t="shared" si="3"/>
        <v>53289290.981594712</v>
      </c>
    </row>
    <row r="20" spans="1:12" x14ac:dyDescent="0.6">
      <c r="A20" s="9" t="s">
        <v>180</v>
      </c>
      <c r="B20" s="55">
        <v>0</v>
      </c>
      <c r="C20" s="55">
        <f>SUM('Ann 13'!D9:D12)*100000</f>
        <v>764730.76923076937</v>
      </c>
      <c r="D20" s="55">
        <f>SUM('Ann 13'!D13:D16)*100000</f>
        <v>1529461.5384615387</v>
      </c>
      <c r="E20" s="55">
        <f>SUM('Ann 13'!D17:D20)*100000</f>
        <v>1529461.5384615387</v>
      </c>
      <c r="F20" s="55">
        <f>SUM('Ann 13'!D21:D24)*100000</f>
        <v>1529461.5384615387</v>
      </c>
      <c r="G20" s="55">
        <f>SUM('Ann 13'!D25:D28)*100000</f>
        <v>1529461.5384615387</v>
      </c>
      <c r="H20" s="55">
        <f>SUM('Ann 13'!D29:D32)*100000</f>
        <v>1529461.5384615387</v>
      </c>
      <c r="I20" s="55">
        <f>SUM('Ann 13'!D33:D36)*100000</f>
        <v>1529461.5384615401</v>
      </c>
      <c r="J20" s="55">
        <v>0</v>
      </c>
      <c r="K20" s="55">
        <v>0</v>
      </c>
    </row>
    <row r="21" spans="1:12" x14ac:dyDescent="0.6">
      <c r="A21" s="9" t="s">
        <v>181</v>
      </c>
      <c r="B21" s="55">
        <f>B4+B5+B6-B7-B13-B8</f>
        <v>1308500.0000000019</v>
      </c>
      <c r="C21" s="55">
        <f>C19-C20</f>
        <v>21597356.110076915</v>
      </c>
      <c r="D21" s="55">
        <f>D19-D20</f>
        <v>22406349.373923048</v>
      </c>
      <c r="E21" s="55">
        <f>E19-E20</f>
        <v>22183452.031492334</v>
      </c>
      <c r="F21" s="55">
        <f t="shared" ref="F21:K21" si="4">F19-F20</f>
        <v>22337621.094556525</v>
      </c>
      <c r="G21" s="55">
        <f t="shared" si="4"/>
        <v>23026130.771193549</v>
      </c>
      <c r="H21" s="55">
        <f t="shared" si="4"/>
        <v>28976399.477269989</v>
      </c>
      <c r="I21" s="55">
        <f t="shared" si="4"/>
        <v>36070198.890917815</v>
      </c>
      <c r="J21" s="55">
        <f t="shared" si="4"/>
        <v>44133853.546522923</v>
      </c>
      <c r="K21" s="55">
        <f t="shared" si="4"/>
        <v>53289290.981594712</v>
      </c>
    </row>
    <row r="22" spans="1:12" x14ac:dyDescent="0.6">
      <c r="B22" s="51"/>
    </row>
    <row r="23" spans="1:12" x14ac:dyDescent="0.6">
      <c r="A23" s="105" t="s">
        <v>182</v>
      </c>
      <c r="B23" s="106">
        <v>0.06</v>
      </c>
      <c r="C23" s="107"/>
      <c r="D23" s="105"/>
      <c r="E23" s="105"/>
      <c r="F23" s="105"/>
      <c r="G23" s="105"/>
      <c r="H23" s="105"/>
      <c r="I23" s="105"/>
      <c r="J23" s="105"/>
      <c r="K23" s="105"/>
      <c r="L23" s="105"/>
    </row>
    <row r="24" spans="1:12" x14ac:dyDescent="0.6">
      <c r="A24" s="105" t="s">
        <v>183</v>
      </c>
      <c r="B24" s="105">
        <v>1</v>
      </c>
      <c r="C24" s="108">
        <f>1/(1+$B$23)</f>
        <v>0.94339622641509424</v>
      </c>
      <c r="D24" s="108">
        <f>1/((1+$B$23)*(1+$B$23))</f>
        <v>0.88999644001423983</v>
      </c>
      <c r="E24" s="108">
        <f>1/((1+$B$23)*(1+$B$23)*(1+$B$23))</f>
        <v>0.8396192830323016</v>
      </c>
      <c r="F24" s="108">
        <f>1/((1+$B$23)*(1+$B$23)*(1+$B$23)*(1+$B$23))</f>
        <v>0.79209366323802044</v>
      </c>
      <c r="G24" s="108">
        <f>1/((1+$B$23)*(1+$B$23)*(1+$B$23)*(1+$B$23)*(1+$B$23))</f>
        <v>0.74725817286605689</v>
      </c>
      <c r="H24" s="108">
        <f>1/((1+$B$23)*(1+$B$23)*(1+$B$23)*(1+$B$23)*(1+$B$23)*(1+$B$23))</f>
        <v>0.70496054043967626</v>
      </c>
      <c r="I24" s="108">
        <f>1/((1+$B$23)*(1+$B$23)*(1+$B$23)*(1+$B$23)*(1+$B$23)*(1+$B$23)*(1+$B$23))</f>
        <v>0.6650571136223361</v>
      </c>
      <c r="J24" s="108">
        <f>1/((1+$B$23)*(1+$B$23)*(1+$B$23)*(1+$B$23)*(1+$B$23)*(1+$B$23)*(1+$B$23)*(1+$B$23))</f>
        <v>0.62741237134182648</v>
      </c>
      <c r="K24" s="108">
        <f>1/((1+$B$23)*(1+$B$23)*(1+$B$23)*(1+$B$23)*(1+$B$23)*(1+$B$23)*(1+$B$23)*(1+$B$23)*(1+$B$23))</f>
        <v>0.59189846353002495</v>
      </c>
      <c r="L24" s="105"/>
    </row>
    <row r="25" spans="1:12" x14ac:dyDescent="0.6">
      <c r="A25" s="105" t="s">
        <v>184</v>
      </c>
      <c r="B25" s="105">
        <f>B4+B9+B11+B5+B6</f>
        <v>12500000.000000002</v>
      </c>
      <c r="C25" s="105">
        <f>C4+C9+C11+C5+C6</f>
        <v>243370474</v>
      </c>
      <c r="D25" s="105">
        <f t="shared" ref="D25:K25" si="5">D4+D9+D11</f>
        <v>317471640.1100769</v>
      </c>
      <c r="E25" s="105">
        <f t="shared" si="5"/>
        <v>344171129.7739231</v>
      </c>
      <c r="F25" s="105">
        <f t="shared" si="5"/>
        <v>370134401.76149231</v>
      </c>
      <c r="G25" s="105">
        <f t="shared" si="5"/>
        <v>397813015.02655655</v>
      </c>
      <c r="H25" s="105">
        <f t="shared" si="5"/>
        <v>427536888.77829361</v>
      </c>
      <c r="I25" s="105">
        <f t="shared" si="5"/>
        <v>464227232.68517011</v>
      </c>
      <c r="J25" s="105">
        <f t="shared" si="5"/>
        <v>483439083.09289789</v>
      </c>
      <c r="K25" s="105">
        <f t="shared" si="5"/>
        <v>502869282.16870099</v>
      </c>
      <c r="L25" s="105"/>
    </row>
    <row r="26" spans="1:12" x14ac:dyDescent="0.6">
      <c r="A26" s="105" t="s">
        <v>185</v>
      </c>
      <c r="B26" s="105">
        <f>B25*B24</f>
        <v>12500000.000000002</v>
      </c>
      <c r="C26" s="105">
        <f>C25*C24</f>
        <v>229594786.79245281</v>
      </c>
      <c r="D26" s="105">
        <f t="shared" ref="D26:K26" si="6">D25*D24</f>
        <v>282548629.50345039</v>
      </c>
      <c r="E26" s="105">
        <f t="shared" si="6"/>
        <v>288972717.22119856</v>
      </c>
      <c r="F26" s="105">
        <f t="shared" si="6"/>
        <v>293181114.18167365</v>
      </c>
      <c r="G26" s="105">
        <f t="shared" si="6"/>
        <v>297269026.75108188</v>
      </c>
      <c r="H26" s="105">
        <f t="shared" si="6"/>
        <v>301396636.17104363</v>
      </c>
      <c r="I26" s="105">
        <f t="shared" si="6"/>
        <v>308737623.43448383</v>
      </c>
      <c r="J26" s="105">
        <f t="shared" si="6"/>
        <v>303315661.52263337</v>
      </c>
      <c r="K26" s="105">
        <f t="shared" si="6"/>
        <v>297647555.47210068</v>
      </c>
      <c r="L26" s="105"/>
    </row>
    <row r="27" spans="1:12" x14ac:dyDescent="0.6">
      <c r="A27" s="105" t="s">
        <v>186</v>
      </c>
      <c r="B27" s="105">
        <f>B10+B12+B14+B16+B18+B20+B7+B13+B8</f>
        <v>11191500</v>
      </c>
      <c r="C27" s="105">
        <f t="shared" ref="C27:K27" si="7">C10+C12+C14+C16+C18+C20+C7+C13</f>
        <v>221773117.8899231</v>
      </c>
      <c r="D27" s="105">
        <f t="shared" si="7"/>
        <v>295065290.7361539</v>
      </c>
      <c r="E27" s="105">
        <f t="shared" si="7"/>
        <v>321987677.74243081</v>
      </c>
      <c r="F27" s="105">
        <f t="shared" si="7"/>
        <v>347796780.66693574</v>
      </c>
      <c r="G27" s="105">
        <f t="shared" si="7"/>
        <v>374786884.25536299</v>
      </c>
      <c r="H27" s="105">
        <f t="shared" si="7"/>
        <v>398560489.30102366</v>
      </c>
      <c r="I27" s="105">
        <f t="shared" si="7"/>
        <v>428157033.79425228</v>
      </c>
      <c r="J27" s="105">
        <f t="shared" si="7"/>
        <v>439305229.54637504</v>
      </c>
      <c r="K27" s="105">
        <f t="shared" si="7"/>
        <v>449579991.18710625</v>
      </c>
      <c r="L27" s="105"/>
    </row>
    <row r="28" spans="1:12" x14ac:dyDescent="0.6">
      <c r="A28" s="105" t="s">
        <v>187</v>
      </c>
      <c r="B28" s="105">
        <f>B27*B24</f>
        <v>11191500</v>
      </c>
      <c r="C28" s="105">
        <f>C27*C24</f>
        <v>209219922.53766328</v>
      </c>
      <c r="D28" s="105">
        <f t="shared" ref="D28:K28" si="8">D27*D24</f>
        <v>262607058.32694364</v>
      </c>
      <c r="E28" s="105">
        <f t="shared" si="8"/>
        <v>270347063.13133556</v>
      </c>
      <c r="F28" s="105">
        <f t="shared" si="8"/>
        <v>275487626.06086344</v>
      </c>
      <c r="G28" s="105">
        <f t="shared" si="8"/>
        <v>280062562.34282488</v>
      </c>
      <c r="H28" s="105">
        <f t="shared" si="8"/>
        <v>280969417.93555146</v>
      </c>
      <c r="I28" s="105">
        <f t="shared" si="8"/>
        <v>284748881.07230645</v>
      </c>
      <c r="J28" s="105">
        <f t="shared" si="8"/>
        <v>275625535.81255656</v>
      </c>
      <c r="K28" s="105">
        <f t="shared" si="8"/>
        <v>266105706.01749036</v>
      </c>
      <c r="L28" s="105"/>
    </row>
    <row r="29" spans="1:12" x14ac:dyDescent="0.6">
      <c r="A29" s="105"/>
      <c r="B29" s="105"/>
      <c r="C29" s="105"/>
      <c r="D29" s="105"/>
      <c r="E29" s="105"/>
      <c r="F29" s="105"/>
      <c r="G29" s="105"/>
      <c r="H29" s="105"/>
      <c r="I29" s="105"/>
      <c r="J29" s="105"/>
      <c r="K29" s="105"/>
      <c r="L29" s="105"/>
    </row>
    <row r="30" spans="1:12" x14ac:dyDescent="0.6">
      <c r="A30" s="105" t="s">
        <v>188</v>
      </c>
      <c r="B30" s="105">
        <f>B25-B27</f>
        <v>1308500.0000000019</v>
      </c>
      <c r="C30" s="105">
        <f>C25-C27</f>
        <v>21597356.110076904</v>
      </c>
      <c r="D30" s="105">
        <f>D25-D27</f>
        <v>22406349.373923004</v>
      </c>
      <c r="E30" s="105">
        <f t="shared" ref="E30:K30" si="9">E25-E27</f>
        <v>22183452.031492293</v>
      </c>
      <c r="F30" s="105">
        <f t="shared" si="9"/>
        <v>22337621.09455657</v>
      </c>
      <c r="G30" s="105">
        <f t="shared" si="9"/>
        <v>23026130.771193564</v>
      </c>
      <c r="H30" s="105">
        <f t="shared" si="9"/>
        <v>28976399.477269948</v>
      </c>
      <c r="I30" s="105">
        <f t="shared" si="9"/>
        <v>36070198.890917838</v>
      </c>
      <c r="J30" s="105">
        <f t="shared" si="9"/>
        <v>44133853.546522856</v>
      </c>
      <c r="K30" s="105">
        <f t="shared" si="9"/>
        <v>53289290.981594741</v>
      </c>
      <c r="L30" s="105"/>
    </row>
    <row r="31" spans="1:12" x14ac:dyDescent="0.6">
      <c r="A31" s="105" t="s">
        <v>189</v>
      </c>
      <c r="B31" s="105">
        <f>B26-B28</f>
        <v>1308500.0000000019</v>
      </c>
      <c r="C31" s="105">
        <f>C30*C24</f>
        <v>20374864.254789531</v>
      </c>
      <c r="D31" s="105">
        <f t="shared" ref="D31:K31" si="10">D30*D24</f>
        <v>19941571.176506765</v>
      </c>
      <c r="E31" s="105">
        <f t="shared" si="10"/>
        <v>18625654.089863013</v>
      </c>
      <c r="F31" s="105">
        <f t="shared" si="10"/>
        <v>17693488.120810192</v>
      </c>
      <c r="G31" s="105">
        <f t="shared" si="10"/>
        <v>17206464.408256993</v>
      </c>
      <c r="H31" s="105">
        <f t="shared" si="10"/>
        <v>20427218.235492174</v>
      </c>
      <c r="I31" s="105">
        <f t="shared" si="10"/>
        <v>23988742.362177406</v>
      </c>
      <c r="J31" s="105">
        <f t="shared" si="10"/>
        <v>27690125.710076783</v>
      </c>
      <c r="K31" s="105">
        <f t="shared" si="10"/>
        <v>31541849.454610344</v>
      </c>
      <c r="L31" s="105">
        <f>SUM(C31:K31)</f>
        <v>197489977.81258321</v>
      </c>
    </row>
    <row r="32" spans="1:12" x14ac:dyDescent="0.6">
      <c r="C32" s="51"/>
      <c r="D32" s="51"/>
      <c r="E32" s="51"/>
      <c r="F32" s="51"/>
      <c r="G32" s="51"/>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K35"/>
  <sheetViews>
    <sheetView workbookViewId="0"/>
  </sheetViews>
  <sheetFormatPr defaultRowHeight="17" x14ac:dyDescent="0.6"/>
  <cols>
    <col min="1" max="1" width="8.7265625" style="8"/>
    <col min="2" max="2" width="61.81640625" style="8" bestFit="1" customWidth="1"/>
    <col min="3" max="11" width="16.08984375" style="8" bestFit="1" customWidth="1"/>
    <col min="12" max="12" width="12.54296875" style="8" bestFit="1" customWidth="1"/>
    <col min="13" max="16384" width="8.7265625" style="8"/>
  </cols>
  <sheetData>
    <row r="1" spans="1:11" x14ac:dyDescent="0.6">
      <c r="B1" s="7" t="s">
        <v>165</v>
      </c>
    </row>
    <row r="2" spans="1:11" x14ac:dyDescent="0.6">
      <c r="A2" s="128" t="s">
        <v>52</v>
      </c>
      <c r="B2" s="128" t="s">
        <v>3</v>
      </c>
      <c r="C2" s="125" t="s">
        <v>48</v>
      </c>
      <c r="D2" s="125"/>
      <c r="E2" s="125"/>
      <c r="F2" s="125"/>
      <c r="G2" s="125"/>
      <c r="H2" s="125"/>
      <c r="I2" s="125"/>
      <c r="J2" s="125"/>
      <c r="K2" s="125"/>
    </row>
    <row r="3" spans="1:11" x14ac:dyDescent="0.6">
      <c r="A3" s="128"/>
      <c r="B3" s="128"/>
      <c r="C3" s="58" t="s">
        <v>39</v>
      </c>
      <c r="D3" s="58" t="s">
        <v>40</v>
      </c>
      <c r="E3" s="58" t="s">
        <v>41</v>
      </c>
      <c r="F3" s="58" t="s">
        <v>42</v>
      </c>
      <c r="G3" s="58" t="s">
        <v>43</v>
      </c>
      <c r="H3" s="58" t="s">
        <v>44</v>
      </c>
      <c r="I3" s="58" t="s">
        <v>45</v>
      </c>
      <c r="J3" s="58" t="s">
        <v>46</v>
      </c>
      <c r="K3" s="58" t="s">
        <v>47</v>
      </c>
    </row>
    <row r="4" spans="1:11" x14ac:dyDescent="0.6">
      <c r="A4" s="9" t="s">
        <v>299</v>
      </c>
      <c r="B4" s="9" t="s">
        <v>243</v>
      </c>
      <c r="C4" s="109">
        <v>0.7</v>
      </c>
      <c r="D4" s="109">
        <v>0.75</v>
      </c>
      <c r="E4" s="109">
        <v>0.8</v>
      </c>
      <c r="F4" s="109">
        <v>0.85</v>
      </c>
      <c r="G4" s="109">
        <v>0.9</v>
      </c>
      <c r="H4" s="109">
        <v>0.95</v>
      </c>
      <c r="I4" s="109">
        <v>1</v>
      </c>
      <c r="J4" s="109">
        <v>1</v>
      </c>
      <c r="K4" s="109">
        <v>1</v>
      </c>
    </row>
    <row r="5" spans="1:11" x14ac:dyDescent="0.6">
      <c r="A5" s="9" t="s">
        <v>300</v>
      </c>
      <c r="B5" s="9" t="s">
        <v>308</v>
      </c>
      <c r="C5" s="110">
        <f>$C$17*C4</f>
        <v>9142560</v>
      </c>
      <c r="D5" s="110">
        <f t="shared" ref="D5:K5" si="0">$C$17*D4</f>
        <v>9795600</v>
      </c>
      <c r="E5" s="110">
        <f t="shared" si="0"/>
        <v>10448640</v>
      </c>
      <c r="F5" s="110">
        <f t="shared" si="0"/>
        <v>11101680</v>
      </c>
      <c r="G5" s="110">
        <f t="shared" si="0"/>
        <v>11754720</v>
      </c>
      <c r="H5" s="110">
        <f t="shared" si="0"/>
        <v>12407760</v>
      </c>
      <c r="I5" s="110">
        <f t="shared" si="0"/>
        <v>13060800</v>
      </c>
      <c r="J5" s="110">
        <f t="shared" si="0"/>
        <v>13060800</v>
      </c>
      <c r="K5" s="110">
        <f t="shared" si="0"/>
        <v>13060800</v>
      </c>
    </row>
    <row r="6" spans="1:11" x14ac:dyDescent="0.6">
      <c r="A6" s="9" t="s">
        <v>301</v>
      </c>
      <c r="B6" s="9" t="s">
        <v>309</v>
      </c>
      <c r="C6" s="110">
        <f>C5*2/3</f>
        <v>6095040</v>
      </c>
      <c r="D6" s="110">
        <f t="shared" ref="D6:K6" si="1">D5*2/3</f>
        <v>6530400</v>
      </c>
      <c r="E6" s="110">
        <f t="shared" si="1"/>
        <v>6965760</v>
      </c>
      <c r="F6" s="110">
        <f t="shared" si="1"/>
        <v>7401120</v>
      </c>
      <c r="G6" s="110">
        <f t="shared" si="1"/>
        <v>7836480</v>
      </c>
      <c r="H6" s="110">
        <f t="shared" si="1"/>
        <v>8271840</v>
      </c>
      <c r="I6" s="110">
        <f t="shared" si="1"/>
        <v>8707200</v>
      </c>
      <c r="J6" s="110">
        <f t="shared" si="1"/>
        <v>8707200</v>
      </c>
      <c r="K6" s="110">
        <f t="shared" si="1"/>
        <v>8707200</v>
      </c>
    </row>
    <row r="7" spans="1:11" x14ac:dyDescent="0.6">
      <c r="A7" s="9" t="s">
        <v>302</v>
      </c>
      <c r="B7" s="9" t="s">
        <v>310</v>
      </c>
      <c r="C7" s="55">
        <f>C5-C6</f>
        <v>3047520</v>
      </c>
      <c r="D7" s="55">
        <f t="shared" ref="D7:K7" si="2">D5-D6</f>
        <v>3265200</v>
      </c>
      <c r="E7" s="55">
        <f t="shared" si="2"/>
        <v>3482880</v>
      </c>
      <c r="F7" s="55">
        <f t="shared" si="2"/>
        <v>3700560</v>
      </c>
      <c r="G7" s="55">
        <f t="shared" si="2"/>
        <v>3918240</v>
      </c>
      <c r="H7" s="55">
        <f t="shared" si="2"/>
        <v>4135920</v>
      </c>
      <c r="I7" s="55">
        <f t="shared" si="2"/>
        <v>4353600</v>
      </c>
      <c r="J7" s="55">
        <f t="shared" si="2"/>
        <v>4353600</v>
      </c>
      <c r="K7" s="55">
        <f t="shared" si="2"/>
        <v>4353600</v>
      </c>
    </row>
    <row r="8" spans="1:11" x14ac:dyDescent="0.6">
      <c r="A8" s="9" t="s">
        <v>303</v>
      </c>
      <c r="B8" s="9" t="s">
        <v>311</v>
      </c>
      <c r="C8" s="55">
        <f>C6*$D$21</f>
        <v>213326400</v>
      </c>
      <c r="D8" s="55">
        <f>D6*$D$21*1.05</f>
        <v>239992200</v>
      </c>
      <c r="E8" s="55">
        <f t="shared" ref="E8:K8" si="3">E6*$D$21*1.05</f>
        <v>255991680</v>
      </c>
      <c r="F8" s="55">
        <f t="shared" si="3"/>
        <v>271991160</v>
      </c>
      <c r="G8" s="55">
        <f t="shared" si="3"/>
        <v>287990640</v>
      </c>
      <c r="H8" s="55">
        <f t="shared" si="3"/>
        <v>303990120</v>
      </c>
      <c r="I8" s="55">
        <f t="shared" si="3"/>
        <v>319989600</v>
      </c>
      <c r="J8" s="55">
        <f t="shared" si="3"/>
        <v>319989600</v>
      </c>
      <c r="K8" s="55">
        <f t="shared" si="3"/>
        <v>319989600</v>
      </c>
    </row>
    <row r="9" spans="1:11" x14ac:dyDescent="0.6">
      <c r="A9" s="9" t="s">
        <v>304</v>
      </c>
      <c r="B9" s="9" t="s">
        <v>312</v>
      </c>
      <c r="C9" s="55">
        <f>C7*$F$21</f>
        <v>457128</v>
      </c>
      <c r="D9" s="55">
        <f t="shared" ref="D9:K9" si="4">D7*$F$21</f>
        <v>489780</v>
      </c>
      <c r="E9" s="55">
        <f t="shared" si="4"/>
        <v>522432</v>
      </c>
      <c r="F9" s="55">
        <f t="shared" si="4"/>
        <v>555084</v>
      </c>
      <c r="G9" s="55">
        <f t="shared" si="4"/>
        <v>587736</v>
      </c>
      <c r="H9" s="55">
        <f t="shared" si="4"/>
        <v>620388</v>
      </c>
      <c r="I9" s="55">
        <f t="shared" si="4"/>
        <v>653040</v>
      </c>
      <c r="J9" s="55">
        <f t="shared" si="4"/>
        <v>653040</v>
      </c>
      <c r="K9" s="55">
        <f t="shared" si="4"/>
        <v>653040</v>
      </c>
    </row>
    <row r="10" spans="1:11" x14ac:dyDescent="0.6">
      <c r="A10" s="9" t="s">
        <v>305</v>
      </c>
      <c r="B10" s="9" t="s">
        <v>313</v>
      </c>
      <c r="C10" s="55">
        <f>C5/70%</f>
        <v>13060800</v>
      </c>
      <c r="D10" s="55">
        <f t="shared" ref="D10:K10" si="5">D5/70%</f>
        <v>13993714.285714287</v>
      </c>
      <c r="E10" s="55">
        <f t="shared" si="5"/>
        <v>14926628.571428573</v>
      </c>
      <c r="F10" s="55">
        <f t="shared" si="5"/>
        <v>15859542.857142858</v>
      </c>
      <c r="G10" s="55">
        <f t="shared" si="5"/>
        <v>16792457.142857146</v>
      </c>
      <c r="H10" s="55">
        <f t="shared" si="5"/>
        <v>17725371.428571429</v>
      </c>
      <c r="I10" s="55">
        <f t="shared" si="5"/>
        <v>18658285.714285716</v>
      </c>
      <c r="J10" s="55">
        <f t="shared" si="5"/>
        <v>18658285.714285716</v>
      </c>
      <c r="K10" s="55">
        <f t="shared" si="5"/>
        <v>18658285.714285716</v>
      </c>
    </row>
    <row r="11" spans="1:11" x14ac:dyDescent="0.6">
      <c r="A11" s="9" t="s">
        <v>306</v>
      </c>
      <c r="B11" s="9" t="s">
        <v>293</v>
      </c>
      <c r="C11" s="55">
        <f>10%*C5*10</f>
        <v>9142560</v>
      </c>
      <c r="D11" s="55">
        <f t="shared" ref="D11:K11" si="6">10%*D5*10</f>
        <v>9795600</v>
      </c>
      <c r="E11" s="55">
        <f t="shared" si="6"/>
        <v>10448640</v>
      </c>
      <c r="F11" s="55">
        <f t="shared" si="6"/>
        <v>11101680</v>
      </c>
      <c r="G11" s="55">
        <f t="shared" si="6"/>
        <v>11754720</v>
      </c>
      <c r="H11" s="55">
        <f t="shared" si="6"/>
        <v>12407760</v>
      </c>
      <c r="I11" s="55">
        <f t="shared" si="6"/>
        <v>13060800</v>
      </c>
      <c r="J11" s="55">
        <f t="shared" si="6"/>
        <v>13060800</v>
      </c>
      <c r="K11" s="55">
        <f t="shared" si="6"/>
        <v>13060800</v>
      </c>
    </row>
    <row r="12" spans="1:11" x14ac:dyDescent="0.6">
      <c r="A12" s="9" t="s">
        <v>307</v>
      </c>
      <c r="B12" s="9" t="s">
        <v>294</v>
      </c>
      <c r="C12" s="55">
        <f>15%*C5*30</f>
        <v>41141520</v>
      </c>
      <c r="D12" s="55">
        <f>(C12*D4/C4)*1.1</f>
        <v>48488220.000000007</v>
      </c>
      <c r="E12" s="55">
        <f t="shared" ref="E12:K12" si="7">(D12*E4/D4)*1.1</f>
        <v>56892844.800000012</v>
      </c>
      <c r="F12" s="55">
        <f t="shared" si="7"/>
        <v>66493512.360000007</v>
      </c>
      <c r="G12" s="55">
        <f t="shared" si="7"/>
        <v>77445384.984000027</v>
      </c>
      <c r="H12" s="55">
        <f t="shared" si="7"/>
        <v>89922697.009200037</v>
      </c>
      <c r="I12" s="55">
        <f t="shared" si="7"/>
        <v>104121017.58960006</v>
      </c>
      <c r="J12" s="55">
        <f t="shared" si="7"/>
        <v>114533119.34856007</v>
      </c>
      <c r="K12" s="55">
        <f t="shared" si="7"/>
        <v>125986431.28341608</v>
      </c>
    </row>
    <row r="13" spans="1:11" s="32" customFormat="1" x14ac:dyDescent="0.6">
      <c r="A13" s="9"/>
      <c r="B13" s="9" t="s">
        <v>277</v>
      </c>
      <c r="C13" s="55">
        <f>C9+C8+C11+C12</f>
        <v>264067608</v>
      </c>
      <c r="D13" s="55">
        <f t="shared" ref="D13:K13" si="8">D9+D8+D11+D12</f>
        <v>298765800</v>
      </c>
      <c r="E13" s="55">
        <f t="shared" si="8"/>
        <v>323855596.80000001</v>
      </c>
      <c r="F13" s="55">
        <f t="shared" si="8"/>
        <v>350141436.36000001</v>
      </c>
      <c r="G13" s="55">
        <f t="shared" si="8"/>
        <v>377778480.98400003</v>
      </c>
      <c r="H13" s="55">
        <f t="shared" si="8"/>
        <v>406940965.00920004</v>
      </c>
      <c r="I13" s="55">
        <f t="shared" si="8"/>
        <v>437824457.58960009</v>
      </c>
      <c r="J13" s="55">
        <f t="shared" si="8"/>
        <v>448236559.34856009</v>
      </c>
      <c r="K13" s="55">
        <f t="shared" si="8"/>
        <v>459689871.28341609</v>
      </c>
    </row>
    <row r="14" spans="1:11" x14ac:dyDescent="0.6">
      <c r="C14" s="34"/>
      <c r="D14" s="34"/>
      <c r="E14" s="34"/>
      <c r="F14" s="34"/>
      <c r="G14" s="34"/>
      <c r="H14" s="34"/>
      <c r="I14" s="34"/>
      <c r="J14" s="34"/>
      <c r="K14" s="34"/>
    </row>
    <row r="15" spans="1:11" x14ac:dyDescent="0.6">
      <c r="B15" s="7" t="s">
        <v>267</v>
      </c>
    </row>
    <row r="17" spans="2:11" x14ac:dyDescent="0.6">
      <c r="B17" s="8" t="s">
        <v>242</v>
      </c>
      <c r="C17" s="96">
        <f>3628*16*225</f>
        <v>13060800</v>
      </c>
      <c r="F17" s="111"/>
    </row>
    <row r="18" spans="2:11" x14ac:dyDescent="0.6">
      <c r="B18" s="8" t="s">
        <v>263</v>
      </c>
      <c r="C18" s="112" t="s">
        <v>262</v>
      </c>
    </row>
    <row r="20" spans="2:11" s="118" customFormat="1" ht="58" customHeight="1" x14ac:dyDescent="0.35">
      <c r="B20" s="119" t="s">
        <v>166</v>
      </c>
      <c r="C20" s="120" t="s">
        <v>167</v>
      </c>
      <c r="D20" s="120" t="s">
        <v>265</v>
      </c>
      <c r="E20" s="120" t="s">
        <v>264</v>
      </c>
      <c r="F20" s="120" t="s">
        <v>276</v>
      </c>
    </row>
    <row r="21" spans="2:11" s="114" customFormat="1" x14ac:dyDescent="0.35">
      <c r="B21" s="113" t="s">
        <v>168</v>
      </c>
      <c r="C21" s="115">
        <f>C17</f>
        <v>13060800</v>
      </c>
      <c r="D21" s="116">
        <v>35</v>
      </c>
      <c r="E21" s="116">
        <v>18</v>
      </c>
      <c r="F21" s="113">
        <v>0.15</v>
      </c>
    </row>
    <row r="23" spans="2:11" x14ac:dyDescent="0.6">
      <c r="B23" s="7" t="s">
        <v>266</v>
      </c>
    </row>
    <row r="24" spans="2:11" s="7" customFormat="1" x14ac:dyDescent="0.6">
      <c r="B24" s="135" t="s">
        <v>3</v>
      </c>
      <c r="C24" s="134" t="s">
        <v>48</v>
      </c>
      <c r="D24" s="134"/>
      <c r="E24" s="134"/>
      <c r="F24" s="134"/>
      <c r="G24" s="134"/>
      <c r="H24" s="134"/>
      <c r="I24" s="134"/>
      <c r="J24" s="134"/>
      <c r="K24" s="134"/>
    </row>
    <row r="25" spans="2:11" s="7" customFormat="1" x14ac:dyDescent="0.6">
      <c r="B25" s="135"/>
      <c r="C25" s="117" t="s">
        <v>39</v>
      </c>
      <c r="D25" s="117" t="s">
        <v>40</v>
      </c>
      <c r="E25" s="117" t="s">
        <v>41</v>
      </c>
      <c r="F25" s="117" t="s">
        <v>42</v>
      </c>
      <c r="G25" s="117" t="s">
        <v>43</v>
      </c>
      <c r="H25" s="117" t="s">
        <v>44</v>
      </c>
      <c r="I25" s="117" t="s">
        <v>45</v>
      </c>
      <c r="J25" s="117" t="s">
        <v>46</v>
      </c>
      <c r="K25" s="117" t="s">
        <v>47</v>
      </c>
    </row>
    <row r="26" spans="2:11" x14ac:dyDescent="0.6">
      <c r="B26" s="9" t="s">
        <v>268</v>
      </c>
      <c r="C26" s="94">
        <v>0</v>
      </c>
      <c r="D26" s="81">
        <f>C29</f>
        <v>60950.400000000373</v>
      </c>
      <c r="E26" s="81">
        <f t="shared" ref="E26:K26" si="9">D29</f>
        <v>126254.40000000037</v>
      </c>
      <c r="F26" s="81">
        <f t="shared" si="9"/>
        <v>195912</v>
      </c>
      <c r="G26" s="81">
        <f t="shared" si="9"/>
        <v>269923.20000000019</v>
      </c>
      <c r="H26" s="81">
        <f t="shared" si="9"/>
        <v>348288</v>
      </c>
      <c r="I26" s="81">
        <f t="shared" si="9"/>
        <v>265569.59999999963</v>
      </c>
      <c r="J26" s="81">
        <f t="shared" si="9"/>
        <v>178497.59999999963</v>
      </c>
      <c r="K26" s="81">
        <f t="shared" si="9"/>
        <v>91425.599999999627</v>
      </c>
    </row>
    <row r="27" spans="2:11" x14ac:dyDescent="0.6">
      <c r="B27" s="9" t="s">
        <v>269</v>
      </c>
      <c r="C27" s="81">
        <f>C6</f>
        <v>6095040</v>
      </c>
      <c r="D27" s="81">
        <f t="shared" ref="D27:K27" si="10">D6</f>
        <v>6530400</v>
      </c>
      <c r="E27" s="81">
        <f t="shared" si="10"/>
        <v>6965760</v>
      </c>
      <c r="F27" s="81">
        <f t="shared" si="10"/>
        <v>7401120</v>
      </c>
      <c r="G27" s="81">
        <f t="shared" si="10"/>
        <v>7836480</v>
      </c>
      <c r="H27" s="81">
        <f t="shared" si="10"/>
        <v>8271840</v>
      </c>
      <c r="I27" s="81">
        <f t="shared" si="10"/>
        <v>8707200</v>
      </c>
      <c r="J27" s="81">
        <f t="shared" si="10"/>
        <v>8707200</v>
      </c>
      <c r="K27" s="81">
        <f t="shared" si="10"/>
        <v>8707200</v>
      </c>
    </row>
    <row r="28" spans="2:11" x14ac:dyDescent="0.6">
      <c r="B28" s="9" t="s">
        <v>50</v>
      </c>
      <c r="C28" s="81">
        <f>C6*99%</f>
        <v>6034089.5999999996</v>
      </c>
      <c r="D28" s="81">
        <f t="shared" ref="D28:G28" si="11">D6*99%</f>
        <v>6465096</v>
      </c>
      <c r="E28" s="81">
        <f t="shared" si="11"/>
        <v>6896102.4000000004</v>
      </c>
      <c r="F28" s="81">
        <f t="shared" si="11"/>
        <v>7327108.7999999998</v>
      </c>
      <c r="G28" s="81">
        <f t="shared" si="11"/>
        <v>7758115.2000000002</v>
      </c>
      <c r="H28" s="81">
        <f>H6*101%</f>
        <v>8354558.4000000004</v>
      </c>
      <c r="I28" s="81">
        <f t="shared" ref="I28:K28" si="12">I6*101%</f>
        <v>8794272</v>
      </c>
      <c r="J28" s="81">
        <f t="shared" si="12"/>
        <v>8794272</v>
      </c>
      <c r="K28" s="81">
        <f t="shared" si="12"/>
        <v>8794272</v>
      </c>
    </row>
    <row r="29" spans="2:11" x14ac:dyDescent="0.6">
      <c r="B29" s="9" t="s">
        <v>270</v>
      </c>
      <c r="C29" s="81">
        <f>C26+C27-C28</f>
        <v>60950.400000000373</v>
      </c>
      <c r="D29" s="81">
        <f t="shared" ref="D29:K29" si="13">D26+D27-D28</f>
        <v>126254.40000000037</v>
      </c>
      <c r="E29" s="81">
        <f t="shared" si="13"/>
        <v>195912</v>
      </c>
      <c r="F29" s="81">
        <f t="shared" si="13"/>
        <v>269923.20000000019</v>
      </c>
      <c r="G29" s="81">
        <f t="shared" si="13"/>
        <v>348288</v>
      </c>
      <c r="H29" s="81">
        <f t="shared" si="13"/>
        <v>265569.59999999963</v>
      </c>
      <c r="I29" s="81">
        <f t="shared" si="13"/>
        <v>178497.59999999963</v>
      </c>
      <c r="J29" s="81">
        <f t="shared" si="13"/>
        <v>91425.599999999627</v>
      </c>
      <c r="K29" s="81">
        <f t="shared" si="13"/>
        <v>4353.5999999996275</v>
      </c>
    </row>
    <row r="31" spans="2:11" ht="36" customHeight="1" x14ac:dyDescent="0.6">
      <c r="B31" s="131" t="s">
        <v>274</v>
      </c>
      <c r="C31" s="131"/>
      <c r="D31" s="131"/>
      <c r="E31" s="131"/>
      <c r="F31" s="131"/>
      <c r="G31" s="131"/>
      <c r="H31" s="131"/>
      <c r="I31" s="131"/>
      <c r="J31" s="131"/>
      <c r="K31" s="131"/>
    </row>
    <row r="32" spans="2:11" ht="28.5" customHeight="1" x14ac:dyDescent="0.6">
      <c r="B32" s="131" t="s">
        <v>275</v>
      </c>
      <c r="C32" s="131"/>
      <c r="D32" s="131"/>
      <c r="E32" s="131"/>
      <c r="F32" s="131"/>
      <c r="G32" s="131"/>
      <c r="H32" s="131"/>
      <c r="I32" s="131"/>
      <c r="J32" s="131"/>
      <c r="K32" s="131"/>
    </row>
    <row r="33" spans="2:2" x14ac:dyDescent="0.6">
      <c r="B33" s="8" t="s">
        <v>332</v>
      </c>
    </row>
    <row r="34" spans="2:2" x14ac:dyDescent="0.6">
      <c r="B34" s="8" t="s">
        <v>291</v>
      </c>
    </row>
    <row r="35" spans="2:2" x14ac:dyDescent="0.6">
      <c r="B35" s="8" t="s">
        <v>295</v>
      </c>
    </row>
  </sheetData>
  <mergeCells count="7">
    <mergeCell ref="A2:A3"/>
    <mergeCell ref="C2:K2"/>
    <mergeCell ref="C24:K24"/>
    <mergeCell ref="B31:K31"/>
    <mergeCell ref="B32:K32"/>
    <mergeCell ref="B2:B3"/>
    <mergeCell ref="B24:B25"/>
  </mergeCells>
  <pageMargins left="0.7" right="0.7" top="0.75" bottom="0.75" header="0.3" footer="0.3"/>
  <pageSetup scale="5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B3" sqref="B3:F8"/>
    </sheetView>
  </sheetViews>
  <sheetFormatPr defaultRowHeight="14.5" x14ac:dyDescent="0.35"/>
  <cols>
    <col min="1" max="1" width="16.453125" bestFit="1" customWidth="1"/>
  </cols>
  <sheetData>
    <row r="2" spans="1:10" x14ac:dyDescent="0.35">
      <c r="B2" t="s">
        <v>39</v>
      </c>
      <c r="C2" t="s">
        <v>40</v>
      </c>
      <c r="D2" t="s">
        <v>41</v>
      </c>
      <c r="E2" t="s">
        <v>42</v>
      </c>
      <c r="F2" t="s">
        <v>43</v>
      </c>
      <c r="G2" t="s">
        <v>44</v>
      </c>
      <c r="H2" t="s">
        <v>45</v>
      </c>
      <c r="I2" t="s">
        <v>46</v>
      </c>
      <c r="J2" t="s">
        <v>47</v>
      </c>
    </row>
    <row r="3" spans="1:10" ht="17" x14ac:dyDescent="0.6">
      <c r="A3" t="s">
        <v>190</v>
      </c>
      <c r="B3" s="34">
        <f>'Ann 4'!C21/100000</f>
        <v>2640.6760800000002</v>
      </c>
      <c r="C3" s="34">
        <f>'Ann 4'!D21/100000</f>
        <v>2987.6579999999999</v>
      </c>
      <c r="D3" s="34">
        <f>'Ann 4'!E21/100000</f>
        <v>3238.5559680000001</v>
      </c>
      <c r="E3" s="34">
        <f>'Ann 4'!F21/100000</f>
        <v>3501.4143636000003</v>
      </c>
      <c r="F3" s="34">
        <f>'Ann 4'!G21/100000</f>
        <v>3777.7848098400004</v>
      </c>
      <c r="G3" s="1">
        <f>'Ann 4'!H21/100000</f>
        <v>4069.4096500920004</v>
      </c>
      <c r="H3" s="1">
        <f>'Ann 4'!I21/100000</f>
        <v>4378.2445758960012</v>
      </c>
      <c r="I3" s="1">
        <f>'Ann 4'!J21/100000</f>
        <v>4482.3655934856006</v>
      </c>
      <c r="J3" s="1">
        <f>'Ann 4'!K21/100000</f>
        <v>4596.8987128341605</v>
      </c>
    </row>
    <row r="4" spans="1:10" ht="17" x14ac:dyDescent="0.6">
      <c r="A4" t="s">
        <v>191</v>
      </c>
      <c r="B4" s="34">
        <f>'Ann 4'!C20/100000</f>
        <v>2602.1582719999997</v>
      </c>
      <c r="C4" s="34">
        <f>'Ann 4'!D20/100000</f>
        <v>2939.2696600000004</v>
      </c>
      <c r="D4" s="34">
        <f>'Ann 4'!E20/100000</f>
        <v>3149.6779168000007</v>
      </c>
      <c r="E4" s="34">
        <f>'Ann 4'!F20/100000</f>
        <v>3362.8632170020001</v>
      </c>
      <c r="F4" s="34">
        <f>'Ann 4'!G20/100000</f>
        <v>3579.0151843152403</v>
      </c>
      <c r="G4" s="1">
        <f>'Ann 4'!H20/100000</f>
        <v>3851.2752816737525</v>
      </c>
      <c r="H4" s="1">
        <f>'Ann 4'!I20/100000</f>
        <v>4076.7647465419323</v>
      </c>
      <c r="I4" s="1">
        <f>'Ann 4'!J20/100000</f>
        <v>4102.6844077213564</v>
      </c>
      <c r="J4" s="1">
        <f>'Ann 4'!K20/100000</f>
        <v>4129.9435935498886</v>
      </c>
    </row>
    <row r="5" spans="1:10" ht="17" x14ac:dyDescent="0.6">
      <c r="A5" t="s">
        <v>192</v>
      </c>
      <c r="B5" s="34">
        <f>B3-B4</f>
        <v>38.517808000000514</v>
      </c>
      <c r="C5" s="34">
        <f t="shared" ref="C5:J5" si="0">C3-C4</f>
        <v>48.388339999999516</v>
      </c>
      <c r="D5" s="34">
        <f t="shared" si="0"/>
        <v>88.878051199999391</v>
      </c>
      <c r="E5" s="34">
        <f t="shared" si="0"/>
        <v>138.55114659800029</v>
      </c>
      <c r="F5" s="34">
        <f t="shared" si="0"/>
        <v>198.76962552476016</v>
      </c>
      <c r="G5" s="1">
        <f t="shared" si="0"/>
        <v>218.13436841824796</v>
      </c>
      <c r="H5" s="1">
        <f t="shared" si="0"/>
        <v>301.4798293540689</v>
      </c>
      <c r="I5" s="1">
        <f t="shared" si="0"/>
        <v>379.68118576424422</v>
      </c>
      <c r="J5" s="1">
        <f t="shared" si="0"/>
        <v>466.95511928427186</v>
      </c>
    </row>
    <row r="6" spans="1:10" ht="17" x14ac:dyDescent="0.6">
      <c r="A6" t="s">
        <v>193</v>
      </c>
      <c r="B6" s="34">
        <f>B5</f>
        <v>38.517808000000514</v>
      </c>
      <c r="C6" s="34">
        <f t="shared" ref="C6:J6" si="1">C5</f>
        <v>48.388339999999516</v>
      </c>
      <c r="D6" s="34">
        <f t="shared" si="1"/>
        <v>88.878051199999391</v>
      </c>
      <c r="E6" s="34">
        <f t="shared" si="1"/>
        <v>138.55114659800029</v>
      </c>
      <c r="F6" s="34">
        <f t="shared" si="1"/>
        <v>198.76962552476016</v>
      </c>
      <c r="G6" s="1">
        <f t="shared" si="1"/>
        <v>218.13436841824796</v>
      </c>
      <c r="H6" s="1">
        <f t="shared" si="1"/>
        <v>301.4798293540689</v>
      </c>
      <c r="I6" s="1">
        <f t="shared" si="1"/>
        <v>379.68118576424422</v>
      </c>
      <c r="J6" s="1">
        <f t="shared" si="1"/>
        <v>466.95511928427186</v>
      </c>
    </row>
    <row r="7" spans="1:10" ht="17" x14ac:dyDescent="0.6">
      <c r="A7" t="s">
        <v>194</v>
      </c>
      <c r="B7" s="101">
        <f>'Ann 4'!C32/100000</f>
        <v>14.060262807692425</v>
      </c>
      <c r="C7" s="101">
        <f>'Ann 4'!D32/100000</f>
        <v>28.838057307691713</v>
      </c>
      <c r="D7" s="101">
        <f>'Ann 4'!E32/100000</f>
        <v>72.095305430768676</v>
      </c>
      <c r="E7" s="101">
        <f>'Ann 4'!F32/100000</f>
        <v>124.26967050184609</v>
      </c>
      <c r="F7" s="101">
        <f>'Ann 4'!G32/100000</f>
        <v>186.76197076418296</v>
      </c>
      <c r="G7" s="5">
        <f>'Ann 4'!H32/100000</f>
        <v>208.20619484887268</v>
      </c>
      <c r="H7" s="5">
        <f>'Ann 4'!I32/100000</f>
        <v>293.4650397014268</v>
      </c>
      <c r="I7" s="5">
        <f>'Ann 4'!J32/100000</f>
        <v>373.09365116230822</v>
      </c>
      <c r="J7" s="5">
        <f>'Ann 4'!K32/100000</f>
        <v>461.09985603630918</v>
      </c>
    </row>
    <row r="8" spans="1:10" ht="17" x14ac:dyDescent="0.6">
      <c r="A8" t="s">
        <v>195</v>
      </c>
      <c r="B8" s="101">
        <f>'Ann 4'!C34/100000</f>
        <v>9.2421839653846973</v>
      </c>
      <c r="C8" s="101">
        <f>'Ann 4'!D34/100000</f>
        <v>20.186640115384197</v>
      </c>
      <c r="D8" s="101">
        <f>'Ann 4'!E34/100000</f>
        <v>50.466713801538077</v>
      </c>
      <c r="E8" s="101">
        <f>'Ann 4'!F34/100000</f>
        <v>86.988769351292277</v>
      </c>
      <c r="F8" s="101">
        <f>'Ann 4'!G34/100000</f>
        <v>130.73337953492808</v>
      </c>
      <c r="G8" s="5">
        <f>'Ann 4'!H34/100000</f>
        <v>145.74433639421088</v>
      </c>
      <c r="H8" s="5">
        <f>'Ann 4'!I34/100000</f>
        <v>205.42552779099879</v>
      </c>
      <c r="I8" s="5">
        <f>'Ann 4'!J34/100000</f>
        <v>261.16555581361575</v>
      </c>
      <c r="J8" s="5">
        <f>'Ann 4'!K34/100000</f>
        <v>322.7698992254164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8"/>
  <sheetViews>
    <sheetView workbookViewId="0">
      <selection activeCell="B7" sqref="B7"/>
    </sheetView>
  </sheetViews>
  <sheetFormatPr defaultRowHeight="17" x14ac:dyDescent="0.6"/>
  <cols>
    <col min="1" max="1" width="8.7265625" style="8"/>
    <col min="2" max="2" width="84" style="8" bestFit="1" customWidth="1"/>
    <col min="3" max="3" width="12.36328125" style="8" bestFit="1" customWidth="1"/>
    <col min="4" max="12" width="12.54296875" style="8" bestFit="1" customWidth="1"/>
    <col min="13" max="16384" width="8.7265625" style="8"/>
  </cols>
  <sheetData>
    <row r="1" spans="1:12" x14ac:dyDescent="0.6">
      <c r="A1" s="7" t="s">
        <v>215</v>
      </c>
      <c r="B1" s="7" t="s">
        <v>216</v>
      </c>
    </row>
    <row r="2" spans="1:12" x14ac:dyDescent="0.6">
      <c r="A2" s="8">
        <v>1</v>
      </c>
      <c r="B2" s="8" t="s">
        <v>331</v>
      </c>
    </row>
    <row r="3" spans="1:12" x14ac:dyDescent="0.6">
      <c r="A3" s="8">
        <v>2</v>
      </c>
      <c r="B3" s="8" t="s">
        <v>217</v>
      </c>
    </row>
    <row r="4" spans="1:12" x14ac:dyDescent="0.6">
      <c r="C4" s="8" t="s">
        <v>170</v>
      </c>
      <c r="D4" s="8">
        <v>70000</v>
      </c>
      <c r="E4" s="8">
        <f>D4*1.05</f>
        <v>73500</v>
      </c>
      <c r="F4" s="8">
        <f t="shared" ref="F4:J4" si="0">E4*1.05</f>
        <v>77175</v>
      </c>
      <c r="G4" s="8">
        <f t="shared" si="0"/>
        <v>81033.75</v>
      </c>
      <c r="H4" s="8">
        <f t="shared" si="0"/>
        <v>85085.4375</v>
      </c>
      <c r="I4" s="8">
        <f t="shared" si="0"/>
        <v>89339.709375000006</v>
      </c>
      <c r="J4" s="8">
        <f t="shared" si="0"/>
        <v>93806.69484375001</v>
      </c>
      <c r="K4" s="8">
        <f>J4</f>
        <v>93806.69484375001</v>
      </c>
      <c r="L4" s="8">
        <f>K4</f>
        <v>93806.69484375001</v>
      </c>
    </row>
    <row r="5" spans="1:12" x14ac:dyDescent="0.6">
      <c r="C5" s="8" t="s">
        <v>72</v>
      </c>
      <c r="D5" s="8">
        <f>D4*14</f>
        <v>980000</v>
      </c>
      <c r="E5" s="8">
        <f t="shared" ref="E5:L5" si="1">E4*14</f>
        <v>1029000</v>
      </c>
      <c r="F5" s="8">
        <f t="shared" si="1"/>
        <v>1080450</v>
      </c>
      <c r="G5" s="8">
        <f t="shared" si="1"/>
        <v>1134472.5</v>
      </c>
      <c r="H5" s="8">
        <f t="shared" si="1"/>
        <v>1191196.125</v>
      </c>
      <c r="I5" s="8">
        <f t="shared" si="1"/>
        <v>1250755.9312500001</v>
      </c>
      <c r="J5" s="8">
        <f t="shared" si="1"/>
        <v>1313293.7278125002</v>
      </c>
      <c r="K5" s="8">
        <f t="shared" si="1"/>
        <v>1313293.7278125002</v>
      </c>
      <c r="L5" s="8">
        <f t="shared" si="1"/>
        <v>1313293.7278125002</v>
      </c>
    </row>
    <row r="6" spans="1:12" x14ac:dyDescent="0.6">
      <c r="A6" s="8">
        <v>3</v>
      </c>
      <c r="B6" s="8" t="s">
        <v>328</v>
      </c>
    </row>
    <row r="7" spans="1:12" x14ac:dyDescent="0.6">
      <c r="A7" s="8">
        <v>4</v>
      </c>
      <c r="B7" s="8" t="s">
        <v>316</v>
      </c>
    </row>
    <row r="8" spans="1:12" x14ac:dyDescent="0.6">
      <c r="A8" s="8">
        <v>5</v>
      </c>
      <c r="B8" s="8" t="s">
        <v>259</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138</v>
      </c>
    </row>
    <row r="2" spans="1:11" x14ac:dyDescent="0.35">
      <c r="C2" t="s">
        <v>39</v>
      </c>
      <c r="D2" t="s">
        <v>40</v>
      </c>
      <c r="E2" t="s">
        <v>41</v>
      </c>
      <c r="F2" t="s">
        <v>42</v>
      </c>
      <c r="G2" t="s">
        <v>43</v>
      </c>
      <c r="H2" t="s">
        <v>44</v>
      </c>
      <c r="I2" t="s">
        <v>45</v>
      </c>
      <c r="J2" t="s">
        <v>46</v>
      </c>
      <c r="K2" t="s">
        <v>47</v>
      </c>
    </row>
    <row r="3" spans="1:11" x14ac:dyDescent="0.35">
      <c r="A3" t="s">
        <v>139</v>
      </c>
      <c r="C3">
        <f>'Ann 4'!C21/300*270</f>
        <v>237660847.19999999</v>
      </c>
      <c r="D3">
        <f>'Ann 4'!D21/300*270</f>
        <v>268889220</v>
      </c>
      <c r="E3">
        <f>'Ann 4'!E21/300*270</f>
        <v>291470037.12</v>
      </c>
      <c r="F3">
        <f>'Ann 4'!F21/300*270</f>
        <v>315127292.72399998</v>
      </c>
      <c r="G3">
        <f>'Ann 4'!G21/300*270</f>
        <v>340000632.88560003</v>
      </c>
      <c r="H3">
        <f>'Ann 4'!H21/300*270</f>
        <v>366246868.50828004</v>
      </c>
      <c r="I3">
        <f>'Ann 4'!I21/300*270</f>
        <v>394042011.83064008</v>
      </c>
      <c r="J3">
        <f>'Ann 4'!J21/300*270</f>
        <v>403412903.4137041</v>
      </c>
      <c r="K3">
        <f>'Ann 4'!K21/300*270</f>
        <v>413720884.15507454</v>
      </c>
    </row>
    <row r="4" spans="1:11" x14ac:dyDescent="0.35">
      <c r="A4" t="s">
        <v>140</v>
      </c>
      <c r="C4">
        <v>5000000</v>
      </c>
    </row>
    <row r="5" spans="1:11" x14ac:dyDescent="0.35">
      <c r="A5" t="s">
        <v>141</v>
      </c>
      <c r="C5">
        <v>21492978</v>
      </c>
    </row>
    <row r="7" spans="1:11" x14ac:dyDescent="0.35">
      <c r="A7" t="s">
        <v>142</v>
      </c>
      <c r="C7">
        <f>'Ann 3'!E21</f>
        <v>10878000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sheetPr>
    <pageSetUpPr fitToPage="1"/>
  </sheetPr>
  <dimension ref="A1:D44"/>
  <sheetViews>
    <sheetView workbookViewId="0">
      <selection activeCell="C25" sqref="C25"/>
    </sheetView>
  </sheetViews>
  <sheetFormatPr defaultRowHeight="17" x14ac:dyDescent="0.6"/>
  <cols>
    <col min="1" max="1" width="8.7265625" style="8"/>
    <col min="2" max="2" width="44.90625" style="8" customWidth="1"/>
    <col min="3" max="3" width="13.26953125" style="8" customWidth="1"/>
    <col min="4" max="16384" width="8.7265625" style="8"/>
  </cols>
  <sheetData>
    <row r="1" spans="1:3" x14ac:dyDescent="0.6">
      <c r="A1" s="7" t="s">
        <v>218</v>
      </c>
    </row>
    <row r="3" spans="1:3" x14ac:dyDescent="0.6">
      <c r="A3" s="7" t="s">
        <v>0</v>
      </c>
    </row>
    <row r="5" spans="1:3" x14ac:dyDescent="0.6">
      <c r="A5" s="26" t="s">
        <v>1</v>
      </c>
      <c r="B5" s="27"/>
      <c r="C5" s="28"/>
    </row>
    <row r="6" spans="1:3" ht="34" x14ac:dyDescent="0.6">
      <c r="A6" s="29" t="s">
        <v>2</v>
      </c>
      <c r="B6" s="29" t="s">
        <v>3</v>
      </c>
      <c r="C6" s="30" t="s">
        <v>4</v>
      </c>
    </row>
    <row r="7" spans="1:3" x14ac:dyDescent="0.6">
      <c r="A7" s="13">
        <v>1</v>
      </c>
      <c r="B7" s="14" t="s">
        <v>6</v>
      </c>
      <c r="C7" s="15"/>
    </row>
    <row r="8" spans="1:3" x14ac:dyDescent="0.6">
      <c r="A8" s="13" t="s">
        <v>5</v>
      </c>
      <c r="B8" s="14" t="s">
        <v>7</v>
      </c>
      <c r="C8" s="16">
        <v>0</v>
      </c>
    </row>
    <row r="9" spans="1:3" x14ac:dyDescent="0.6">
      <c r="A9" s="13"/>
      <c r="B9" s="14" t="s">
        <v>8</v>
      </c>
      <c r="C9" s="16">
        <f>SUM(C8)</f>
        <v>0</v>
      </c>
    </row>
    <row r="10" spans="1:3" x14ac:dyDescent="0.6">
      <c r="A10" s="13"/>
      <c r="B10" s="14"/>
      <c r="C10" s="15"/>
    </row>
    <row r="11" spans="1:3" x14ac:dyDescent="0.6">
      <c r="A11" s="13">
        <v>2</v>
      </c>
      <c r="B11" s="14" t="s">
        <v>164</v>
      </c>
      <c r="C11" s="16">
        <v>0</v>
      </c>
    </row>
    <row r="12" spans="1:3" x14ac:dyDescent="0.6">
      <c r="A12" s="13" t="s">
        <v>5</v>
      </c>
      <c r="B12" s="14" t="s">
        <v>8</v>
      </c>
      <c r="C12" s="16">
        <f>C11</f>
        <v>0</v>
      </c>
    </row>
    <row r="13" spans="1:3" x14ac:dyDescent="0.6">
      <c r="A13" s="13"/>
      <c r="B13" s="14"/>
      <c r="C13" s="15"/>
    </row>
    <row r="14" spans="1:3" x14ac:dyDescent="0.6">
      <c r="A14" s="13">
        <v>3</v>
      </c>
      <c r="B14" s="14" t="s">
        <v>9</v>
      </c>
      <c r="C14" s="15"/>
    </row>
    <row r="15" spans="1:3" x14ac:dyDescent="0.6">
      <c r="A15" s="13" t="s">
        <v>5</v>
      </c>
      <c r="B15" s="14" t="s">
        <v>9</v>
      </c>
      <c r="C15" s="17">
        <f>(5000*400)/100000</f>
        <v>20</v>
      </c>
    </row>
    <row r="16" spans="1:3" x14ac:dyDescent="0.6">
      <c r="A16" s="13"/>
      <c r="B16" s="14" t="s">
        <v>8</v>
      </c>
      <c r="C16" s="17">
        <f>C15</f>
        <v>20</v>
      </c>
    </row>
    <row r="17" spans="1:4" x14ac:dyDescent="0.6">
      <c r="A17" s="13"/>
      <c r="B17" s="14"/>
      <c r="C17" s="15"/>
    </row>
    <row r="18" spans="1:4" x14ac:dyDescent="0.6">
      <c r="A18" s="13">
        <v>4</v>
      </c>
      <c r="B18" s="14" t="s">
        <v>10</v>
      </c>
      <c r="C18" s="15"/>
    </row>
    <row r="19" spans="1:4" x14ac:dyDescent="0.6">
      <c r="A19" s="13" t="s">
        <v>5</v>
      </c>
      <c r="B19" s="14" t="s">
        <v>11</v>
      </c>
      <c r="C19" s="17">
        <f>'Ann 3'!E17/100000</f>
        <v>85</v>
      </c>
    </row>
    <row r="20" spans="1:4" x14ac:dyDescent="0.6">
      <c r="A20" s="13"/>
      <c r="B20" s="14" t="s">
        <v>8</v>
      </c>
      <c r="C20" s="18">
        <f>C19</f>
        <v>85</v>
      </c>
    </row>
    <row r="21" spans="1:4" x14ac:dyDescent="0.6">
      <c r="A21" s="13"/>
      <c r="B21" s="14"/>
      <c r="C21" s="15"/>
    </row>
    <row r="22" spans="1:4" x14ac:dyDescent="0.6">
      <c r="A22" s="13">
        <v>5</v>
      </c>
      <c r="B22" s="14" t="s">
        <v>12</v>
      </c>
      <c r="C22" s="15"/>
    </row>
    <row r="23" spans="1:4" x14ac:dyDescent="0.6">
      <c r="A23" s="13" t="s">
        <v>5</v>
      </c>
      <c r="B23" s="14" t="s">
        <v>13</v>
      </c>
      <c r="C23" s="16">
        <f>'Ann 3'!E19/100000</f>
        <v>3.78</v>
      </c>
    </row>
    <row r="24" spans="1:4" x14ac:dyDescent="0.6">
      <c r="A24" s="13"/>
      <c r="B24" s="14"/>
      <c r="C24" s="16"/>
    </row>
    <row r="25" spans="1:4" x14ac:dyDescent="0.6">
      <c r="A25" s="13">
        <v>6</v>
      </c>
      <c r="B25" s="14" t="s">
        <v>14</v>
      </c>
      <c r="C25" s="16">
        <v>13.085000000000001</v>
      </c>
      <c r="D25" s="121"/>
    </row>
    <row r="26" spans="1:4" x14ac:dyDescent="0.6">
      <c r="A26" s="13"/>
      <c r="B26" s="14"/>
      <c r="C26" s="16"/>
    </row>
    <row r="27" spans="1:4" x14ac:dyDescent="0.6">
      <c r="A27" s="13">
        <v>7</v>
      </c>
      <c r="B27" s="14" t="s">
        <v>15</v>
      </c>
      <c r="C27" s="16">
        <v>0</v>
      </c>
    </row>
    <row r="28" spans="1:4" x14ac:dyDescent="0.6">
      <c r="A28" s="13" t="s">
        <v>5</v>
      </c>
      <c r="B28" s="14" t="s">
        <v>16</v>
      </c>
      <c r="C28" s="16">
        <v>0</v>
      </c>
    </row>
    <row r="29" spans="1:4" x14ac:dyDescent="0.6">
      <c r="A29" s="13"/>
      <c r="B29" s="14" t="s">
        <v>8</v>
      </c>
      <c r="C29" s="16"/>
    </row>
    <row r="30" spans="1:4" x14ac:dyDescent="0.6">
      <c r="A30" s="13"/>
      <c r="B30" s="14"/>
      <c r="C30" s="16"/>
    </row>
    <row r="31" spans="1:4" x14ac:dyDescent="0.6">
      <c r="A31" s="13">
        <v>8</v>
      </c>
      <c r="B31" s="14" t="s">
        <v>17</v>
      </c>
      <c r="C31" s="15"/>
    </row>
    <row r="32" spans="1:4" ht="34" x14ac:dyDescent="0.6">
      <c r="A32" s="13"/>
      <c r="B32" s="19" t="s">
        <v>18</v>
      </c>
      <c r="C32" s="15"/>
    </row>
    <row r="33" spans="1:4" x14ac:dyDescent="0.6">
      <c r="A33" s="13" t="s">
        <v>5</v>
      </c>
      <c r="B33" s="14" t="s">
        <v>19</v>
      </c>
      <c r="C33" s="16"/>
    </row>
    <row r="34" spans="1:4" x14ac:dyDescent="0.6">
      <c r="A34" s="13" t="s">
        <v>20</v>
      </c>
      <c r="B34" s="14" t="s">
        <v>21</v>
      </c>
      <c r="C34" s="16">
        <v>2</v>
      </c>
    </row>
    <row r="35" spans="1:4" x14ac:dyDescent="0.6">
      <c r="A35" s="13"/>
      <c r="B35" s="14" t="s">
        <v>8</v>
      </c>
      <c r="C35" s="16">
        <f>SUM(C33:C34)</f>
        <v>2</v>
      </c>
    </row>
    <row r="36" spans="1:4" x14ac:dyDescent="0.6">
      <c r="A36" s="13"/>
      <c r="B36" s="14"/>
      <c r="C36" s="16"/>
    </row>
    <row r="37" spans="1:4" x14ac:dyDescent="0.6">
      <c r="A37" s="13">
        <v>9</v>
      </c>
      <c r="B37" s="14" t="s">
        <v>249</v>
      </c>
      <c r="C37" s="16">
        <v>0</v>
      </c>
    </row>
    <row r="38" spans="1:4" x14ac:dyDescent="0.6">
      <c r="A38" s="13"/>
      <c r="B38" s="14"/>
      <c r="C38" s="16"/>
    </row>
    <row r="39" spans="1:4" x14ac:dyDescent="0.6">
      <c r="A39" s="13">
        <v>10</v>
      </c>
      <c r="B39" s="14" t="s">
        <v>64</v>
      </c>
      <c r="C39" s="20">
        <v>1.135</v>
      </c>
      <c r="D39" s="21"/>
    </row>
    <row r="40" spans="1:4" x14ac:dyDescent="0.6">
      <c r="A40" s="13"/>
      <c r="B40" s="14"/>
      <c r="C40" s="15"/>
    </row>
    <row r="41" spans="1:4" x14ac:dyDescent="0.6">
      <c r="A41" s="22"/>
      <c r="B41" s="23" t="s">
        <v>22</v>
      </c>
      <c r="C41" s="24">
        <f>C35+C27+C25+C20+C16+C23+C37+C12+C9+C39</f>
        <v>125.00000000000001</v>
      </c>
    </row>
    <row r="42" spans="1:4" x14ac:dyDescent="0.6">
      <c r="A42" s="25"/>
    </row>
    <row r="43" spans="1:4" x14ac:dyDescent="0.6">
      <c r="A43" s="25"/>
    </row>
    <row r="44" spans="1:4" x14ac:dyDescent="0.6">
      <c r="A44" s="25"/>
    </row>
  </sheetData>
  <pageMargins left="0.7" right="0.7" top="0.75" bottom="0.75" header="0.3" footer="0.3"/>
  <pageSetup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election activeCell="C7" sqref="C7"/>
    </sheetView>
  </sheetViews>
  <sheetFormatPr defaultRowHeight="17" x14ac:dyDescent="0.6"/>
  <cols>
    <col min="1" max="1" width="8.7265625" style="8"/>
    <col min="2" max="2" width="22.08984375" style="8" customWidth="1"/>
    <col min="3" max="3" width="18.81640625" style="8" bestFit="1" customWidth="1"/>
    <col min="4" max="16384" width="8.7265625" style="8"/>
  </cols>
  <sheetData>
    <row r="1" spans="1:4" x14ac:dyDescent="0.6">
      <c r="A1" s="7" t="s">
        <v>23</v>
      </c>
    </row>
    <row r="3" spans="1:4" s="7" customFormat="1" x14ac:dyDescent="0.6">
      <c r="A3" s="52" t="s">
        <v>24</v>
      </c>
      <c r="B3" s="53" t="s">
        <v>25</v>
      </c>
      <c r="C3" s="54" t="s">
        <v>4</v>
      </c>
    </row>
    <row r="4" spans="1:4" x14ac:dyDescent="0.6">
      <c r="A4" s="31">
        <v>1</v>
      </c>
      <c r="B4" s="8" t="s">
        <v>26</v>
      </c>
      <c r="C4" s="18">
        <f>C8*10%</f>
        <v>12.500000000000002</v>
      </c>
      <c r="D4" s="33"/>
    </row>
    <row r="5" spans="1:4" x14ac:dyDescent="0.6">
      <c r="A5" s="31">
        <v>2</v>
      </c>
      <c r="B5" s="8" t="s">
        <v>27</v>
      </c>
      <c r="C5" s="18">
        <v>0</v>
      </c>
      <c r="D5" s="33"/>
    </row>
    <row r="6" spans="1:4" x14ac:dyDescent="0.6">
      <c r="A6" s="31">
        <v>3</v>
      </c>
      <c r="B6" s="8" t="s">
        <v>28</v>
      </c>
      <c r="C6" s="16">
        <f>C8-C4-C7</f>
        <v>99.41500000000002</v>
      </c>
      <c r="D6" s="33"/>
    </row>
    <row r="7" spans="1:4" x14ac:dyDescent="0.6">
      <c r="A7" s="31">
        <v>4</v>
      </c>
      <c r="B7" s="8" t="s">
        <v>29</v>
      </c>
      <c r="C7" s="16">
        <f>'Ann 1'!C25</f>
        <v>13.085000000000001</v>
      </c>
      <c r="D7" s="33"/>
    </row>
    <row r="8" spans="1:4" s="7" customFormat="1" x14ac:dyDescent="0.6">
      <c r="A8" s="48"/>
      <c r="B8" s="49" t="s">
        <v>8</v>
      </c>
      <c r="C8" s="136">
        <f>'Ann 1'!C41</f>
        <v>125.00000000000001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sheetPr>
    <pageSetUpPr fitToPage="1"/>
  </sheetPr>
  <dimension ref="A1:E23"/>
  <sheetViews>
    <sheetView workbookViewId="0">
      <selection activeCell="E4" sqref="E4"/>
    </sheetView>
  </sheetViews>
  <sheetFormatPr defaultRowHeight="17" x14ac:dyDescent="0.6"/>
  <cols>
    <col min="1" max="1" width="2.81640625" style="8" bestFit="1" customWidth="1"/>
    <col min="2" max="2" width="90.1796875" style="8" bestFit="1" customWidth="1"/>
    <col min="3" max="3" width="8.7265625" style="8"/>
    <col min="4" max="4" width="10.54296875" style="8" customWidth="1"/>
    <col min="5" max="5" width="12.1796875" style="8" bestFit="1" customWidth="1"/>
    <col min="6" max="6" width="8.7265625" style="8"/>
    <col min="7" max="7" width="9.1796875" style="8" bestFit="1" customWidth="1"/>
    <col min="8" max="16384" width="8.7265625" style="8"/>
  </cols>
  <sheetData>
    <row r="1" spans="1:5" x14ac:dyDescent="0.6">
      <c r="A1" s="7" t="s">
        <v>30</v>
      </c>
    </row>
    <row r="3" spans="1:5" x14ac:dyDescent="0.6">
      <c r="A3" s="52" t="s">
        <v>240</v>
      </c>
      <c r="B3" s="53"/>
      <c r="C3" s="53" t="s">
        <v>31</v>
      </c>
      <c r="D3" s="53"/>
      <c r="E3" s="54" t="s">
        <v>32</v>
      </c>
    </row>
    <row r="4" spans="1:5" x14ac:dyDescent="0.6">
      <c r="A4" s="37">
        <v>1</v>
      </c>
      <c r="B4" s="38" t="s">
        <v>251</v>
      </c>
      <c r="C4" s="39">
        <v>1</v>
      </c>
      <c r="D4" s="40"/>
      <c r="E4" s="41">
        <f>'Ann 1'!C15*100000</f>
        <v>2000000</v>
      </c>
    </row>
    <row r="5" spans="1:5" x14ac:dyDescent="0.6">
      <c r="A5" s="42" t="s">
        <v>241</v>
      </c>
      <c r="B5" s="43"/>
      <c r="C5" s="43"/>
      <c r="D5" s="43"/>
      <c r="E5" s="44">
        <f>SUM(E4:E4)</f>
        <v>2000000</v>
      </c>
    </row>
    <row r="6" spans="1:5" x14ac:dyDescent="0.6">
      <c r="A6" s="35"/>
      <c r="B6" s="36"/>
      <c r="C6" s="36"/>
      <c r="D6" s="36"/>
      <c r="E6" s="45"/>
    </row>
    <row r="7" spans="1:5" x14ac:dyDescent="0.6">
      <c r="A7" s="52" t="s">
        <v>33</v>
      </c>
      <c r="B7" s="53"/>
      <c r="C7" s="53" t="s">
        <v>31</v>
      </c>
      <c r="D7" s="53"/>
      <c r="E7" s="54" t="s">
        <v>32</v>
      </c>
    </row>
    <row r="8" spans="1:5" x14ac:dyDescent="0.6">
      <c r="A8" s="37">
        <v>1</v>
      </c>
      <c r="B8" s="46" t="s">
        <v>317</v>
      </c>
      <c r="C8" s="39">
        <v>1</v>
      </c>
      <c r="D8" s="40"/>
      <c r="E8" s="122">
        <v>8500000</v>
      </c>
    </row>
    <row r="9" spans="1:5" x14ac:dyDescent="0.6">
      <c r="A9" s="31">
        <v>2</v>
      </c>
      <c r="B9" s="46" t="s">
        <v>318</v>
      </c>
      <c r="C9" s="46">
        <v>1</v>
      </c>
      <c r="D9" s="47"/>
      <c r="E9" s="123"/>
    </row>
    <row r="10" spans="1:5" x14ac:dyDescent="0.6">
      <c r="A10" s="31">
        <v>3</v>
      </c>
      <c r="B10" s="46" t="s">
        <v>319</v>
      </c>
      <c r="C10" s="46">
        <v>1</v>
      </c>
      <c r="D10" s="47"/>
      <c r="E10" s="123"/>
    </row>
    <row r="11" spans="1:5" x14ac:dyDescent="0.6">
      <c r="A11" s="31">
        <v>4</v>
      </c>
      <c r="B11" s="46" t="s">
        <v>320</v>
      </c>
      <c r="C11" s="46">
        <v>1</v>
      </c>
      <c r="D11" s="47"/>
      <c r="E11" s="123"/>
    </row>
    <row r="12" spans="1:5" x14ac:dyDescent="0.6">
      <c r="A12" s="31">
        <v>5</v>
      </c>
      <c r="B12" s="46" t="s">
        <v>321</v>
      </c>
      <c r="C12" s="46">
        <v>1</v>
      </c>
      <c r="D12" s="47"/>
      <c r="E12" s="123"/>
    </row>
    <row r="13" spans="1:5" x14ac:dyDescent="0.6">
      <c r="A13" s="31">
        <v>6</v>
      </c>
      <c r="B13" s="46" t="s">
        <v>322</v>
      </c>
      <c r="C13" s="46">
        <v>1</v>
      </c>
      <c r="D13" s="47"/>
      <c r="E13" s="123"/>
    </row>
    <row r="14" spans="1:5" x14ac:dyDescent="0.6">
      <c r="A14" s="31">
        <v>7</v>
      </c>
      <c r="B14" s="46" t="s">
        <v>323</v>
      </c>
      <c r="C14" s="46">
        <v>1</v>
      </c>
      <c r="D14" s="47"/>
      <c r="E14" s="123"/>
    </row>
    <row r="15" spans="1:5" x14ac:dyDescent="0.6">
      <c r="A15" s="31">
        <v>8</v>
      </c>
      <c r="B15" s="46" t="s">
        <v>324</v>
      </c>
      <c r="C15" s="46">
        <v>1</v>
      </c>
      <c r="D15" s="47"/>
      <c r="E15" s="123"/>
    </row>
    <row r="16" spans="1:5" x14ac:dyDescent="0.6">
      <c r="A16" s="31">
        <v>9</v>
      </c>
      <c r="B16" s="46" t="s">
        <v>325</v>
      </c>
      <c r="C16" s="46">
        <v>1</v>
      </c>
      <c r="D16" s="47"/>
      <c r="E16" s="124"/>
    </row>
    <row r="17" spans="1:5" s="7" customFormat="1" x14ac:dyDescent="0.6">
      <c r="A17" s="48" t="s">
        <v>34</v>
      </c>
      <c r="B17" s="49"/>
      <c r="C17" s="49"/>
      <c r="D17" s="49"/>
      <c r="E17" s="50">
        <f>SUM(E8:E16)</f>
        <v>8500000</v>
      </c>
    </row>
    <row r="18" spans="1:5" x14ac:dyDescent="0.6">
      <c r="A18" s="31"/>
      <c r="B18" s="32"/>
      <c r="C18" s="32"/>
      <c r="D18" s="32"/>
      <c r="E18" s="15"/>
    </row>
    <row r="19" spans="1:5" x14ac:dyDescent="0.6">
      <c r="A19" s="52" t="s">
        <v>250</v>
      </c>
      <c r="B19" s="53"/>
      <c r="C19" s="53"/>
      <c r="D19" s="53"/>
      <c r="E19" s="54">
        <v>378000</v>
      </c>
    </row>
    <row r="20" spans="1:5" x14ac:dyDescent="0.6">
      <c r="A20" s="31"/>
      <c r="B20" s="32"/>
      <c r="C20" s="32"/>
      <c r="D20" s="32"/>
      <c r="E20" s="15"/>
    </row>
    <row r="21" spans="1:5" s="7" customFormat="1" x14ac:dyDescent="0.6">
      <c r="A21" s="48" t="s">
        <v>35</v>
      </c>
      <c r="B21" s="49"/>
      <c r="C21" s="49"/>
      <c r="D21" s="49"/>
      <c r="E21" s="50">
        <f>E17+E5+E19</f>
        <v>10878000</v>
      </c>
    </row>
    <row r="22" spans="1:5" x14ac:dyDescent="0.6">
      <c r="E22" s="21"/>
    </row>
    <row r="23" spans="1:5" x14ac:dyDescent="0.6">
      <c r="E23" s="51"/>
    </row>
  </sheetData>
  <mergeCells count="1">
    <mergeCell ref="E8:E16"/>
  </mergeCells>
  <pageMargins left="0.7" right="0.7" top="0.75" bottom="0.75" header="0.3" footer="0.3"/>
  <pageSetup scale="9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44"/>
  <sheetViews>
    <sheetView workbookViewId="0">
      <selection activeCell="B34" sqref="B34"/>
    </sheetView>
  </sheetViews>
  <sheetFormatPr defaultRowHeight="17" x14ac:dyDescent="0.6"/>
  <cols>
    <col min="1" max="1" width="8.7265625" style="8"/>
    <col min="2" max="2" width="55.7265625" style="8" bestFit="1" customWidth="1"/>
    <col min="3" max="11" width="15.6328125" style="8" bestFit="1" customWidth="1"/>
    <col min="12" max="16384" width="8.7265625" style="8"/>
  </cols>
  <sheetData>
    <row r="1" spans="1:11" x14ac:dyDescent="0.6">
      <c r="A1" s="7" t="s">
        <v>36</v>
      </c>
    </row>
    <row r="3" spans="1:11" x14ac:dyDescent="0.6">
      <c r="A3" s="126" t="s">
        <v>37</v>
      </c>
      <c r="B3" s="126" t="s">
        <v>38</v>
      </c>
      <c r="C3" s="125" t="s">
        <v>48</v>
      </c>
      <c r="D3" s="125"/>
      <c r="E3" s="125"/>
      <c r="F3" s="125"/>
      <c r="G3" s="125"/>
      <c r="H3" s="125"/>
      <c r="I3" s="125"/>
      <c r="J3" s="125"/>
      <c r="K3" s="125"/>
    </row>
    <row r="4" spans="1:11" x14ac:dyDescent="0.6">
      <c r="A4" s="127"/>
      <c r="B4" s="127"/>
      <c r="C4" s="58" t="s">
        <v>39</v>
      </c>
      <c r="D4" s="57" t="s">
        <v>40</v>
      </c>
      <c r="E4" s="57" t="s">
        <v>41</v>
      </c>
      <c r="F4" s="57" t="s">
        <v>42</v>
      </c>
      <c r="G4" s="57" t="s">
        <v>43</v>
      </c>
      <c r="H4" s="57" t="s">
        <v>44</v>
      </c>
      <c r="I4" s="57" t="s">
        <v>45</v>
      </c>
      <c r="J4" s="57" t="s">
        <v>46</v>
      </c>
      <c r="K4" s="57" t="s">
        <v>47</v>
      </c>
    </row>
    <row r="5" spans="1:11" x14ac:dyDescent="0.6">
      <c r="A5" s="9"/>
      <c r="B5" s="9" t="s">
        <v>49</v>
      </c>
      <c r="C5" s="9">
        <v>12</v>
      </c>
      <c r="D5" s="9">
        <v>12</v>
      </c>
      <c r="E5" s="9">
        <v>12</v>
      </c>
      <c r="F5" s="9">
        <v>12</v>
      </c>
      <c r="G5" s="9">
        <v>12</v>
      </c>
      <c r="H5" s="9">
        <v>12</v>
      </c>
      <c r="I5" s="9">
        <v>12</v>
      </c>
      <c r="J5" s="9">
        <v>12</v>
      </c>
      <c r="K5" s="9">
        <v>12</v>
      </c>
    </row>
    <row r="6" spans="1:11" x14ac:dyDescent="0.6">
      <c r="A6" s="9"/>
      <c r="B6" s="9"/>
      <c r="C6" s="9"/>
      <c r="D6" s="9"/>
      <c r="E6" s="9"/>
      <c r="F6" s="9"/>
      <c r="G6" s="9"/>
      <c r="H6" s="9"/>
      <c r="I6" s="9"/>
      <c r="J6" s="9"/>
      <c r="K6" s="9"/>
    </row>
    <row r="7" spans="1:11" x14ac:dyDescent="0.6">
      <c r="A7" s="9"/>
      <c r="B7" s="9" t="s">
        <v>271</v>
      </c>
      <c r="C7" s="55">
        <f>Budgets!C10*Budgets!$E$21</f>
        <v>235094400</v>
      </c>
      <c r="D7" s="55">
        <f>Budgets!D10*Budgets!$E$21*1.05</f>
        <v>264481200.00000003</v>
      </c>
      <c r="E7" s="55">
        <f>Budgets!E10*Budgets!$E$21*1.05</f>
        <v>282113280.00000006</v>
      </c>
      <c r="F7" s="55">
        <f>Budgets!F10*Budgets!$E$21*1.05</f>
        <v>299745360.00000006</v>
      </c>
      <c r="G7" s="55">
        <f>Budgets!G10*Budgets!$E$21*1.05</f>
        <v>317377440.00000006</v>
      </c>
      <c r="H7" s="55">
        <f>Budgets!H10*Budgets!$E$21*1.05</f>
        <v>335009520.00000006</v>
      </c>
      <c r="I7" s="55">
        <f>Budgets!I10*Budgets!$E$21*1.05</f>
        <v>352641600.00000006</v>
      </c>
      <c r="J7" s="55">
        <f>Budgets!J10*Budgets!$E$21*1.05</f>
        <v>352641600.00000006</v>
      </c>
      <c r="K7" s="55">
        <f>Budgets!K10*Budgets!$E$21*1.05</f>
        <v>352641600.00000006</v>
      </c>
    </row>
    <row r="8" spans="1:11" x14ac:dyDescent="0.6">
      <c r="A8" s="9"/>
      <c r="B8" s="9" t="s">
        <v>169</v>
      </c>
      <c r="C8" s="55">
        <f>100000+C41</f>
        <v>1080000</v>
      </c>
      <c r="D8" s="55">
        <f t="shared" ref="D8:K8" si="0">100000+D41</f>
        <v>1129000</v>
      </c>
      <c r="E8" s="55">
        <f t="shared" si="0"/>
        <v>1180450</v>
      </c>
      <c r="F8" s="55">
        <f t="shared" si="0"/>
        <v>1234472.5</v>
      </c>
      <c r="G8" s="55">
        <f t="shared" si="0"/>
        <v>1291196.125</v>
      </c>
      <c r="H8" s="55">
        <f t="shared" si="0"/>
        <v>1350755.9312500001</v>
      </c>
      <c r="I8" s="55">
        <f t="shared" si="0"/>
        <v>1413293.7278125002</v>
      </c>
      <c r="J8" s="55">
        <f t="shared" si="0"/>
        <v>1413293.7278125002</v>
      </c>
      <c r="K8" s="55">
        <f t="shared" si="0"/>
        <v>1413293.7278125002</v>
      </c>
    </row>
    <row r="9" spans="1:11" x14ac:dyDescent="0.6">
      <c r="A9" s="9"/>
      <c r="B9" s="9" t="s">
        <v>258</v>
      </c>
      <c r="C9" s="55">
        <f>2%*'Ann 3'!E17</f>
        <v>170000</v>
      </c>
      <c r="D9" s="55">
        <f>C9*1.05</f>
        <v>178500</v>
      </c>
      <c r="E9" s="55">
        <f t="shared" ref="E9:K9" si="1">D9*1.05</f>
        <v>187425</v>
      </c>
      <c r="F9" s="55">
        <f t="shared" si="1"/>
        <v>196796.25</v>
      </c>
      <c r="G9" s="55">
        <f t="shared" si="1"/>
        <v>206636.0625</v>
      </c>
      <c r="H9" s="55">
        <f t="shared" si="1"/>
        <v>216967.86562500001</v>
      </c>
      <c r="I9" s="55">
        <f t="shared" si="1"/>
        <v>227816.25890625</v>
      </c>
      <c r="J9" s="55">
        <f t="shared" si="1"/>
        <v>239207.0718515625</v>
      </c>
      <c r="K9" s="55">
        <f t="shared" si="1"/>
        <v>251167.42544414065</v>
      </c>
    </row>
    <row r="10" spans="1:11" x14ac:dyDescent="0.6">
      <c r="A10" s="9"/>
      <c r="B10" s="9" t="s">
        <v>292</v>
      </c>
      <c r="C10" s="55">
        <f>C7*10%</f>
        <v>23509440</v>
      </c>
      <c r="D10" s="55">
        <f>D7*10%*1.05</f>
        <v>27770526.000000004</v>
      </c>
      <c r="E10" s="55">
        <f>E7*10%*1.05*1.05</f>
        <v>31102989.120000012</v>
      </c>
      <c r="F10" s="55">
        <f>F7*10%*1.05*1.05*1.05</f>
        <v>34699272.237000011</v>
      </c>
      <c r="G10" s="55">
        <f>G7*10%*1.05*1.05*1.05*1.05</f>
        <v>38577426.192900017</v>
      </c>
      <c r="H10" s="55">
        <f>H7*10%*1.05*1.05*1.05*1.05*1.05</f>
        <v>42756647.363797516</v>
      </c>
      <c r="I10" s="55">
        <f>I7*10%*1.05*1.05*1.05*1.05*1.05*1.05</f>
        <v>47257347.086302511</v>
      </c>
      <c r="J10" s="55">
        <f>J7*10%*1.05*1.05*1.05*1.05*1.05*1.05*1.05</f>
        <v>49620214.440617636</v>
      </c>
      <c r="K10" s="55">
        <f>K7*10%*1.05*1.05*1.05*1.05*1.05*1.05*1.05*1.05</f>
        <v>52101225.162648521</v>
      </c>
    </row>
    <row r="11" spans="1:11" x14ac:dyDescent="0.6">
      <c r="A11" s="9"/>
      <c r="B11" s="9" t="s">
        <v>171</v>
      </c>
      <c r="C11" s="55">
        <f>SUM(C7:C10)</f>
        <v>259853840</v>
      </c>
      <c r="D11" s="55">
        <f t="shared" ref="D11:K11" si="2">SUM(D7:D10)</f>
        <v>293559226.00000006</v>
      </c>
      <c r="E11" s="55">
        <f t="shared" si="2"/>
        <v>314584144.12000006</v>
      </c>
      <c r="F11" s="55">
        <f t="shared" si="2"/>
        <v>335875900.98700005</v>
      </c>
      <c r="G11" s="55">
        <f t="shared" si="2"/>
        <v>357452698.38040006</v>
      </c>
      <c r="H11" s="55">
        <f t="shared" si="2"/>
        <v>379333891.16067255</v>
      </c>
      <c r="I11" s="55">
        <f t="shared" si="2"/>
        <v>401540057.07302135</v>
      </c>
      <c r="J11" s="55">
        <f t="shared" si="2"/>
        <v>403914315.24028176</v>
      </c>
      <c r="K11" s="55">
        <f t="shared" si="2"/>
        <v>406407286.31590521</v>
      </c>
    </row>
    <row r="12" spans="1:11" x14ac:dyDescent="0.6">
      <c r="A12" s="9"/>
      <c r="B12" s="9" t="s">
        <v>260</v>
      </c>
      <c r="C12" s="55">
        <v>0</v>
      </c>
      <c r="D12" s="55">
        <f>C13</f>
        <v>1950412.8000000119</v>
      </c>
      <c r="E12" s="55">
        <f t="shared" ref="E12:K12" si="3">D13</f>
        <v>4040140.8000000119</v>
      </c>
      <c r="F12" s="55">
        <f t="shared" si="3"/>
        <v>6269184</v>
      </c>
      <c r="G12" s="55">
        <f t="shared" si="3"/>
        <v>8637542.400000006</v>
      </c>
      <c r="H12" s="55">
        <f t="shared" si="3"/>
        <v>11145216</v>
      </c>
      <c r="I12" s="55">
        <f t="shared" si="3"/>
        <v>8498227.1999999881</v>
      </c>
      <c r="J12" s="55">
        <f t="shared" si="3"/>
        <v>5711923.1999999881</v>
      </c>
      <c r="K12" s="55">
        <f t="shared" si="3"/>
        <v>2925619.1999999881</v>
      </c>
    </row>
    <row r="13" spans="1:11" x14ac:dyDescent="0.6">
      <c r="A13" s="9"/>
      <c r="B13" s="9" t="s">
        <v>261</v>
      </c>
      <c r="C13" s="55">
        <f>Budgets!C29*32</f>
        <v>1950412.8000000119</v>
      </c>
      <c r="D13" s="55">
        <f>Budgets!D29*32</f>
        <v>4040140.8000000119</v>
      </c>
      <c r="E13" s="55">
        <f>Budgets!E29*32</f>
        <v>6269184</v>
      </c>
      <c r="F13" s="55">
        <f>Budgets!F29*32</f>
        <v>8637542.400000006</v>
      </c>
      <c r="G13" s="55">
        <f>Budgets!G29*32</f>
        <v>11145216</v>
      </c>
      <c r="H13" s="55">
        <f>Budgets!H29*32</f>
        <v>8498227.1999999881</v>
      </c>
      <c r="I13" s="55">
        <f>Budgets!I29*32</f>
        <v>5711923.1999999881</v>
      </c>
      <c r="J13" s="55">
        <f>Budgets!J29*32</f>
        <v>2925619.1999999881</v>
      </c>
      <c r="K13" s="55">
        <f>Budgets!K29*32</f>
        <v>139315.19999998808</v>
      </c>
    </row>
    <row r="14" spans="1:11" x14ac:dyDescent="0.6">
      <c r="A14" s="9"/>
      <c r="B14" s="9" t="s">
        <v>172</v>
      </c>
      <c r="C14" s="55">
        <f>C11+C12-C13</f>
        <v>257903427.19999999</v>
      </c>
      <c r="D14" s="55">
        <f t="shared" ref="D14:K14" si="4">D11+D12-D13</f>
        <v>291469498.00000006</v>
      </c>
      <c r="E14" s="55">
        <f t="shared" si="4"/>
        <v>312355100.92000008</v>
      </c>
      <c r="F14" s="55">
        <f t="shared" si="4"/>
        <v>333507542.58700001</v>
      </c>
      <c r="G14" s="55">
        <f t="shared" si="4"/>
        <v>354945024.78040004</v>
      </c>
      <c r="H14" s="55">
        <f t="shared" si="4"/>
        <v>381980879.96067256</v>
      </c>
      <c r="I14" s="55">
        <f t="shared" si="4"/>
        <v>404326361.07302135</v>
      </c>
      <c r="J14" s="55">
        <f t="shared" si="4"/>
        <v>406700619.24028176</v>
      </c>
      <c r="K14" s="55">
        <f t="shared" si="4"/>
        <v>409193590.31590521</v>
      </c>
    </row>
    <row r="15" spans="1:11" x14ac:dyDescent="0.6">
      <c r="A15" s="9"/>
      <c r="B15" s="9"/>
      <c r="C15" s="55"/>
      <c r="D15" s="55"/>
      <c r="E15" s="55"/>
      <c r="F15" s="55"/>
      <c r="G15" s="55"/>
      <c r="H15" s="55"/>
      <c r="I15" s="55"/>
      <c r="J15" s="55"/>
      <c r="K15" s="55"/>
    </row>
    <row r="16" spans="1:11" x14ac:dyDescent="0.6">
      <c r="A16" s="9"/>
      <c r="B16" s="9" t="s">
        <v>51</v>
      </c>
      <c r="C16" s="55">
        <f>'Ann 8'!E14</f>
        <v>2072400</v>
      </c>
      <c r="D16" s="55">
        <f>1.07*C16</f>
        <v>2217468</v>
      </c>
      <c r="E16" s="55">
        <f t="shared" ref="E16:K16" si="5">1.07*D16</f>
        <v>2372690.7600000002</v>
      </c>
      <c r="F16" s="55">
        <f t="shared" si="5"/>
        <v>2538779.1132000005</v>
      </c>
      <c r="G16" s="55">
        <f t="shared" si="5"/>
        <v>2716493.6511240005</v>
      </c>
      <c r="H16" s="55">
        <f t="shared" si="5"/>
        <v>2906648.2067026808</v>
      </c>
      <c r="I16" s="55">
        <f t="shared" si="5"/>
        <v>3110113.5811718688</v>
      </c>
      <c r="J16" s="55">
        <f t="shared" si="5"/>
        <v>3327821.5318538998</v>
      </c>
      <c r="K16" s="55">
        <f t="shared" si="5"/>
        <v>3560769.0390836732</v>
      </c>
    </row>
    <row r="17" spans="1:11" x14ac:dyDescent="0.6">
      <c r="A17" s="9"/>
      <c r="B17" s="9" t="s">
        <v>286</v>
      </c>
      <c r="C17" s="55">
        <v>240000</v>
      </c>
      <c r="D17" s="55">
        <v>240000</v>
      </c>
      <c r="E17" s="55">
        <v>240000</v>
      </c>
      <c r="F17" s="55">
        <v>240000</v>
      </c>
      <c r="G17" s="55">
        <v>240000</v>
      </c>
      <c r="H17" s="55">
        <v>240000</v>
      </c>
      <c r="I17" s="55">
        <v>240000</v>
      </c>
      <c r="J17" s="55">
        <v>240000</v>
      </c>
      <c r="K17" s="55">
        <v>240000</v>
      </c>
    </row>
    <row r="18" spans="1:11" x14ac:dyDescent="0.6">
      <c r="A18" s="9"/>
      <c r="B18" s="9" t="s">
        <v>8</v>
      </c>
      <c r="C18" s="55">
        <f>SUM(C16:C17)</f>
        <v>2312400</v>
      </c>
      <c r="D18" s="55">
        <f t="shared" ref="D18:K18" si="6">SUM(D16:D17)</f>
        <v>2457468</v>
      </c>
      <c r="E18" s="55">
        <f t="shared" si="6"/>
        <v>2612690.7600000002</v>
      </c>
      <c r="F18" s="55">
        <f t="shared" si="6"/>
        <v>2778779.1132000005</v>
      </c>
      <c r="G18" s="55">
        <f t="shared" si="6"/>
        <v>2956493.6511240005</v>
      </c>
      <c r="H18" s="55">
        <f t="shared" si="6"/>
        <v>3146648.2067026808</v>
      </c>
      <c r="I18" s="55">
        <f t="shared" si="6"/>
        <v>3350113.5811718688</v>
      </c>
      <c r="J18" s="55">
        <f t="shared" si="6"/>
        <v>3567821.5318538998</v>
      </c>
      <c r="K18" s="55">
        <f t="shared" si="6"/>
        <v>3800769.0390836732</v>
      </c>
    </row>
    <row r="19" spans="1:11" x14ac:dyDescent="0.6">
      <c r="A19" s="9"/>
      <c r="B19" s="9"/>
      <c r="C19" s="55"/>
      <c r="D19" s="55"/>
      <c r="E19" s="55"/>
      <c r="F19" s="55"/>
      <c r="G19" s="55"/>
      <c r="H19" s="55"/>
      <c r="I19" s="55"/>
      <c r="J19" s="55"/>
      <c r="K19" s="55"/>
    </row>
    <row r="20" spans="1:11" x14ac:dyDescent="0.6">
      <c r="A20" s="9"/>
      <c r="B20" s="9" t="s">
        <v>86</v>
      </c>
      <c r="C20" s="55">
        <f t="shared" ref="C20:K20" si="7">C18+C14</f>
        <v>260215827.19999999</v>
      </c>
      <c r="D20" s="55">
        <f t="shared" si="7"/>
        <v>293926966.00000006</v>
      </c>
      <c r="E20" s="55">
        <f t="shared" si="7"/>
        <v>314967791.68000007</v>
      </c>
      <c r="F20" s="55">
        <f t="shared" si="7"/>
        <v>336286321.70020002</v>
      </c>
      <c r="G20" s="55">
        <f t="shared" si="7"/>
        <v>357901518.43152404</v>
      </c>
      <c r="H20" s="55">
        <f t="shared" si="7"/>
        <v>385127528.16737527</v>
      </c>
      <c r="I20" s="55">
        <f t="shared" si="7"/>
        <v>407676474.65419322</v>
      </c>
      <c r="J20" s="55">
        <f t="shared" si="7"/>
        <v>410268440.77213567</v>
      </c>
      <c r="K20" s="55">
        <f t="shared" si="7"/>
        <v>412994359.35498887</v>
      </c>
    </row>
    <row r="21" spans="1:11" x14ac:dyDescent="0.6">
      <c r="A21" s="9"/>
      <c r="B21" s="9" t="s">
        <v>87</v>
      </c>
      <c r="C21" s="55">
        <f>Budgets!C13</f>
        <v>264067608</v>
      </c>
      <c r="D21" s="55">
        <f>Budgets!D13</f>
        <v>298765800</v>
      </c>
      <c r="E21" s="55">
        <f>Budgets!E13</f>
        <v>323855596.80000001</v>
      </c>
      <c r="F21" s="55">
        <f>Budgets!F13</f>
        <v>350141436.36000001</v>
      </c>
      <c r="G21" s="55">
        <f>Budgets!G13</f>
        <v>377778480.98400003</v>
      </c>
      <c r="H21" s="55">
        <f>Budgets!H13</f>
        <v>406940965.00920004</v>
      </c>
      <c r="I21" s="55">
        <f>Budgets!I13</f>
        <v>437824457.58960009</v>
      </c>
      <c r="J21" s="55">
        <f>Budgets!J13</f>
        <v>448236559.34856009</v>
      </c>
      <c r="K21" s="55">
        <f>Budgets!K13</f>
        <v>459689871.28341609</v>
      </c>
    </row>
    <row r="22" spans="1:11" x14ac:dyDescent="0.6">
      <c r="A22" s="9"/>
      <c r="B22" s="9" t="s">
        <v>88</v>
      </c>
      <c r="C22" s="55">
        <f t="shared" ref="C22:K22" si="8">C21-C20</f>
        <v>3851780.8000000119</v>
      </c>
      <c r="D22" s="55">
        <f t="shared" si="8"/>
        <v>4838833.9999999404</v>
      </c>
      <c r="E22" s="55">
        <f t="shared" si="8"/>
        <v>8887805.1199999452</v>
      </c>
      <c r="F22" s="55">
        <f t="shared" si="8"/>
        <v>13855114.659799993</v>
      </c>
      <c r="G22" s="55">
        <f t="shared" si="8"/>
        <v>19876962.552475989</v>
      </c>
      <c r="H22" s="55">
        <f t="shared" si="8"/>
        <v>21813436.84182477</v>
      </c>
      <c r="I22" s="55">
        <f t="shared" si="8"/>
        <v>30147982.935406864</v>
      </c>
      <c r="J22" s="55">
        <f t="shared" si="8"/>
        <v>37968118.57642442</v>
      </c>
      <c r="K22" s="55">
        <f t="shared" si="8"/>
        <v>46695511.928427219</v>
      </c>
    </row>
    <row r="23" spans="1:11" x14ac:dyDescent="0.6">
      <c r="A23" s="9"/>
      <c r="B23" s="9"/>
      <c r="C23" s="55"/>
      <c r="D23" s="55"/>
      <c r="E23" s="55"/>
      <c r="F23" s="55"/>
      <c r="G23" s="55"/>
      <c r="H23" s="55"/>
      <c r="I23" s="55"/>
      <c r="J23" s="55"/>
      <c r="K23" s="55"/>
    </row>
    <row r="24" spans="1:11" x14ac:dyDescent="0.6">
      <c r="A24" s="9"/>
      <c r="B24" s="9" t="s">
        <v>89</v>
      </c>
      <c r="C24" s="55"/>
      <c r="D24" s="55"/>
      <c r="E24" s="55"/>
      <c r="F24" s="55"/>
      <c r="G24" s="55"/>
      <c r="H24" s="55"/>
      <c r="I24" s="55"/>
      <c r="J24" s="55"/>
      <c r="K24" s="55"/>
    </row>
    <row r="25" spans="1:11" x14ac:dyDescent="0.6">
      <c r="A25" s="9"/>
      <c r="B25" s="9" t="s">
        <v>90</v>
      </c>
      <c r="C25" s="55">
        <f>SUM('Ann 13'!E9:E12)*100000</f>
        <v>590754.51923076937</v>
      </c>
      <c r="D25" s="55">
        <f>SUM('Ann 13'!E13:E16)*100000</f>
        <v>516193.26923076931</v>
      </c>
      <c r="E25" s="55">
        <f>SUM('Ann 13'!E17:E20)*100000</f>
        <v>424425.57692307705</v>
      </c>
      <c r="F25" s="55">
        <f>SUM('Ann 13'!E21:E24)*100000</f>
        <v>332657.88461538474</v>
      </c>
      <c r="G25" s="55">
        <f>SUM('Ann 13'!E25:E28)*100000</f>
        <v>240890.19230769243</v>
      </c>
      <c r="H25" s="55">
        <f>SUM('Ann 13'!E29:E32)*100000</f>
        <v>149122.50000000015</v>
      </c>
      <c r="I25" s="55">
        <f>SUM('Ann 13'!E33:E36)*100000</f>
        <v>57354.807692307855</v>
      </c>
      <c r="J25" s="55">
        <v>0</v>
      </c>
      <c r="K25" s="55">
        <v>0</v>
      </c>
    </row>
    <row r="26" spans="1:11" x14ac:dyDescent="0.6">
      <c r="A26" s="9"/>
      <c r="B26" s="9" t="s">
        <v>163</v>
      </c>
      <c r="C26" s="55">
        <f>'Ann 1'!$C$25*100000*10%</f>
        <v>130850</v>
      </c>
      <c r="D26" s="55">
        <f>'Ann 1'!$C$25*100000*10%</f>
        <v>130850</v>
      </c>
      <c r="E26" s="55">
        <f>'Ann 1'!$C$25*100000*10%</f>
        <v>130850</v>
      </c>
      <c r="F26" s="55">
        <f>'Ann 1'!$C$25*100000*10%</f>
        <v>130850</v>
      </c>
      <c r="G26" s="55">
        <f>'Ann 1'!$C$25*100000*10%</f>
        <v>130850</v>
      </c>
      <c r="H26" s="55">
        <f>'Ann 1'!$C$25*100000*10%</f>
        <v>130850</v>
      </c>
      <c r="I26" s="55">
        <f>'Ann 1'!$C$25*100000*10%</f>
        <v>130850</v>
      </c>
      <c r="J26" s="55">
        <f>'Ann 1'!$C$25*100000*10%</f>
        <v>130850</v>
      </c>
      <c r="K26" s="55">
        <f>'Ann 1'!$C$25*100000*10%</f>
        <v>130850</v>
      </c>
    </row>
    <row r="27" spans="1:11" x14ac:dyDescent="0.6">
      <c r="A27" s="9"/>
      <c r="B27" s="56" t="s">
        <v>278</v>
      </c>
      <c r="C27" s="55">
        <f>SUM(C25:C26)</f>
        <v>721604.51923076937</v>
      </c>
      <c r="D27" s="55">
        <f t="shared" ref="D27:K27" si="9">SUM(D25:D26)</f>
        <v>647043.26923076925</v>
      </c>
      <c r="E27" s="55">
        <f t="shared" si="9"/>
        <v>555275.57692307699</v>
      </c>
      <c r="F27" s="55">
        <f t="shared" si="9"/>
        <v>463507.88461538474</v>
      </c>
      <c r="G27" s="55">
        <f t="shared" si="9"/>
        <v>371740.19230769243</v>
      </c>
      <c r="H27" s="55">
        <f t="shared" si="9"/>
        <v>279972.50000000012</v>
      </c>
      <c r="I27" s="55">
        <f t="shared" si="9"/>
        <v>188204.80769230786</v>
      </c>
      <c r="J27" s="55">
        <f t="shared" si="9"/>
        <v>130850</v>
      </c>
      <c r="K27" s="55">
        <f t="shared" si="9"/>
        <v>130850</v>
      </c>
    </row>
    <row r="28" spans="1:11" x14ac:dyDescent="0.6">
      <c r="A28" s="9"/>
      <c r="B28" s="9"/>
      <c r="C28" s="55"/>
      <c r="D28" s="55"/>
      <c r="E28" s="55"/>
      <c r="F28" s="55"/>
      <c r="G28" s="55"/>
      <c r="H28" s="55"/>
      <c r="I28" s="55"/>
      <c r="J28" s="55"/>
      <c r="K28" s="55"/>
    </row>
    <row r="29" spans="1:11" x14ac:dyDescent="0.6">
      <c r="A29" s="9"/>
      <c r="B29" s="9" t="s">
        <v>100</v>
      </c>
      <c r="C29" s="55">
        <f t="shared" ref="C29:K29" si="10">C22-C27</f>
        <v>3130176.2807692424</v>
      </c>
      <c r="D29" s="55">
        <f t="shared" si="10"/>
        <v>4191790.7307691714</v>
      </c>
      <c r="E29" s="55">
        <f t="shared" si="10"/>
        <v>8332529.5430768682</v>
      </c>
      <c r="F29" s="55">
        <f t="shared" si="10"/>
        <v>13391606.775184609</v>
      </c>
      <c r="G29" s="55">
        <f t="shared" si="10"/>
        <v>19505222.360168297</v>
      </c>
      <c r="H29" s="55">
        <f t="shared" si="10"/>
        <v>21533464.34182477</v>
      </c>
      <c r="I29" s="55">
        <f t="shared" si="10"/>
        <v>29959778.127714556</v>
      </c>
      <c r="J29" s="55">
        <f t="shared" si="10"/>
        <v>37837268.57642442</v>
      </c>
      <c r="K29" s="55">
        <f t="shared" si="10"/>
        <v>46564661.928427219</v>
      </c>
    </row>
    <row r="30" spans="1:11" x14ac:dyDescent="0.6">
      <c r="A30" s="9"/>
      <c r="B30" s="9" t="s">
        <v>174</v>
      </c>
      <c r="C30" s="55">
        <f>'Ann 1'!C34*100000</f>
        <v>200000</v>
      </c>
      <c r="D30" s="55">
        <v>0</v>
      </c>
      <c r="E30" s="55">
        <v>0</v>
      </c>
      <c r="F30" s="55">
        <v>0</v>
      </c>
      <c r="G30" s="55">
        <v>0</v>
      </c>
      <c r="H30" s="55">
        <v>0</v>
      </c>
      <c r="I30" s="55">
        <v>0</v>
      </c>
      <c r="J30" s="55">
        <v>0</v>
      </c>
      <c r="K30" s="55">
        <v>0</v>
      </c>
    </row>
    <row r="31" spans="1:11" x14ac:dyDescent="0.6">
      <c r="A31" s="9"/>
      <c r="B31" s="56" t="s">
        <v>101</v>
      </c>
      <c r="C31" s="55">
        <f>'Ann 9'!C12+'Ann 9'!D12+'Ann 9'!E12</f>
        <v>1524150</v>
      </c>
      <c r="D31" s="55">
        <f>'Ann 9'!C13+'Ann 9'!D13+'Ann 9'!E13</f>
        <v>1307985</v>
      </c>
      <c r="E31" s="55">
        <f>'Ann 9'!C14+'Ann 9'!D14+'Ann 9'!E14</f>
        <v>1122999</v>
      </c>
      <c r="F31" s="55">
        <f>'Ann 9'!C15+'Ann 9'!D15+'Ann 9'!E15</f>
        <v>964639.72499999998</v>
      </c>
      <c r="G31" s="55">
        <f>'Ann 9'!C16+'Ann 9'!D16+'Ann 9'!E16</f>
        <v>829025.28374999994</v>
      </c>
      <c r="H31" s="55">
        <f>'Ann 9'!C17+'Ann 9'!D17+'Ann 9'!E17</f>
        <v>712844.85693749995</v>
      </c>
      <c r="I31" s="55">
        <f>'Ann 9'!C18+'Ann 9'!D18+'Ann 9'!E18</f>
        <v>613274.15757187502</v>
      </c>
      <c r="J31" s="55">
        <f>'Ann 9'!C19+'Ann 9'!D19+'Ann 9'!E19</f>
        <v>527903.46019359375</v>
      </c>
      <c r="K31" s="55">
        <f>'Ann 9'!C20+'Ann 9'!D20+'Ann 9'!E20</f>
        <v>454676.32479630469</v>
      </c>
    </row>
    <row r="32" spans="1:11" x14ac:dyDescent="0.6">
      <c r="A32" s="9"/>
      <c r="B32" s="56" t="s">
        <v>102</v>
      </c>
      <c r="C32" s="55">
        <f>C29-C30-C31</f>
        <v>1406026.2807692424</v>
      </c>
      <c r="D32" s="55">
        <f t="shared" ref="D32:K32" si="11">D29-D30-D31</f>
        <v>2883805.7307691714</v>
      </c>
      <c r="E32" s="55">
        <f t="shared" si="11"/>
        <v>7209530.5430768682</v>
      </c>
      <c r="F32" s="55">
        <f t="shared" si="11"/>
        <v>12426967.050184609</v>
      </c>
      <c r="G32" s="55">
        <f t="shared" si="11"/>
        <v>18676197.076418296</v>
      </c>
      <c r="H32" s="55">
        <f t="shared" si="11"/>
        <v>20820619.484887268</v>
      </c>
      <c r="I32" s="55">
        <f t="shared" si="11"/>
        <v>29346503.970142681</v>
      </c>
      <c r="J32" s="55">
        <f t="shared" si="11"/>
        <v>37309365.116230823</v>
      </c>
      <c r="K32" s="55">
        <f t="shared" si="11"/>
        <v>46109985.603630915</v>
      </c>
    </row>
    <row r="33" spans="1:11" x14ac:dyDescent="0.6">
      <c r="A33" s="9"/>
      <c r="B33" s="56" t="s">
        <v>315</v>
      </c>
      <c r="C33" s="55">
        <f>'Ann 10'!B14</f>
        <v>481807.88423077273</v>
      </c>
      <c r="D33" s="55">
        <f>'Ann 10'!C14</f>
        <v>865141.71923075139</v>
      </c>
      <c r="E33" s="55">
        <f>'Ann 10'!D14</f>
        <v>2162859.1629230604</v>
      </c>
      <c r="F33" s="55">
        <f>'Ann 10'!E14</f>
        <v>3728090.1150553827</v>
      </c>
      <c r="G33" s="55">
        <f>'Ann 10'!F14</f>
        <v>5602859.1229254883</v>
      </c>
      <c r="H33" s="55">
        <f>'Ann 10'!G14</f>
        <v>6246185.8454661807</v>
      </c>
      <c r="I33" s="55">
        <f>'Ann 10'!H14</f>
        <v>8803951.1910428032</v>
      </c>
      <c r="J33" s="55">
        <f>'Ann 10'!I14</f>
        <v>11192809.534869246</v>
      </c>
      <c r="K33" s="55">
        <f>'Ann 10'!J14</f>
        <v>13832995.681089275</v>
      </c>
    </row>
    <row r="34" spans="1:11" x14ac:dyDescent="0.6">
      <c r="A34" s="9"/>
      <c r="B34" s="56" t="s">
        <v>103</v>
      </c>
      <c r="C34" s="55">
        <f>C32-C33</f>
        <v>924218.39653846971</v>
      </c>
      <c r="D34" s="55">
        <f>D32-D33</f>
        <v>2018664.0115384199</v>
      </c>
      <c r="E34" s="55">
        <f t="shared" ref="E34:K34" si="12">E32-E33</f>
        <v>5046671.3801538078</v>
      </c>
      <c r="F34" s="55">
        <f t="shared" si="12"/>
        <v>8698876.9351292271</v>
      </c>
      <c r="G34" s="55">
        <f t="shared" si="12"/>
        <v>13073337.953492807</v>
      </c>
      <c r="H34" s="55">
        <f t="shared" si="12"/>
        <v>14574433.639421087</v>
      </c>
      <c r="I34" s="55">
        <f t="shared" si="12"/>
        <v>20542552.779099878</v>
      </c>
      <c r="J34" s="55">
        <f t="shared" si="12"/>
        <v>26116555.581361577</v>
      </c>
      <c r="K34" s="55">
        <f t="shared" si="12"/>
        <v>32276989.922541641</v>
      </c>
    </row>
    <row r="35" spans="1:11" x14ac:dyDescent="0.6">
      <c r="A35" s="9"/>
      <c r="B35" s="56" t="s">
        <v>334</v>
      </c>
      <c r="C35" s="55">
        <f>C34*80%</f>
        <v>739374.71723077586</v>
      </c>
      <c r="D35" s="55">
        <f t="shared" ref="D35:K35" si="13">D34*80%</f>
        <v>1614931.2092307359</v>
      </c>
      <c r="E35" s="55">
        <f t="shared" si="13"/>
        <v>4037337.1041230466</v>
      </c>
      <c r="F35" s="55">
        <f t="shared" si="13"/>
        <v>6959101.5481033819</v>
      </c>
      <c r="G35" s="55">
        <f t="shared" si="13"/>
        <v>10458670.362794247</v>
      </c>
      <c r="H35" s="55">
        <f t="shared" si="13"/>
        <v>11659546.911536871</v>
      </c>
      <c r="I35" s="55">
        <f t="shared" si="13"/>
        <v>16434042.223279903</v>
      </c>
      <c r="J35" s="55">
        <f t="shared" si="13"/>
        <v>20893244.465089262</v>
      </c>
      <c r="K35" s="55">
        <f t="shared" si="13"/>
        <v>25821591.938033313</v>
      </c>
    </row>
    <row r="36" spans="1:11" x14ac:dyDescent="0.6">
      <c r="A36" s="9"/>
      <c r="B36" s="56" t="s">
        <v>113</v>
      </c>
      <c r="C36" s="55">
        <f>C34-C35</f>
        <v>184843.67930769385</v>
      </c>
      <c r="D36" s="55">
        <f t="shared" ref="D36:K36" si="14">D34-D35</f>
        <v>403732.80230768397</v>
      </c>
      <c r="E36" s="55">
        <f t="shared" si="14"/>
        <v>1009334.2760307612</v>
      </c>
      <c r="F36" s="55">
        <f t="shared" si="14"/>
        <v>1739775.3870258452</v>
      </c>
      <c r="G36" s="55">
        <f t="shared" si="14"/>
        <v>2614667.5906985607</v>
      </c>
      <c r="H36" s="55">
        <f t="shared" si="14"/>
        <v>2914886.7278842162</v>
      </c>
      <c r="I36" s="55">
        <f t="shared" si="14"/>
        <v>4108510.5558199752</v>
      </c>
      <c r="J36" s="55">
        <f t="shared" si="14"/>
        <v>5223311.1162723154</v>
      </c>
      <c r="K36" s="55">
        <f t="shared" si="14"/>
        <v>6455397.9845083281</v>
      </c>
    </row>
    <row r="38" spans="1:11" x14ac:dyDescent="0.6">
      <c r="A38" s="8" t="s">
        <v>330</v>
      </c>
    </row>
    <row r="39" spans="1:11" x14ac:dyDescent="0.6">
      <c r="A39" s="8" t="s">
        <v>287</v>
      </c>
    </row>
    <row r="40" spans="1:11" x14ac:dyDescent="0.6">
      <c r="B40" s="8" t="s">
        <v>170</v>
      </c>
      <c r="C40" s="8">
        <v>70000</v>
      </c>
      <c r="D40" s="8">
        <f>C40*1.05</f>
        <v>73500</v>
      </c>
      <c r="E40" s="8">
        <f t="shared" ref="E40:I40" si="15">D40*1.05</f>
        <v>77175</v>
      </c>
      <c r="F40" s="8">
        <f t="shared" si="15"/>
        <v>81033.75</v>
      </c>
      <c r="G40" s="8">
        <f t="shared" si="15"/>
        <v>85085.4375</v>
      </c>
      <c r="H40" s="8">
        <f t="shared" si="15"/>
        <v>89339.709375000006</v>
      </c>
      <c r="I40" s="8">
        <f t="shared" si="15"/>
        <v>93806.69484375001</v>
      </c>
      <c r="J40" s="8">
        <f>I40</f>
        <v>93806.69484375001</v>
      </c>
      <c r="K40" s="8">
        <f>J40</f>
        <v>93806.69484375001</v>
      </c>
    </row>
    <row r="41" spans="1:11" x14ac:dyDescent="0.6">
      <c r="B41" s="8" t="s">
        <v>72</v>
      </c>
      <c r="C41" s="8">
        <f>C40*14</f>
        <v>980000</v>
      </c>
      <c r="D41" s="8">
        <f t="shared" ref="D41:K41" si="16">D40*14</f>
        <v>1029000</v>
      </c>
      <c r="E41" s="8">
        <f t="shared" si="16"/>
        <v>1080450</v>
      </c>
      <c r="F41" s="8">
        <f t="shared" si="16"/>
        <v>1134472.5</v>
      </c>
      <c r="G41" s="8">
        <f t="shared" si="16"/>
        <v>1191196.125</v>
      </c>
      <c r="H41" s="8">
        <f t="shared" si="16"/>
        <v>1250755.9312500001</v>
      </c>
      <c r="I41" s="8">
        <f t="shared" si="16"/>
        <v>1313293.7278125002</v>
      </c>
      <c r="J41" s="8">
        <f t="shared" si="16"/>
        <v>1313293.7278125002</v>
      </c>
      <c r="K41" s="8">
        <f t="shared" si="16"/>
        <v>1313293.7278125002</v>
      </c>
    </row>
    <row r="42" spans="1:11" x14ac:dyDescent="0.6">
      <c r="A42" s="8" t="s">
        <v>288</v>
      </c>
    </row>
    <row r="43" spans="1:11" x14ac:dyDescent="0.6">
      <c r="A43" s="8" t="s">
        <v>296</v>
      </c>
    </row>
    <row r="44" spans="1:11" x14ac:dyDescent="0.6">
      <c r="A44" s="8" t="s">
        <v>333</v>
      </c>
    </row>
  </sheetData>
  <mergeCells count="3">
    <mergeCell ref="C3:K3"/>
    <mergeCell ref="B3:B4"/>
    <mergeCell ref="A3:A4"/>
  </mergeCells>
  <pageMargins left="0.7" right="0.7" top="0.75" bottom="0.75" header="0.3" footer="0.3"/>
  <pageSetup scale="59" fitToHeight="0" orientation="landscape" r:id="rId1"/>
  <ignoredErrors>
    <ignoredError sqref="D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4"/>
  <sheetViews>
    <sheetView topLeftCell="A15" workbookViewId="0">
      <selection activeCell="C48" sqref="C48"/>
    </sheetView>
  </sheetViews>
  <sheetFormatPr defaultRowHeight="17" x14ac:dyDescent="0.6"/>
  <cols>
    <col min="1" max="1" width="8.7265625" style="8"/>
    <col min="2" max="2" width="28.26953125" style="8" customWidth="1"/>
    <col min="3" max="3" width="15.6328125" style="8" bestFit="1" customWidth="1"/>
    <col min="4" max="10" width="13.7265625" style="8" bestFit="1" customWidth="1"/>
    <col min="11" max="11" width="13.6328125" style="8" bestFit="1" customWidth="1"/>
    <col min="12" max="12" width="10" style="8" bestFit="1" customWidth="1"/>
    <col min="13" max="16384" width="8.7265625" style="8"/>
  </cols>
  <sheetData>
    <row r="1" spans="1:11" x14ac:dyDescent="0.6">
      <c r="A1" s="7" t="s">
        <v>114</v>
      </c>
    </row>
    <row r="3" spans="1:11" x14ac:dyDescent="0.6">
      <c r="A3" s="8" t="s">
        <v>115</v>
      </c>
    </row>
    <row r="5" spans="1:11" x14ac:dyDescent="0.6">
      <c r="A5" s="128" t="s">
        <v>37</v>
      </c>
      <c r="B5" s="128" t="s">
        <v>38</v>
      </c>
      <c r="C5" s="128" t="s">
        <v>48</v>
      </c>
      <c r="D5" s="128"/>
      <c r="E5" s="128"/>
      <c r="F5" s="128"/>
      <c r="G5" s="128"/>
      <c r="H5" s="128"/>
      <c r="I5" s="128"/>
      <c r="J5" s="128"/>
      <c r="K5" s="128"/>
    </row>
    <row r="6" spans="1:11" x14ac:dyDescent="0.6">
      <c r="A6" s="128"/>
      <c r="B6" s="128"/>
      <c r="C6" s="74" t="s">
        <v>39</v>
      </c>
      <c r="D6" s="74" t="s">
        <v>40</v>
      </c>
      <c r="E6" s="74" t="s">
        <v>41</v>
      </c>
      <c r="F6" s="74" t="s">
        <v>42</v>
      </c>
      <c r="G6" s="74" t="s">
        <v>43</v>
      </c>
      <c r="H6" s="74" t="s">
        <v>44</v>
      </c>
      <c r="I6" s="74" t="s">
        <v>45</v>
      </c>
      <c r="J6" s="74" t="s">
        <v>46</v>
      </c>
      <c r="K6" s="74" t="s">
        <v>47</v>
      </c>
    </row>
    <row r="7" spans="1:11" x14ac:dyDescent="0.6">
      <c r="A7" s="37" t="s">
        <v>148</v>
      </c>
      <c r="B7" s="59" t="s">
        <v>116</v>
      </c>
      <c r="C7" s="60"/>
      <c r="D7" s="60"/>
      <c r="E7" s="61"/>
      <c r="F7" s="61"/>
      <c r="G7" s="61"/>
      <c r="H7" s="61"/>
      <c r="I7" s="61"/>
      <c r="J7" s="61"/>
      <c r="K7" s="61"/>
    </row>
    <row r="8" spans="1:11" x14ac:dyDescent="0.6">
      <c r="A8" s="31">
        <v>1</v>
      </c>
      <c r="B8" s="32" t="s">
        <v>117</v>
      </c>
      <c r="C8" s="14"/>
      <c r="D8" s="14"/>
      <c r="E8" s="15"/>
      <c r="F8" s="15"/>
      <c r="G8" s="15"/>
      <c r="H8" s="15"/>
      <c r="I8" s="15"/>
      <c r="J8" s="15"/>
      <c r="K8" s="15"/>
    </row>
    <row r="9" spans="1:11" x14ac:dyDescent="0.6">
      <c r="A9" s="31"/>
      <c r="B9" s="32" t="s">
        <v>118</v>
      </c>
      <c r="C9" s="62">
        <f>('Ann 9'!F9*100000)+('Ann 1'!C8*100000)</f>
        <v>10991500</v>
      </c>
      <c r="D9" s="63">
        <f>C11</f>
        <v>9467350</v>
      </c>
      <c r="E9" s="18">
        <f t="shared" ref="E9:K9" si="0">D11</f>
        <v>8159365</v>
      </c>
      <c r="F9" s="18">
        <f t="shared" si="0"/>
        <v>7036366</v>
      </c>
      <c r="G9" s="18">
        <f t="shared" si="0"/>
        <v>6071726.2750000004</v>
      </c>
      <c r="H9" s="18">
        <f t="shared" si="0"/>
        <v>5242700.9912500009</v>
      </c>
      <c r="I9" s="18">
        <f t="shared" si="0"/>
        <v>4529856.1343125012</v>
      </c>
      <c r="J9" s="18">
        <f t="shared" si="0"/>
        <v>3916581.9767406262</v>
      </c>
      <c r="K9" s="18">
        <f t="shared" si="0"/>
        <v>3388678.5165470326</v>
      </c>
    </row>
    <row r="10" spans="1:11" x14ac:dyDescent="0.6">
      <c r="A10" s="31"/>
      <c r="B10" s="32" t="s">
        <v>119</v>
      </c>
      <c r="C10" s="62">
        <f>'Ann 9'!C12+'Ann 9'!D12+'Ann 9'!E12</f>
        <v>1524150</v>
      </c>
      <c r="D10" s="63">
        <f>'Ann 9'!C13+'Ann 9'!D13+'Ann 9'!E13</f>
        <v>1307985</v>
      </c>
      <c r="E10" s="18">
        <f>'Ann 9'!C14+'Ann 9'!D14+'Ann 9'!E14</f>
        <v>1122999</v>
      </c>
      <c r="F10" s="18">
        <f>'Ann 9'!C15+'Ann 9'!D15+'Ann 9'!E15</f>
        <v>964639.72499999998</v>
      </c>
      <c r="G10" s="18">
        <f>'Ann 9'!C16+'Ann 9'!D16+'Ann 9'!E16</f>
        <v>829025.28374999994</v>
      </c>
      <c r="H10" s="18">
        <f>'Ann 9'!C17+'Ann 9'!D17+'Ann 9'!E17</f>
        <v>712844.85693749995</v>
      </c>
      <c r="I10" s="18">
        <f>+'Ann 9'!C18+'Ann 9'!D18+'Ann 9'!E18</f>
        <v>613274.15757187502</v>
      </c>
      <c r="J10" s="18">
        <f>'Ann 9'!C19+'Ann 9'!D19+'Ann 9'!E19</f>
        <v>527903.46019359375</v>
      </c>
      <c r="K10" s="18">
        <f>+'Ann 9'!C20+'Ann 9'!D20+'Ann 9'!E20</f>
        <v>454676.32479630469</v>
      </c>
    </row>
    <row r="11" spans="1:11" x14ac:dyDescent="0.6">
      <c r="A11" s="31"/>
      <c r="B11" s="32" t="s">
        <v>120</v>
      </c>
      <c r="C11" s="62">
        <f>C9-C10</f>
        <v>9467350</v>
      </c>
      <c r="D11" s="63">
        <f>D9-D10</f>
        <v>8159365</v>
      </c>
      <c r="E11" s="18">
        <f t="shared" ref="E11:K11" si="1">E9-E10</f>
        <v>7036366</v>
      </c>
      <c r="F11" s="18">
        <f t="shared" si="1"/>
        <v>6071726.2750000004</v>
      </c>
      <c r="G11" s="18">
        <f t="shared" si="1"/>
        <v>5242700.9912500009</v>
      </c>
      <c r="H11" s="18">
        <f t="shared" si="1"/>
        <v>4529856.1343125012</v>
      </c>
      <c r="I11" s="18">
        <f t="shared" si="1"/>
        <v>3916581.9767406262</v>
      </c>
      <c r="J11" s="18">
        <f t="shared" si="1"/>
        <v>3388678.5165470326</v>
      </c>
      <c r="K11" s="18">
        <f t="shared" si="1"/>
        <v>2934002.1917507281</v>
      </c>
    </row>
    <row r="12" spans="1:11" x14ac:dyDescent="0.6">
      <c r="A12" s="31">
        <v>2</v>
      </c>
      <c r="B12" s="32" t="s">
        <v>121</v>
      </c>
      <c r="C12" s="62">
        <f>'Ann 4'!C21*30/360</f>
        <v>22005634</v>
      </c>
      <c r="D12" s="62">
        <f>'Ann 4'!D21*30/360</f>
        <v>24897150</v>
      </c>
      <c r="E12" s="62">
        <f>'Ann 4'!E21*30/360</f>
        <v>26987966.399999999</v>
      </c>
      <c r="F12" s="62">
        <f>'Ann 4'!F21*30/360</f>
        <v>29178453.030000005</v>
      </c>
      <c r="G12" s="62">
        <f>'Ann 4'!G21*30/360</f>
        <v>31481540.082000002</v>
      </c>
      <c r="H12" s="62">
        <f>'Ann 4'!H21*30/360</f>
        <v>33911747.084100001</v>
      </c>
      <c r="I12" s="62">
        <f>'Ann 4'!I21*30/360</f>
        <v>36485371.46580001</v>
      </c>
      <c r="J12" s="62">
        <f>'Ann 4'!J21*30/360</f>
        <v>37353046.612380005</v>
      </c>
      <c r="K12" s="62">
        <f>'Ann 4'!K21*30/360</f>
        <v>38307489.273618013</v>
      </c>
    </row>
    <row r="13" spans="1:11" x14ac:dyDescent="0.6">
      <c r="A13" s="31">
        <v>3</v>
      </c>
      <c r="B13" s="64" t="s">
        <v>273</v>
      </c>
      <c r="C13" s="62">
        <f>'Ann 4'!C13</f>
        <v>1950412.8000000119</v>
      </c>
      <c r="D13" s="62">
        <f>'Ann 4'!D13</f>
        <v>4040140.8000000119</v>
      </c>
      <c r="E13" s="62">
        <f>'Ann 4'!E13</f>
        <v>6269184</v>
      </c>
      <c r="F13" s="62">
        <f>'Ann 4'!F13</f>
        <v>8637542.400000006</v>
      </c>
      <c r="G13" s="62">
        <f>'Ann 4'!G13</f>
        <v>11145216</v>
      </c>
      <c r="H13" s="62">
        <f>'Ann 4'!H13</f>
        <v>8498227.1999999881</v>
      </c>
      <c r="I13" s="62">
        <f>'Ann 4'!I13</f>
        <v>5711923.1999999881</v>
      </c>
      <c r="J13" s="62">
        <f>'Ann 4'!J13</f>
        <v>2925619.1999999881</v>
      </c>
      <c r="K13" s="62">
        <f>'Ann 4'!K13</f>
        <v>139315.19999998808</v>
      </c>
    </row>
    <row r="14" spans="1:11" x14ac:dyDescent="0.6">
      <c r="A14" s="31">
        <v>4</v>
      </c>
      <c r="B14" s="32" t="s">
        <v>122</v>
      </c>
      <c r="C14" s="65">
        <f>'Ann 14'!C21</f>
        <v>21597356.110076915</v>
      </c>
      <c r="D14" s="65">
        <f>'Ann 14'!D21</f>
        <v>22406349.373923048</v>
      </c>
      <c r="E14" s="65">
        <f>'Ann 14'!E21</f>
        <v>22183452.031492334</v>
      </c>
      <c r="F14" s="65">
        <f>'Ann 14'!F21</f>
        <v>22337621.094556525</v>
      </c>
      <c r="G14" s="65">
        <f>'Ann 14'!G21</f>
        <v>23026130.771193549</v>
      </c>
      <c r="H14" s="65">
        <f>'Ann 14'!H21</f>
        <v>28976399.477269989</v>
      </c>
      <c r="I14" s="65">
        <f>'Ann 14'!I21</f>
        <v>36070198.890917815</v>
      </c>
      <c r="J14" s="65">
        <f>'Ann 14'!J21</f>
        <v>44133853.546522923</v>
      </c>
      <c r="K14" s="65">
        <f>'Ann 14'!K21</f>
        <v>53289290.981594712</v>
      </c>
    </row>
    <row r="15" spans="1:11" x14ac:dyDescent="0.6">
      <c r="A15" s="31"/>
      <c r="B15" s="32" t="s">
        <v>130</v>
      </c>
      <c r="C15" s="62">
        <f t="shared" ref="C15:K15" si="2">SUM(C11:C14)</f>
        <v>55020752.910076931</v>
      </c>
      <c r="D15" s="62">
        <f t="shared" si="2"/>
        <v>59503005.17392306</v>
      </c>
      <c r="E15" s="66">
        <f t="shared" si="2"/>
        <v>62476968.431492329</v>
      </c>
      <c r="F15" s="66">
        <f t="shared" si="2"/>
        <v>66225342.799556538</v>
      </c>
      <c r="G15" s="66">
        <f t="shared" si="2"/>
        <v>70895587.84444356</v>
      </c>
      <c r="H15" s="66">
        <f t="shared" si="2"/>
        <v>75916229.895682484</v>
      </c>
      <c r="I15" s="66">
        <f t="shared" si="2"/>
        <v>82184075.533458441</v>
      </c>
      <c r="J15" s="66">
        <f t="shared" si="2"/>
        <v>87801197.875449955</v>
      </c>
      <c r="K15" s="66">
        <f t="shared" si="2"/>
        <v>94670097.646963447</v>
      </c>
    </row>
    <row r="16" spans="1:11" x14ac:dyDescent="0.6">
      <c r="A16" s="31"/>
      <c r="B16" s="32"/>
      <c r="C16" s="62"/>
      <c r="D16" s="62"/>
      <c r="E16" s="66"/>
      <c r="F16" s="66"/>
      <c r="G16" s="66"/>
      <c r="H16" s="66"/>
      <c r="I16" s="66"/>
      <c r="J16" s="66"/>
      <c r="K16" s="66"/>
    </row>
    <row r="17" spans="1:13" x14ac:dyDescent="0.6">
      <c r="A17" s="31" t="s">
        <v>149</v>
      </c>
      <c r="B17" s="67" t="s">
        <v>123</v>
      </c>
      <c r="C17" s="14"/>
      <c r="D17" s="14"/>
      <c r="E17" s="15"/>
      <c r="F17" s="15"/>
      <c r="G17" s="15"/>
      <c r="H17" s="15"/>
      <c r="I17" s="15"/>
      <c r="J17" s="15"/>
      <c r="K17" s="15"/>
    </row>
    <row r="18" spans="1:13" x14ac:dyDescent="0.6">
      <c r="A18" s="31">
        <v>1</v>
      </c>
      <c r="B18" s="32" t="s">
        <v>124</v>
      </c>
      <c r="C18" s="65">
        <f>'Ann 2'!C4*100000</f>
        <v>1250000.0000000002</v>
      </c>
      <c r="D18" s="65">
        <f>C21</f>
        <v>1434843.6793076941</v>
      </c>
      <c r="E18" s="68">
        <f t="shared" ref="E18:K18" si="3">D21</f>
        <v>1838576.4816153781</v>
      </c>
      <c r="F18" s="68">
        <f t="shared" si="3"/>
        <v>2847910.7576461392</v>
      </c>
      <c r="G18" s="68">
        <f t="shared" si="3"/>
        <v>4587686.144671984</v>
      </c>
      <c r="H18" s="68">
        <f t="shared" si="3"/>
        <v>7202353.7353705447</v>
      </c>
      <c r="I18" s="68">
        <f t="shared" si="3"/>
        <v>10117240.463254761</v>
      </c>
      <c r="J18" s="68">
        <f t="shared" si="3"/>
        <v>14225751.019074736</v>
      </c>
      <c r="K18" s="68">
        <f t="shared" si="3"/>
        <v>19449062.135347053</v>
      </c>
    </row>
    <row r="19" spans="1:13" x14ac:dyDescent="0.6">
      <c r="A19" s="31"/>
      <c r="B19" s="32" t="s">
        <v>125</v>
      </c>
      <c r="C19" s="65">
        <f>'Ann 4'!C36</f>
        <v>184843.67930769385</v>
      </c>
      <c r="D19" s="65">
        <f>'Ann 4'!D36</f>
        <v>403732.80230768397</v>
      </c>
      <c r="E19" s="68">
        <f>'Ann 4'!E36</f>
        <v>1009334.2760307612</v>
      </c>
      <c r="F19" s="68">
        <f>'Ann 4'!F36</f>
        <v>1739775.3870258452</v>
      </c>
      <c r="G19" s="68">
        <f>'Ann 4'!G36</f>
        <v>2614667.5906985607</v>
      </c>
      <c r="H19" s="68">
        <f>'Ann 4'!H36</f>
        <v>2914886.7278842162</v>
      </c>
      <c r="I19" s="68">
        <f>'Ann 4'!I36</f>
        <v>4108510.5558199752</v>
      </c>
      <c r="J19" s="68">
        <f>'Ann 4'!J36</f>
        <v>5223311.1162723154</v>
      </c>
      <c r="K19" s="68">
        <f>'Ann 4'!K36</f>
        <v>6455397.9845083281</v>
      </c>
    </row>
    <row r="20" spans="1:13" x14ac:dyDescent="0.6">
      <c r="A20" s="31"/>
      <c r="B20" s="32" t="s">
        <v>126</v>
      </c>
      <c r="C20" s="65">
        <v>0</v>
      </c>
      <c r="D20" s="65">
        <v>0</v>
      </c>
      <c r="E20" s="68">
        <v>0</v>
      </c>
      <c r="F20" s="68">
        <v>0</v>
      </c>
      <c r="G20" s="68">
        <v>0</v>
      </c>
      <c r="H20" s="68">
        <v>0</v>
      </c>
      <c r="I20" s="68">
        <v>0</v>
      </c>
      <c r="J20" s="68">
        <v>0</v>
      </c>
      <c r="K20" s="68">
        <v>0</v>
      </c>
    </row>
    <row r="21" spans="1:13" x14ac:dyDescent="0.6">
      <c r="A21" s="31"/>
      <c r="B21" s="32" t="s">
        <v>127</v>
      </c>
      <c r="C21" s="65">
        <f>C18+C19</f>
        <v>1434843.6793076941</v>
      </c>
      <c r="D21" s="65">
        <f t="shared" ref="D21:K21" si="4">D18+D19</f>
        <v>1838576.4816153781</v>
      </c>
      <c r="E21" s="68">
        <f t="shared" si="4"/>
        <v>2847910.7576461392</v>
      </c>
      <c r="F21" s="68">
        <f t="shared" si="4"/>
        <v>4587686.144671984</v>
      </c>
      <c r="G21" s="68">
        <f t="shared" si="4"/>
        <v>7202353.7353705447</v>
      </c>
      <c r="H21" s="68">
        <f t="shared" si="4"/>
        <v>10117240.463254761</v>
      </c>
      <c r="I21" s="68">
        <f t="shared" si="4"/>
        <v>14225751.019074736</v>
      </c>
      <c r="J21" s="68">
        <f t="shared" si="4"/>
        <v>19449062.135347053</v>
      </c>
      <c r="K21" s="68">
        <f t="shared" si="4"/>
        <v>25904460.119855382</v>
      </c>
    </row>
    <row r="22" spans="1:13" x14ac:dyDescent="0.6">
      <c r="A22" s="31">
        <v>2</v>
      </c>
      <c r="B22" s="32" t="s">
        <v>128</v>
      </c>
      <c r="C22" s="65">
        <f>'Ann 13'!C13*100000</f>
        <v>9176769.2307692338</v>
      </c>
      <c r="D22" s="65">
        <f>'Ann 13'!C17*100000</f>
        <v>7647307.6923076948</v>
      </c>
      <c r="E22" s="65">
        <f>'Ann 13'!C21*100000</f>
        <v>6117846.1538461559</v>
      </c>
      <c r="F22" s="65">
        <f>'Ann 13'!C25*100000</f>
        <v>4588384.6153846178</v>
      </c>
      <c r="G22" s="68">
        <f>('Ann 13'!C28-'Ann 13'!D28)*100000</f>
        <v>3058923.0769230793</v>
      </c>
      <c r="H22" s="68">
        <f>('Ann 13'!C32-'Ann 13'!D32)*100000</f>
        <v>1529461.5384615413</v>
      </c>
      <c r="I22" s="68">
        <v>0</v>
      </c>
      <c r="J22" s="68">
        <v>0</v>
      </c>
      <c r="K22" s="68">
        <v>0</v>
      </c>
    </row>
    <row r="23" spans="1:13" x14ac:dyDescent="0.6">
      <c r="A23" s="31">
        <v>3</v>
      </c>
      <c r="B23" s="64" t="s">
        <v>162</v>
      </c>
      <c r="C23" s="65">
        <f>'Ann 1'!$C$25*100000</f>
        <v>1308500</v>
      </c>
      <c r="D23" s="65">
        <f>'Ann 1'!$C$25*100000</f>
        <v>1308500</v>
      </c>
      <c r="E23" s="65">
        <f>'Ann 1'!$C$25*100000</f>
        <v>1308500</v>
      </c>
      <c r="F23" s="65">
        <f>'Ann 1'!$C$25*100000</f>
        <v>1308500</v>
      </c>
      <c r="G23" s="65">
        <f>'Ann 1'!$C$25*100000</f>
        <v>1308500</v>
      </c>
      <c r="H23" s="65">
        <f>'Ann 1'!$C$25*100000</f>
        <v>1308500</v>
      </c>
      <c r="I23" s="65">
        <f>'Ann 1'!$C$25*100000</f>
        <v>1308500</v>
      </c>
      <c r="J23" s="65">
        <f>'Ann 1'!$C$25*100000</f>
        <v>1308500</v>
      </c>
      <c r="K23" s="65">
        <f>'Ann 1'!$C$25*100000</f>
        <v>1308500</v>
      </c>
    </row>
    <row r="24" spans="1:13" x14ac:dyDescent="0.6">
      <c r="A24" s="31">
        <v>4</v>
      </c>
      <c r="B24" s="64" t="s">
        <v>157</v>
      </c>
      <c r="C24" s="65">
        <f>('Ann 4'!C10+'Ann 4'!C7)*60/360</f>
        <v>43100640</v>
      </c>
      <c r="D24" s="65">
        <f>('Ann 4'!D10+'Ann 4'!D7)*60/360</f>
        <v>48708621.000000007</v>
      </c>
      <c r="E24" s="65">
        <f>('Ann 4'!E10+'Ann 4'!E7)*60/360</f>
        <v>52202711.520000011</v>
      </c>
      <c r="F24" s="65">
        <f>('Ann 4'!F10+'Ann 4'!F7)*60/360</f>
        <v>55740772.039500006</v>
      </c>
      <c r="G24" s="65">
        <f>('Ann 4'!G10+'Ann 4'!G7)*60/360</f>
        <v>59325811.032150015</v>
      </c>
      <c r="H24" s="65">
        <f>('Ann 4'!H10+'Ann 4'!H7)*60/360</f>
        <v>62961027.893966265</v>
      </c>
      <c r="I24" s="65">
        <f>('Ann 4'!I10+'Ann 4'!I7)*60/360</f>
        <v>66649824.514383763</v>
      </c>
      <c r="J24" s="65">
        <f>('Ann 4'!J10+'Ann 4'!J7)*60/360</f>
        <v>67043635.740102947</v>
      </c>
      <c r="K24" s="65">
        <f>('Ann 4'!K10+'Ann 4'!K7)*60/360</f>
        <v>67457137.527108103</v>
      </c>
    </row>
    <row r="25" spans="1:13" x14ac:dyDescent="0.6">
      <c r="A25" s="31"/>
      <c r="B25" s="32" t="s">
        <v>129</v>
      </c>
      <c r="C25" s="62">
        <f t="shared" ref="C25:K25" si="5">SUM(C21:C24)</f>
        <v>55020752.910076931</v>
      </c>
      <c r="D25" s="62">
        <f t="shared" si="5"/>
        <v>59503005.173923083</v>
      </c>
      <c r="E25" s="62">
        <f t="shared" si="5"/>
        <v>62476968.431492306</v>
      </c>
      <c r="F25" s="62">
        <f t="shared" si="5"/>
        <v>66225342.799556606</v>
      </c>
      <c r="G25" s="62">
        <f t="shared" si="5"/>
        <v>70895587.844443634</v>
      </c>
      <c r="H25" s="62">
        <f t="shared" si="5"/>
        <v>75916229.895682573</v>
      </c>
      <c r="I25" s="62">
        <f t="shared" si="5"/>
        <v>82184075.533458501</v>
      </c>
      <c r="J25" s="62">
        <f t="shared" si="5"/>
        <v>87801197.87545</v>
      </c>
      <c r="K25" s="62">
        <f t="shared" si="5"/>
        <v>94670097.646963477</v>
      </c>
    </row>
    <row r="26" spans="1:13" x14ac:dyDescent="0.6">
      <c r="A26" s="31"/>
      <c r="B26" s="32"/>
      <c r="C26" s="62"/>
      <c r="D26" s="62"/>
      <c r="E26" s="62"/>
      <c r="F26" s="62"/>
      <c r="G26" s="62"/>
      <c r="H26" s="62"/>
      <c r="I26" s="62"/>
      <c r="J26" s="62"/>
      <c r="K26" s="62"/>
      <c r="L26" s="69"/>
      <c r="M26" s="32"/>
    </row>
    <row r="27" spans="1:13" x14ac:dyDescent="0.6">
      <c r="A27" s="75"/>
      <c r="B27" s="76" t="s">
        <v>131</v>
      </c>
      <c r="C27" s="77"/>
      <c r="D27" s="77"/>
      <c r="E27" s="78"/>
      <c r="F27" s="78"/>
      <c r="G27" s="78"/>
      <c r="H27" s="78"/>
      <c r="I27" s="78"/>
      <c r="J27" s="78"/>
      <c r="K27" s="78"/>
    </row>
    <row r="28" spans="1:13" x14ac:dyDescent="0.6">
      <c r="A28" s="31"/>
      <c r="B28" s="32" t="s">
        <v>132</v>
      </c>
      <c r="C28" s="62">
        <f t="shared" ref="C28:K28" si="6">SUM(C12:C14)</f>
        <v>45553402.910076931</v>
      </c>
      <c r="D28" s="62">
        <f t="shared" si="6"/>
        <v>51343640.17392306</v>
      </c>
      <c r="E28" s="66">
        <f t="shared" si="6"/>
        <v>55440602.431492329</v>
      </c>
      <c r="F28" s="66">
        <f t="shared" si="6"/>
        <v>60153616.524556533</v>
      </c>
      <c r="G28" s="66">
        <f t="shared" si="6"/>
        <v>65652886.853193551</v>
      </c>
      <c r="H28" s="66">
        <f t="shared" si="6"/>
        <v>71386373.761369973</v>
      </c>
      <c r="I28" s="66">
        <f t="shared" si="6"/>
        <v>78267493.556717813</v>
      </c>
      <c r="J28" s="66">
        <f t="shared" si="6"/>
        <v>84412519.358902916</v>
      </c>
      <c r="K28" s="66">
        <f t="shared" si="6"/>
        <v>91736095.455212712</v>
      </c>
    </row>
    <row r="29" spans="1:13" x14ac:dyDescent="0.6">
      <c r="A29" s="31"/>
      <c r="B29" s="32" t="s">
        <v>133</v>
      </c>
      <c r="C29" s="62">
        <f>C24+C23</f>
        <v>44409140</v>
      </c>
      <c r="D29" s="62">
        <f t="shared" ref="D29:K29" si="7">D24+D23</f>
        <v>50017121.000000007</v>
      </c>
      <c r="E29" s="62">
        <f t="shared" si="7"/>
        <v>53511211.520000011</v>
      </c>
      <c r="F29" s="62">
        <f t="shared" si="7"/>
        <v>57049272.039500006</v>
      </c>
      <c r="G29" s="62">
        <f t="shared" si="7"/>
        <v>60634311.032150015</v>
      </c>
      <c r="H29" s="62">
        <f t="shared" si="7"/>
        <v>64269527.893966265</v>
      </c>
      <c r="I29" s="62">
        <f t="shared" si="7"/>
        <v>67958324.514383763</v>
      </c>
      <c r="J29" s="62">
        <f t="shared" si="7"/>
        <v>68352135.740102947</v>
      </c>
      <c r="K29" s="62">
        <f t="shared" si="7"/>
        <v>68765637.527108103</v>
      </c>
    </row>
    <row r="30" spans="1:13" x14ac:dyDescent="0.6">
      <c r="A30" s="31"/>
      <c r="B30" s="32" t="s">
        <v>137</v>
      </c>
      <c r="C30" s="14">
        <f>C28/C29</f>
        <v>1.0257663830030694</v>
      </c>
      <c r="D30" s="14">
        <f>D28/D29</f>
        <v>1.0265213020542117</v>
      </c>
      <c r="E30" s="15">
        <f t="shared" ref="E30:K30" si="8">E28/E29</f>
        <v>1.0360558256239667</v>
      </c>
      <c r="F30" s="15">
        <f t="shared" si="8"/>
        <v>1.0544151463125968</v>
      </c>
      <c r="G30" s="15">
        <f t="shared" si="8"/>
        <v>1.0827679202684855</v>
      </c>
      <c r="H30" s="15">
        <f t="shared" si="8"/>
        <v>1.1107343728920069</v>
      </c>
      <c r="I30" s="15">
        <f t="shared" si="8"/>
        <v>1.1516983992174801</v>
      </c>
      <c r="J30" s="15">
        <f t="shared" si="8"/>
        <v>1.2349653517757919</v>
      </c>
      <c r="K30" s="15">
        <f t="shared" si="8"/>
        <v>1.3340397726851501</v>
      </c>
    </row>
    <row r="31" spans="1:13" x14ac:dyDescent="0.6">
      <c r="A31" s="31"/>
      <c r="B31" s="64" t="s">
        <v>150</v>
      </c>
      <c r="C31" s="14"/>
      <c r="D31" s="14"/>
      <c r="E31" s="15"/>
      <c r="F31" s="15">
        <f>AVERAGE(C30:K30)</f>
        <v>1.1174404970925289</v>
      </c>
      <c r="G31" s="15"/>
      <c r="H31" s="15"/>
      <c r="I31" s="15"/>
      <c r="J31" s="15"/>
      <c r="K31" s="15"/>
    </row>
    <row r="32" spans="1:13" x14ac:dyDescent="0.6">
      <c r="A32" s="31"/>
      <c r="B32" s="32"/>
      <c r="C32" s="14"/>
      <c r="D32" s="14"/>
      <c r="E32" s="15"/>
      <c r="F32" s="15"/>
      <c r="G32" s="15"/>
      <c r="H32" s="15"/>
      <c r="I32" s="15"/>
      <c r="J32" s="15"/>
      <c r="K32" s="15"/>
    </row>
    <row r="33" spans="1:11" x14ac:dyDescent="0.6">
      <c r="A33" s="75"/>
      <c r="B33" s="76" t="s">
        <v>134</v>
      </c>
      <c r="C33" s="77"/>
      <c r="D33" s="77"/>
      <c r="E33" s="78"/>
      <c r="F33" s="78"/>
      <c r="G33" s="78"/>
      <c r="H33" s="78"/>
      <c r="I33" s="78"/>
      <c r="J33" s="78"/>
      <c r="K33" s="78"/>
    </row>
    <row r="34" spans="1:11" x14ac:dyDescent="0.6">
      <c r="A34" s="31"/>
      <c r="B34" s="32" t="s">
        <v>135</v>
      </c>
      <c r="C34" s="62">
        <f>C22+C23</f>
        <v>10485269.230769234</v>
      </c>
      <c r="D34" s="62">
        <f t="shared" ref="D34:K34" si="9">D22+D23</f>
        <v>8955807.6923076957</v>
      </c>
      <c r="E34" s="62">
        <f t="shared" si="9"/>
        <v>7426346.1538461559</v>
      </c>
      <c r="F34" s="62">
        <f t="shared" si="9"/>
        <v>5896884.6153846178</v>
      </c>
      <c r="G34" s="62">
        <f t="shared" si="9"/>
        <v>4367423.0769230798</v>
      </c>
      <c r="H34" s="62">
        <f t="shared" si="9"/>
        <v>2837961.5384615413</v>
      </c>
      <c r="I34" s="62">
        <f t="shared" si="9"/>
        <v>1308500</v>
      </c>
      <c r="J34" s="62">
        <f t="shared" si="9"/>
        <v>1308500</v>
      </c>
      <c r="K34" s="62">
        <f t="shared" si="9"/>
        <v>1308500</v>
      </c>
    </row>
    <row r="35" spans="1:11" x14ac:dyDescent="0.6">
      <c r="A35" s="31"/>
      <c r="B35" s="32" t="s">
        <v>136</v>
      </c>
      <c r="C35" s="62">
        <f t="shared" ref="C35:K35" si="10">C21</f>
        <v>1434843.6793076941</v>
      </c>
      <c r="D35" s="62">
        <f t="shared" si="10"/>
        <v>1838576.4816153781</v>
      </c>
      <c r="E35" s="66">
        <f t="shared" si="10"/>
        <v>2847910.7576461392</v>
      </c>
      <c r="F35" s="66">
        <f t="shared" si="10"/>
        <v>4587686.144671984</v>
      </c>
      <c r="G35" s="66">
        <f t="shared" si="10"/>
        <v>7202353.7353705447</v>
      </c>
      <c r="H35" s="66">
        <f t="shared" si="10"/>
        <v>10117240.463254761</v>
      </c>
      <c r="I35" s="66">
        <f t="shared" si="10"/>
        <v>14225751.019074736</v>
      </c>
      <c r="J35" s="66">
        <f t="shared" si="10"/>
        <v>19449062.135347053</v>
      </c>
      <c r="K35" s="66">
        <f t="shared" si="10"/>
        <v>25904460.119855382</v>
      </c>
    </row>
    <row r="36" spans="1:11" x14ac:dyDescent="0.6">
      <c r="A36" s="31"/>
      <c r="B36" s="32" t="s">
        <v>137</v>
      </c>
      <c r="C36" s="14">
        <f>C34/C35</f>
        <v>7.307603874889236</v>
      </c>
      <c r="D36" s="14">
        <f t="shared" ref="D36:K36" si="11">D34/D35</f>
        <v>4.871055287533701</v>
      </c>
      <c r="E36" s="15">
        <f t="shared" si="11"/>
        <v>2.6076470738795883</v>
      </c>
      <c r="F36" s="15">
        <f t="shared" si="11"/>
        <v>1.2853722834185382</v>
      </c>
      <c r="G36" s="15">
        <f t="shared" si="11"/>
        <v>0.6063883054611432</v>
      </c>
      <c r="H36" s="15">
        <f t="shared" si="11"/>
        <v>0.28050747125847758</v>
      </c>
      <c r="I36" s="15">
        <f t="shared" si="11"/>
        <v>9.1981084038760777E-2</v>
      </c>
      <c r="J36" s="15">
        <f t="shared" si="11"/>
        <v>6.7278308377755142E-2</v>
      </c>
      <c r="K36" s="15">
        <f t="shared" si="11"/>
        <v>5.0512536989607219E-2</v>
      </c>
    </row>
    <row r="37" spans="1:11" x14ac:dyDescent="0.6">
      <c r="A37" s="31"/>
      <c r="B37" s="64" t="s">
        <v>150</v>
      </c>
      <c r="C37" s="14"/>
      <c r="D37" s="14"/>
      <c r="E37" s="15"/>
      <c r="F37" s="15">
        <f>AVERAGE(C36:K36)</f>
        <v>1.9075940250940897</v>
      </c>
      <c r="G37" s="15"/>
      <c r="H37" s="15"/>
      <c r="I37" s="66"/>
      <c r="J37" s="66"/>
      <c r="K37" s="66"/>
    </row>
    <row r="38" spans="1:11" x14ac:dyDescent="0.6">
      <c r="A38" s="31"/>
      <c r="B38" s="32"/>
      <c r="C38" s="14"/>
      <c r="D38" s="14"/>
      <c r="E38" s="15"/>
      <c r="F38" s="15"/>
      <c r="G38" s="15"/>
      <c r="H38" s="15"/>
      <c r="I38" s="66"/>
      <c r="J38" s="66"/>
      <c r="K38" s="66"/>
    </row>
    <row r="39" spans="1:11" x14ac:dyDescent="0.6">
      <c r="A39" s="75"/>
      <c r="B39" s="76" t="s">
        <v>151</v>
      </c>
      <c r="C39" s="77"/>
      <c r="D39" s="77"/>
      <c r="E39" s="78"/>
      <c r="F39" s="78"/>
      <c r="G39" s="78"/>
      <c r="H39" s="78"/>
      <c r="I39" s="79"/>
      <c r="J39" s="79"/>
      <c r="K39" s="79"/>
    </row>
    <row r="40" spans="1:11" x14ac:dyDescent="0.6">
      <c r="A40" s="31"/>
      <c r="B40" s="64" t="s">
        <v>152</v>
      </c>
      <c r="C40" s="62">
        <f t="shared" ref="C40:K40" si="12">C11</f>
        <v>9467350</v>
      </c>
      <c r="D40" s="62">
        <f t="shared" si="12"/>
        <v>8159365</v>
      </c>
      <c r="E40" s="62">
        <f t="shared" si="12"/>
        <v>7036366</v>
      </c>
      <c r="F40" s="62">
        <f t="shared" si="12"/>
        <v>6071726.2750000004</v>
      </c>
      <c r="G40" s="62">
        <f t="shared" si="12"/>
        <v>5242700.9912500009</v>
      </c>
      <c r="H40" s="62">
        <f t="shared" si="12"/>
        <v>4529856.1343125012</v>
      </c>
      <c r="I40" s="62">
        <f t="shared" si="12"/>
        <v>3916581.9767406262</v>
      </c>
      <c r="J40" s="62">
        <f t="shared" si="12"/>
        <v>3388678.5165470326</v>
      </c>
      <c r="K40" s="62">
        <f t="shared" si="12"/>
        <v>2934002.1917507281</v>
      </c>
    </row>
    <row r="41" spans="1:11" x14ac:dyDescent="0.6">
      <c r="A41" s="31"/>
      <c r="B41" s="64" t="s">
        <v>135</v>
      </c>
      <c r="C41" s="62">
        <f t="shared" ref="C41:K41" si="13">C22+C23</f>
        <v>10485269.230769234</v>
      </c>
      <c r="D41" s="62">
        <f t="shared" si="13"/>
        <v>8955807.6923076957</v>
      </c>
      <c r="E41" s="62">
        <f t="shared" si="13"/>
        <v>7426346.1538461559</v>
      </c>
      <c r="F41" s="62">
        <f t="shared" si="13"/>
        <v>5896884.6153846178</v>
      </c>
      <c r="G41" s="62">
        <f t="shared" si="13"/>
        <v>4367423.0769230798</v>
      </c>
      <c r="H41" s="62">
        <f t="shared" si="13"/>
        <v>2837961.5384615413</v>
      </c>
      <c r="I41" s="62">
        <f t="shared" si="13"/>
        <v>1308500</v>
      </c>
      <c r="J41" s="62">
        <f t="shared" si="13"/>
        <v>1308500</v>
      </c>
      <c r="K41" s="62">
        <f t="shared" si="13"/>
        <v>1308500</v>
      </c>
    </row>
    <row r="42" spans="1:11" x14ac:dyDescent="0.6">
      <c r="A42" s="31"/>
      <c r="B42" s="64" t="s">
        <v>146</v>
      </c>
      <c r="C42" s="14">
        <f>C40/C41</f>
        <v>0.90291911362827681</v>
      </c>
      <c r="D42" s="14">
        <f t="shared" ref="D42:G42" si="14">D40/D41</f>
        <v>0.91106969693065487</v>
      </c>
      <c r="E42" s="14">
        <f t="shared" si="14"/>
        <v>0.94748694098454023</v>
      </c>
      <c r="F42" s="14">
        <f t="shared" si="14"/>
        <v>1.0296498356368091</v>
      </c>
      <c r="G42" s="14">
        <f t="shared" si="14"/>
        <v>1.200410608020043</v>
      </c>
      <c r="H42" s="62">
        <v>0</v>
      </c>
      <c r="I42" s="62">
        <v>0</v>
      </c>
      <c r="J42" s="62">
        <v>0</v>
      </c>
      <c r="K42" s="62">
        <v>0</v>
      </c>
    </row>
    <row r="43" spans="1:11" x14ac:dyDescent="0.6">
      <c r="A43" s="31"/>
      <c r="B43" s="64"/>
      <c r="C43" s="14"/>
      <c r="D43" s="14"/>
      <c r="E43" s="15"/>
      <c r="F43" s="15">
        <f>AVERAGE(C42:K42)</f>
        <v>0.55461513280003594</v>
      </c>
      <c r="G43" s="15"/>
      <c r="H43" s="15"/>
      <c r="I43" s="15"/>
      <c r="J43" s="15"/>
      <c r="K43" s="15"/>
    </row>
    <row r="44" spans="1:11" x14ac:dyDescent="0.6">
      <c r="A44" s="31"/>
      <c r="B44" s="32"/>
      <c r="C44" s="14"/>
      <c r="D44" s="14"/>
      <c r="E44" s="15"/>
      <c r="F44" s="15"/>
      <c r="G44" s="15"/>
      <c r="H44" s="15"/>
      <c r="I44" s="66"/>
      <c r="J44" s="66"/>
      <c r="K44" s="66"/>
    </row>
    <row r="45" spans="1:11" x14ac:dyDescent="0.6">
      <c r="A45" s="75"/>
      <c r="B45" s="76" t="s">
        <v>143</v>
      </c>
      <c r="C45" s="77"/>
      <c r="D45" s="77"/>
      <c r="E45" s="78"/>
      <c r="F45" s="78"/>
      <c r="G45" s="78"/>
      <c r="H45" s="78"/>
      <c r="I45" s="79"/>
      <c r="J45" s="79"/>
      <c r="K45" s="79"/>
    </row>
    <row r="46" spans="1:11" x14ac:dyDescent="0.6">
      <c r="A46" s="31"/>
      <c r="B46" s="32" t="s">
        <v>144</v>
      </c>
      <c r="C46" s="65">
        <f>'Ann 4'!C27</f>
        <v>721604.51923076937</v>
      </c>
      <c r="D46" s="65">
        <f>'Ann 4'!D27</f>
        <v>647043.26923076925</v>
      </c>
      <c r="E46" s="65">
        <f>'Ann 4'!E27</f>
        <v>555275.57692307699</v>
      </c>
      <c r="F46" s="65">
        <f>'Ann 4'!F27</f>
        <v>463507.88461538474</v>
      </c>
      <c r="G46" s="65">
        <f>'Ann 4'!G27</f>
        <v>371740.19230769243</v>
      </c>
      <c r="H46" s="65">
        <f>'Ann 4'!H27</f>
        <v>279972.50000000012</v>
      </c>
      <c r="I46" s="65">
        <f>'Ann 4'!I27</f>
        <v>188204.80769230786</v>
      </c>
      <c r="J46" s="65">
        <f>'Ann 4'!J27</f>
        <v>130850</v>
      </c>
      <c r="K46" s="65">
        <f>'Ann 4'!K27</f>
        <v>130850</v>
      </c>
    </row>
    <row r="47" spans="1:11" x14ac:dyDescent="0.6">
      <c r="A47" s="31"/>
      <c r="B47" s="32" t="s">
        <v>147</v>
      </c>
      <c r="C47" s="65">
        <f>(SUM('Ann 13'!D9:D12)*100000)+('Ann 1'!$C$25*100000)</f>
        <v>2073230.7692307695</v>
      </c>
      <c r="D47" s="65">
        <f>(SUM('Ann 13'!D13:D16)*100000)+('Ann 1'!$C$25*100000)</f>
        <v>2837961.538461539</v>
      </c>
      <c r="E47" s="65">
        <f>(SUM('Ann 13'!D17:D20)*100000)+('Ann 1'!$C$25*100000)</f>
        <v>2837961.538461539</v>
      </c>
      <c r="F47" s="65">
        <f>(SUM('Ann 13'!D21:D24)*100000)+('Ann 1'!$C$25*100000)</f>
        <v>2837961.538461539</v>
      </c>
      <c r="G47" s="65">
        <f>(SUM('Ann 13'!D25:D28)*100000)+('Ann 1'!$C$25*100000)</f>
        <v>2837961.538461539</v>
      </c>
      <c r="H47" s="65">
        <f>(SUM('Ann 13'!D29:D32)*100000)+('Ann 1'!$C$25*100000)</f>
        <v>2837961.538461539</v>
      </c>
      <c r="I47" s="65">
        <f>(SUM('Ann 13'!D33:D36)*100000)+('Ann 1'!$C$25*100000)</f>
        <v>2837961.5384615399</v>
      </c>
      <c r="J47" s="65">
        <f>(SUM('Ann 13'!D37:D37)*100000)+('Ann 1'!$C$25*100000)</f>
        <v>1308500</v>
      </c>
      <c r="K47" s="65">
        <f>(SUM('Ann 13'!D38:D39)*100000)+('Ann 1'!$C$25*100000)</f>
        <v>1308500</v>
      </c>
    </row>
    <row r="48" spans="1:11" x14ac:dyDescent="0.6">
      <c r="A48" s="31"/>
      <c r="B48" s="32" t="s">
        <v>8</v>
      </c>
      <c r="C48" s="65">
        <f>SUM(C46:C47)</f>
        <v>2794835.288461539</v>
      </c>
      <c r="D48" s="65">
        <f t="shared" ref="D48:K48" si="15">SUM(D46:D47)</f>
        <v>3485004.807692308</v>
      </c>
      <c r="E48" s="68">
        <f t="shared" si="15"/>
        <v>3393237.115384616</v>
      </c>
      <c r="F48" s="68">
        <f t="shared" si="15"/>
        <v>3301469.4230769239</v>
      </c>
      <c r="G48" s="68">
        <f t="shared" si="15"/>
        <v>3209701.7307692314</v>
      </c>
      <c r="H48" s="68">
        <f t="shared" si="15"/>
        <v>3117934.038461539</v>
      </c>
      <c r="I48" s="68">
        <f t="shared" si="15"/>
        <v>3026166.3461538479</v>
      </c>
      <c r="J48" s="68">
        <f t="shared" si="15"/>
        <v>1439350</v>
      </c>
      <c r="K48" s="68">
        <f t="shared" si="15"/>
        <v>1439350</v>
      </c>
    </row>
    <row r="49" spans="1:11" x14ac:dyDescent="0.6">
      <c r="A49" s="31"/>
      <c r="B49" s="32" t="s">
        <v>145</v>
      </c>
      <c r="C49" s="65">
        <f>'Ann 4'!C22</f>
        <v>3851780.8000000119</v>
      </c>
      <c r="D49" s="65">
        <f>'Ann 4'!D22</f>
        <v>4838833.9999999404</v>
      </c>
      <c r="E49" s="68">
        <f>'Ann 4'!E22</f>
        <v>8887805.1199999452</v>
      </c>
      <c r="F49" s="68">
        <f>'Ann 4'!F22</f>
        <v>13855114.659799993</v>
      </c>
      <c r="G49" s="68">
        <f>'Ann 4'!G22</f>
        <v>19876962.552475989</v>
      </c>
      <c r="H49" s="68">
        <f>'Ann 4'!H22</f>
        <v>21813436.84182477</v>
      </c>
      <c r="I49" s="68">
        <f>'Ann 4'!I22</f>
        <v>30147982.935406864</v>
      </c>
      <c r="J49" s="68">
        <f>'Ann 4'!J22</f>
        <v>37968118.57642442</v>
      </c>
      <c r="K49" s="68">
        <f>'Ann 4'!K22</f>
        <v>46695511.928427219</v>
      </c>
    </row>
    <row r="50" spans="1:11" x14ac:dyDescent="0.6">
      <c r="A50" s="70"/>
      <c r="B50" s="71" t="s">
        <v>146</v>
      </c>
      <c r="C50" s="23">
        <f>C49/C48</f>
        <v>1.3781781044135468</v>
      </c>
      <c r="D50" s="23">
        <f t="shared" ref="D50:H50" si="16">D49/D48</f>
        <v>1.3884726900001345</v>
      </c>
      <c r="E50" s="72">
        <f t="shared" si="16"/>
        <v>2.6192702772533867</v>
      </c>
      <c r="F50" s="72">
        <f t="shared" si="16"/>
        <v>4.1966509103353191</v>
      </c>
      <c r="G50" s="72">
        <f t="shared" si="16"/>
        <v>6.1927755971618934</v>
      </c>
      <c r="H50" s="72">
        <f t="shared" si="16"/>
        <v>6.9961187673450675</v>
      </c>
      <c r="I50" s="73">
        <v>0</v>
      </c>
      <c r="J50" s="73">
        <v>0</v>
      </c>
      <c r="K50" s="73">
        <v>0</v>
      </c>
    </row>
    <row r="51" spans="1:11" x14ac:dyDescent="0.6">
      <c r="A51" s="32"/>
      <c r="B51" s="64" t="s">
        <v>150</v>
      </c>
      <c r="C51" s="32"/>
      <c r="D51" s="32"/>
      <c r="E51" s="32"/>
      <c r="F51" s="32">
        <f>AVERAGE(C50:G50)</f>
        <v>3.1550695158328566</v>
      </c>
      <c r="G51" s="32"/>
      <c r="H51" s="32"/>
      <c r="I51" s="32"/>
      <c r="J51" s="32"/>
      <c r="K51" s="32"/>
    </row>
    <row r="53" spans="1:11" x14ac:dyDescent="0.6">
      <c r="A53" s="8" t="s">
        <v>327</v>
      </c>
    </row>
    <row r="54" spans="1:11" x14ac:dyDescent="0.6">
      <c r="A54" s="8" t="s">
        <v>297</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dimension ref="A1:C17"/>
  <sheetViews>
    <sheetView workbookViewId="0">
      <selection activeCell="B18" sqref="B18"/>
    </sheetView>
  </sheetViews>
  <sheetFormatPr defaultRowHeight="14.5" x14ac:dyDescent="0.35"/>
  <cols>
    <col min="1" max="1" width="53.453125" bestFit="1" customWidth="1"/>
    <col min="2" max="2" width="13.6328125" bestFit="1" customWidth="1"/>
    <col min="3" max="3" width="11.1796875" bestFit="1" customWidth="1"/>
    <col min="4" max="4" width="12.54296875" bestFit="1" customWidth="1"/>
  </cols>
  <sheetData>
    <row r="1" spans="1:3" x14ac:dyDescent="0.35">
      <c r="A1" s="3" t="s">
        <v>223</v>
      </c>
    </row>
    <row r="3" spans="1:3" x14ac:dyDescent="0.35">
      <c r="A3" s="2" t="s">
        <v>226</v>
      </c>
    </row>
    <row r="5" spans="1:3" x14ac:dyDescent="0.35">
      <c r="A5" s="3" t="s">
        <v>224</v>
      </c>
    </row>
    <row r="6" spans="1:3" x14ac:dyDescent="0.35">
      <c r="A6" s="4" t="s">
        <v>232</v>
      </c>
    </row>
    <row r="7" spans="1:3" x14ac:dyDescent="0.35">
      <c r="A7" t="s">
        <v>225</v>
      </c>
      <c r="B7">
        <v>5</v>
      </c>
      <c r="C7" t="s">
        <v>229</v>
      </c>
    </row>
    <row r="8" spans="1:3" x14ac:dyDescent="0.35">
      <c r="A8" t="s">
        <v>227</v>
      </c>
      <c r="B8">
        <v>30</v>
      </c>
      <c r="C8" t="s">
        <v>230</v>
      </c>
    </row>
    <row r="9" spans="1:3" x14ac:dyDescent="0.35">
      <c r="A9" t="s">
        <v>228</v>
      </c>
      <c r="B9">
        <f>B8*3000*20/B7</f>
        <v>360000</v>
      </c>
      <c r="C9" t="s">
        <v>231</v>
      </c>
    </row>
    <row r="11" spans="1:3" x14ac:dyDescent="0.35">
      <c r="A11" s="4" t="s">
        <v>233</v>
      </c>
    </row>
    <row r="12" spans="1:3" x14ac:dyDescent="0.35">
      <c r="A12" s="4" t="s">
        <v>225</v>
      </c>
      <c r="B12">
        <v>0.5</v>
      </c>
      <c r="C12" t="s">
        <v>234</v>
      </c>
    </row>
    <row r="13" spans="1:3" x14ac:dyDescent="0.35">
      <c r="A13" s="4" t="s">
        <v>235</v>
      </c>
      <c r="B13">
        <f>B12*3000*30</f>
        <v>45000</v>
      </c>
      <c r="C13" t="s">
        <v>236</v>
      </c>
    </row>
    <row r="15" spans="1:3" x14ac:dyDescent="0.35">
      <c r="A15" t="s">
        <v>237</v>
      </c>
      <c r="B15">
        <f>B13+B9</f>
        <v>405000</v>
      </c>
    </row>
    <row r="16" spans="1:3" x14ac:dyDescent="0.35">
      <c r="A16" t="s">
        <v>238</v>
      </c>
      <c r="B16">
        <v>75</v>
      </c>
    </row>
    <row r="17" spans="1:2" x14ac:dyDescent="0.35">
      <c r="A17" t="s">
        <v>239</v>
      </c>
      <c r="B17" s="6">
        <f>B15*B16</f>
        <v>30375000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sheetPr>
    <pageSetUpPr fitToPage="1"/>
  </sheetPr>
  <dimension ref="A1:F20"/>
  <sheetViews>
    <sheetView topLeftCell="A2" workbookViewId="0">
      <selection activeCell="E18" sqref="E18"/>
    </sheetView>
  </sheetViews>
  <sheetFormatPr defaultRowHeight="17" x14ac:dyDescent="0.6"/>
  <cols>
    <col min="1" max="1" width="5.6328125" style="8" bestFit="1" customWidth="1"/>
    <col min="2" max="2" width="26.08984375" style="8" bestFit="1" customWidth="1"/>
    <col min="3" max="3" width="8.7265625" style="8"/>
    <col min="4" max="4" width="25" style="8" bestFit="1" customWidth="1"/>
    <col min="5" max="5" width="12.54296875" style="8" bestFit="1" customWidth="1"/>
    <col min="6" max="16384" width="8.7265625" style="8"/>
  </cols>
  <sheetData>
    <row r="1" spans="1:6" x14ac:dyDescent="0.6">
      <c r="A1" s="7" t="s">
        <v>154</v>
      </c>
    </row>
    <row r="3" spans="1:6" x14ac:dyDescent="0.6">
      <c r="A3" s="80" t="s">
        <v>155</v>
      </c>
    </row>
    <row r="5" spans="1:6" x14ac:dyDescent="0.6">
      <c r="A5" s="12" t="s">
        <v>52</v>
      </c>
      <c r="B5" s="12" t="s">
        <v>53</v>
      </c>
      <c r="C5" s="12" t="s">
        <v>54</v>
      </c>
      <c r="D5" s="12" t="s">
        <v>55</v>
      </c>
      <c r="E5" s="12" t="s">
        <v>220</v>
      </c>
    </row>
    <row r="6" spans="1:6" x14ac:dyDescent="0.6">
      <c r="A6" s="56" t="s">
        <v>56</v>
      </c>
      <c r="B6" s="56" t="s">
        <v>252</v>
      </c>
      <c r="C6" s="56">
        <v>1</v>
      </c>
      <c r="D6" s="55">
        <v>25000</v>
      </c>
      <c r="E6" s="55">
        <f>D6*C6*12</f>
        <v>300000</v>
      </c>
    </row>
    <row r="7" spans="1:6" x14ac:dyDescent="0.6">
      <c r="A7" s="9" t="s">
        <v>57</v>
      </c>
      <c r="B7" s="9" t="s">
        <v>253</v>
      </c>
      <c r="C7" s="9">
        <v>1</v>
      </c>
      <c r="D7" s="55">
        <v>20000</v>
      </c>
      <c r="E7" s="55">
        <f>D7*C7*12</f>
        <v>240000</v>
      </c>
    </row>
    <row r="8" spans="1:6" x14ac:dyDescent="0.6">
      <c r="A8" s="9" t="s">
        <v>60</v>
      </c>
      <c r="B8" s="9" t="s">
        <v>254</v>
      </c>
      <c r="C8" s="9">
        <v>5</v>
      </c>
      <c r="D8" s="55">
        <v>10000</v>
      </c>
      <c r="E8" s="55">
        <f>D8*C8*12</f>
        <v>600000</v>
      </c>
    </row>
    <row r="9" spans="1:6" x14ac:dyDescent="0.6">
      <c r="A9" s="9" t="s">
        <v>219</v>
      </c>
      <c r="B9" s="9" t="s">
        <v>156</v>
      </c>
      <c r="C9" s="9">
        <v>2</v>
      </c>
      <c r="D9" s="55">
        <v>6000</v>
      </c>
      <c r="E9" s="55">
        <f>D9*C9*12</f>
        <v>144000</v>
      </c>
    </row>
    <row r="10" spans="1:6" x14ac:dyDescent="0.6">
      <c r="A10" s="9" t="s">
        <v>255</v>
      </c>
      <c r="B10" s="9" t="s">
        <v>256</v>
      </c>
      <c r="C10" s="9">
        <v>5</v>
      </c>
      <c r="D10" s="55"/>
      <c r="E10" s="55">
        <f>400*300*C10</f>
        <v>600000</v>
      </c>
      <c r="F10" s="8" t="s">
        <v>289</v>
      </c>
    </row>
    <row r="11" spans="1:6" x14ac:dyDescent="0.6">
      <c r="A11" s="129" t="s">
        <v>8</v>
      </c>
      <c r="B11" s="129"/>
      <c r="C11" s="129"/>
      <c r="D11" s="129"/>
      <c r="E11" s="81">
        <f>SUM(E6:E10)</f>
        <v>1884000</v>
      </c>
    </row>
    <row r="12" spans="1:6" x14ac:dyDescent="0.6">
      <c r="A12" s="37"/>
      <c r="B12" s="82"/>
      <c r="C12" s="82"/>
      <c r="D12" s="82"/>
      <c r="E12" s="61"/>
    </row>
    <row r="13" spans="1:6" x14ac:dyDescent="0.6">
      <c r="A13" s="70" t="s">
        <v>257</v>
      </c>
      <c r="B13" s="71"/>
      <c r="C13" s="71"/>
      <c r="D13" s="71"/>
      <c r="E13" s="83">
        <f>E11*10%</f>
        <v>188400</v>
      </c>
    </row>
    <row r="14" spans="1:6" x14ac:dyDescent="0.6">
      <c r="A14" s="35" t="s">
        <v>8</v>
      </c>
      <c r="B14" s="36"/>
      <c r="C14" s="36"/>
      <c r="D14" s="36"/>
      <c r="E14" s="84">
        <f>SUM(E11:E13)</f>
        <v>2072400</v>
      </c>
    </row>
    <row r="16" spans="1:6" x14ac:dyDescent="0.6">
      <c r="A16" s="8" t="s">
        <v>58</v>
      </c>
      <c r="E16" s="51">
        <f>E14</f>
        <v>2072400</v>
      </c>
    </row>
    <row r="17" spans="1:5" x14ac:dyDescent="0.6">
      <c r="A17" s="8" t="s">
        <v>59</v>
      </c>
      <c r="E17" s="85">
        <v>7.0000000000000007E-2</v>
      </c>
    </row>
    <row r="18" spans="1:5" x14ac:dyDescent="0.6">
      <c r="A18" s="8" t="s">
        <v>158</v>
      </c>
      <c r="E18" s="8">
        <f>SUM(C6:C10)</f>
        <v>14</v>
      </c>
    </row>
    <row r="20" spans="1:5" x14ac:dyDescent="0.6">
      <c r="A20" s="8" t="s">
        <v>290</v>
      </c>
    </row>
  </sheetData>
  <mergeCells count="1">
    <mergeCell ref="A11:D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dimension ref="A1:F22"/>
  <sheetViews>
    <sheetView topLeftCell="A6" workbookViewId="0">
      <selection activeCell="E8" sqref="E8"/>
    </sheetView>
  </sheetViews>
  <sheetFormatPr defaultRowHeight="17" x14ac:dyDescent="0.6"/>
  <cols>
    <col min="1" max="1" width="6.36328125" style="8" bestFit="1" customWidth="1"/>
    <col min="2" max="2" width="18.81640625" style="8" bestFit="1" customWidth="1"/>
    <col min="3" max="3" width="19.453125" style="8" bestFit="1" customWidth="1"/>
    <col min="4" max="4" width="18.08984375" style="8" bestFit="1" customWidth="1"/>
    <col min="5" max="5" width="14.453125" style="8" bestFit="1" customWidth="1"/>
    <col min="6" max="6" width="26.453125" style="8" bestFit="1" customWidth="1"/>
    <col min="7" max="16384" width="8.7265625" style="8"/>
  </cols>
  <sheetData>
    <row r="1" spans="1:6" x14ac:dyDescent="0.6">
      <c r="A1" s="7" t="s">
        <v>62</v>
      </c>
    </row>
    <row r="3" spans="1:6" x14ac:dyDescent="0.6">
      <c r="A3" s="80" t="s">
        <v>61</v>
      </c>
    </row>
    <row r="5" spans="1:6" x14ac:dyDescent="0.6">
      <c r="A5" s="12" t="s">
        <v>24</v>
      </c>
      <c r="B5" s="12" t="s">
        <v>3</v>
      </c>
      <c r="C5" s="12" t="s">
        <v>65</v>
      </c>
      <c r="D5" s="12" t="s">
        <v>11</v>
      </c>
      <c r="E5" s="12" t="s">
        <v>66</v>
      </c>
      <c r="F5" s="12" t="s">
        <v>67</v>
      </c>
    </row>
    <row r="6" spans="1:6" x14ac:dyDescent="0.6">
      <c r="A6" s="9" t="s">
        <v>56</v>
      </c>
      <c r="B6" s="9" t="s">
        <v>13</v>
      </c>
      <c r="C6" s="55">
        <f>'Ann 1'!C15*100000</f>
        <v>2000000</v>
      </c>
      <c r="D6" s="55">
        <f>('Ann 1'!C20+'Ann 1'!C37)*100000</f>
        <v>8500000</v>
      </c>
      <c r="E6" s="55">
        <f>'Ann 3'!E19</f>
        <v>378000</v>
      </c>
      <c r="F6" s="86">
        <f>SUM(C6:E6)/100000</f>
        <v>108.78</v>
      </c>
    </row>
    <row r="7" spans="1:6" x14ac:dyDescent="0.6">
      <c r="A7" s="9" t="s">
        <v>57</v>
      </c>
      <c r="B7" s="9" t="s">
        <v>63</v>
      </c>
      <c r="C7" s="55">
        <v>0</v>
      </c>
      <c r="D7" s="55">
        <v>0</v>
      </c>
      <c r="E7" s="55">
        <v>0</v>
      </c>
      <c r="F7" s="87">
        <f>SUM(C7:E7)/100000</f>
        <v>0</v>
      </c>
    </row>
    <row r="8" spans="1:6" x14ac:dyDescent="0.6">
      <c r="A8" s="9" t="s">
        <v>60</v>
      </c>
      <c r="B8" s="9" t="s">
        <v>64</v>
      </c>
      <c r="C8" s="55">
        <v>0</v>
      </c>
      <c r="D8" s="55">
        <v>0</v>
      </c>
      <c r="E8" s="55">
        <f>'Ann 1'!C39*100000</f>
        <v>113500</v>
      </c>
      <c r="F8" s="87">
        <f>SUM(C8:E8)/100000</f>
        <v>1.135</v>
      </c>
    </row>
    <row r="9" spans="1:6" x14ac:dyDescent="0.6">
      <c r="A9" s="9"/>
      <c r="B9" s="129" t="s">
        <v>8</v>
      </c>
      <c r="C9" s="129"/>
      <c r="D9" s="129"/>
      <c r="E9" s="129"/>
      <c r="F9" s="86">
        <f>SUM(F6:F8)</f>
        <v>109.91500000000001</v>
      </c>
    </row>
    <row r="11" spans="1:6" x14ac:dyDescent="0.6">
      <c r="A11" s="88"/>
      <c r="B11" s="88" t="s">
        <v>68</v>
      </c>
      <c r="C11" s="89">
        <v>0.1</v>
      </c>
      <c r="D11" s="89">
        <v>0.15</v>
      </c>
      <c r="E11" s="89">
        <v>0.1</v>
      </c>
      <c r="F11" s="88" t="s">
        <v>173</v>
      </c>
    </row>
    <row r="12" spans="1:6" x14ac:dyDescent="0.6">
      <c r="A12" s="90" t="s">
        <v>69</v>
      </c>
      <c r="B12" s="91">
        <v>1</v>
      </c>
      <c r="C12" s="92">
        <f>C11*C6</f>
        <v>200000</v>
      </c>
      <c r="D12" s="92">
        <f>D11*D6</f>
        <v>1275000</v>
      </c>
      <c r="E12" s="92">
        <f>E11*(E6+E8)</f>
        <v>49150</v>
      </c>
      <c r="F12" s="92">
        <f>SUM(C12:E12)</f>
        <v>1524150</v>
      </c>
    </row>
    <row r="13" spans="1:6" x14ac:dyDescent="0.6">
      <c r="A13" s="90" t="s">
        <v>69</v>
      </c>
      <c r="B13" s="91">
        <v>2</v>
      </c>
      <c r="C13" s="92">
        <f>(C6-C12)*C11</f>
        <v>180000</v>
      </c>
      <c r="D13" s="92">
        <f>(D6-D12)*D11</f>
        <v>1083750</v>
      </c>
      <c r="E13" s="92">
        <f>(E6+E8-E12)*E11</f>
        <v>44235</v>
      </c>
      <c r="F13" s="92">
        <f>SUM(C13:E13)</f>
        <v>1307985</v>
      </c>
    </row>
    <row r="14" spans="1:6" x14ac:dyDescent="0.6">
      <c r="A14" s="90" t="s">
        <v>69</v>
      </c>
      <c r="B14" s="91">
        <v>3</v>
      </c>
      <c r="C14" s="92">
        <f>(C6-C12-C13)*C11</f>
        <v>162000</v>
      </c>
      <c r="D14" s="92">
        <f>(D6-D12-D13)*D11</f>
        <v>921187.5</v>
      </c>
      <c r="E14" s="92">
        <f>(E6+E8-E12-E13)*E11</f>
        <v>39811.5</v>
      </c>
      <c r="F14" s="92">
        <f t="shared" ref="F14:F20" si="0">SUM(C14:E14)</f>
        <v>1122999</v>
      </c>
    </row>
    <row r="15" spans="1:6" x14ac:dyDescent="0.6">
      <c r="A15" s="90" t="s">
        <v>69</v>
      </c>
      <c r="B15" s="91">
        <v>4</v>
      </c>
      <c r="C15" s="92">
        <f>(C6-C12-C13-C14)*C11</f>
        <v>145800</v>
      </c>
      <c r="D15" s="92">
        <f>(D6-D12-D13-D14)*D11</f>
        <v>783009.375</v>
      </c>
      <c r="E15" s="92">
        <f>(E6+E8-E12-E13-E14)*E11</f>
        <v>35830.35</v>
      </c>
      <c r="F15" s="92">
        <f t="shared" si="0"/>
        <v>964639.72499999998</v>
      </c>
    </row>
    <row r="16" spans="1:6" x14ac:dyDescent="0.6">
      <c r="A16" s="90" t="s">
        <v>69</v>
      </c>
      <c r="B16" s="91">
        <v>5</v>
      </c>
      <c r="C16" s="92">
        <f>(C6-C12-C13-C14-C15)*C11</f>
        <v>131220</v>
      </c>
      <c r="D16" s="92">
        <f>(D6-D12-D13-D14-D15)*D11</f>
        <v>665557.96875</v>
      </c>
      <c r="E16" s="92">
        <f>(E6+E8-E12-E13-E14-E15)*E11</f>
        <v>32247.315000000002</v>
      </c>
      <c r="F16" s="92">
        <f t="shared" si="0"/>
        <v>829025.28374999994</v>
      </c>
    </row>
    <row r="17" spans="1:6" x14ac:dyDescent="0.6">
      <c r="A17" s="90" t="s">
        <v>69</v>
      </c>
      <c r="B17" s="91">
        <v>6</v>
      </c>
      <c r="C17" s="92">
        <f>(C6-C12-C13-C14-C15-C16)*C11</f>
        <v>118098</v>
      </c>
      <c r="D17" s="92">
        <f>(D6-D12-D13-D14-D15-D16)*D11</f>
        <v>565724.2734375</v>
      </c>
      <c r="E17" s="92">
        <f>(E6+E8-E12-E13-E14-E15-E16)*E11</f>
        <v>29022.583500000004</v>
      </c>
      <c r="F17" s="92">
        <f t="shared" si="0"/>
        <v>712844.85693749995</v>
      </c>
    </row>
    <row r="18" spans="1:6" x14ac:dyDescent="0.6">
      <c r="A18" s="90" t="s">
        <v>69</v>
      </c>
      <c r="B18" s="91">
        <v>7</v>
      </c>
      <c r="C18" s="92">
        <f>(C6-C12-C13-C14-C15-C16-C17)*C11</f>
        <v>106288.20000000001</v>
      </c>
      <c r="D18" s="92">
        <f>(D6-D12-D13-D14-D15-D16-D17)*D11</f>
        <v>480865.63242187497</v>
      </c>
      <c r="E18" s="92">
        <f>(E6+E8-E12-E13-E14-E15-E16-E17)*E11</f>
        <v>26120.325150000004</v>
      </c>
      <c r="F18" s="92">
        <f t="shared" si="0"/>
        <v>613274.15757187502</v>
      </c>
    </row>
    <row r="19" spans="1:6" x14ac:dyDescent="0.6">
      <c r="A19" s="90" t="s">
        <v>69</v>
      </c>
      <c r="B19" s="91">
        <v>8</v>
      </c>
      <c r="C19" s="92">
        <f>(C6-C12-C13-C14-C15-C16-C17-C18)*C11</f>
        <v>95659.38</v>
      </c>
      <c r="D19" s="92">
        <f>(D6-D12-D13-D14-D15-D16-D17-D18)*D11</f>
        <v>408735.78755859373</v>
      </c>
      <c r="E19" s="92">
        <f>(E6+E8-E12-E13-E14-E15-E16-E17-E18)*E11</f>
        <v>23508.292635000005</v>
      </c>
      <c r="F19" s="92">
        <f t="shared" si="0"/>
        <v>527903.46019359375</v>
      </c>
    </row>
    <row r="20" spans="1:6" x14ac:dyDescent="0.6">
      <c r="A20" s="90" t="s">
        <v>69</v>
      </c>
      <c r="B20" s="91">
        <v>9</v>
      </c>
      <c r="C20" s="92">
        <f>(C6-C12-C13-C14-C15-C16-C17-C18-C19)*C11</f>
        <v>86093.44200000001</v>
      </c>
      <c r="D20" s="92">
        <f>(D6-D12-D13-D14-D15-D16-D17-D18-D19)*D11</f>
        <v>347425.41942480468</v>
      </c>
      <c r="E20" s="92">
        <f>(E6+E8-E12-E13-E14-E15-E16-E17-E18-E19)*E11</f>
        <v>21157.463371500002</v>
      </c>
      <c r="F20" s="92">
        <f t="shared" si="0"/>
        <v>454676.32479630469</v>
      </c>
    </row>
    <row r="21" spans="1:6" x14ac:dyDescent="0.6">
      <c r="B21" s="25"/>
    </row>
    <row r="22" spans="1:6" x14ac:dyDescent="0.6">
      <c r="A22" s="93"/>
    </row>
  </sheetData>
  <mergeCells count="1">
    <mergeCell ref="B9:E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2021-08-04T07:53:58Z</cp:lastPrinted>
  <dcterms:created xsi:type="dcterms:W3CDTF">2021-07-04T07:21:16Z</dcterms:created>
  <dcterms:modified xsi:type="dcterms:W3CDTF">2021-08-12T07:39:32Z</dcterms:modified>
</cp:coreProperties>
</file>