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1. Assignments\6. Ashiwini Mittal Sir- Nabcons\21. Spice processing unit\"/>
    </mc:Choice>
  </mc:AlternateContent>
  <xr:revisionPtr revIDLastSave="0" documentId="13_ncr:1_{9A6AEB25-ED68-4926-9ECA-91FB5FF9C8E2}" xr6:coauthVersionLast="47" xr6:coauthVersionMax="47" xr10:uidLastSave="{00000000-0000-0000-0000-000000000000}"/>
  <bookViews>
    <workbookView xWindow="-110" yWindow="-110" windowWidth="19420" windowHeight="11020" firstSheet="4" activeTab="16" xr2:uid="{8B0049CE-B79C-4EF0-8FA8-FBBF9BECEBD1}"/>
  </bookViews>
  <sheets>
    <sheet name="Contents" sheetId="21" r:id="rId1"/>
    <sheet name="Ann 1" sheetId="1" r:id="rId2"/>
    <sheet name="Ann 2" sheetId="2" r:id="rId3"/>
    <sheet name="Ann 3" sheetId="3" r:id="rId4"/>
    <sheet name="Ann 4" sheetId="4" r:id="rId5"/>
    <sheet name="Ann 5" sheetId="7" r:id="rId6"/>
    <sheet name="Ann 6" sheetId="23" state="hidden" r:id="rId7"/>
    <sheet name="Ann 8" sheetId="9" r:id="rId8"/>
    <sheet name="Ann 9" sheetId="10" r:id="rId9"/>
    <sheet name="Ann 10" sheetId="13" r:id="rId10"/>
    <sheet name="Ann 11" sheetId="11" r:id="rId11"/>
    <sheet name="Ann 12" sheetId="12" state="hidden" r:id="rId12"/>
    <sheet name="Ann 13" sheetId="14" r:id="rId13"/>
    <sheet name="Ann 14" sheetId="18" r:id="rId14"/>
    <sheet name="Budgets" sheetId="19" r:id="rId15"/>
    <sheet name="For word file" sheetId="20" state="hidden" r:id="rId16"/>
    <sheet name="Assumptions" sheetId="22" r:id="rId17"/>
    <sheet name="Sheet1" sheetId="15" state="hidden"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5" i="21" l="1"/>
  <c r="D43" i="4"/>
  <c r="E43" i="4"/>
  <c r="F43" i="4"/>
  <c r="G43" i="4"/>
  <c r="H43" i="4"/>
  <c r="I43" i="4"/>
  <c r="J43" i="4"/>
  <c r="K43" i="4"/>
  <c r="C43" i="4"/>
  <c r="D17" i="4"/>
  <c r="E17" i="4"/>
  <c r="F17" i="4"/>
  <c r="G17" i="4"/>
  <c r="H17" i="4"/>
  <c r="I17" i="4"/>
  <c r="J17" i="4"/>
  <c r="K17" i="4"/>
  <c r="C17" i="4"/>
  <c r="C23" i="11"/>
  <c r="C25" i="11" s="1"/>
  <c r="D5" i="22"/>
  <c r="E4" i="22"/>
  <c r="E5" i="22" s="1"/>
  <c r="D8" i="19"/>
  <c r="E8" i="19"/>
  <c r="F8" i="19"/>
  <c r="G8" i="19"/>
  <c r="H8" i="19"/>
  <c r="I8" i="19"/>
  <c r="J8" i="19"/>
  <c r="C8" i="19"/>
  <c r="C6" i="19"/>
  <c r="D6" i="19"/>
  <c r="E6" i="19"/>
  <c r="F7" i="4" s="1"/>
  <c r="F6" i="19"/>
  <c r="G6" i="19"/>
  <c r="H7" i="4" s="1"/>
  <c r="H6" i="19"/>
  <c r="I6" i="19"/>
  <c r="J6" i="19"/>
  <c r="B6" i="19"/>
  <c r="C7" i="4" s="1"/>
  <c r="C10" i="4" s="1"/>
  <c r="D7" i="4"/>
  <c r="E7" i="4"/>
  <c r="G7" i="4"/>
  <c r="I7" i="4"/>
  <c r="J7" i="4"/>
  <c r="K7" i="4"/>
  <c r="D13" i="4"/>
  <c r="E13" i="4"/>
  <c r="F13" i="4"/>
  <c r="G13" i="4"/>
  <c r="H13" i="4"/>
  <c r="I13" i="4"/>
  <c r="J13" i="4"/>
  <c r="K13" i="4"/>
  <c r="C13" i="4"/>
  <c r="B12" i="19"/>
  <c r="E7" i="9"/>
  <c r="E14" i="3"/>
  <c r="E13" i="3"/>
  <c r="E12" i="3"/>
  <c r="E11" i="3"/>
  <c r="E10" i="3"/>
  <c r="E9" i="3"/>
  <c r="E8" i="3"/>
  <c r="F4" i="22" l="1"/>
  <c r="C15" i="1"/>
  <c r="A16" i="21"/>
  <c r="A15" i="21"/>
  <c r="A14" i="21"/>
  <c r="A13" i="21"/>
  <c r="A12" i="21"/>
  <c r="A8" i="21"/>
  <c r="A7" i="21"/>
  <c r="A6" i="21"/>
  <c r="A4" i="21"/>
  <c r="F5" i="19"/>
  <c r="E18" i="3"/>
  <c r="E4" i="3"/>
  <c r="E10" i="9"/>
  <c r="B8" i="18"/>
  <c r="C29" i="1"/>
  <c r="E9" i="9"/>
  <c r="E11" i="9"/>
  <c r="C21" i="11"/>
  <c r="C35" i="1"/>
  <c r="C32" i="4"/>
  <c r="B13" i="18" s="1"/>
  <c r="E19" i="9"/>
  <c r="F5" i="22" l="1"/>
  <c r="G4" i="22"/>
  <c r="B5" i="19"/>
  <c r="G10" i="4"/>
  <c r="C8" i="4"/>
  <c r="F7" i="19"/>
  <c r="F22" i="19"/>
  <c r="E12" i="10"/>
  <c r="E13" i="10" s="1"/>
  <c r="C5" i="19"/>
  <c r="D5" i="19"/>
  <c r="J5" i="19"/>
  <c r="I5" i="19"/>
  <c r="E5" i="19"/>
  <c r="H5" i="19"/>
  <c r="G5" i="19"/>
  <c r="E8" i="9"/>
  <c r="D28" i="4"/>
  <c r="E28" i="4"/>
  <c r="F28" i="4"/>
  <c r="G28" i="4"/>
  <c r="H28" i="4"/>
  <c r="I28" i="4"/>
  <c r="J28" i="4"/>
  <c r="K28" i="4"/>
  <c r="C28" i="4"/>
  <c r="C7" i="2"/>
  <c r="B13" i="23"/>
  <c r="B9" i="23"/>
  <c r="G5" i="22" l="1"/>
  <c r="H4" i="22"/>
  <c r="B15" i="23"/>
  <c r="B17" i="23" s="1"/>
  <c r="G18" i="4"/>
  <c r="J22" i="19"/>
  <c r="K10" i="4"/>
  <c r="D10" i="4"/>
  <c r="F10" i="4"/>
  <c r="J10" i="4"/>
  <c r="H10" i="4"/>
  <c r="E10" i="4"/>
  <c r="I10" i="4"/>
  <c r="F23" i="19"/>
  <c r="D22" i="19"/>
  <c r="D7" i="19"/>
  <c r="C22" i="19"/>
  <c r="C7" i="19"/>
  <c r="E7" i="19"/>
  <c r="E22" i="19"/>
  <c r="B22" i="19"/>
  <c r="B7" i="19"/>
  <c r="G22" i="19"/>
  <c r="G7" i="19"/>
  <c r="H7" i="19"/>
  <c r="H22" i="19"/>
  <c r="I7" i="19"/>
  <c r="I22" i="19"/>
  <c r="B4" i="18"/>
  <c r="D8" i="11"/>
  <c r="C28" i="11" s="1"/>
  <c r="E14" i="10"/>
  <c r="B16" i="19"/>
  <c r="C24" i="11" s="1"/>
  <c r="H5" i="22" l="1"/>
  <c r="I4" i="22"/>
  <c r="J18" i="4"/>
  <c r="F18" i="4"/>
  <c r="I18" i="4"/>
  <c r="I23" i="4"/>
  <c r="H18" i="4"/>
  <c r="H23" i="4"/>
  <c r="E18" i="4"/>
  <c r="C18" i="4"/>
  <c r="D18" i="4"/>
  <c r="B8" i="19"/>
  <c r="C23" i="19"/>
  <c r="G23" i="19"/>
  <c r="B23" i="19"/>
  <c r="I23" i="19"/>
  <c r="E23" i="19"/>
  <c r="H23" i="19"/>
  <c r="E23" i="4"/>
  <c r="D23" i="19"/>
  <c r="G23" i="4"/>
  <c r="E15" i="10"/>
  <c r="A11" i="21"/>
  <c r="A10" i="21"/>
  <c r="A9" i="21"/>
  <c r="K47" i="7"/>
  <c r="J47" i="7"/>
  <c r="D23" i="7"/>
  <c r="E23" i="7"/>
  <c r="F23" i="7"/>
  <c r="G23" i="7"/>
  <c r="H23" i="7"/>
  <c r="I23" i="7"/>
  <c r="I34" i="7" s="1"/>
  <c r="J23" i="7"/>
  <c r="J34" i="7" s="1"/>
  <c r="K23" i="7"/>
  <c r="K34" i="7" s="1"/>
  <c r="C23" i="7"/>
  <c r="I5" i="22" l="1"/>
  <c r="J4" i="22"/>
  <c r="G12" i="7"/>
  <c r="D23" i="4"/>
  <c r="J23" i="4"/>
  <c r="F23" i="4"/>
  <c r="C23" i="4"/>
  <c r="I12" i="7"/>
  <c r="H12" i="7"/>
  <c r="E12" i="7"/>
  <c r="B24" i="19"/>
  <c r="E16" i="10"/>
  <c r="E17" i="10" s="1"/>
  <c r="C24" i="18"/>
  <c r="K24" i="18"/>
  <c r="J24" i="18"/>
  <c r="I24" i="18"/>
  <c r="H24" i="18"/>
  <c r="G24" i="18"/>
  <c r="F24" i="18"/>
  <c r="E24" i="18"/>
  <c r="D24" i="18"/>
  <c r="J5" i="22" l="1"/>
  <c r="K4" i="22"/>
  <c r="J12" i="7"/>
  <c r="D12" i="7"/>
  <c r="F12" i="7"/>
  <c r="C12" i="7"/>
  <c r="C21" i="19"/>
  <c r="C24" i="19" s="1"/>
  <c r="E18" i="10"/>
  <c r="E19" i="10" s="1"/>
  <c r="E20" i="10" s="1"/>
  <c r="I41" i="7"/>
  <c r="J41" i="7"/>
  <c r="K41" i="7"/>
  <c r="K5" i="22" l="1"/>
  <c r="L4" i="22"/>
  <c r="L5" i="22" s="1"/>
  <c r="D21" i="19"/>
  <c r="D24" i="19" s="1"/>
  <c r="D12" i="4"/>
  <c r="C13" i="7"/>
  <c r="C19" i="1"/>
  <c r="D42" i="4"/>
  <c r="D8" i="4" s="1"/>
  <c r="D13" i="7" l="1"/>
  <c r="E12" i="4"/>
  <c r="E21" i="19"/>
  <c r="E24" i="19" s="1"/>
  <c r="E42" i="4"/>
  <c r="E8" i="4" s="1"/>
  <c r="F12" i="4" l="1"/>
  <c r="E13" i="7"/>
  <c r="F21" i="19"/>
  <c r="F24" i="19" s="1"/>
  <c r="F42" i="4"/>
  <c r="F8" i="4" s="1"/>
  <c r="G21" i="19" l="1"/>
  <c r="G24" i="19" s="1"/>
  <c r="G12" i="4"/>
  <c r="F13" i="7"/>
  <c r="G42" i="4"/>
  <c r="G8" i="4" s="1"/>
  <c r="G13" i="7" l="1"/>
  <c r="H12" i="4"/>
  <c r="H21" i="19"/>
  <c r="H24" i="19" s="1"/>
  <c r="K24" i="7"/>
  <c r="K29" i="7" s="1"/>
  <c r="C9" i="18"/>
  <c r="E5" i="11"/>
  <c r="D7" i="11" s="1"/>
  <c r="B3" i="20"/>
  <c r="H42" i="4"/>
  <c r="H8" i="4" s="1"/>
  <c r="I21" i="19" l="1"/>
  <c r="I24" i="19" s="1"/>
  <c r="I12" i="4"/>
  <c r="H13" i="7"/>
  <c r="I24" i="7"/>
  <c r="I29" i="7" s="1"/>
  <c r="G24" i="7"/>
  <c r="G29" i="7" s="1"/>
  <c r="D9" i="18"/>
  <c r="J24" i="7"/>
  <c r="J29" i="7" s="1"/>
  <c r="E9" i="18"/>
  <c r="H24" i="7"/>
  <c r="H29" i="7" s="1"/>
  <c r="C24" i="7"/>
  <c r="C29" i="7" s="1"/>
  <c r="G3" i="20"/>
  <c r="C3" i="20"/>
  <c r="D3" i="20"/>
  <c r="I3" i="20"/>
  <c r="H3" i="20"/>
  <c r="E3" i="20"/>
  <c r="F3" i="20"/>
  <c r="I42" i="4"/>
  <c r="I8" i="4" l="1"/>
  <c r="J42" i="4"/>
  <c r="K42" i="4" s="1"/>
  <c r="J12" i="4"/>
  <c r="I13" i="7"/>
  <c r="J21" i="19"/>
  <c r="J7" i="19" s="1"/>
  <c r="D24" i="7"/>
  <c r="D29" i="7" s="1"/>
  <c r="E24" i="7"/>
  <c r="E29" i="7" s="1"/>
  <c r="F24" i="7"/>
  <c r="F29" i="7" s="1"/>
  <c r="J23" i="19" l="1"/>
  <c r="J8" i="4"/>
  <c r="K12" i="4"/>
  <c r="J13" i="7"/>
  <c r="K8" i="4"/>
  <c r="C12" i="1"/>
  <c r="J29" i="4"/>
  <c r="K29" i="4"/>
  <c r="K14" i="18" s="1"/>
  <c r="J14" i="18" l="1"/>
  <c r="J46" i="7"/>
  <c r="K46" i="7"/>
  <c r="D9" i="11" l="1"/>
  <c r="E9" i="11" l="1"/>
  <c r="E10" i="11" s="1"/>
  <c r="C29" i="11"/>
  <c r="J48" i="7"/>
  <c r="K48" i="7"/>
  <c r="C20" i="1"/>
  <c r="F8" i="10"/>
  <c r="F7" i="10"/>
  <c r="E6" i="9"/>
  <c r="E12" i="9" s="1"/>
  <c r="E14" i="9" s="1"/>
  <c r="C9" i="1"/>
  <c r="D6" i="10" l="1"/>
  <c r="D12" i="10" s="1"/>
  <c r="D13" i="10" s="1"/>
  <c r="D14" i="10" s="1"/>
  <c r="D11" i="18"/>
  <c r="E11" i="18"/>
  <c r="C3" i="15"/>
  <c r="K6" i="12"/>
  <c r="E5" i="12"/>
  <c r="H6" i="12"/>
  <c r="E6" i="12"/>
  <c r="D6" i="12"/>
  <c r="F6" i="12"/>
  <c r="F5" i="12"/>
  <c r="G5" i="12"/>
  <c r="I6" i="12"/>
  <c r="E15" i="9" l="1"/>
  <c r="E12" i="11" s="1"/>
  <c r="F3" i="15"/>
  <c r="F11" i="18"/>
  <c r="E3" i="15"/>
  <c r="D3" i="15"/>
  <c r="H5" i="12"/>
  <c r="J5" i="12"/>
  <c r="C6" i="12"/>
  <c r="J6" i="12"/>
  <c r="D5" i="12"/>
  <c r="I5" i="12"/>
  <c r="C5" i="12"/>
  <c r="G6" i="12"/>
  <c r="K5" i="12"/>
  <c r="D15" i="10"/>
  <c r="D16" i="10" s="1"/>
  <c r="D17" i="10" s="1"/>
  <c r="E17" i="9" l="1"/>
  <c r="C16" i="4"/>
  <c r="G11" i="18"/>
  <c r="D18" i="10"/>
  <c r="D16" i="4" l="1"/>
  <c r="E16" i="4" s="1"/>
  <c r="F16" i="4" s="1"/>
  <c r="G16" i="4" s="1"/>
  <c r="H16" i="4" s="1"/>
  <c r="I16" i="4" s="1"/>
  <c r="J16" i="4" s="1"/>
  <c r="K16" i="4" s="1"/>
  <c r="C20" i="4"/>
  <c r="F9" i="18"/>
  <c r="H11" i="18"/>
  <c r="G3" i="15"/>
  <c r="D19" i="10"/>
  <c r="D20" i="10" s="1"/>
  <c r="D20" i="4" l="1"/>
  <c r="D10" i="18"/>
  <c r="G9" i="18"/>
  <c r="I11" i="18"/>
  <c r="H3" i="15"/>
  <c r="E20" i="4" l="1"/>
  <c r="E10" i="18"/>
  <c r="H9" i="18"/>
  <c r="J11" i="18"/>
  <c r="I3" i="15"/>
  <c r="F20" i="4" l="1"/>
  <c r="F10" i="18"/>
  <c r="I9" i="18"/>
  <c r="K11" i="18"/>
  <c r="G20" i="4" l="1"/>
  <c r="G10" i="18"/>
  <c r="J9" i="18"/>
  <c r="H20" i="4" l="1"/>
  <c r="H10" i="18"/>
  <c r="I20" i="4" l="1"/>
  <c r="I10" i="18"/>
  <c r="J20" i="4" l="1"/>
  <c r="J10" i="18"/>
  <c r="K10" i="18" l="1"/>
  <c r="J3" i="15" l="1"/>
  <c r="E5" i="3"/>
  <c r="C6" i="10" l="1"/>
  <c r="E21" i="3"/>
  <c r="F6" i="10"/>
  <c r="F9" i="10" s="1"/>
  <c r="C12" i="10"/>
  <c r="C10" i="7" s="1"/>
  <c r="C16" i="1"/>
  <c r="C37" i="1" s="1"/>
  <c r="C8" i="2" l="1"/>
  <c r="F12" i="10"/>
  <c r="E13" i="11" s="1"/>
  <c r="C13" i="10"/>
  <c r="C14" i="10" s="1"/>
  <c r="D10" i="13" s="1"/>
  <c r="C33" i="4"/>
  <c r="B10" i="13"/>
  <c r="C9" i="7"/>
  <c r="C11" i="7" s="1"/>
  <c r="C40" i="7" s="1"/>
  <c r="B7" i="18"/>
  <c r="B27" i="18" s="1"/>
  <c r="B28" i="18" s="1"/>
  <c r="C9" i="4"/>
  <c r="C7" i="15"/>
  <c r="C4" i="2" l="1"/>
  <c r="F14" i="10"/>
  <c r="C15" i="10"/>
  <c r="E10" i="13" s="1"/>
  <c r="E33" i="4"/>
  <c r="D9" i="7"/>
  <c r="E10" i="7"/>
  <c r="F13" i="10"/>
  <c r="C10" i="13"/>
  <c r="D33" i="4"/>
  <c r="D10" i="7"/>
  <c r="C11" i="4"/>
  <c r="D9" i="4"/>
  <c r="E16" i="11"/>
  <c r="C6" i="2" l="1"/>
  <c r="B6" i="18" s="1"/>
  <c r="C18" i="7"/>
  <c r="B5" i="18"/>
  <c r="F33" i="4"/>
  <c r="F15" i="10"/>
  <c r="C16" i="10"/>
  <c r="C17" i="10" s="1"/>
  <c r="H33" i="4" s="1"/>
  <c r="F10" i="7"/>
  <c r="D11" i="7"/>
  <c r="D11" i="4"/>
  <c r="E9" i="4"/>
  <c r="C14" i="4"/>
  <c r="C22" i="4" s="1"/>
  <c r="C12" i="18"/>
  <c r="B25" i="18" l="1"/>
  <c r="B26" i="18" s="1"/>
  <c r="B31" i="18" s="1"/>
  <c r="B15" i="18"/>
  <c r="B21" i="18"/>
  <c r="C4" i="18" s="1"/>
  <c r="C25" i="18" s="1"/>
  <c r="C26" i="18" s="1"/>
  <c r="D4" i="14"/>
  <c r="D11" i="14" s="1"/>
  <c r="G10" i="13"/>
  <c r="F10" i="13"/>
  <c r="H10" i="7"/>
  <c r="G10" i="7"/>
  <c r="C18" i="10"/>
  <c r="I10" i="7" s="1"/>
  <c r="F17" i="10"/>
  <c r="G33" i="4"/>
  <c r="F16" i="10"/>
  <c r="E9" i="7"/>
  <c r="E11" i="7" s="1"/>
  <c r="D40" i="7"/>
  <c r="B4" i="20"/>
  <c r="B5" i="20" s="1"/>
  <c r="B6" i="20" s="1"/>
  <c r="C24" i="4"/>
  <c r="E11" i="4"/>
  <c r="F9" i="4"/>
  <c r="D12" i="18"/>
  <c r="D14" i="4"/>
  <c r="D22" i="4" s="1"/>
  <c r="D12" i="14" l="1"/>
  <c r="D13" i="14" s="1"/>
  <c r="B30" i="18"/>
  <c r="C11" i="14"/>
  <c r="C10" i="14"/>
  <c r="E10" i="14" s="1"/>
  <c r="C9" i="14"/>
  <c r="E9" i="14" s="1"/>
  <c r="F18" i="10"/>
  <c r="H10" i="13"/>
  <c r="I33" i="4"/>
  <c r="C19" i="10"/>
  <c r="I10" i="13" s="1"/>
  <c r="F9" i="7"/>
  <c r="F11" i="7" s="1"/>
  <c r="E40" i="7"/>
  <c r="C49" i="7"/>
  <c r="C4" i="20"/>
  <c r="C5" i="20" s="1"/>
  <c r="C6" i="20" s="1"/>
  <c r="D24" i="4"/>
  <c r="F11" i="4"/>
  <c r="G9" i="4"/>
  <c r="E12" i="18"/>
  <c r="E14" i="4"/>
  <c r="E22" i="4" s="1"/>
  <c r="C20" i="18" l="1"/>
  <c r="C47" i="7"/>
  <c r="D14" i="14"/>
  <c r="C12" i="14"/>
  <c r="E11" i="14"/>
  <c r="C20" i="10"/>
  <c r="K33" i="4" s="1"/>
  <c r="J33" i="4"/>
  <c r="J10" i="7"/>
  <c r="F19" i="10"/>
  <c r="G9" i="7"/>
  <c r="G11" i="7" s="1"/>
  <c r="F40" i="7"/>
  <c r="G11" i="4"/>
  <c r="H9" i="4"/>
  <c r="F12" i="18"/>
  <c r="F14" i="4"/>
  <c r="F22" i="4" s="1"/>
  <c r="D49" i="7"/>
  <c r="E24" i="4"/>
  <c r="D4" i="20"/>
  <c r="D5" i="20" s="1"/>
  <c r="D6" i="20" s="1"/>
  <c r="D15" i="14" l="1"/>
  <c r="J10" i="13"/>
  <c r="F20" i="10"/>
  <c r="K10" i="7"/>
  <c r="C13" i="14"/>
  <c r="E12" i="14"/>
  <c r="G40" i="7"/>
  <c r="H9" i="7"/>
  <c r="H11" i="7" s="1"/>
  <c r="F24" i="4"/>
  <c r="E4" i="20"/>
  <c r="E5" i="20" s="1"/>
  <c r="E6" i="20" s="1"/>
  <c r="E49" i="7"/>
  <c r="I9" i="4"/>
  <c r="H11" i="4"/>
  <c r="G14" i="4"/>
  <c r="G22" i="4" s="1"/>
  <c r="G12" i="18"/>
  <c r="D16" i="14" l="1"/>
  <c r="D47" i="7" s="1"/>
  <c r="E17" i="11"/>
  <c r="E18" i="11" s="1"/>
  <c r="C30" i="11" s="1"/>
  <c r="C31" i="11" s="1"/>
  <c r="C27" i="4"/>
  <c r="C29" i="4" s="1"/>
  <c r="E13" i="14"/>
  <c r="C22" i="7"/>
  <c r="C14" i="14"/>
  <c r="H40" i="7"/>
  <c r="I9" i="7"/>
  <c r="I11" i="7" s="1"/>
  <c r="G24" i="4"/>
  <c r="F4" i="20"/>
  <c r="F5" i="20" s="1"/>
  <c r="F6" i="20" s="1"/>
  <c r="F49" i="7"/>
  <c r="H12" i="18"/>
  <c r="H14" i="4"/>
  <c r="H22" i="4" s="1"/>
  <c r="I11" i="4"/>
  <c r="J9" i="4"/>
  <c r="D20" i="18" l="1"/>
  <c r="D17" i="14"/>
  <c r="E14" i="14"/>
  <c r="C15" i="14"/>
  <c r="C46" i="7"/>
  <c r="C48" i="7" s="1"/>
  <c r="C50" i="7" s="1"/>
  <c r="C14" i="18"/>
  <c r="C15" i="18" s="1"/>
  <c r="C31" i="4"/>
  <c r="C41" i="7"/>
  <c r="C42" i="7" s="1"/>
  <c r="C34" i="7"/>
  <c r="J9" i="7"/>
  <c r="J11" i="7" s="1"/>
  <c r="I40" i="7"/>
  <c r="I42" i="7" s="1"/>
  <c r="G49" i="7"/>
  <c r="I14" i="4"/>
  <c r="I22" i="4" s="1"/>
  <c r="I12" i="18"/>
  <c r="H24" i="4"/>
  <c r="G4" i="20"/>
  <c r="G5" i="20" s="1"/>
  <c r="G6" i="20" s="1"/>
  <c r="K9" i="4"/>
  <c r="K11" i="4" s="1"/>
  <c r="J11" i="4"/>
  <c r="D18" i="14" l="1"/>
  <c r="C34" i="4"/>
  <c r="B7" i="13"/>
  <c r="B9" i="13" s="1"/>
  <c r="B11" i="13" s="1"/>
  <c r="B13" i="13" s="1"/>
  <c r="B14" i="13" s="1"/>
  <c r="C35" i="4" s="1"/>
  <c r="C16" i="18" s="1"/>
  <c r="C17" i="18" s="1"/>
  <c r="E15" i="14"/>
  <c r="C16" i="14"/>
  <c r="K9" i="7"/>
  <c r="K11" i="7" s="1"/>
  <c r="K40" i="7" s="1"/>
  <c r="K42" i="7" s="1"/>
  <c r="J40" i="7"/>
  <c r="J42" i="7" s="1"/>
  <c r="H49" i="7"/>
  <c r="I24" i="4"/>
  <c r="H4" i="20"/>
  <c r="H5" i="20" s="1"/>
  <c r="H6" i="20" s="1"/>
  <c r="J12" i="18"/>
  <c r="J14" i="4"/>
  <c r="J22" i="4" s="1"/>
  <c r="D19" i="14" l="1"/>
  <c r="E16" i="14"/>
  <c r="D27" i="4" s="1"/>
  <c r="D29" i="4" s="1"/>
  <c r="C17" i="14"/>
  <c r="C36" i="4"/>
  <c r="B7" i="20"/>
  <c r="I49" i="7"/>
  <c r="J24" i="4"/>
  <c r="I4" i="20"/>
  <c r="I5" i="20" s="1"/>
  <c r="I6" i="20" s="1"/>
  <c r="D20" i="14" l="1"/>
  <c r="E47" i="7" s="1"/>
  <c r="D46" i="7"/>
  <c r="D48" i="7" s="1"/>
  <c r="D50" i="7" s="1"/>
  <c r="D14" i="18"/>
  <c r="D31" i="4"/>
  <c r="C18" i="14"/>
  <c r="E17" i="14"/>
  <c r="D22" i="7"/>
  <c r="B8" i="20"/>
  <c r="C37" i="4"/>
  <c r="C18" i="18" s="1"/>
  <c r="J49" i="7"/>
  <c r="J50" i="7" s="1"/>
  <c r="J31" i="4"/>
  <c r="E20" i="18" l="1"/>
  <c r="D21" i="14"/>
  <c r="D34" i="7"/>
  <c r="D41" i="7"/>
  <c r="D42" i="7" s="1"/>
  <c r="C19" i="14"/>
  <c r="E18" i="14"/>
  <c r="C7" i="13"/>
  <c r="C9" i="13" s="1"/>
  <c r="C11" i="13" s="1"/>
  <c r="C13" i="13" s="1"/>
  <c r="C14" i="13" s="1"/>
  <c r="D35" i="4" s="1"/>
  <c r="D16" i="18" s="1"/>
  <c r="D34" i="4"/>
  <c r="C27" i="18"/>
  <c r="C19" i="18"/>
  <c r="C21" i="18" s="1"/>
  <c r="C38" i="4"/>
  <c r="C19" i="7" s="1"/>
  <c r="C21" i="7" s="1"/>
  <c r="I7" i="13"/>
  <c r="I9" i="13" s="1"/>
  <c r="I11" i="13" s="1"/>
  <c r="I13" i="13" s="1"/>
  <c r="I14" i="13" s="1"/>
  <c r="J35" i="4" s="1"/>
  <c r="J16" i="18" s="1"/>
  <c r="J34" i="4"/>
  <c r="D22" i="14" l="1"/>
  <c r="C14" i="7"/>
  <c r="D4" i="18"/>
  <c r="C30" i="18"/>
  <c r="C31" i="18" s="1"/>
  <c r="C28" i="18"/>
  <c r="D36" i="4"/>
  <c r="C7" i="20"/>
  <c r="C20" i="14"/>
  <c r="E19" i="14"/>
  <c r="C35" i="7"/>
  <c r="C36" i="7" s="1"/>
  <c r="C25" i="7"/>
  <c r="D18" i="7"/>
  <c r="J36" i="4"/>
  <c r="I7" i="20"/>
  <c r="D23" i="14" l="1"/>
  <c r="D37" i="4"/>
  <c r="D18" i="18" s="1"/>
  <c r="D27" i="18" s="1"/>
  <c r="D28" i="18" s="1"/>
  <c r="C8" i="20"/>
  <c r="C21" i="14"/>
  <c r="E20" i="14"/>
  <c r="E27" i="4" s="1"/>
  <c r="E29" i="4" s="1"/>
  <c r="C28" i="7"/>
  <c r="C30" i="7" s="1"/>
  <c r="C15" i="7"/>
  <c r="D25" i="18"/>
  <c r="D15" i="18"/>
  <c r="D17" i="18" s="1"/>
  <c r="I8" i="20"/>
  <c r="J37" i="4"/>
  <c r="J18" i="18" s="1"/>
  <c r="J27" i="18" s="1"/>
  <c r="J28" i="18" s="1"/>
  <c r="D24" i="14" l="1"/>
  <c r="D25" i="14" s="1"/>
  <c r="D19" i="18"/>
  <c r="D21" i="18" s="1"/>
  <c r="E4" i="18" s="1"/>
  <c r="E25" i="18" s="1"/>
  <c r="E26" i="18" s="1"/>
  <c r="D38" i="4"/>
  <c r="D19" i="7" s="1"/>
  <c r="D21" i="7" s="1"/>
  <c r="E18" i="7" s="1"/>
  <c r="D26" i="18"/>
  <c r="D30" i="18"/>
  <c r="D31" i="18" s="1"/>
  <c r="E14" i="18"/>
  <c r="E31" i="4"/>
  <c r="E46" i="7"/>
  <c r="E48" i="7" s="1"/>
  <c r="E50" i="7" s="1"/>
  <c r="E22" i="7"/>
  <c r="C22" i="14"/>
  <c r="E21" i="14"/>
  <c r="J38" i="4"/>
  <c r="J19" i="7" s="1"/>
  <c r="F20" i="18" l="1"/>
  <c r="F47" i="7"/>
  <c r="D26" i="14"/>
  <c r="D27" i="14" s="1"/>
  <c r="D28" i="14" s="1"/>
  <c r="D29" i="14" s="1"/>
  <c r="E15" i="18"/>
  <c r="D14" i="7"/>
  <c r="D25" i="7"/>
  <c r="D35" i="7"/>
  <c r="D36" i="7" s="1"/>
  <c r="E22" i="14"/>
  <c r="C23" i="14"/>
  <c r="E34" i="7"/>
  <c r="E41" i="7"/>
  <c r="E42" i="7" s="1"/>
  <c r="E34" i="4"/>
  <c r="D7" i="13"/>
  <c r="D9" i="13" s="1"/>
  <c r="D11" i="13" s="1"/>
  <c r="D13" i="13" s="1"/>
  <c r="D14" i="13" s="1"/>
  <c r="E35" i="4" s="1"/>
  <c r="E16" i="18" s="1"/>
  <c r="G20" i="18" l="1"/>
  <c r="G47" i="7"/>
  <c r="D30" i="14"/>
  <c r="D31" i="14" s="1"/>
  <c r="D32" i="14" s="1"/>
  <c r="D33" i="14" s="1"/>
  <c r="E17" i="18"/>
  <c r="D15" i="7"/>
  <c r="D28" i="7"/>
  <c r="D30" i="7" s="1"/>
  <c r="E36" i="4"/>
  <c r="D7" i="20"/>
  <c r="E23" i="14"/>
  <c r="C24" i="14"/>
  <c r="H20" i="18" l="1"/>
  <c r="H47" i="7"/>
  <c r="D34" i="14"/>
  <c r="D35" i="14" s="1"/>
  <c r="D36" i="14" s="1"/>
  <c r="I20" i="18" s="1"/>
  <c r="C25" i="14"/>
  <c r="E24" i="14"/>
  <c r="F27" i="4" s="1"/>
  <c r="F29" i="4" s="1"/>
  <c r="D8" i="20"/>
  <c r="E37" i="4"/>
  <c r="E18" i="18" s="1"/>
  <c r="I47" i="7" l="1"/>
  <c r="E27" i="18"/>
  <c r="E19" i="18"/>
  <c r="E21" i="18" s="1"/>
  <c r="F14" i="18"/>
  <c r="F31" i="4"/>
  <c r="F46" i="7"/>
  <c r="F48" i="7" s="1"/>
  <c r="F50" i="7" s="1"/>
  <c r="F22" i="7"/>
  <c r="C26" i="14"/>
  <c r="E25" i="14"/>
  <c r="E38" i="4"/>
  <c r="E19" i="7" s="1"/>
  <c r="E21" i="7" s="1"/>
  <c r="C27" i="14" l="1"/>
  <c r="E26" i="14"/>
  <c r="E14" i="7"/>
  <c r="F4" i="18"/>
  <c r="F41" i="7"/>
  <c r="F42" i="7" s="1"/>
  <c r="F34" i="7"/>
  <c r="F34" i="4"/>
  <c r="E7" i="13"/>
  <c r="E9" i="13" s="1"/>
  <c r="E11" i="13" s="1"/>
  <c r="E13" i="13" s="1"/>
  <c r="E14" i="13" s="1"/>
  <c r="F35" i="4" s="1"/>
  <c r="F16" i="18" s="1"/>
  <c r="F18" i="7"/>
  <c r="E35" i="7"/>
  <c r="E36" i="7" s="1"/>
  <c r="E25" i="7"/>
  <c r="E28" i="18"/>
  <c r="E30" i="18"/>
  <c r="E31" i="18" s="1"/>
  <c r="E7" i="20" l="1"/>
  <c r="F36" i="4"/>
  <c r="F25" i="18"/>
  <c r="F26" i="18" s="1"/>
  <c r="F15" i="18"/>
  <c r="F17" i="18" s="1"/>
  <c r="E15" i="7"/>
  <c r="E28" i="7"/>
  <c r="E30" i="7" s="1"/>
  <c r="C28" i="14"/>
  <c r="E27" i="14"/>
  <c r="E28" i="14" l="1"/>
  <c r="G27" i="4" s="1"/>
  <c r="G29" i="4" s="1"/>
  <c r="G22" i="7"/>
  <c r="C29" i="14"/>
  <c r="F37" i="4"/>
  <c r="E8" i="20"/>
  <c r="F18" i="18" l="1"/>
  <c r="F38" i="4"/>
  <c r="F19" i="7" s="1"/>
  <c r="F21" i="7" s="1"/>
  <c r="C30" i="14"/>
  <c r="E29" i="14"/>
  <c r="G34" i="7"/>
  <c r="G41" i="7"/>
  <c r="G42" i="7" s="1"/>
  <c r="G14" i="18"/>
  <c r="G46" i="7"/>
  <c r="G48" i="7" s="1"/>
  <c r="G50" i="7" s="1"/>
  <c r="F51" i="7" s="1"/>
  <c r="G31" i="4"/>
  <c r="E30" i="14" l="1"/>
  <c r="C31" i="14"/>
  <c r="G18" i="7"/>
  <c r="F35" i="7"/>
  <c r="F36" i="7" s="1"/>
  <c r="F25" i="7"/>
  <c r="F7" i="13"/>
  <c r="F9" i="13" s="1"/>
  <c r="F11" i="13" s="1"/>
  <c r="F13" i="13" s="1"/>
  <c r="F14" i="13" s="1"/>
  <c r="G35" i="4" s="1"/>
  <c r="G16" i="18" s="1"/>
  <c r="G34" i="4"/>
  <c r="F27" i="18"/>
  <c r="F19" i="18"/>
  <c r="F21" i="18" s="1"/>
  <c r="F28" i="18" l="1"/>
  <c r="F30" i="18"/>
  <c r="F31" i="18" s="1"/>
  <c r="G36" i="4"/>
  <c r="F7" i="20"/>
  <c r="C32" i="14"/>
  <c r="E31" i="14"/>
  <c r="G4" i="18"/>
  <c r="F14" i="7"/>
  <c r="F28" i="7" l="1"/>
  <c r="F30" i="7" s="1"/>
  <c r="F15" i="7"/>
  <c r="H22" i="7"/>
  <c r="E32" i="14"/>
  <c r="H27" i="4" s="1"/>
  <c r="H29" i="4" s="1"/>
  <c r="C33" i="14"/>
  <c r="G25" i="18"/>
  <c r="G26" i="18" s="1"/>
  <c r="G15" i="18"/>
  <c r="G17" i="18" s="1"/>
  <c r="G37" i="4"/>
  <c r="G18" i="18" s="1"/>
  <c r="G27" i="18" s="1"/>
  <c r="G28" i="18" s="1"/>
  <c r="F8" i="20"/>
  <c r="G19" i="18" l="1"/>
  <c r="G21" i="18" s="1"/>
  <c r="H4" i="18" s="1"/>
  <c r="H25" i="18" s="1"/>
  <c r="C34" i="14"/>
  <c r="E33" i="14"/>
  <c r="G30" i="18"/>
  <c r="G31" i="18" s="1"/>
  <c r="H14" i="18"/>
  <c r="H46" i="7"/>
  <c r="H48" i="7" s="1"/>
  <c r="H50" i="7" s="1"/>
  <c r="H31" i="4"/>
  <c r="H34" i="7"/>
  <c r="H41" i="7"/>
  <c r="H42" i="7" s="1"/>
  <c r="F43" i="7" s="1"/>
  <c r="G38" i="4"/>
  <c r="G19" i="7" s="1"/>
  <c r="G21" i="7" s="1"/>
  <c r="H15" i="18" l="1"/>
  <c r="G14" i="7"/>
  <c r="G7" i="13"/>
  <c r="G9" i="13" s="1"/>
  <c r="G11" i="13" s="1"/>
  <c r="G13" i="13" s="1"/>
  <c r="G14" i="13" s="1"/>
  <c r="H35" i="4" s="1"/>
  <c r="H16" i="18" s="1"/>
  <c r="H34" i="4"/>
  <c r="G25" i="7"/>
  <c r="G35" i="7"/>
  <c r="G36" i="7" s="1"/>
  <c r="H18" i="7"/>
  <c r="C35" i="14"/>
  <c r="E34" i="14"/>
  <c r="H26" i="18"/>
  <c r="H17" i="18" l="1"/>
  <c r="G28" i="7"/>
  <c r="G30" i="7" s="1"/>
  <c r="G15" i="7"/>
  <c r="C36" i="14"/>
  <c r="E36" i="14" s="1"/>
  <c r="E35" i="14"/>
  <c r="G7" i="20"/>
  <c r="H36" i="4"/>
  <c r="I27" i="4" l="1"/>
  <c r="I29" i="4" s="1"/>
  <c r="H37" i="4"/>
  <c r="G8" i="20"/>
  <c r="I14" i="18" l="1"/>
  <c r="I46" i="7"/>
  <c r="I48" i="7" s="1"/>
  <c r="I50" i="7" s="1"/>
  <c r="I31" i="4"/>
  <c r="H18" i="18"/>
  <c r="H38" i="4"/>
  <c r="H19" i="7" s="1"/>
  <c r="H21" i="7" s="1"/>
  <c r="I34" i="4" l="1"/>
  <c r="H7" i="13"/>
  <c r="H9" i="13" s="1"/>
  <c r="H11" i="13" s="1"/>
  <c r="H13" i="13" s="1"/>
  <c r="H14" i="13" s="1"/>
  <c r="I35" i="4" s="1"/>
  <c r="I16" i="18" s="1"/>
  <c r="H27" i="18"/>
  <c r="H19" i="18"/>
  <c r="H21" i="18" s="1"/>
  <c r="H25" i="7"/>
  <c r="I18" i="7"/>
  <c r="H35" i="7"/>
  <c r="H36" i="7" s="1"/>
  <c r="H7" i="20" l="1"/>
  <c r="I36" i="4"/>
  <c r="I4" i="18"/>
  <c r="H14" i="7"/>
  <c r="H28" i="18"/>
  <c r="H30" i="18"/>
  <c r="H31" i="18" s="1"/>
  <c r="H8" i="20" l="1"/>
  <c r="I37" i="4"/>
  <c r="I18" i="18" s="1"/>
  <c r="I27" i="18" s="1"/>
  <c r="I28" i="18" s="1"/>
  <c r="H28" i="7"/>
  <c r="H30" i="7" s="1"/>
  <c r="H15" i="7"/>
  <c r="I15" i="18"/>
  <c r="I17" i="18" s="1"/>
  <c r="I25" i="18"/>
  <c r="I19" i="18" l="1"/>
  <c r="I21" i="18" s="1"/>
  <c r="I14" i="7" s="1"/>
  <c r="I38" i="4"/>
  <c r="I19" i="7" s="1"/>
  <c r="I21" i="7" s="1"/>
  <c r="I25" i="7" s="1"/>
  <c r="I26" i="18"/>
  <c r="I30" i="18"/>
  <c r="I31" i="18" s="1"/>
  <c r="J4" i="18" l="1"/>
  <c r="J15" i="18" s="1"/>
  <c r="J17" i="18" s="1"/>
  <c r="J19" i="18" s="1"/>
  <c r="J21" i="18" s="1"/>
  <c r="J18" i="7"/>
  <c r="J21" i="7" s="1"/>
  <c r="K18" i="7" s="1"/>
  <c r="I35" i="7"/>
  <c r="I36" i="7" s="1"/>
  <c r="I28" i="7"/>
  <c r="I30" i="7" s="1"/>
  <c r="I15" i="7"/>
  <c r="J25" i="18" l="1"/>
  <c r="J26" i="18" s="1"/>
  <c r="J25" i="7"/>
  <c r="J35" i="7"/>
  <c r="J36" i="7" s="1"/>
  <c r="K4" i="18"/>
  <c r="J14" i="7"/>
  <c r="J30" i="18" l="1"/>
  <c r="J31" i="18" s="1"/>
  <c r="J15" i="7"/>
  <c r="J28" i="7"/>
  <c r="J30" i="7" s="1"/>
  <c r="K23" i="4"/>
  <c r="J24" i="19"/>
  <c r="K18" i="4"/>
  <c r="K20" i="4" l="1"/>
  <c r="K12" i="18" s="1"/>
  <c r="K12" i="7"/>
  <c r="K9" i="18" s="1"/>
  <c r="K3" i="15"/>
  <c r="J3" i="20"/>
  <c r="K13" i="7"/>
  <c r="K14" i="4"/>
  <c r="K22" i="4" l="1"/>
  <c r="J4" i="20" s="1"/>
  <c r="J5" i="20" s="1"/>
  <c r="J6" i="20" s="1"/>
  <c r="K25" i="18"/>
  <c r="K15" i="18"/>
  <c r="K24" i="4" l="1"/>
  <c r="K49" i="7" s="1"/>
  <c r="K50" i="7" s="1"/>
  <c r="K26" i="18"/>
  <c r="K31" i="4" l="1"/>
  <c r="J7" i="13" s="1"/>
  <c r="J9" i="13" s="1"/>
  <c r="J11" i="13" s="1"/>
  <c r="J13" i="13" s="1"/>
  <c r="J14" i="13" s="1"/>
  <c r="K35" i="4" s="1"/>
  <c r="K16" i="18" s="1"/>
  <c r="K34" i="4" l="1"/>
  <c r="K36" i="4" s="1"/>
  <c r="K17" i="18"/>
  <c r="J7" i="20" l="1"/>
  <c r="J8" i="20"/>
  <c r="K37" i="4"/>
  <c r="K18" i="18" s="1"/>
  <c r="K27" i="18" s="1"/>
  <c r="K28" i="18" l="1"/>
  <c r="K30" i="18"/>
  <c r="K31" i="18" s="1"/>
  <c r="L31" i="18" s="1"/>
  <c r="K38" i="4"/>
  <c r="K19" i="7" s="1"/>
  <c r="K21" i="7" s="1"/>
  <c r="K19" i="18"/>
  <c r="K21" i="18" s="1"/>
  <c r="K14" i="7" s="1"/>
  <c r="K15" i="7" l="1"/>
  <c r="K28" i="7"/>
  <c r="K30" i="7" s="1"/>
  <c r="F31" i="7" s="1"/>
  <c r="K25" i="7"/>
  <c r="K35" i="7"/>
  <c r="K36" i="7" s="1"/>
  <c r="F37" i="7" s="1"/>
</calcChain>
</file>

<file path=xl/sharedStrings.xml><?xml version="1.0" encoding="utf-8"?>
<sst xmlns="http://schemas.openxmlformats.org/spreadsheetml/2006/main" count="447" uniqueCount="325">
  <si>
    <t>Annexure 1 - Estimated cost of the project</t>
  </si>
  <si>
    <t>Estimated cost of project</t>
  </si>
  <si>
    <t xml:space="preserve">Sr. No. </t>
  </si>
  <si>
    <t>Particulars</t>
  </si>
  <si>
    <t>Grand Total (in lakhs)</t>
  </si>
  <si>
    <t>(a)</t>
  </si>
  <si>
    <t>Land and site development</t>
  </si>
  <si>
    <t>Land (Lease in name of company)</t>
  </si>
  <si>
    <t>Total</t>
  </si>
  <si>
    <t>Civil Work</t>
  </si>
  <si>
    <t>Plant and Machinery (indegenous)</t>
  </si>
  <si>
    <t>Plant and Machinery</t>
  </si>
  <si>
    <t>Miscellanoeus Fixed Assets</t>
  </si>
  <si>
    <t>Cost</t>
  </si>
  <si>
    <t>Working Capital Margin</t>
  </si>
  <si>
    <t>Preliminary Expenses</t>
  </si>
  <si>
    <t>Security Deposit</t>
  </si>
  <si>
    <t>Pre-Operative Expense</t>
  </si>
  <si>
    <t>(for 6 months upto the date od commencement of commercial production)</t>
  </si>
  <si>
    <t>Establisment and Travelling and Other Expenses</t>
  </si>
  <si>
    <t>(b)</t>
  </si>
  <si>
    <t>Legal and Misc Expense</t>
  </si>
  <si>
    <t>Total Cost of Project</t>
  </si>
  <si>
    <t>Annexure 2 - Means of Finance</t>
  </si>
  <si>
    <t>Sr. No.</t>
  </si>
  <si>
    <t>Item</t>
  </si>
  <si>
    <t>Promoter's equity</t>
  </si>
  <si>
    <t>Eligible Assistance</t>
  </si>
  <si>
    <t>Term Loan</t>
  </si>
  <si>
    <t>CC Limit</t>
  </si>
  <si>
    <t>Annexure 3 - Complete Estimate of Civil and Plant and Machinery</t>
  </si>
  <si>
    <t>Units</t>
  </si>
  <si>
    <t>Amt</t>
  </si>
  <si>
    <t>Total Plant and Machinery</t>
  </si>
  <si>
    <t>Total fixed Assets</t>
  </si>
  <si>
    <t>Annexure 4 - Estimated Cost of Production</t>
  </si>
  <si>
    <t>Sr. No</t>
  </si>
  <si>
    <t>Description</t>
  </si>
  <si>
    <t>I</t>
  </si>
  <si>
    <t>II</t>
  </si>
  <si>
    <t>III</t>
  </si>
  <si>
    <t>IV</t>
  </si>
  <si>
    <t>V</t>
  </si>
  <si>
    <t>VI</t>
  </si>
  <si>
    <t>VII</t>
  </si>
  <si>
    <t>VIII</t>
  </si>
  <si>
    <t>IX</t>
  </si>
  <si>
    <t>Year ending March 31st</t>
  </si>
  <si>
    <t>No of Working months</t>
  </si>
  <si>
    <t>Sales</t>
  </si>
  <si>
    <t>Administrative salaries and wages</t>
  </si>
  <si>
    <t>S. No.</t>
  </si>
  <si>
    <t>Designation</t>
  </si>
  <si>
    <t>In no.</t>
  </si>
  <si>
    <t>Salary per person per month</t>
  </si>
  <si>
    <t>i.</t>
  </si>
  <si>
    <t>ii.</t>
  </si>
  <si>
    <t>Total annual wages</t>
  </si>
  <si>
    <t>Annual increase in wages</t>
  </si>
  <si>
    <t>iii.</t>
  </si>
  <si>
    <t>Computation of Depreciation</t>
  </si>
  <si>
    <t>Annexure 9 - Computation of Depreciation</t>
  </si>
  <si>
    <t>Pre operatives</t>
  </si>
  <si>
    <t>Contingencies</t>
  </si>
  <si>
    <t>Misc Fixed Asset</t>
  </si>
  <si>
    <t>Amount in lakhs</t>
  </si>
  <si>
    <t>Rates of Depreciation</t>
  </si>
  <si>
    <t>Year</t>
  </si>
  <si>
    <t>Annexure 11- Break even analysis (At maximum capacity utilization)</t>
  </si>
  <si>
    <t>Variable cost</t>
  </si>
  <si>
    <t>- Running and maintenance cost</t>
  </si>
  <si>
    <t>- Interest on Working capital</t>
  </si>
  <si>
    <t>Contribution</t>
  </si>
  <si>
    <t>Wages and salaries</t>
  </si>
  <si>
    <t>- electricity expense</t>
  </si>
  <si>
    <t>Depreciation</t>
  </si>
  <si>
    <t>Fixed cost</t>
  </si>
  <si>
    <t>Sales price per kg</t>
  </si>
  <si>
    <t>Annexure 12 - Profitability statement</t>
  </si>
  <si>
    <t>Years</t>
  </si>
  <si>
    <t>Vegetable procument expense</t>
  </si>
  <si>
    <t>Fruits procurement expense</t>
  </si>
  <si>
    <t>Direct Expenses</t>
  </si>
  <si>
    <t>Cost of Sales</t>
  </si>
  <si>
    <t>Expected sales revenue</t>
  </si>
  <si>
    <t>Gross Profit</t>
  </si>
  <si>
    <t>Financial expense</t>
  </si>
  <si>
    <t>Interest on Term Loan</t>
  </si>
  <si>
    <t>Annexure 13 - Repayment schedule</t>
  </si>
  <si>
    <t>Repayment schedule</t>
  </si>
  <si>
    <t>Amount of Loan (in lakhs)</t>
  </si>
  <si>
    <t>Rate of interest</t>
  </si>
  <si>
    <t>Moratorium period</t>
  </si>
  <si>
    <t>Quarter</t>
  </si>
  <si>
    <t>Balance outstanding</t>
  </si>
  <si>
    <t>Interest</t>
  </si>
  <si>
    <t>Principal instalment</t>
  </si>
  <si>
    <t>Operating profits (PBT)</t>
  </si>
  <si>
    <t>depreciation</t>
  </si>
  <si>
    <t>Net Profit before Tax</t>
  </si>
  <si>
    <t>Income Tax</t>
  </si>
  <si>
    <t>Profits after Tax</t>
  </si>
  <si>
    <t>Annexure 10 - Calculation of Income tax</t>
  </si>
  <si>
    <t>Calculation of Income Tax</t>
  </si>
  <si>
    <t>Net profit before tax</t>
  </si>
  <si>
    <t>Add- dep on SLM</t>
  </si>
  <si>
    <t>Sub total</t>
  </si>
  <si>
    <t>Less- Dep on WDV</t>
  </si>
  <si>
    <t>Less - Deductions</t>
  </si>
  <si>
    <t>Taxable profits</t>
  </si>
  <si>
    <t>Income tax @30%</t>
  </si>
  <si>
    <t>Profit transfer to balance sheet</t>
  </si>
  <si>
    <t>Annexure 5- Projected balance sheet</t>
  </si>
  <si>
    <t>Asset</t>
  </si>
  <si>
    <t>Fixed Capital expenditure</t>
  </si>
  <si>
    <t>Gross Block</t>
  </si>
  <si>
    <t>Less- Depreciation</t>
  </si>
  <si>
    <t>Sundry debtors</t>
  </si>
  <si>
    <t>Cash/ bank balance</t>
  </si>
  <si>
    <t>Liabilities</t>
  </si>
  <si>
    <t>Capital</t>
  </si>
  <si>
    <t>Add- Profit</t>
  </si>
  <si>
    <t>Less- Drawings</t>
  </si>
  <si>
    <t>Closing capital</t>
  </si>
  <si>
    <t>Total liabilities</t>
  </si>
  <si>
    <t>Total assets</t>
  </si>
  <si>
    <t>Current Ratio</t>
  </si>
  <si>
    <t>Current Assets</t>
  </si>
  <si>
    <t>Current Liabilities</t>
  </si>
  <si>
    <t>Debt Equity ratio</t>
  </si>
  <si>
    <t>Debt</t>
  </si>
  <si>
    <t>Equity</t>
  </si>
  <si>
    <t>Ratio</t>
  </si>
  <si>
    <t>cash flow statement</t>
  </si>
  <si>
    <t>Sales realized</t>
  </si>
  <si>
    <t>Term loan</t>
  </si>
  <si>
    <t>assisstance</t>
  </si>
  <si>
    <t>less- Purchase of assets</t>
  </si>
  <si>
    <t>Debt service coverage ratio</t>
  </si>
  <si>
    <t>Interest on loan (TL + WC)</t>
  </si>
  <si>
    <t>Net operating income</t>
  </si>
  <si>
    <t>ratio</t>
  </si>
  <si>
    <t>Instalment of loan</t>
  </si>
  <si>
    <t>A</t>
  </si>
  <si>
    <t>B</t>
  </si>
  <si>
    <t>Average</t>
  </si>
  <si>
    <t>Fixed asset coverage ratio</t>
  </si>
  <si>
    <t>Fixed assets</t>
  </si>
  <si>
    <t>6 months</t>
  </si>
  <si>
    <t>Details of Manpower</t>
  </si>
  <si>
    <t>Creditors</t>
  </si>
  <si>
    <t>Total manpower</t>
  </si>
  <si>
    <t>opening balance</t>
  </si>
  <si>
    <t>Add: Sales realizations</t>
  </si>
  <si>
    <t>Less: Interest payments</t>
  </si>
  <si>
    <t>Working capital</t>
  </si>
  <si>
    <t>Interest on WC Loan</t>
  </si>
  <si>
    <t>Site Development</t>
  </si>
  <si>
    <t>Sales Budget</t>
  </si>
  <si>
    <t>Products</t>
  </si>
  <si>
    <t>Production at 100% capacity</t>
  </si>
  <si>
    <t>Output</t>
  </si>
  <si>
    <t>Electricity expense</t>
  </si>
  <si>
    <t>Usage in units</t>
  </si>
  <si>
    <t>Cost of Production</t>
  </si>
  <si>
    <t>Sub Total</t>
  </si>
  <si>
    <t>Total depreciation for the year</t>
  </si>
  <si>
    <t>Preliminary Expense</t>
  </si>
  <si>
    <t>Less: Payment made to creditors of previos year</t>
  </si>
  <si>
    <t>Add: Receipts from debtors of previos year</t>
  </si>
  <si>
    <t>Less: Payments made for current year purchase</t>
  </si>
  <si>
    <t>Less: Distrubutions made from profits</t>
  </si>
  <si>
    <t>Less: Income tax</t>
  </si>
  <si>
    <t>Less: Principal repayment of loan</t>
  </si>
  <si>
    <t>Closing cash balance</t>
  </si>
  <si>
    <t>PV dicounting rate</t>
  </si>
  <si>
    <t>PVF</t>
  </si>
  <si>
    <t>Inflows</t>
  </si>
  <si>
    <t>PV of Inflows</t>
  </si>
  <si>
    <t>Outflows</t>
  </si>
  <si>
    <t>PV of Outflows</t>
  </si>
  <si>
    <t>Net cash inflow</t>
  </si>
  <si>
    <t>Net Present value</t>
  </si>
  <si>
    <t>Turnover</t>
  </si>
  <si>
    <t>Cost Of operations</t>
  </si>
  <si>
    <t>Gross profit</t>
  </si>
  <si>
    <t>EBITDA</t>
  </si>
  <si>
    <t>Profit before tax</t>
  </si>
  <si>
    <t>Profit after tax</t>
  </si>
  <si>
    <t>Total BEP %</t>
  </si>
  <si>
    <t>Interest on TL</t>
  </si>
  <si>
    <t>Add: Capital</t>
  </si>
  <si>
    <t>Add: Loan disbursement</t>
  </si>
  <si>
    <t>Less: Purchase of asset</t>
  </si>
  <si>
    <t>Contents Table</t>
  </si>
  <si>
    <t>Contents</t>
  </si>
  <si>
    <t>Link</t>
  </si>
  <si>
    <t>Ann 1'!A1</t>
  </si>
  <si>
    <t>Ann 2'!A1</t>
  </si>
  <si>
    <t>Ann 4'!A1</t>
  </si>
  <si>
    <t>Ann 5'!A1</t>
  </si>
  <si>
    <t>Ann 8'!A1</t>
  </si>
  <si>
    <t>Ann 9'!A1</t>
  </si>
  <si>
    <t>Ann 10'!A1</t>
  </si>
  <si>
    <t>Ann 11'!A1</t>
  </si>
  <si>
    <t>Ann 13'!A1</t>
  </si>
  <si>
    <t>Assumptions!A1</t>
  </si>
  <si>
    <t>Budgets!A1</t>
  </si>
  <si>
    <t>S. no.</t>
  </si>
  <si>
    <t>Assumptions</t>
  </si>
  <si>
    <t>Electricity usage in units is given below</t>
  </si>
  <si>
    <t>DPR without subsidy</t>
  </si>
  <si>
    <t>Annual cost</t>
  </si>
  <si>
    <t>Ann 3'!A1</t>
  </si>
  <si>
    <t>Break-even point is the condition when an entity generate sufficient revenue that it can meet its fixed expense after deducting any variable expense, i.e., the point where contribution is equal to the fixed expense.</t>
  </si>
  <si>
    <t>Annexure 6 - requirement of Power and Fuel</t>
  </si>
  <si>
    <t>Fuel</t>
  </si>
  <si>
    <t>Mileage</t>
  </si>
  <si>
    <t>requirement of Fuel</t>
  </si>
  <si>
    <t>Speed of tractor</t>
  </si>
  <si>
    <t>Fuel requirement as per the operative hours</t>
  </si>
  <si>
    <t xml:space="preserve"> km per litre</t>
  </si>
  <si>
    <t xml:space="preserve"> km per hour</t>
  </si>
  <si>
    <t>litres</t>
  </si>
  <si>
    <t>- For Tractor</t>
  </si>
  <si>
    <t>- For Pwer tiller</t>
  </si>
  <si>
    <t>Litre per hour</t>
  </si>
  <si>
    <t>Fuel requirement during the year for 30 units</t>
  </si>
  <si>
    <t>Litres</t>
  </si>
  <si>
    <t>Total fuel requirement</t>
  </si>
  <si>
    <t>Fuel cost per litre</t>
  </si>
  <si>
    <t>Total fuel cost at 100% capacity utilization</t>
  </si>
  <si>
    <t>1. Civil Work</t>
  </si>
  <si>
    <t>Total Civil Work</t>
  </si>
  <si>
    <t>Per annum capacity in kgs</t>
  </si>
  <si>
    <t>Estimated ocupational capacity</t>
  </si>
  <si>
    <t>Less: Pre incorporation expense</t>
  </si>
  <si>
    <t>Electricity fixed charge</t>
  </si>
  <si>
    <t>BEP in kgs</t>
  </si>
  <si>
    <t>Less: Fixed costs</t>
  </si>
  <si>
    <t>Rs. per kg</t>
  </si>
  <si>
    <t>Civil work for building</t>
  </si>
  <si>
    <t>Accountant cum cashier</t>
  </si>
  <si>
    <t>Mechanic</t>
  </si>
  <si>
    <t>Labour</t>
  </si>
  <si>
    <t>Insurance cost @ 2% of purchase cost</t>
  </si>
  <si>
    <t>It is assumed that insuarance cost is 2% of purchase price and this will increase 5% annually</t>
  </si>
  <si>
    <t>Add: Opening Stock</t>
  </si>
  <si>
    <t>Less: Closing Stock</t>
  </si>
  <si>
    <t>Operational days</t>
  </si>
  <si>
    <t>Production Budget</t>
  </si>
  <si>
    <t>Estimation of Production capacity</t>
  </si>
  <si>
    <t>Opening Stock</t>
  </si>
  <si>
    <t>Production</t>
  </si>
  <si>
    <t>Closing Stock</t>
  </si>
  <si>
    <t>Distribution of profits (80%)</t>
  </si>
  <si>
    <t>Less: Land purchase</t>
  </si>
  <si>
    <t>Closing stock</t>
  </si>
  <si>
    <t>1. asssumed that 90 days of purchases are average creditors maintained</t>
  </si>
  <si>
    <t>Asssumed that 90 days of purchases are average creditors maintained</t>
  </si>
  <si>
    <t>Production capacity (kgs)</t>
  </si>
  <si>
    <t>Total Financial expense</t>
  </si>
  <si>
    <t>Variable costs</t>
  </si>
  <si>
    <t>Electricity cost</t>
  </si>
  <si>
    <t>Running and maintenance</t>
  </si>
  <si>
    <t>Interest on working capital</t>
  </si>
  <si>
    <t>Contribution per unit</t>
  </si>
  <si>
    <t>Fixed charges for office</t>
  </si>
  <si>
    <t>Fixed charge for office</t>
  </si>
  <si>
    <t>2. assumed that 60 days of sales are average debtors maintained by the business</t>
  </si>
  <si>
    <t>Assumed that 60 days of sales are average debtors maintained by the business</t>
  </si>
  <si>
    <t>2. Electricity usage in units is given below</t>
  </si>
  <si>
    <t>3. It is assumed that insuarance cost is 2% of purchase price and this will increase 5% annually</t>
  </si>
  <si>
    <t>Sales (kgs)</t>
  </si>
  <si>
    <t>Revenue in Rs.</t>
  </si>
  <si>
    <t>Input required to produce above output (kgs)</t>
  </si>
  <si>
    <t>iv.</t>
  </si>
  <si>
    <t>Helpers</t>
  </si>
  <si>
    <t>Sales prices per kg</t>
  </si>
  <si>
    <t>Purchase price per kg</t>
  </si>
  <si>
    <t>Insurance cost</t>
  </si>
  <si>
    <t>Add: benefits @ 30%</t>
  </si>
  <si>
    <t>Projected Balance sheet</t>
  </si>
  <si>
    <t>Annexure 8 - Details of Manpower</t>
  </si>
  <si>
    <t>Annexure 14 - Cash flow statement</t>
  </si>
  <si>
    <t>Net Block</t>
  </si>
  <si>
    <t>Total Interest</t>
  </si>
  <si>
    <t>Break even capacity at maximum capacity utilization</t>
  </si>
  <si>
    <t>Ann 14'!A1</t>
  </si>
  <si>
    <t>Civil work</t>
  </si>
  <si>
    <t>v.</t>
  </si>
  <si>
    <t>Security</t>
  </si>
  <si>
    <t>Packing charges</t>
  </si>
  <si>
    <t>Selling expense</t>
  </si>
  <si>
    <t>Electricity are semi-fixed cost. Rs. 150,000 pa is fixed, balance is variable at Rs. 14 per unit usage</t>
  </si>
  <si>
    <t>2. Plant and machinery**</t>
  </si>
  <si>
    <t xml:space="preserve">** The Plant and Machinery cost estimate is as per the available technology </t>
  </si>
  <si>
    <t>225 dys</t>
  </si>
  <si>
    <t>assumed that the output is sold in wholesale market</t>
  </si>
  <si>
    <t>Selling charges @ Rs. 1 per kg</t>
  </si>
  <si>
    <t>Capacity</t>
  </si>
  <si>
    <t>Input chilly cost</t>
  </si>
  <si>
    <t>Automatic spice grinding machine</t>
  </si>
  <si>
    <t>200 kg/ hr</t>
  </si>
  <si>
    <t>Tray Dryer</t>
  </si>
  <si>
    <t>Digital weighing balance with accuracy of 0.01 grams</t>
  </si>
  <si>
    <t>Weighing scale</t>
  </si>
  <si>
    <t>Masala mixer machine</t>
  </si>
  <si>
    <t>Powder filling and packaging machine</t>
  </si>
  <si>
    <t>Lab testing equipment</t>
  </si>
  <si>
    <t>Miscellaneous equipments</t>
  </si>
  <si>
    <t>Electrical fittings</t>
  </si>
  <si>
    <t>vi.</t>
  </si>
  <si>
    <t>Manager</t>
  </si>
  <si>
    <t>Plant size is assumed to be 337.5 MT per annum</t>
  </si>
  <si>
    <t>Input Spices</t>
  </si>
  <si>
    <t>Running and Manintenance expense @1% of raw material</t>
  </si>
  <si>
    <t>Assumed input output ratio is 0.75:1,i.e., to say that 1 kg of rhisomes produce 750 grams of spice powder</t>
  </si>
  <si>
    <t>Washing and Cleaning Machine</t>
  </si>
  <si>
    <t>Packaging cahrges @ Rs. 2 per kg</t>
  </si>
  <si>
    <t>For the first year of operation the break-even capacity comes at 54.18% capacity, it is because of the fact that in the Initial year the fixed expense of consultancy for project is taken in to consideration for calculation of BEP. considering our operational capacity in year 1 to be 60% which is more than the BEP, hence we can conclude that the project is sound enough to cover its fixed expense.</t>
  </si>
  <si>
    <t>1. Electricity are semi-fixed cost. Rs. 150,000 pa is fixed, balance is variable at Rs. 14 per unit usage. The electricity expense is taken on hypothetical basis. This would change depending upon the machinery load and capacity.</t>
  </si>
  <si>
    <t>5. Input cost of spices would increase 10% per annum while 5% of input is wasted.</t>
  </si>
  <si>
    <t>4. Closing stock is valued at Rs 205 (avg cost)</t>
  </si>
  <si>
    <t>6. The total working Cpital requirement is assummed to be Rs. 21.40. 25% of the required amount is financed through bank and rest is owner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</si>
</sst>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_);_(* \(#,##0.0\);_(* &quot;-&quot;?_);_(@_)"/>
    <numFmt numFmtId="166" formatCode="_(* #,##0.000000000_);_(* \(#,##0.000000000\);_(* &quot;-&quot;??_);_(@_)"/>
    <numFmt numFmtId="167" formatCode="0.000"/>
    <numFmt numFmtId="168" formatCode="0.0000"/>
    <numFmt numFmtId="169" formatCode="_(* #,##0.000_);_(* \(#,##0.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theme="1"/>
      <name val="Adobe Devanagari"/>
      <family val="1"/>
    </font>
    <font>
      <sz val="11"/>
      <color theme="1"/>
      <name val="Adobe Devanagari"/>
      <family val="1"/>
    </font>
    <font>
      <u/>
      <sz val="11"/>
      <color theme="1"/>
      <name val="Adobe Devanagari"/>
      <family val="1"/>
    </font>
    <font>
      <u/>
      <sz val="11"/>
      <color theme="10"/>
      <name val="Adobe Devanagari"/>
      <family val="1"/>
    </font>
    <font>
      <sz val="11"/>
      <color theme="0"/>
      <name val="Adobe Devanagari"/>
      <family val="1"/>
    </font>
    <font>
      <sz val="11"/>
      <name val="Adobe Devanagari"/>
      <family val="1"/>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48">
    <xf numFmtId="0" fontId="0" fillId="0" borderId="0" xfId="0"/>
    <xf numFmtId="0" fontId="3" fillId="0" borderId="0" xfId="0" applyFont="1"/>
    <xf numFmtId="0" fontId="2" fillId="0" borderId="0" xfId="0" applyFont="1"/>
    <xf numFmtId="0" fontId="0" fillId="0" borderId="0" xfId="0" quotePrefix="1"/>
    <xf numFmtId="43" fontId="0" fillId="0" borderId="0" xfId="1" applyFont="1"/>
    <xf numFmtId="0" fontId="5" fillId="0" borderId="0" xfId="0" applyFont="1"/>
    <xf numFmtId="0" fontId="6" fillId="0" borderId="0" xfId="0" applyFont="1"/>
    <xf numFmtId="0" fontId="7" fillId="3" borderId="2" xfId="0" applyFont="1" applyFill="1" applyBorder="1"/>
    <xf numFmtId="0" fontId="6" fillId="3" borderId="3" xfId="0" applyFont="1" applyFill="1" applyBorder="1"/>
    <xf numFmtId="0" fontId="6" fillId="3" borderId="4" xfId="0" applyFont="1" applyFill="1" applyBorder="1"/>
    <xf numFmtId="0" fontId="6" fillId="3" borderId="1" xfId="0" applyFont="1" applyFill="1" applyBorder="1"/>
    <xf numFmtId="0" fontId="6" fillId="3" borderId="1" xfId="0" applyFont="1" applyFill="1" applyBorder="1" applyAlignment="1">
      <alignment wrapText="1"/>
    </xf>
    <xf numFmtId="0" fontId="6" fillId="0" borderId="11" xfId="0" applyFont="1" applyBorder="1" applyAlignment="1">
      <alignment horizontal="left"/>
    </xf>
    <xf numFmtId="0" fontId="6" fillId="0" borderId="11" xfId="0" applyFont="1" applyBorder="1"/>
    <xf numFmtId="0" fontId="6" fillId="0" borderId="9" xfId="0" applyFont="1" applyBorder="1"/>
    <xf numFmtId="43" fontId="6" fillId="0" borderId="9" xfId="1" applyFont="1" applyBorder="1"/>
    <xf numFmtId="0" fontId="5" fillId="0" borderId="11" xfId="0" applyFont="1" applyBorder="1"/>
    <xf numFmtId="43" fontId="5" fillId="0" borderId="9" xfId="1" applyFont="1" applyBorder="1"/>
    <xf numFmtId="43" fontId="5" fillId="0" borderId="9" xfId="1" applyNumberFormat="1" applyFont="1" applyBorder="1"/>
    <xf numFmtId="43" fontId="6" fillId="0" borderId="9" xfId="1" applyNumberFormat="1" applyFont="1" applyBorder="1"/>
    <xf numFmtId="43" fontId="5" fillId="0" borderId="9" xfId="0" applyNumberFormat="1" applyFont="1" applyBorder="1"/>
    <xf numFmtId="0" fontId="6" fillId="0" borderId="11" xfId="0" applyFont="1" applyBorder="1" applyAlignment="1">
      <alignment wrapText="1"/>
    </xf>
    <xf numFmtId="0" fontId="5" fillId="0" borderId="12" xfId="0" applyFont="1" applyBorder="1" applyAlignment="1">
      <alignment horizontal="left"/>
    </xf>
    <xf numFmtId="0" fontId="5" fillId="0" borderId="12" xfId="0" applyFont="1" applyBorder="1"/>
    <xf numFmtId="43" fontId="5" fillId="0" borderId="10" xfId="0" applyNumberFormat="1" applyFont="1" applyBorder="1"/>
    <xf numFmtId="0" fontId="6" fillId="0" borderId="0" xfId="0" applyFont="1" applyAlignment="1">
      <alignment horizontal="left"/>
    </xf>
    <xf numFmtId="0" fontId="6" fillId="0" borderId="8" xfId="0" applyFont="1" applyBorder="1"/>
    <xf numFmtId="0" fontId="6" fillId="0" borderId="0" xfId="0" applyFont="1" applyBorder="1"/>
    <xf numFmtId="43" fontId="6" fillId="0" borderId="9" xfId="0" applyNumberFormat="1" applyFont="1" applyBorder="1"/>
    <xf numFmtId="10" fontId="6" fillId="0" borderId="0" xfId="2" applyNumberFormat="1" applyFont="1"/>
    <xf numFmtId="2" fontId="6" fillId="0" borderId="0" xfId="0" applyNumberFormat="1" applyFont="1"/>
    <xf numFmtId="0" fontId="6" fillId="0" borderId="2" xfId="0" applyFont="1" applyBorder="1"/>
    <xf numFmtId="0" fontId="6" fillId="0" borderId="3" xfId="0" applyFont="1" applyBorder="1"/>
    <xf numFmtId="0" fontId="6" fillId="3" borderId="2" xfId="0" applyFont="1" applyFill="1" applyBorder="1"/>
    <xf numFmtId="0" fontId="6" fillId="0" borderId="1" xfId="0" applyFont="1" applyBorder="1"/>
    <xf numFmtId="0" fontId="8" fillId="0" borderId="1" xfId="3" quotePrefix="1" applyFont="1" applyBorder="1"/>
    <xf numFmtId="0" fontId="8" fillId="0" borderId="1" xfId="3" applyFont="1" applyBorder="1"/>
    <xf numFmtId="0" fontId="6" fillId="0" borderId="5" xfId="0" applyFont="1" applyBorder="1"/>
    <xf numFmtId="0" fontId="6" fillId="0" borderId="6" xfId="0" applyFont="1" applyBorder="1" applyAlignment="1">
      <alignment horizontal="left" wrapText="1"/>
    </xf>
    <xf numFmtId="0" fontId="6" fillId="0" borderId="6" xfId="0" applyFont="1" applyBorder="1" applyAlignment="1">
      <alignment horizontal="left"/>
    </xf>
    <xf numFmtId="164" fontId="6" fillId="0" borderId="6" xfId="1" applyNumberFormat="1" applyFont="1" applyBorder="1"/>
    <xf numFmtId="164" fontId="6" fillId="0" borderId="7" xfId="1" applyNumberFormat="1" applyFont="1" applyBorder="1" applyAlignment="1">
      <alignment horizontal="left"/>
    </xf>
    <xf numFmtId="0" fontId="5" fillId="0" borderId="13" xfId="0" applyFont="1" applyBorder="1"/>
    <xf numFmtId="0" fontId="5" fillId="0" borderId="14" xfId="0" applyFont="1" applyBorder="1"/>
    <xf numFmtId="164" fontId="5" fillId="0" borderId="10" xfId="0" applyNumberFormat="1" applyFont="1" applyBorder="1"/>
    <xf numFmtId="0" fontId="6" fillId="0" borderId="4" xfId="0" applyFont="1" applyBorder="1"/>
    <xf numFmtId="0" fontId="6" fillId="0" borderId="0" xfId="0" applyFont="1" applyBorder="1" applyAlignment="1">
      <alignment horizontal="left"/>
    </xf>
    <xf numFmtId="164" fontId="6" fillId="0" borderId="0" xfId="1" applyNumberFormat="1" applyFont="1" applyBorder="1"/>
    <xf numFmtId="164" fontId="6" fillId="0" borderId="9" xfId="1" applyNumberFormat="1" applyFont="1" applyFill="1" applyBorder="1" applyAlignment="1">
      <alignment horizontal="left"/>
    </xf>
    <xf numFmtId="164" fontId="6" fillId="0" borderId="9" xfId="1" applyNumberFormat="1" applyFont="1" applyBorder="1" applyAlignment="1">
      <alignment horizontal="left"/>
    </xf>
    <xf numFmtId="0" fontId="5" fillId="0" borderId="2" xfId="0" applyFont="1" applyBorder="1"/>
    <xf numFmtId="0" fontId="5" fillId="0" borderId="3" xfId="0" applyFont="1" applyBorder="1"/>
    <xf numFmtId="164" fontId="5" fillId="0" borderId="4" xfId="0" applyNumberFormat="1" applyFont="1" applyBorder="1"/>
    <xf numFmtId="0" fontId="5" fillId="0" borderId="0" xfId="0" applyFont="1" applyFill="1"/>
    <xf numFmtId="43" fontId="6" fillId="0" borderId="0" xfId="0" applyNumberFormat="1" applyFont="1"/>
    <xf numFmtId="164" fontId="6" fillId="0" borderId="0" xfId="0" applyNumberFormat="1" applyFont="1"/>
    <xf numFmtId="164" fontId="6" fillId="0" borderId="1" xfId="1" applyNumberFormat="1" applyFont="1" applyBorder="1"/>
    <xf numFmtId="0" fontId="6" fillId="0"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xf>
    <xf numFmtId="0" fontId="5" fillId="0" borderId="6" xfId="0" applyFont="1" applyBorder="1"/>
    <xf numFmtId="0" fontId="6" fillId="0" borderId="15" xfId="0" applyFont="1" applyBorder="1"/>
    <xf numFmtId="0" fontId="6" fillId="0" borderId="7" xfId="0" applyFont="1" applyBorder="1"/>
    <xf numFmtId="164" fontId="6" fillId="0" borderId="11" xfId="0" applyNumberFormat="1" applyFont="1" applyBorder="1"/>
    <xf numFmtId="43" fontId="6" fillId="0" borderId="11" xfId="0" applyNumberFormat="1" applyFont="1" applyBorder="1"/>
    <xf numFmtId="0" fontId="6" fillId="0" borderId="0" xfId="0" applyFont="1" applyFill="1" applyBorder="1"/>
    <xf numFmtId="164" fontId="6" fillId="0" borderId="11" xfId="1" applyNumberFormat="1" applyFont="1" applyBorder="1"/>
    <xf numFmtId="164" fontId="6" fillId="0" borderId="9" xfId="0" applyNumberFormat="1" applyFont="1" applyBorder="1"/>
    <xf numFmtId="0" fontId="5" fillId="0" borderId="0" xfId="0" applyFont="1" applyBorder="1"/>
    <xf numFmtId="164" fontId="6" fillId="0" borderId="9" xfId="1" applyNumberFormat="1" applyFont="1" applyBorder="1"/>
    <xf numFmtId="164" fontId="6" fillId="0" borderId="8" xfId="0" applyNumberFormat="1" applyFont="1" applyFill="1" applyBorder="1"/>
    <xf numFmtId="0" fontId="6" fillId="0" borderId="13" xfId="0" applyFont="1" applyBorder="1"/>
    <xf numFmtId="0" fontId="6" fillId="0" borderId="14" xfId="0" applyFont="1" applyBorder="1"/>
    <xf numFmtId="0" fontId="6" fillId="0" borderId="12" xfId="0" applyFont="1" applyBorder="1"/>
    <xf numFmtId="0" fontId="6" fillId="0" borderId="10" xfId="0" applyFont="1" applyBorder="1"/>
    <xf numFmtId="0" fontId="6" fillId="3" borderId="1" xfId="0" applyFont="1" applyFill="1" applyBorder="1" applyAlignment="1">
      <alignment horizontal="center" vertical="center"/>
    </xf>
    <xf numFmtId="0" fontId="6" fillId="3" borderId="8" xfId="0" applyFont="1" applyFill="1" applyBorder="1"/>
    <xf numFmtId="0" fontId="6" fillId="3" borderId="0" xfId="0" applyFont="1" applyFill="1" applyBorder="1"/>
    <xf numFmtId="0" fontId="6" fillId="3" borderId="11" xfId="0" applyFont="1" applyFill="1" applyBorder="1"/>
    <xf numFmtId="0" fontId="6" fillId="3" borderId="9" xfId="0" applyFont="1" applyFill="1" applyBorder="1"/>
    <xf numFmtId="164" fontId="6" fillId="3" borderId="9" xfId="0" applyNumberFormat="1" applyFont="1" applyFill="1" applyBorder="1"/>
    <xf numFmtId="0" fontId="7" fillId="0" borderId="0" xfId="0" applyFont="1"/>
    <xf numFmtId="164" fontId="6" fillId="0" borderId="1" xfId="0" applyNumberFormat="1" applyFont="1" applyBorder="1"/>
    <xf numFmtId="0" fontId="6" fillId="0" borderId="6" xfId="0" applyFont="1" applyBorder="1"/>
    <xf numFmtId="164" fontId="6" fillId="0" borderId="10" xfId="0" applyNumberFormat="1" applyFont="1" applyBorder="1"/>
    <xf numFmtId="164" fontId="6" fillId="0" borderId="4" xfId="0" applyNumberFormat="1" applyFont="1" applyBorder="1"/>
    <xf numFmtId="9" fontId="6" fillId="0" borderId="0" xfId="0" applyNumberFormat="1" applyFont="1"/>
    <xf numFmtId="2" fontId="6" fillId="0" borderId="1" xfId="0" applyNumberFormat="1" applyFont="1" applyBorder="1"/>
    <xf numFmtId="2" fontId="6" fillId="0" borderId="1" xfId="1" applyNumberFormat="1" applyFont="1" applyBorder="1"/>
    <xf numFmtId="0" fontId="6" fillId="0" borderId="1" xfId="0" applyFont="1" applyBorder="1" applyAlignment="1">
      <alignment horizontal="right"/>
    </xf>
    <xf numFmtId="0" fontId="6" fillId="0" borderId="1" xfId="0" applyFont="1" applyBorder="1" applyAlignment="1">
      <alignment horizontal="left"/>
    </xf>
    <xf numFmtId="43" fontId="6" fillId="0" borderId="1" xfId="0" applyNumberFormat="1" applyFont="1" applyBorder="1"/>
    <xf numFmtId="0" fontId="6" fillId="0" borderId="0" xfId="0" applyFont="1" applyAlignment="1">
      <alignment horizontal="right"/>
    </xf>
    <xf numFmtId="43" fontId="6" fillId="0" borderId="1" xfId="1" applyFont="1" applyBorder="1"/>
    <xf numFmtId="0" fontId="6" fillId="3" borderId="0" xfId="0" applyFont="1" applyFill="1"/>
    <xf numFmtId="0" fontId="7" fillId="3" borderId="0" xfId="0" applyFont="1" applyFill="1"/>
    <xf numFmtId="164" fontId="6" fillId="0" borderId="0" xfId="1" applyNumberFormat="1" applyFont="1"/>
    <xf numFmtId="0" fontId="6" fillId="0" borderId="0" xfId="0" quotePrefix="1" applyFont="1"/>
    <xf numFmtId="10" fontId="6" fillId="0" borderId="1" xfId="2" applyNumberFormat="1" applyFont="1" applyBorder="1"/>
    <xf numFmtId="9" fontId="6" fillId="0" borderId="1" xfId="0" applyNumberFormat="1" applyFont="1" applyBorder="1" applyAlignment="1">
      <alignment horizontal="center"/>
    </xf>
    <xf numFmtId="164" fontId="6" fillId="0" borderId="1" xfId="1" applyNumberFormat="1" applyFont="1" applyBorder="1" applyAlignment="1">
      <alignment horizontal="right"/>
    </xf>
    <xf numFmtId="164" fontId="6" fillId="0" borderId="0" xfId="1" applyNumberFormat="1" applyFont="1" applyFill="1"/>
    <xf numFmtId="16" fontId="6" fillId="0" borderId="0" xfId="0" applyNumberFormat="1" applyFont="1"/>
    <xf numFmtId="164" fontId="6" fillId="0" borderId="0" xfId="1" applyNumberFormat="1" applyFont="1" applyAlignment="1">
      <alignment horizontal="right"/>
    </xf>
    <xf numFmtId="0" fontId="6" fillId="0" borderId="1" xfId="0" applyFont="1" applyBorder="1" applyAlignment="1">
      <alignment vertical="top"/>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0" xfId="0" applyFont="1" applyAlignment="1">
      <alignment vertical="top"/>
    </xf>
    <xf numFmtId="164" fontId="6" fillId="0" borderId="1" xfId="0" applyNumberFormat="1" applyFont="1" applyBorder="1" applyAlignment="1">
      <alignment vertical="top"/>
    </xf>
    <xf numFmtId="165" fontId="6" fillId="0" borderId="2" xfId="0" applyNumberFormat="1" applyFont="1" applyBorder="1" applyAlignment="1">
      <alignment vertical="top" wrapText="1"/>
    </xf>
    <xf numFmtId="165" fontId="6" fillId="0" borderId="1" xfId="0" applyNumberFormat="1"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165" fontId="6" fillId="0" borderId="0" xfId="0" applyNumberFormat="1" applyFont="1" applyBorder="1" applyAlignment="1">
      <alignment vertical="top" wrapText="1"/>
    </xf>
    <xf numFmtId="164" fontId="9" fillId="0" borderId="0" xfId="1" applyNumberFormat="1" applyFont="1"/>
    <xf numFmtId="10" fontId="9" fillId="0" borderId="0" xfId="1" applyNumberFormat="1" applyFont="1"/>
    <xf numFmtId="0" fontId="9" fillId="0" borderId="0" xfId="0" applyFont="1"/>
    <xf numFmtId="166" fontId="9" fillId="0" borderId="0" xfId="1" applyNumberFormat="1" applyFont="1"/>
    <xf numFmtId="167" fontId="6" fillId="0" borderId="0" xfId="0" applyNumberFormat="1" applyFont="1"/>
    <xf numFmtId="10" fontId="6" fillId="2" borderId="0" xfId="0" applyNumberFormat="1" applyFont="1" applyFill="1"/>
    <xf numFmtId="0" fontId="6" fillId="2" borderId="0" xfId="0" applyFont="1" applyFill="1" applyAlignment="1">
      <alignment horizontal="right"/>
    </xf>
    <xf numFmtId="0" fontId="10" fillId="0" borderId="0" xfId="0" applyFont="1"/>
    <xf numFmtId="167" fontId="6" fillId="0" borderId="1" xfId="0" applyNumberFormat="1" applyFont="1" applyBorder="1"/>
    <xf numFmtId="43" fontId="6" fillId="0" borderId="11" xfId="1" applyNumberFormat="1" applyFont="1" applyBorder="1"/>
    <xf numFmtId="0" fontId="5" fillId="3" borderId="1" xfId="0" applyFont="1" applyFill="1" applyBorder="1"/>
    <xf numFmtId="0" fontId="5" fillId="0" borderId="1" xfId="0" applyFont="1" applyBorder="1"/>
    <xf numFmtId="9" fontId="5" fillId="0" borderId="1" xfId="0" applyNumberFormat="1" applyFont="1" applyBorder="1"/>
    <xf numFmtId="43" fontId="5" fillId="0" borderId="4" xfId="0" applyNumberFormat="1" applyFont="1" applyBorder="1"/>
    <xf numFmtId="0" fontId="5" fillId="3" borderId="2" xfId="0" applyFont="1" applyFill="1" applyBorder="1"/>
    <xf numFmtId="0" fontId="5" fillId="3" borderId="3" xfId="0" applyFont="1" applyFill="1" applyBorder="1"/>
    <xf numFmtId="0" fontId="5" fillId="3" borderId="4" xfId="0" applyFont="1" applyFill="1" applyBorder="1"/>
    <xf numFmtId="168" fontId="6" fillId="0" borderId="0" xfId="0" applyNumberFormat="1" applyFont="1"/>
    <xf numFmtId="169" fontId="6" fillId="0" borderId="9" xfId="0" applyNumberFormat="1" applyFont="1" applyBorder="1"/>
    <xf numFmtId="0" fontId="6" fillId="0" borderId="0" xfId="0" applyNumberFormat="1" applyFont="1"/>
    <xf numFmtId="164" fontId="6" fillId="0" borderId="0" xfId="0" applyNumberFormat="1" applyFont="1" applyFill="1"/>
    <xf numFmtId="0" fontId="5" fillId="3" borderId="1" xfId="0" applyFont="1" applyFill="1" applyBorder="1" applyAlignment="1">
      <alignment horizontal="center" vertical="center"/>
    </xf>
    <xf numFmtId="2" fontId="6" fillId="0" borderId="0" xfId="2" applyNumberFormat="1" applyFont="1"/>
    <xf numFmtId="0" fontId="5" fillId="3" borderId="3" xfId="0" applyFont="1" applyFill="1" applyBorder="1" applyAlignment="1">
      <alignment horizontal="center"/>
    </xf>
    <xf numFmtId="0" fontId="5" fillId="3" borderId="15"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10"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6" fillId="0" borderId="1" xfId="0" applyFont="1" applyBorder="1" applyAlignment="1">
      <alignment horizontal="left"/>
    </xf>
    <xf numFmtId="0" fontId="6" fillId="0" borderId="0" xfId="0" applyFont="1" applyAlignment="1">
      <alignment horizontal="left" wrapText="1"/>
    </xf>
    <xf numFmtId="0" fontId="0" fillId="0" borderId="0" xfId="0" applyAlignment="1">
      <alignment horizontal="center"/>
    </xf>
    <xf numFmtId="0" fontId="6" fillId="0" borderId="1" xfId="0" applyFont="1" applyBorder="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AC8BE-60EA-43EA-96F6-72E97A57CA2D}">
  <dimension ref="A1:B16"/>
  <sheetViews>
    <sheetView workbookViewId="0">
      <selection activeCell="B15" sqref="B15"/>
    </sheetView>
  </sheetViews>
  <sheetFormatPr defaultRowHeight="17" x14ac:dyDescent="0.6"/>
  <cols>
    <col min="1" max="1" width="57.90625" style="6" bestFit="1" customWidth="1"/>
    <col min="2" max="2" width="14.453125" style="6" bestFit="1" customWidth="1"/>
    <col min="3" max="16384" width="8.7265625" style="6"/>
  </cols>
  <sheetData>
    <row r="1" spans="1:2" x14ac:dyDescent="0.6">
      <c r="A1" s="5" t="s">
        <v>194</v>
      </c>
    </row>
    <row r="3" spans="1:2" x14ac:dyDescent="0.6">
      <c r="A3" s="124" t="s">
        <v>195</v>
      </c>
      <c r="B3" s="124" t="s">
        <v>196</v>
      </c>
    </row>
    <row r="4" spans="1:2" x14ac:dyDescent="0.6">
      <c r="A4" s="34" t="str">
        <f>'Ann 1'!A3</f>
        <v>Annexure 1 - Estimated cost of the project</v>
      </c>
      <c r="B4" s="35" t="s">
        <v>197</v>
      </c>
    </row>
    <row r="5" spans="1:2" x14ac:dyDescent="0.6">
      <c r="A5" s="34" t="str">
        <f>'Ann 2'!A1</f>
        <v>Annexure 2 - Means of Finance</v>
      </c>
      <c r="B5" s="35" t="s">
        <v>198</v>
      </c>
    </row>
    <row r="6" spans="1:2" x14ac:dyDescent="0.6">
      <c r="A6" s="34" t="str">
        <f>'Ann 3'!A1</f>
        <v>Annexure 3 - Complete Estimate of Civil and Plant and Machinery</v>
      </c>
      <c r="B6" s="35" t="s">
        <v>213</v>
      </c>
    </row>
    <row r="7" spans="1:2" x14ac:dyDescent="0.6">
      <c r="A7" s="34" t="str">
        <f>'Ann 4'!A1</f>
        <v>Annexure 4 - Estimated Cost of Production</v>
      </c>
      <c r="B7" s="35" t="s">
        <v>199</v>
      </c>
    </row>
    <row r="8" spans="1:2" x14ac:dyDescent="0.6">
      <c r="A8" s="34" t="str">
        <f>'Ann 5'!A1</f>
        <v>Annexure 5- Projected balance sheet</v>
      </c>
      <c r="B8" s="35" t="s">
        <v>200</v>
      </c>
    </row>
    <row r="9" spans="1:2" x14ac:dyDescent="0.6">
      <c r="A9" s="34" t="str">
        <f>'Ann 8'!A1</f>
        <v>Annexure 8 - Details of Manpower</v>
      </c>
      <c r="B9" s="35" t="s">
        <v>201</v>
      </c>
    </row>
    <row r="10" spans="1:2" x14ac:dyDescent="0.6">
      <c r="A10" s="34" t="str">
        <f>'Ann 9'!A1</f>
        <v>Annexure 9 - Computation of Depreciation</v>
      </c>
      <c r="B10" s="35" t="s">
        <v>202</v>
      </c>
    </row>
    <row r="11" spans="1:2" x14ac:dyDescent="0.6">
      <c r="A11" s="34" t="str">
        <f>'Ann 10'!A1</f>
        <v>Annexure 10 - Calculation of Income tax</v>
      </c>
      <c r="B11" s="35" t="s">
        <v>203</v>
      </c>
    </row>
    <row r="12" spans="1:2" x14ac:dyDescent="0.6">
      <c r="A12" s="34" t="str">
        <f>'Ann 11'!A1</f>
        <v>Annexure 11- Break even analysis (At maximum capacity utilization)</v>
      </c>
      <c r="B12" s="35" t="s">
        <v>204</v>
      </c>
    </row>
    <row r="13" spans="1:2" x14ac:dyDescent="0.6">
      <c r="A13" s="34" t="str">
        <f>'Ann 13'!A1</f>
        <v>Annexure 13 - Repayment schedule</v>
      </c>
      <c r="B13" s="35" t="s">
        <v>205</v>
      </c>
    </row>
    <row r="14" spans="1:2" x14ac:dyDescent="0.6">
      <c r="A14" s="34" t="str">
        <f>'Ann 14'!A1</f>
        <v>Annexure 14 - Cash flow statement</v>
      </c>
      <c r="B14" s="35" t="s">
        <v>288</v>
      </c>
    </row>
    <row r="15" spans="1:2" x14ac:dyDescent="0.6">
      <c r="A15" s="34" t="str">
        <f>Budgets!A1</f>
        <v>Sales Budget</v>
      </c>
      <c r="B15" s="36" t="s">
        <v>207</v>
      </c>
    </row>
    <row r="16" spans="1:2" x14ac:dyDescent="0.6">
      <c r="A16" s="34" t="str">
        <f>Assumptions!B1</f>
        <v>Assumptions</v>
      </c>
      <c r="B16" s="36" t="s">
        <v>206</v>
      </c>
    </row>
  </sheetData>
  <hyperlinks>
    <hyperlink ref="B4" location="'Ann 1'!A1" display="Ann 1'!A1" xr:uid="{129A53AE-42B4-406F-AE43-98A73E9596B6}"/>
    <hyperlink ref="B5" location="'Ann 2'!A1" display="Ann 2'!A1" xr:uid="{D366D2B7-8C33-4BB9-8360-E73E9FF6CF6A}"/>
    <hyperlink ref="B6" location="'Ann 3'!A1" display="Ann 3'!A1" xr:uid="{1B8772B9-E43D-4AB5-8F5A-638223AF500E}"/>
    <hyperlink ref="B7" location="'Ann 4'!A1" display="Ann 4'!A1" xr:uid="{FAAB8839-5519-4D9B-A59A-73365143B4B9}"/>
    <hyperlink ref="B8" location="'Ann 5'!A1" display="Ann 5'!A1" xr:uid="{345DF3FB-1320-4EE4-BE1D-865969EAB7BC}"/>
    <hyperlink ref="B9" location="'Ann 8'!A1" display="Ann 8'!A1" xr:uid="{42615D31-7A7C-4734-A1CE-F2C2E3B3162A}"/>
    <hyperlink ref="B10" location="'Ann 9'!A1" display="Ann 9'!A1" xr:uid="{B7119FF1-2125-4BB1-8092-9AB11A831D0F}"/>
    <hyperlink ref="B11" location="'Ann 10'!A1" display="Ann 10'!A1" xr:uid="{DFB51339-4F19-4C93-8A40-F6B91391A5EC}"/>
    <hyperlink ref="B12" location="'Ann 11'!A1" display="Ann 11'!A1" xr:uid="{45AE67DC-B5E2-4285-BEE7-A02BF94C1CBE}"/>
    <hyperlink ref="B13" location="'Ann 13'!A1" display="Ann 13'!A1" xr:uid="{C975FC4B-1ADE-4A0F-BED9-979C1D3964AD}"/>
    <hyperlink ref="B14" location="'Ann 14'!A1" display="Ann 14'!A1" xr:uid="{1EB42EDC-9E72-40D8-932F-98050E53BF90}"/>
    <hyperlink ref="B15" location="Budgets!A1" display="Budgets!A1" xr:uid="{93337CD4-EB49-450F-A248-E7178008DA35}"/>
    <hyperlink ref="B16" location="Assumptions!A1" display="Assumptions!A1" xr:uid="{AED17B9E-3962-416C-9671-559494842589}"/>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21A-756D-4D90-8C99-73BDFD6A7811}">
  <sheetPr>
    <pageSetUpPr fitToPage="1"/>
  </sheetPr>
  <dimension ref="A1:J14"/>
  <sheetViews>
    <sheetView workbookViewId="0"/>
  </sheetViews>
  <sheetFormatPr defaultRowHeight="17" x14ac:dyDescent="0.6"/>
  <cols>
    <col min="1" max="1" width="20.90625" style="6" customWidth="1"/>
    <col min="2" max="10" width="13.6328125" style="6" bestFit="1" customWidth="1"/>
    <col min="11" max="16384" width="8.7265625" style="6"/>
  </cols>
  <sheetData>
    <row r="1" spans="1:10" x14ac:dyDescent="0.6">
      <c r="A1" s="5" t="s">
        <v>102</v>
      </c>
    </row>
    <row r="3" spans="1:10" x14ac:dyDescent="0.6">
      <c r="A3" s="81" t="s">
        <v>103</v>
      </c>
    </row>
    <row r="5" spans="1:10" x14ac:dyDescent="0.6">
      <c r="A5" s="142" t="s">
        <v>3</v>
      </c>
      <c r="B5" s="142" t="s">
        <v>47</v>
      </c>
      <c r="C5" s="142"/>
      <c r="D5" s="142"/>
      <c r="E5" s="142"/>
      <c r="F5" s="142"/>
      <c r="G5" s="142"/>
      <c r="H5" s="142"/>
      <c r="I5" s="142"/>
      <c r="J5" s="142"/>
    </row>
    <row r="6" spans="1:10" x14ac:dyDescent="0.6">
      <c r="A6" s="142"/>
      <c r="B6" s="75" t="s">
        <v>38</v>
      </c>
      <c r="C6" s="75" t="s">
        <v>39</v>
      </c>
      <c r="D6" s="75" t="s">
        <v>40</v>
      </c>
      <c r="E6" s="75" t="s">
        <v>41</v>
      </c>
      <c r="F6" s="75" t="s">
        <v>42</v>
      </c>
      <c r="G6" s="75" t="s">
        <v>43</v>
      </c>
      <c r="H6" s="75" t="s">
        <v>44</v>
      </c>
      <c r="I6" s="75" t="s">
        <v>45</v>
      </c>
      <c r="J6" s="75" t="s">
        <v>46</v>
      </c>
    </row>
    <row r="7" spans="1:10" x14ac:dyDescent="0.6">
      <c r="A7" s="34" t="s">
        <v>104</v>
      </c>
      <c r="B7" s="56">
        <f>'Ann 4'!C31</f>
        <v>734861.73076923087</v>
      </c>
      <c r="C7" s="56">
        <f>'Ann 4'!D31</f>
        <v>1443378.2057692322</v>
      </c>
      <c r="D7" s="56">
        <f>'Ann 4'!E31</f>
        <v>1681778.3950769259</v>
      </c>
      <c r="E7" s="56">
        <f>'Ann 4'!F31</f>
        <v>1903738.3929246138</v>
      </c>
      <c r="F7" s="56">
        <f>'Ann 4'!G31</f>
        <v>2108168.4066601056</v>
      </c>
      <c r="G7" s="56">
        <f>'Ann 4'!H31</f>
        <v>2433326.6591830477</v>
      </c>
      <c r="H7" s="56">
        <f>'Ann 4'!I31</f>
        <v>2607330.6650854317</v>
      </c>
      <c r="I7" s="56">
        <f>'Ann 4'!J31</f>
        <v>2747285.281634137</v>
      </c>
      <c r="J7" s="56">
        <f>'Ann 4'!K31</f>
        <v>2826847.1265235841</v>
      </c>
    </row>
    <row r="8" spans="1:10" x14ac:dyDescent="0.6">
      <c r="A8" s="34" t="s">
        <v>105</v>
      </c>
      <c r="B8" s="56">
        <v>0</v>
      </c>
      <c r="C8" s="56">
        <v>0</v>
      </c>
      <c r="D8" s="56">
        <v>0</v>
      </c>
      <c r="E8" s="56">
        <v>0</v>
      </c>
      <c r="F8" s="56">
        <v>0</v>
      </c>
      <c r="G8" s="56">
        <v>0</v>
      </c>
      <c r="H8" s="56">
        <v>0</v>
      </c>
      <c r="I8" s="56">
        <v>0</v>
      </c>
      <c r="J8" s="56">
        <v>0</v>
      </c>
    </row>
    <row r="9" spans="1:10" x14ac:dyDescent="0.6">
      <c r="A9" s="34" t="s">
        <v>106</v>
      </c>
      <c r="B9" s="56">
        <f>B7+B8</f>
        <v>734861.73076923087</v>
      </c>
      <c r="C9" s="56">
        <f t="shared" ref="C9:J9" si="0">C7+C8</f>
        <v>1443378.2057692322</v>
      </c>
      <c r="D9" s="56">
        <f t="shared" si="0"/>
        <v>1681778.3950769259</v>
      </c>
      <c r="E9" s="56">
        <f t="shared" si="0"/>
        <v>1903738.3929246138</v>
      </c>
      <c r="F9" s="56">
        <f t="shared" si="0"/>
        <v>2108168.4066601056</v>
      </c>
      <c r="G9" s="56">
        <f t="shared" si="0"/>
        <v>2433326.6591830477</v>
      </c>
      <c r="H9" s="56">
        <f t="shared" si="0"/>
        <v>2607330.6650854317</v>
      </c>
      <c r="I9" s="56">
        <f t="shared" si="0"/>
        <v>2747285.281634137</v>
      </c>
      <c r="J9" s="56">
        <f t="shared" si="0"/>
        <v>2826847.1265235841</v>
      </c>
    </row>
    <row r="10" spans="1:10" x14ac:dyDescent="0.6">
      <c r="A10" s="34" t="s">
        <v>107</v>
      </c>
      <c r="B10" s="56">
        <f>SUM('Ann 9'!C12:E12)</f>
        <v>557250</v>
      </c>
      <c r="C10" s="56">
        <f>SUM('Ann 9'!C13:E13)</f>
        <v>479662.5</v>
      </c>
      <c r="D10" s="56">
        <f>SUM('Ann 9'!C14:E14)</f>
        <v>413113.125</v>
      </c>
      <c r="E10" s="56">
        <f>SUM('Ann 9'!C15:E15)</f>
        <v>356006.15625</v>
      </c>
      <c r="F10" s="56">
        <f>SUM('Ann 9'!C16:E16)</f>
        <v>306979.23281249998</v>
      </c>
      <c r="G10" s="56">
        <f>SUM('Ann 9'!C17:E17)</f>
        <v>264868.94789062499</v>
      </c>
      <c r="H10" s="56">
        <f>SUM('Ann 9'!C18:E18)</f>
        <v>228681.54570703121</v>
      </c>
      <c r="I10" s="56">
        <f>SUM('Ann 9'!C19:E19)</f>
        <v>197567.95985097653</v>
      </c>
      <c r="J10" s="56">
        <f>SUM('Ann 9'!C20:E20)</f>
        <v>170802.54727333004</v>
      </c>
    </row>
    <row r="11" spans="1:10" x14ac:dyDescent="0.6">
      <c r="A11" s="34" t="s">
        <v>106</v>
      </c>
      <c r="B11" s="56">
        <f>B9-B10</f>
        <v>177611.73076923087</v>
      </c>
      <c r="C11" s="56">
        <f t="shared" ref="C11:J11" si="1">C9-C10</f>
        <v>963715.70576923224</v>
      </c>
      <c r="D11" s="56">
        <f t="shared" si="1"/>
        <v>1268665.2700769259</v>
      </c>
      <c r="E11" s="56">
        <f t="shared" si="1"/>
        <v>1547732.2366746138</v>
      </c>
      <c r="F11" s="56">
        <f t="shared" si="1"/>
        <v>1801189.1738476055</v>
      </c>
      <c r="G11" s="56">
        <f t="shared" si="1"/>
        <v>2168457.7112924228</v>
      </c>
      <c r="H11" s="56">
        <f t="shared" si="1"/>
        <v>2378649.1193784005</v>
      </c>
      <c r="I11" s="56">
        <f t="shared" si="1"/>
        <v>2549717.3217831603</v>
      </c>
      <c r="J11" s="56">
        <f t="shared" si="1"/>
        <v>2656044.5792502542</v>
      </c>
    </row>
    <row r="12" spans="1:10" x14ac:dyDescent="0.6">
      <c r="A12" s="34" t="s">
        <v>108</v>
      </c>
      <c r="B12" s="93">
        <v>0</v>
      </c>
      <c r="C12" s="93">
        <v>0</v>
      </c>
      <c r="D12" s="93">
        <v>0</v>
      </c>
      <c r="E12" s="93">
        <v>0</v>
      </c>
      <c r="F12" s="93">
        <v>0</v>
      </c>
      <c r="G12" s="93">
        <v>0</v>
      </c>
      <c r="H12" s="93">
        <v>0</v>
      </c>
      <c r="I12" s="93">
        <v>0</v>
      </c>
      <c r="J12" s="93">
        <v>0</v>
      </c>
    </row>
    <row r="13" spans="1:10" x14ac:dyDescent="0.6">
      <c r="A13" s="34" t="s">
        <v>109</v>
      </c>
      <c r="B13" s="82">
        <f>B11</f>
        <v>177611.73076923087</v>
      </c>
      <c r="C13" s="82">
        <f t="shared" ref="C13:J13" si="2">C11</f>
        <v>963715.70576923224</v>
      </c>
      <c r="D13" s="82">
        <f t="shared" si="2"/>
        <v>1268665.2700769259</v>
      </c>
      <c r="E13" s="82">
        <f t="shared" si="2"/>
        <v>1547732.2366746138</v>
      </c>
      <c r="F13" s="82">
        <f t="shared" si="2"/>
        <v>1801189.1738476055</v>
      </c>
      <c r="G13" s="82">
        <f t="shared" si="2"/>
        <v>2168457.7112924228</v>
      </c>
      <c r="H13" s="82">
        <f t="shared" si="2"/>
        <v>2378649.1193784005</v>
      </c>
      <c r="I13" s="82">
        <f t="shared" si="2"/>
        <v>2549717.3217831603</v>
      </c>
      <c r="J13" s="82">
        <f t="shared" si="2"/>
        <v>2656044.5792502542</v>
      </c>
    </row>
    <row r="14" spans="1:10" x14ac:dyDescent="0.6">
      <c r="A14" s="34" t="s">
        <v>110</v>
      </c>
      <c r="B14" s="82">
        <f>B13*30%</f>
        <v>53283.519230769256</v>
      </c>
      <c r="C14" s="82">
        <f t="shared" ref="C14:J14" si="3">C13*30%</f>
        <v>289114.71173076966</v>
      </c>
      <c r="D14" s="82">
        <f t="shared" si="3"/>
        <v>380599.58102307777</v>
      </c>
      <c r="E14" s="82">
        <f t="shared" si="3"/>
        <v>464319.6710023841</v>
      </c>
      <c r="F14" s="82">
        <f t="shared" si="3"/>
        <v>540356.7521542816</v>
      </c>
      <c r="G14" s="82">
        <f t="shared" si="3"/>
        <v>650537.31338772678</v>
      </c>
      <c r="H14" s="82">
        <f t="shared" si="3"/>
        <v>713594.73581352015</v>
      </c>
      <c r="I14" s="82">
        <f t="shared" si="3"/>
        <v>764915.19653494807</v>
      </c>
      <c r="J14" s="82">
        <f t="shared" si="3"/>
        <v>796813.37377507624</v>
      </c>
    </row>
  </sheetData>
  <mergeCells count="2">
    <mergeCell ref="B5:J5"/>
    <mergeCell ref="A5:A6"/>
  </mergeCells>
  <pageMargins left="0.7" right="0.7" top="0.75" bottom="0.75" header="0.3" footer="0.3"/>
  <pageSetup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239D-A793-4055-957C-367EF6B7112E}">
  <sheetPr>
    <pageSetUpPr fitToPage="1"/>
  </sheetPr>
  <dimension ref="A1:G34"/>
  <sheetViews>
    <sheetView topLeftCell="A23" workbookViewId="0">
      <selection activeCell="A26" sqref="A26"/>
    </sheetView>
  </sheetViews>
  <sheetFormatPr defaultRowHeight="17" x14ac:dyDescent="0.6"/>
  <cols>
    <col min="1" max="1" width="8.7265625" style="6"/>
    <col min="2" max="2" width="26.7265625" style="6" bestFit="1" customWidth="1"/>
    <col min="3" max="3" width="14.6328125" style="6" bestFit="1" customWidth="1"/>
    <col min="4" max="4" width="13.54296875" style="6" bestFit="1" customWidth="1"/>
    <col min="5" max="5" width="13.6328125" style="6" bestFit="1" customWidth="1"/>
    <col min="6" max="14" width="8.7265625" style="6"/>
    <col min="15" max="15" width="13.6328125" style="6" bestFit="1" customWidth="1"/>
    <col min="16" max="16" width="12.54296875" style="6" bestFit="1" customWidth="1"/>
    <col min="17" max="16384" width="8.7265625" style="6"/>
  </cols>
  <sheetData>
    <row r="1" spans="1:7" x14ac:dyDescent="0.6">
      <c r="A1" s="5" t="s">
        <v>68</v>
      </c>
    </row>
    <row r="3" spans="1:7" x14ac:dyDescent="0.6">
      <c r="A3" s="95" t="s">
        <v>287</v>
      </c>
      <c r="B3" s="94"/>
      <c r="C3" s="94"/>
      <c r="D3" s="94"/>
      <c r="E3" s="94"/>
    </row>
    <row r="5" spans="1:7" x14ac:dyDescent="0.6">
      <c r="B5" s="6" t="s">
        <v>49</v>
      </c>
      <c r="E5" s="96">
        <f>'Ann 4'!C23/70%</f>
        <v>65870357.142857149</v>
      </c>
    </row>
    <row r="6" spans="1:7" x14ac:dyDescent="0.6">
      <c r="B6" s="6" t="s">
        <v>69</v>
      </c>
    </row>
    <row r="7" spans="1:7" x14ac:dyDescent="0.6">
      <c r="B7" s="97" t="s">
        <v>70</v>
      </c>
      <c r="D7" s="55">
        <f>E5*15%</f>
        <v>9880553.5714285728</v>
      </c>
    </row>
    <row r="8" spans="1:7" x14ac:dyDescent="0.6">
      <c r="B8" s="97" t="s">
        <v>71</v>
      </c>
      <c r="D8" s="55">
        <f>'Ann 2'!C7*100000*10%</f>
        <v>53500</v>
      </c>
      <c r="E8" s="55"/>
    </row>
    <row r="9" spans="1:7" x14ac:dyDescent="0.6">
      <c r="B9" s="97" t="s">
        <v>74</v>
      </c>
      <c r="D9" s="55">
        <f>'Ann 4'!K43</f>
        <v>1595651.879292188</v>
      </c>
      <c r="E9" s="55">
        <f>SUM(D7:D9)</f>
        <v>11529705.450720761</v>
      </c>
      <c r="G9" s="54"/>
    </row>
    <row r="10" spans="1:7" x14ac:dyDescent="0.6">
      <c r="B10" s="6" t="s">
        <v>72</v>
      </c>
      <c r="E10" s="55">
        <f>E5-E9</f>
        <v>54340651.692136392</v>
      </c>
    </row>
    <row r="11" spans="1:7" x14ac:dyDescent="0.6">
      <c r="B11" s="6" t="s">
        <v>239</v>
      </c>
    </row>
    <row r="12" spans="1:7" x14ac:dyDescent="0.6">
      <c r="B12" s="6" t="s">
        <v>73</v>
      </c>
      <c r="E12" s="55">
        <f>'Ann 8'!E15</f>
        <v>2553720</v>
      </c>
    </row>
    <row r="13" spans="1:7" x14ac:dyDescent="0.6">
      <c r="B13" s="6" t="s">
        <v>75</v>
      </c>
      <c r="E13" s="55">
        <f>'Ann 9'!F12</f>
        <v>557250</v>
      </c>
    </row>
    <row r="14" spans="1:7" x14ac:dyDescent="0.6">
      <c r="B14" s="6" t="s">
        <v>267</v>
      </c>
      <c r="E14" s="55">
        <v>144000</v>
      </c>
    </row>
    <row r="15" spans="1:7" x14ac:dyDescent="0.6">
      <c r="B15" s="6" t="s">
        <v>237</v>
      </c>
      <c r="E15" s="55">
        <v>150000</v>
      </c>
    </row>
    <row r="16" spans="1:7" x14ac:dyDescent="0.6">
      <c r="B16" s="6" t="s">
        <v>280</v>
      </c>
      <c r="E16" s="55">
        <f>'Ann 4'!C9</f>
        <v>82300</v>
      </c>
    </row>
    <row r="17" spans="2:5" x14ac:dyDescent="0.6">
      <c r="B17" s="6" t="s">
        <v>190</v>
      </c>
      <c r="E17" s="55">
        <f>SUM('Ann 13'!E9:E12)*100000</f>
        <v>219568.26923076916</v>
      </c>
    </row>
    <row r="18" spans="2:5" x14ac:dyDescent="0.6">
      <c r="B18" s="6" t="s">
        <v>76</v>
      </c>
      <c r="E18" s="55">
        <f>SUM(E12:E17)</f>
        <v>3706838.269230769</v>
      </c>
    </row>
    <row r="20" spans="2:5" x14ac:dyDescent="0.6">
      <c r="B20" s="10" t="s">
        <v>3</v>
      </c>
      <c r="C20" s="10" t="s">
        <v>240</v>
      </c>
    </row>
    <row r="21" spans="2:5" x14ac:dyDescent="0.6">
      <c r="B21" s="34" t="s">
        <v>77</v>
      </c>
      <c r="C21" s="34">
        <f>Budgets!C16</f>
        <v>230</v>
      </c>
    </row>
    <row r="22" spans="2:5" x14ac:dyDescent="0.6">
      <c r="B22" s="34" t="s">
        <v>262</v>
      </c>
      <c r="C22" s="34"/>
    </row>
    <row r="23" spans="2:5" x14ac:dyDescent="0.6">
      <c r="B23" s="34" t="s">
        <v>301</v>
      </c>
      <c r="C23" s="34">
        <f>Budgets!D16*1000/750</f>
        <v>200</v>
      </c>
    </row>
    <row r="24" spans="2:5" x14ac:dyDescent="0.6">
      <c r="B24" s="34" t="s">
        <v>263</v>
      </c>
      <c r="C24" s="91">
        <f>('Ann 4'!C43/70%)/Budgets!B16</f>
        <v>4.5714285714285721</v>
      </c>
    </row>
    <row r="25" spans="2:5" x14ac:dyDescent="0.6">
      <c r="B25" s="34" t="s">
        <v>264</v>
      </c>
      <c r="C25" s="34">
        <f>C23*1%</f>
        <v>2</v>
      </c>
    </row>
    <row r="26" spans="2:5" x14ac:dyDescent="0.6">
      <c r="B26" s="34" t="s">
        <v>292</v>
      </c>
      <c r="C26" s="34">
        <v>2</v>
      </c>
    </row>
    <row r="27" spans="2:5" x14ac:dyDescent="0.6">
      <c r="B27" s="34" t="s">
        <v>293</v>
      </c>
      <c r="C27" s="34">
        <v>1</v>
      </c>
    </row>
    <row r="28" spans="2:5" x14ac:dyDescent="0.6">
      <c r="B28" s="34" t="s">
        <v>265</v>
      </c>
      <c r="C28" s="91">
        <f>D8/Budgets!B12</f>
        <v>0.15851851851851853</v>
      </c>
    </row>
    <row r="29" spans="2:5" x14ac:dyDescent="0.6">
      <c r="B29" s="34" t="s">
        <v>266</v>
      </c>
      <c r="C29" s="34">
        <f>C21-SUM(C23:C28)</f>
        <v>20.270052910052897</v>
      </c>
    </row>
    <row r="30" spans="2:5" x14ac:dyDescent="0.6">
      <c r="B30" s="34" t="s">
        <v>238</v>
      </c>
      <c r="C30" s="93">
        <f>E18/C29</f>
        <v>182872.64891116141</v>
      </c>
    </row>
    <row r="31" spans="2:5" x14ac:dyDescent="0.6">
      <c r="B31" s="34" t="s">
        <v>189</v>
      </c>
      <c r="C31" s="98">
        <f>C30/Budgets!B16</f>
        <v>0.5418448856627005</v>
      </c>
    </row>
    <row r="32" spans="2:5" x14ac:dyDescent="0.6">
      <c r="C32" s="29"/>
    </row>
    <row r="33" spans="1:5" ht="49" customHeight="1" x14ac:dyDescent="0.6">
      <c r="A33" s="145" t="s">
        <v>214</v>
      </c>
      <c r="B33" s="145"/>
      <c r="C33" s="145"/>
      <c r="D33" s="145"/>
      <c r="E33" s="145"/>
    </row>
    <row r="34" spans="1:5" ht="86.5" customHeight="1" x14ac:dyDescent="0.6">
      <c r="A34" s="145" t="s">
        <v>320</v>
      </c>
      <c r="B34" s="145"/>
      <c r="C34" s="145"/>
      <c r="D34" s="145"/>
      <c r="E34" s="145"/>
    </row>
  </sheetData>
  <mergeCells count="2">
    <mergeCell ref="A33:E33"/>
    <mergeCell ref="A34:E3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098D-FBA0-4F7E-BF3C-624224F47C27}">
  <dimension ref="A1:K7"/>
  <sheetViews>
    <sheetView workbookViewId="0">
      <selection activeCell="A8" sqref="A8"/>
    </sheetView>
  </sheetViews>
  <sheetFormatPr defaultRowHeight="14.5" x14ac:dyDescent="0.35"/>
  <sheetData>
    <row r="1" spans="1:11" x14ac:dyDescent="0.35">
      <c r="A1" t="s">
        <v>78</v>
      </c>
    </row>
    <row r="3" spans="1:11" x14ac:dyDescent="0.35">
      <c r="C3" s="146" t="s">
        <v>79</v>
      </c>
      <c r="D3" s="146"/>
      <c r="E3" s="146"/>
      <c r="F3" s="146"/>
      <c r="G3" s="146"/>
      <c r="H3" s="146"/>
      <c r="I3" s="146"/>
      <c r="J3" s="146"/>
      <c r="K3" s="146"/>
    </row>
    <row r="4" spans="1:11" x14ac:dyDescent="0.35">
      <c r="C4">
        <v>1</v>
      </c>
      <c r="D4">
        <v>2</v>
      </c>
      <c r="E4">
        <v>3</v>
      </c>
      <c r="F4">
        <v>4</v>
      </c>
      <c r="G4">
        <v>5</v>
      </c>
      <c r="H4">
        <v>6</v>
      </c>
      <c r="I4">
        <v>7</v>
      </c>
      <c r="J4">
        <v>8</v>
      </c>
      <c r="K4">
        <v>9</v>
      </c>
    </row>
    <row r="5" spans="1:11" x14ac:dyDescent="0.35">
      <c r="A5" t="s">
        <v>80</v>
      </c>
      <c r="C5" t="e">
        <f>'Ann 4'!#REF!</f>
        <v>#REF!</v>
      </c>
      <c r="D5" t="e">
        <f>'Ann 4'!#REF!</f>
        <v>#REF!</v>
      </c>
      <c r="E5" t="e">
        <f>'Ann 4'!#REF!</f>
        <v>#REF!</v>
      </c>
      <c r="F5" t="e">
        <f>'Ann 4'!#REF!</f>
        <v>#REF!</v>
      </c>
      <c r="G5" t="e">
        <f>'Ann 4'!#REF!</f>
        <v>#REF!</v>
      </c>
      <c r="H5" t="e">
        <f>'Ann 4'!#REF!</f>
        <v>#REF!</v>
      </c>
      <c r="I5" t="e">
        <f>'Ann 4'!#REF!</f>
        <v>#REF!</v>
      </c>
      <c r="J5" t="e">
        <f>'Ann 4'!#REF!</f>
        <v>#REF!</v>
      </c>
      <c r="K5" t="e">
        <f>'Ann 4'!#REF!</f>
        <v>#REF!</v>
      </c>
    </row>
    <row r="6" spans="1:11" x14ac:dyDescent="0.35">
      <c r="A6" t="s">
        <v>81</v>
      </c>
      <c r="C6" t="e">
        <f>'Ann 4'!#REF!</f>
        <v>#REF!</v>
      </c>
      <c r="D6" t="e">
        <f>'Ann 4'!#REF!</f>
        <v>#REF!</v>
      </c>
      <c r="E6" t="e">
        <f>'Ann 4'!#REF!</f>
        <v>#REF!</v>
      </c>
      <c r="F6" t="e">
        <f>'Ann 4'!#REF!</f>
        <v>#REF!</v>
      </c>
      <c r="G6" t="e">
        <f>'Ann 4'!#REF!</f>
        <v>#REF!</v>
      </c>
      <c r="H6" t="e">
        <f>'Ann 4'!#REF!</f>
        <v>#REF!</v>
      </c>
      <c r="I6" t="e">
        <f>'Ann 4'!#REF!</f>
        <v>#REF!</v>
      </c>
      <c r="J6" t="e">
        <f>'Ann 4'!#REF!</f>
        <v>#REF!</v>
      </c>
      <c r="K6" t="e">
        <f>'Ann 4'!#REF!</f>
        <v>#REF!</v>
      </c>
    </row>
    <row r="7" spans="1:11" x14ac:dyDescent="0.35">
      <c r="A7" t="s">
        <v>82</v>
      </c>
    </row>
  </sheetData>
  <mergeCells count="1">
    <mergeCell ref="C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F0C2-594D-4936-9810-7D289B91BEE1}">
  <dimension ref="A1:G36"/>
  <sheetViews>
    <sheetView workbookViewId="0"/>
  </sheetViews>
  <sheetFormatPr defaultRowHeight="17" x14ac:dyDescent="0.6"/>
  <cols>
    <col min="1" max="1" width="4.54296875" style="6" bestFit="1" customWidth="1"/>
    <col min="2" max="2" width="7.36328125" style="6" bestFit="1" customWidth="1"/>
    <col min="3" max="3" width="17.81640625" style="6" bestFit="1" customWidth="1"/>
    <col min="4" max="4" width="17.36328125" style="6" bestFit="1" customWidth="1"/>
    <col min="5" max="5" width="7.26953125" style="6" bestFit="1" customWidth="1"/>
    <col min="6" max="16384" width="8.7265625" style="6"/>
  </cols>
  <sheetData>
    <row r="1" spans="1:7" x14ac:dyDescent="0.6">
      <c r="A1" s="5" t="s">
        <v>88</v>
      </c>
    </row>
    <row r="3" spans="1:7" x14ac:dyDescent="0.6">
      <c r="A3" s="81" t="s">
        <v>89</v>
      </c>
    </row>
    <row r="4" spans="1:7" x14ac:dyDescent="0.6">
      <c r="A4" s="6" t="s">
        <v>90</v>
      </c>
      <c r="D4" s="131">
        <f>'Ann 2'!C6</f>
        <v>36.949999999999996</v>
      </c>
    </row>
    <row r="5" spans="1:7" x14ac:dyDescent="0.6">
      <c r="A5" s="6" t="s">
        <v>91</v>
      </c>
      <c r="D5" s="119">
        <v>0.06</v>
      </c>
    </row>
    <row r="6" spans="1:7" x14ac:dyDescent="0.6">
      <c r="A6" s="6" t="s">
        <v>92</v>
      </c>
      <c r="D6" s="120" t="s">
        <v>148</v>
      </c>
    </row>
    <row r="8" spans="1:7" x14ac:dyDescent="0.6">
      <c r="A8" s="10" t="s">
        <v>67</v>
      </c>
      <c r="B8" s="10" t="s">
        <v>93</v>
      </c>
      <c r="C8" s="10" t="s">
        <v>94</v>
      </c>
      <c r="D8" s="10" t="s">
        <v>96</v>
      </c>
      <c r="E8" s="10" t="s">
        <v>95</v>
      </c>
    </row>
    <row r="9" spans="1:7" x14ac:dyDescent="0.6">
      <c r="A9" s="147">
        <v>1</v>
      </c>
      <c r="B9" s="34">
        <v>1</v>
      </c>
      <c r="C9" s="87">
        <f>$D$4</f>
        <v>36.949999999999996</v>
      </c>
      <c r="D9" s="34">
        <v>0</v>
      </c>
      <c r="E9" s="34">
        <f>C9*$D$5/4</f>
        <v>0.55424999999999991</v>
      </c>
    </row>
    <row r="10" spans="1:7" x14ac:dyDescent="0.6">
      <c r="A10" s="147"/>
      <c r="B10" s="34">
        <v>2</v>
      </c>
      <c r="C10" s="87">
        <f>$D$4</f>
        <v>36.949999999999996</v>
      </c>
      <c r="D10" s="34">
        <v>0</v>
      </c>
      <c r="E10" s="34">
        <f t="shared" ref="E10:E36" si="0">C10*$D$5/4</f>
        <v>0.55424999999999991</v>
      </c>
      <c r="G10" s="121"/>
    </row>
    <row r="11" spans="1:7" x14ac:dyDescent="0.6">
      <c r="A11" s="147"/>
      <c r="B11" s="34">
        <v>3</v>
      </c>
      <c r="C11" s="87">
        <f>$D$4</f>
        <v>36.949999999999996</v>
      </c>
      <c r="D11" s="34">
        <f>D4/26</f>
        <v>1.421153846153846</v>
      </c>
      <c r="E11" s="34">
        <f t="shared" si="0"/>
        <v>0.55424999999999991</v>
      </c>
    </row>
    <row r="12" spans="1:7" x14ac:dyDescent="0.6">
      <c r="A12" s="147"/>
      <c r="B12" s="34">
        <v>4</v>
      </c>
      <c r="C12" s="34">
        <f t="shared" ref="C12:C17" si="1">C11-D11</f>
        <v>35.528846153846146</v>
      </c>
      <c r="D12" s="34">
        <f>D11</f>
        <v>1.421153846153846</v>
      </c>
      <c r="E12" s="34">
        <f t="shared" si="0"/>
        <v>0.53293269230769214</v>
      </c>
    </row>
    <row r="13" spans="1:7" x14ac:dyDescent="0.6">
      <c r="A13" s="147">
        <v>2</v>
      </c>
      <c r="B13" s="34">
        <v>1</v>
      </c>
      <c r="C13" s="34">
        <f t="shared" si="1"/>
        <v>34.107692307692304</v>
      </c>
      <c r="D13" s="34">
        <f t="shared" ref="D13:D35" si="2">D12</f>
        <v>1.421153846153846</v>
      </c>
      <c r="E13" s="34">
        <f t="shared" si="0"/>
        <v>0.51161538461538458</v>
      </c>
    </row>
    <row r="14" spans="1:7" x14ac:dyDescent="0.6">
      <c r="A14" s="147"/>
      <c r="B14" s="34">
        <v>2</v>
      </c>
      <c r="C14" s="34">
        <f t="shared" si="1"/>
        <v>32.686538461538461</v>
      </c>
      <c r="D14" s="34">
        <f t="shared" si="2"/>
        <v>1.421153846153846</v>
      </c>
      <c r="E14" s="34">
        <f t="shared" si="0"/>
        <v>0.49029807692307692</v>
      </c>
    </row>
    <row r="15" spans="1:7" x14ac:dyDescent="0.6">
      <c r="A15" s="147"/>
      <c r="B15" s="34">
        <v>3</v>
      </c>
      <c r="C15" s="34">
        <f t="shared" si="1"/>
        <v>31.265384615384615</v>
      </c>
      <c r="D15" s="34">
        <f t="shared" si="2"/>
        <v>1.421153846153846</v>
      </c>
      <c r="E15" s="34">
        <f t="shared" si="0"/>
        <v>0.4689807692307692</v>
      </c>
    </row>
    <row r="16" spans="1:7" x14ac:dyDescent="0.6">
      <c r="A16" s="147"/>
      <c r="B16" s="34">
        <v>4</v>
      </c>
      <c r="C16" s="34">
        <f t="shared" si="1"/>
        <v>29.844230769230769</v>
      </c>
      <c r="D16" s="34">
        <f t="shared" si="2"/>
        <v>1.421153846153846</v>
      </c>
      <c r="E16" s="34">
        <f t="shared" si="0"/>
        <v>0.44766346153846154</v>
      </c>
    </row>
    <row r="17" spans="1:5" x14ac:dyDescent="0.6">
      <c r="A17" s="147">
        <v>3</v>
      </c>
      <c r="B17" s="34">
        <v>1</v>
      </c>
      <c r="C17" s="34">
        <f t="shared" si="1"/>
        <v>28.423076923076923</v>
      </c>
      <c r="D17" s="34">
        <f t="shared" si="2"/>
        <v>1.421153846153846</v>
      </c>
      <c r="E17" s="34">
        <f t="shared" si="0"/>
        <v>0.42634615384615382</v>
      </c>
    </row>
    <row r="18" spans="1:5" x14ac:dyDescent="0.6">
      <c r="A18" s="147"/>
      <c r="B18" s="34">
        <v>2</v>
      </c>
      <c r="C18" s="34">
        <f t="shared" ref="C18:C36" si="3">C17-D17</f>
        <v>27.001923076923077</v>
      </c>
      <c r="D18" s="34">
        <f t="shared" si="2"/>
        <v>1.421153846153846</v>
      </c>
      <c r="E18" s="34">
        <f t="shared" si="0"/>
        <v>0.40502884615384616</v>
      </c>
    </row>
    <row r="19" spans="1:5" x14ac:dyDescent="0.6">
      <c r="A19" s="147"/>
      <c r="B19" s="34">
        <v>3</v>
      </c>
      <c r="C19" s="34">
        <f t="shared" si="3"/>
        <v>25.580769230769231</v>
      </c>
      <c r="D19" s="34">
        <f t="shared" si="2"/>
        <v>1.421153846153846</v>
      </c>
      <c r="E19" s="34">
        <f t="shared" si="0"/>
        <v>0.38371153846153844</v>
      </c>
    </row>
    <row r="20" spans="1:5" x14ac:dyDescent="0.6">
      <c r="A20" s="147"/>
      <c r="B20" s="34">
        <v>4</v>
      </c>
      <c r="C20" s="34">
        <f t="shared" si="3"/>
        <v>24.159615384615385</v>
      </c>
      <c r="D20" s="34">
        <f t="shared" si="2"/>
        <v>1.421153846153846</v>
      </c>
      <c r="E20" s="34">
        <f t="shared" si="0"/>
        <v>0.36239423076923077</v>
      </c>
    </row>
    <row r="21" spans="1:5" x14ac:dyDescent="0.6">
      <c r="A21" s="147">
        <v>4</v>
      </c>
      <c r="B21" s="34">
        <v>1</v>
      </c>
      <c r="C21" s="34">
        <f t="shared" si="3"/>
        <v>22.738461538461539</v>
      </c>
      <c r="D21" s="34">
        <f t="shared" si="2"/>
        <v>1.421153846153846</v>
      </c>
      <c r="E21" s="34">
        <f t="shared" si="0"/>
        <v>0.34107692307692306</v>
      </c>
    </row>
    <row r="22" spans="1:5" x14ac:dyDescent="0.6">
      <c r="A22" s="147"/>
      <c r="B22" s="34">
        <v>2</v>
      </c>
      <c r="C22" s="34">
        <f t="shared" si="3"/>
        <v>21.317307692307693</v>
      </c>
      <c r="D22" s="34">
        <f t="shared" si="2"/>
        <v>1.421153846153846</v>
      </c>
      <c r="E22" s="34">
        <f t="shared" si="0"/>
        <v>0.31975961538461539</v>
      </c>
    </row>
    <row r="23" spans="1:5" x14ac:dyDescent="0.6">
      <c r="A23" s="147"/>
      <c r="B23" s="34">
        <v>3</v>
      </c>
      <c r="C23" s="34">
        <f t="shared" si="3"/>
        <v>19.896153846153847</v>
      </c>
      <c r="D23" s="34">
        <f t="shared" si="2"/>
        <v>1.421153846153846</v>
      </c>
      <c r="E23" s="34">
        <f t="shared" si="0"/>
        <v>0.29844230769230767</v>
      </c>
    </row>
    <row r="24" spans="1:5" x14ac:dyDescent="0.6">
      <c r="A24" s="147"/>
      <c r="B24" s="34">
        <v>4</v>
      </c>
      <c r="C24" s="34">
        <f t="shared" si="3"/>
        <v>18.475000000000001</v>
      </c>
      <c r="D24" s="34">
        <f t="shared" si="2"/>
        <v>1.421153846153846</v>
      </c>
      <c r="E24" s="34">
        <f t="shared" si="0"/>
        <v>0.27712500000000001</v>
      </c>
    </row>
    <row r="25" spans="1:5" x14ac:dyDescent="0.6">
      <c r="A25" s="147">
        <v>5</v>
      </c>
      <c r="B25" s="34">
        <v>1</v>
      </c>
      <c r="C25" s="34">
        <f t="shared" si="3"/>
        <v>17.053846153846155</v>
      </c>
      <c r="D25" s="34">
        <f t="shared" si="2"/>
        <v>1.421153846153846</v>
      </c>
      <c r="E25" s="34">
        <f t="shared" si="0"/>
        <v>0.25580769230769235</v>
      </c>
    </row>
    <row r="26" spans="1:5" x14ac:dyDescent="0.6">
      <c r="A26" s="147"/>
      <c r="B26" s="34">
        <v>2</v>
      </c>
      <c r="C26" s="34">
        <f t="shared" si="3"/>
        <v>15.632692307692309</v>
      </c>
      <c r="D26" s="34">
        <f t="shared" si="2"/>
        <v>1.421153846153846</v>
      </c>
      <c r="E26" s="34">
        <f t="shared" si="0"/>
        <v>0.23449038461538463</v>
      </c>
    </row>
    <row r="27" spans="1:5" x14ac:dyDescent="0.6">
      <c r="A27" s="147"/>
      <c r="B27" s="34">
        <v>3</v>
      </c>
      <c r="C27" s="34">
        <f t="shared" si="3"/>
        <v>14.211538461538463</v>
      </c>
      <c r="D27" s="34">
        <f t="shared" si="2"/>
        <v>1.421153846153846</v>
      </c>
      <c r="E27" s="34">
        <f t="shared" si="0"/>
        <v>0.21317307692307694</v>
      </c>
    </row>
    <row r="28" spans="1:5" x14ac:dyDescent="0.6">
      <c r="A28" s="147"/>
      <c r="B28" s="34">
        <v>4</v>
      </c>
      <c r="C28" s="34">
        <f t="shared" si="3"/>
        <v>12.790384615384617</v>
      </c>
      <c r="D28" s="34">
        <f t="shared" si="2"/>
        <v>1.421153846153846</v>
      </c>
      <c r="E28" s="34">
        <f t="shared" si="0"/>
        <v>0.19185576923076925</v>
      </c>
    </row>
    <row r="29" spans="1:5" x14ac:dyDescent="0.6">
      <c r="A29" s="147">
        <v>6</v>
      </c>
      <c r="B29" s="34">
        <v>1</v>
      </c>
      <c r="C29" s="34">
        <f t="shared" si="3"/>
        <v>11.369230769230771</v>
      </c>
      <c r="D29" s="34">
        <f t="shared" si="2"/>
        <v>1.421153846153846</v>
      </c>
      <c r="E29" s="34">
        <f t="shared" si="0"/>
        <v>0.17053846153846156</v>
      </c>
    </row>
    <row r="30" spans="1:5" x14ac:dyDescent="0.6">
      <c r="A30" s="147"/>
      <c r="B30" s="34">
        <v>2</v>
      </c>
      <c r="C30" s="34">
        <f t="shared" si="3"/>
        <v>9.9480769230769255</v>
      </c>
      <c r="D30" s="34">
        <f t="shared" si="2"/>
        <v>1.421153846153846</v>
      </c>
      <c r="E30" s="34">
        <f t="shared" si="0"/>
        <v>0.14922115384615386</v>
      </c>
    </row>
    <row r="31" spans="1:5" x14ac:dyDescent="0.6">
      <c r="A31" s="147"/>
      <c r="B31" s="34">
        <v>3</v>
      </c>
      <c r="C31" s="34">
        <f t="shared" si="3"/>
        <v>8.5269230769230795</v>
      </c>
      <c r="D31" s="34">
        <f t="shared" si="2"/>
        <v>1.421153846153846</v>
      </c>
      <c r="E31" s="34">
        <f t="shared" si="0"/>
        <v>0.1279038461538462</v>
      </c>
    </row>
    <row r="32" spans="1:5" x14ac:dyDescent="0.6">
      <c r="A32" s="147"/>
      <c r="B32" s="34">
        <v>4</v>
      </c>
      <c r="C32" s="34">
        <f t="shared" si="3"/>
        <v>7.1057692307692335</v>
      </c>
      <c r="D32" s="34">
        <f t="shared" si="2"/>
        <v>1.421153846153846</v>
      </c>
      <c r="E32" s="34">
        <f t="shared" si="0"/>
        <v>0.1065865384615385</v>
      </c>
    </row>
    <row r="33" spans="1:5" x14ac:dyDescent="0.6">
      <c r="A33" s="147">
        <v>7</v>
      </c>
      <c r="B33" s="34">
        <v>1</v>
      </c>
      <c r="C33" s="34">
        <f t="shared" si="3"/>
        <v>5.6846153846153875</v>
      </c>
      <c r="D33" s="34">
        <f t="shared" si="2"/>
        <v>1.421153846153846</v>
      </c>
      <c r="E33" s="34">
        <f t="shared" si="0"/>
        <v>8.5269230769230805E-2</v>
      </c>
    </row>
    <row r="34" spans="1:5" x14ac:dyDescent="0.6">
      <c r="A34" s="147"/>
      <c r="B34" s="34">
        <v>2</v>
      </c>
      <c r="C34" s="34">
        <f t="shared" si="3"/>
        <v>4.2634615384615415</v>
      </c>
      <c r="D34" s="34">
        <f t="shared" si="2"/>
        <v>1.421153846153846</v>
      </c>
      <c r="E34" s="34">
        <f t="shared" si="0"/>
        <v>6.3951923076923115E-2</v>
      </c>
    </row>
    <row r="35" spans="1:5" x14ac:dyDescent="0.6">
      <c r="A35" s="147"/>
      <c r="B35" s="34">
        <v>3</v>
      </c>
      <c r="C35" s="34">
        <f t="shared" si="3"/>
        <v>2.8423076923076955</v>
      </c>
      <c r="D35" s="34">
        <f t="shared" si="2"/>
        <v>1.421153846153846</v>
      </c>
      <c r="E35" s="34">
        <f t="shared" si="0"/>
        <v>4.263461538461543E-2</v>
      </c>
    </row>
    <row r="36" spans="1:5" x14ac:dyDescent="0.6">
      <c r="A36" s="147"/>
      <c r="B36" s="34">
        <v>4</v>
      </c>
      <c r="C36" s="34">
        <f t="shared" si="3"/>
        <v>1.4211538461538495</v>
      </c>
      <c r="D36" s="122">
        <f>D4-SUM(D9:D35)</f>
        <v>1.4211538461538495</v>
      </c>
      <c r="E36" s="34">
        <f t="shared" si="0"/>
        <v>2.1317307692307743E-2</v>
      </c>
    </row>
  </sheetData>
  <mergeCells count="7">
    <mergeCell ref="A33:A36"/>
    <mergeCell ref="A9:A12"/>
    <mergeCell ref="A13:A16"/>
    <mergeCell ref="A17:A20"/>
    <mergeCell ref="A21:A24"/>
    <mergeCell ref="A25:A28"/>
    <mergeCell ref="A29:A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C3B-78D2-43F9-ABE8-F6A84BAA4AE1}">
  <sheetPr>
    <pageSetUpPr fitToPage="1"/>
  </sheetPr>
  <dimension ref="A1:L32"/>
  <sheetViews>
    <sheetView workbookViewId="0"/>
  </sheetViews>
  <sheetFormatPr defaultRowHeight="17" x14ac:dyDescent="0.6"/>
  <cols>
    <col min="1" max="1" width="41.1796875" style="6" bestFit="1" customWidth="1"/>
    <col min="2" max="2" width="14.7265625" style="6" customWidth="1"/>
    <col min="3" max="11" width="14.7265625" style="6" bestFit="1" customWidth="1"/>
    <col min="12" max="12" width="13.6328125" style="6" bestFit="1" customWidth="1"/>
    <col min="13" max="16384" width="8.7265625" style="6"/>
  </cols>
  <sheetData>
    <row r="1" spans="1:11" x14ac:dyDescent="0.6">
      <c r="A1" s="5" t="s">
        <v>284</v>
      </c>
      <c r="B1" s="5"/>
    </row>
    <row r="2" spans="1:11" x14ac:dyDescent="0.6">
      <c r="A2" s="5"/>
      <c r="B2" s="5"/>
    </row>
    <row r="3" spans="1:11" x14ac:dyDescent="0.6">
      <c r="A3" s="75" t="s">
        <v>3</v>
      </c>
      <c r="B3" s="75">
        <v>0</v>
      </c>
      <c r="C3" s="75" t="s">
        <v>38</v>
      </c>
      <c r="D3" s="75" t="s">
        <v>39</v>
      </c>
      <c r="E3" s="75" t="s">
        <v>40</v>
      </c>
      <c r="F3" s="75" t="s">
        <v>41</v>
      </c>
      <c r="G3" s="75" t="s">
        <v>42</v>
      </c>
      <c r="H3" s="75" t="s">
        <v>43</v>
      </c>
      <c r="I3" s="75" t="s">
        <v>44</v>
      </c>
      <c r="J3" s="75" t="s">
        <v>45</v>
      </c>
      <c r="K3" s="75" t="s">
        <v>46</v>
      </c>
    </row>
    <row r="4" spans="1:11" x14ac:dyDescent="0.6">
      <c r="A4" s="34" t="s">
        <v>152</v>
      </c>
      <c r="B4" s="56">
        <f>'Ann 2'!C7*100000</f>
        <v>535000</v>
      </c>
      <c r="C4" s="56">
        <f>B21</f>
        <v>535000</v>
      </c>
      <c r="D4" s="56">
        <f>C21</f>
        <v>3507409.8730769232</v>
      </c>
      <c r="E4" s="56">
        <f t="shared" ref="E4:K4" si="0">D21</f>
        <v>3258046.4084230773</v>
      </c>
      <c r="F4" s="56">
        <f t="shared" si="0"/>
        <v>3042451.2577722976</v>
      </c>
      <c r="G4" s="56">
        <f t="shared" si="0"/>
        <v>2774224.7636952032</v>
      </c>
      <c r="H4" s="56">
        <f t="shared" si="0"/>
        <v>2457861.5673848297</v>
      </c>
      <c r="I4" s="56">
        <f t="shared" si="0"/>
        <v>3025835.1813948578</v>
      </c>
      <c r="J4" s="56">
        <f t="shared" si="0"/>
        <v>3872525.9403533284</v>
      </c>
      <c r="K4" s="56">
        <f t="shared" si="0"/>
        <v>5315107.9502539448</v>
      </c>
    </row>
    <row r="5" spans="1:11" x14ac:dyDescent="0.6">
      <c r="A5" s="34" t="s">
        <v>191</v>
      </c>
      <c r="B5" s="56">
        <f>'Ann 2'!C4*100000</f>
        <v>470000</v>
      </c>
      <c r="C5" s="56">
        <v>0</v>
      </c>
      <c r="D5" s="56">
        <v>0</v>
      </c>
      <c r="E5" s="56">
        <v>0</v>
      </c>
      <c r="F5" s="56">
        <v>0</v>
      </c>
      <c r="G5" s="56">
        <v>0</v>
      </c>
      <c r="H5" s="56">
        <v>0</v>
      </c>
      <c r="I5" s="56">
        <v>0</v>
      </c>
      <c r="J5" s="56">
        <v>0</v>
      </c>
      <c r="K5" s="56">
        <v>0</v>
      </c>
    </row>
    <row r="6" spans="1:11" x14ac:dyDescent="0.6">
      <c r="A6" s="34" t="s">
        <v>192</v>
      </c>
      <c r="B6" s="56">
        <f>'Ann 2'!C6*100000</f>
        <v>3694999.9999999995</v>
      </c>
      <c r="C6" s="56">
        <v>0</v>
      </c>
      <c r="D6" s="56">
        <v>0</v>
      </c>
      <c r="E6" s="56">
        <v>0</v>
      </c>
      <c r="F6" s="56">
        <v>0</v>
      </c>
      <c r="G6" s="56">
        <v>0</v>
      </c>
      <c r="H6" s="56">
        <v>0</v>
      </c>
      <c r="I6" s="56">
        <v>0</v>
      </c>
      <c r="J6" s="56">
        <v>0</v>
      </c>
      <c r="K6" s="56">
        <v>0</v>
      </c>
    </row>
    <row r="7" spans="1:11" x14ac:dyDescent="0.6">
      <c r="A7" s="34" t="s">
        <v>193</v>
      </c>
      <c r="B7" s="56">
        <f>'Ann 9'!F9*100000</f>
        <v>4115000</v>
      </c>
      <c r="C7" s="56">
        <v>0</v>
      </c>
      <c r="D7" s="56">
        <v>0</v>
      </c>
      <c r="E7" s="56">
        <v>0</v>
      </c>
      <c r="F7" s="56">
        <v>0</v>
      </c>
      <c r="G7" s="56">
        <v>0</v>
      </c>
      <c r="H7" s="56">
        <v>0</v>
      </c>
      <c r="I7" s="56">
        <v>0</v>
      </c>
      <c r="J7" s="56">
        <v>0</v>
      </c>
      <c r="K7" s="56">
        <v>0</v>
      </c>
    </row>
    <row r="8" spans="1:11" x14ac:dyDescent="0.6">
      <c r="A8" s="34" t="s">
        <v>256</v>
      </c>
      <c r="B8" s="56">
        <f>'Ann 1'!C8*100000</f>
        <v>0</v>
      </c>
      <c r="C8" s="56"/>
      <c r="D8" s="56"/>
      <c r="E8" s="56"/>
      <c r="F8" s="56"/>
      <c r="G8" s="56"/>
      <c r="H8" s="56"/>
      <c r="I8" s="56"/>
      <c r="J8" s="56"/>
      <c r="K8" s="56"/>
    </row>
    <row r="9" spans="1:11" x14ac:dyDescent="0.6">
      <c r="A9" s="34" t="s">
        <v>153</v>
      </c>
      <c r="B9" s="56"/>
      <c r="C9" s="56">
        <f>'Ann 4'!C23-'Ann 5'!C12</f>
        <v>36887400</v>
      </c>
      <c r="D9" s="56">
        <f>'Ann 4'!D23-'Ann 5'!D12</f>
        <v>40360963.5</v>
      </c>
      <c r="E9" s="56">
        <f>'Ann 4'!E23-'Ann 5'!E12</f>
        <v>43465652.999999993</v>
      </c>
      <c r="F9" s="56">
        <f>'Ann 4'!F23-'Ann 5'!F12</f>
        <v>46570342.5</v>
      </c>
      <c r="G9" s="56">
        <f>'Ann 4'!G23-'Ann 5'!G12</f>
        <v>49675032</v>
      </c>
      <c r="H9" s="56">
        <f>'Ann 4'!H23-'Ann 5'!H12</f>
        <v>53845978.5</v>
      </c>
      <c r="I9" s="56">
        <f>'Ann 4'!I23-'Ann 5'!I12</f>
        <v>57013389</v>
      </c>
      <c r="J9" s="56">
        <f>'Ann 4'!J23-'Ann 5'!J12</f>
        <v>60180799.5</v>
      </c>
      <c r="K9" s="56">
        <f>'Ann 4'!K23-'Ann 5'!K12</f>
        <v>63222768</v>
      </c>
    </row>
    <row r="10" spans="1:11" x14ac:dyDescent="0.6">
      <c r="A10" s="34" t="s">
        <v>168</v>
      </c>
      <c r="B10" s="56">
        <v>0</v>
      </c>
      <c r="C10" s="56">
        <v>0</v>
      </c>
      <c r="D10" s="56">
        <f>'Ann 5'!C24</f>
        <v>12271500</v>
      </c>
      <c r="E10" s="56">
        <f>'Ann 5'!D24</f>
        <v>13294125</v>
      </c>
      <c r="F10" s="56">
        <f>'Ann 5'!E24</f>
        <v>14316749.999999996</v>
      </c>
      <c r="G10" s="56">
        <f>'Ann 5'!F24</f>
        <v>15339375</v>
      </c>
      <c r="H10" s="56">
        <f>'Ann 5'!G24</f>
        <v>16362000</v>
      </c>
      <c r="I10" s="56">
        <f>'Ann 5'!H24</f>
        <v>17384625</v>
      </c>
      <c r="J10" s="56">
        <f>'Ann 5'!I24</f>
        <v>18407250</v>
      </c>
      <c r="K10" s="56">
        <f>'Ann 5'!J24</f>
        <v>19429875</v>
      </c>
    </row>
    <row r="11" spans="1:11" x14ac:dyDescent="0.6">
      <c r="A11" s="34" t="s">
        <v>169</v>
      </c>
      <c r="B11" s="56">
        <v>0</v>
      </c>
      <c r="C11" s="56">
        <v>0</v>
      </c>
      <c r="D11" s="56">
        <f>'Ann 5'!C12</f>
        <v>9221850</v>
      </c>
      <c r="E11" s="56">
        <f>'Ann 5'!D12</f>
        <v>10090240.875</v>
      </c>
      <c r="F11" s="56">
        <f>'Ann 5'!E12</f>
        <v>10866413.249999998</v>
      </c>
      <c r="G11" s="56">
        <f>'Ann 5'!F12</f>
        <v>11642585.625</v>
      </c>
      <c r="H11" s="56">
        <f>'Ann 5'!G12</f>
        <v>12418758</v>
      </c>
      <c r="I11" s="56">
        <f>'Ann 5'!H12</f>
        <v>13461494.625</v>
      </c>
      <c r="J11" s="56">
        <f>'Ann 5'!I12</f>
        <v>14253347.25</v>
      </c>
      <c r="K11" s="56">
        <f>'Ann 5'!J12</f>
        <v>15045199.875</v>
      </c>
    </row>
    <row r="12" spans="1:11" x14ac:dyDescent="0.6">
      <c r="A12" s="34" t="s">
        <v>170</v>
      </c>
      <c r="B12" s="56">
        <v>0</v>
      </c>
      <c r="C12" s="56">
        <f>'Ann 4'!C11+'Ann 4'!C20-'Ann 5'!C24</f>
        <v>33244945</v>
      </c>
      <c r="D12" s="56">
        <f>'Ann 4'!D11+'Ann 4'!D20-'Ann 5'!D24</f>
        <v>35918064.149999999</v>
      </c>
      <c r="E12" s="56">
        <f>'Ann 4'!E11+'Ann 4'!E20-'Ann 5'!E24</f>
        <v>38606602.277999997</v>
      </c>
      <c r="F12" s="56">
        <f>'Ann 4'!F11+'Ann 4'!F20-'Ann 5'!F24</f>
        <v>41311580.597460002</v>
      </c>
      <c r="G12" s="56">
        <f>'Ann 4'!G11+'Ann 4'!G20-'Ann 5'!G24</f>
        <v>44034088.901032202</v>
      </c>
      <c r="H12" s="56">
        <f>'Ann 4'!H11+'Ann 4'!H20-'Ann 5'!H24</f>
        <v>46792502.715816952</v>
      </c>
      <c r="I12" s="56">
        <f>'Ann 4'!I11+'Ann 4'!I20-'Ann 5'!I24</f>
        <v>49554650.777222261</v>
      </c>
      <c r="J12" s="56">
        <f>'Ann 4'!J11+'Ann 4'!J20-'Ann 5'!J24</f>
        <v>52338057.843365863</v>
      </c>
      <c r="K12" s="56">
        <f>'Ann 4'!K11+'Ann 4'!K20-'Ann 5'!K24</f>
        <v>55142112.873476416</v>
      </c>
    </row>
    <row r="13" spans="1:11" x14ac:dyDescent="0.6">
      <c r="A13" s="34" t="s">
        <v>236</v>
      </c>
      <c r="B13" s="56">
        <f>'Ann 4'!C32</f>
        <v>50000</v>
      </c>
      <c r="C13" s="56">
        <v>0</v>
      </c>
      <c r="D13" s="56">
        <v>0</v>
      </c>
      <c r="E13" s="56">
        <v>0</v>
      </c>
      <c r="F13" s="56">
        <v>0</v>
      </c>
      <c r="G13" s="56">
        <v>0</v>
      </c>
      <c r="H13" s="56">
        <v>0</v>
      </c>
      <c r="I13" s="56">
        <v>0</v>
      </c>
      <c r="J13" s="56">
        <v>0</v>
      </c>
      <c r="K13" s="56">
        <v>0</v>
      </c>
    </row>
    <row r="14" spans="1:11" x14ac:dyDescent="0.6">
      <c r="A14" s="34" t="s">
        <v>154</v>
      </c>
      <c r="B14" s="56">
        <v>0</v>
      </c>
      <c r="C14" s="56">
        <f>'Ann 4'!C29</f>
        <v>273068.26923076913</v>
      </c>
      <c r="D14" s="56">
        <f>'Ann 4'!D29</f>
        <v>245355.76923076925</v>
      </c>
      <c r="E14" s="56">
        <f>'Ann 4'!E29</f>
        <v>211248.07692307691</v>
      </c>
      <c r="F14" s="56">
        <f>'Ann 4'!F29</f>
        <v>177140.38461538462</v>
      </c>
      <c r="G14" s="56">
        <f>'Ann 4'!G29</f>
        <v>143032.69230769231</v>
      </c>
      <c r="H14" s="56">
        <f>'Ann 4'!H29</f>
        <v>108925.00000000001</v>
      </c>
      <c r="I14" s="56">
        <f>'Ann 4'!I29</f>
        <v>74817.307692307717</v>
      </c>
      <c r="J14" s="56">
        <f>'Ann 4'!J29</f>
        <v>53500</v>
      </c>
      <c r="K14" s="56">
        <f>'Ann 4'!K29</f>
        <v>53500</v>
      </c>
    </row>
    <row r="15" spans="1:11" x14ac:dyDescent="0.6">
      <c r="A15" s="34"/>
      <c r="B15" s="56">
        <f>B4+B5+B6-B7-B8-B13</f>
        <v>535000</v>
      </c>
      <c r="C15" s="56">
        <f>C4+C9-C10+C11-C12-C14+C5+C6-C7</f>
        <v>3904386.730769231</v>
      </c>
      <c r="D15" s="56">
        <f>D4+D9-D10+D11-D12-D14+D5+D6-D7</f>
        <v>4655303.4538461557</v>
      </c>
      <c r="E15" s="56">
        <f>E4+E9-E10+E11-E12-E14+E5+E6-E7</f>
        <v>4701964.928499992</v>
      </c>
      <c r="F15" s="56">
        <f t="shared" ref="F15:K15" si="1">F4+F9-F10+F11-F12-F14+F5+F6-F7</f>
        <v>4673736.02569691</v>
      </c>
      <c r="G15" s="56">
        <f t="shared" si="1"/>
        <v>4575345.7953553088</v>
      </c>
      <c r="H15" s="56">
        <f t="shared" si="1"/>
        <v>5459170.3515678793</v>
      </c>
      <c r="I15" s="56">
        <f t="shared" si="1"/>
        <v>6486625.7214802913</v>
      </c>
      <c r="J15" s="56">
        <f t="shared" si="1"/>
        <v>7507864.8469874635</v>
      </c>
      <c r="K15" s="56">
        <f t="shared" si="1"/>
        <v>8957587.9517775327</v>
      </c>
    </row>
    <row r="16" spans="1:11" x14ac:dyDescent="0.6">
      <c r="A16" s="34" t="s">
        <v>172</v>
      </c>
      <c r="B16" s="56">
        <v>0</v>
      </c>
      <c r="C16" s="56">
        <f>'Ann 4'!C35</f>
        <v>53283.519230769256</v>
      </c>
      <c r="D16" s="56">
        <f>'Ann 4'!D35</f>
        <v>289114.71173076966</v>
      </c>
      <c r="E16" s="56">
        <f>'Ann 4'!E35</f>
        <v>380599.58102307777</v>
      </c>
      <c r="F16" s="56">
        <f>'Ann 4'!F35</f>
        <v>464319.6710023841</v>
      </c>
      <c r="G16" s="56">
        <f>'Ann 4'!G35</f>
        <v>540356.7521542816</v>
      </c>
      <c r="H16" s="56">
        <f>'Ann 4'!H35</f>
        <v>650537.31338772678</v>
      </c>
      <c r="I16" s="56">
        <f>'Ann 4'!I35</f>
        <v>713594.73581352015</v>
      </c>
      <c r="J16" s="56">
        <f>'Ann 4'!J35</f>
        <v>764915.19653494807</v>
      </c>
      <c r="K16" s="56">
        <f>'Ann 4'!K35</f>
        <v>796813.37377507624</v>
      </c>
    </row>
    <row r="17" spans="1:12" x14ac:dyDescent="0.6">
      <c r="A17" s="34"/>
      <c r="B17" s="56">
        <v>0</v>
      </c>
      <c r="C17" s="56">
        <f>C15-C16</f>
        <v>3851103.2115384615</v>
      </c>
      <c r="D17" s="56">
        <f t="shared" ref="D17:K17" si="2">D15-D16</f>
        <v>4366188.7421153858</v>
      </c>
      <c r="E17" s="56">
        <f t="shared" si="2"/>
        <v>4321365.3474769145</v>
      </c>
      <c r="F17" s="56">
        <f t="shared" si="2"/>
        <v>4209416.3546945257</v>
      </c>
      <c r="G17" s="56">
        <f t="shared" si="2"/>
        <v>4034989.0432010274</v>
      </c>
      <c r="H17" s="56">
        <f t="shared" si="2"/>
        <v>4808633.0381801529</v>
      </c>
      <c r="I17" s="56">
        <f t="shared" si="2"/>
        <v>5773030.9856667714</v>
      </c>
      <c r="J17" s="56">
        <f t="shared" si="2"/>
        <v>6742949.6504525151</v>
      </c>
      <c r="K17" s="56">
        <f t="shared" si="2"/>
        <v>8160774.5780024566</v>
      </c>
    </row>
    <row r="18" spans="1:12" x14ac:dyDescent="0.6">
      <c r="A18" s="34" t="s">
        <v>171</v>
      </c>
      <c r="B18" s="56">
        <v>0</v>
      </c>
      <c r="C18" s="56">
        <f>'Ann 4'!C37</f>
        <v>59462.569230769295</v>
      </c>
      <c r="D18" s="56">
        <f>'Ann 4'!D37</f>
        <v>539680.79523077013</v>
      </c>
      <c r="E18" s="56">
        <f>'Ann 4'!E37</f>
        <v>710452.55124307855</v>
      </c>
      <c r="F18" s="56">
        <f>'Ann 4'!F37</f>
        <v>866730.05253778386</v>
      </c>
      <c r="G18" s="56">
        <f>'Ann 4'!G37</f>
        <v>1008665.9373546592</v>
      </c>
      <c r="H18" s="56">
        <f>'Ann 4'!H37</f>
        <v>1214336.3183237568</v>
      </c>
      <c r="I18" s="56">
        <f>'Ann 4'!I37</f>
        <v>1332043.5068519043</v>
      </c>
      <c r="J18" s="56">
        <f>'Ann 4'!J37</f>
        <v>1427841.70019857</v>
      </c>
      <c r="K18" s="56">
        <f>'Ann 4'!K37</f>
        <v>1487384.9643801425</v>
      </c>
    </row>
    <row r="19" spans="1:12" x14ac:dyDescent="0.6">
      <c r="A19" s="34"/>
      <c r="B19" s="56">
        <v>0</v>
      </c>
      <c r="C19" s="56">
        <f>C17-C18</f>
        <v>3791640.6423076922</v>
      </c>
      <c r="D19" s="56">
        <f t="shared" ref="D19:K19" si="3">D17-D18</f>
        <v>3826507.9468846158</v>
      </c>
      <c r="E19" s="56">
        <f t="shared" si="3"/>
        <v>3610912.7962338361</v>
      </c>
      <c r="F19" s="56">
        <f t="shared" si="3"/>
        <v>3342686.3021567417</v>
      </c>
      <c r="G19" s="56">
        <f t="shared" si="3"/>
        <v>3026323.1058463682</v>
      </c>
      <c r="H19" s="56">
        <f t="shared" si="3"/>
        <v>3594296.7198563963</v>
      </c>
      <c r="I19" s="56">
        <f t="shared" si="3"/>
        <v>4440987.4788148673</v>
      </c>
      <c r="J19" s="56">
        <f t="shared" si="3"/>
        <v>5315107.9502539448</v>
      </c>
      <c r="K19" s="56">
        <f t="shared" si="3"/>
        <v>6673389.6136223143</v>
      </c>
    </row>
    <row r="20" spans="1:12" x14ac:dyDescent="0.6">
      <c r="A20" s="34" t="s">
        <v>173</v>
      </c>
      <c r="B20" s="56">
        <v>0</v>
      </c>
      <c r="C20" s="56">
        <f>SUM('Ann 13'!D9:D12)*100000</f>
        <v>284230.76923076919</v>
      </c>
      <c r="D20" s="56">
        <f>SUM('Ann 13'!D13:D16)*100000</f>
        <v>568461.53846153838</v>
      </c>
      <c r="E20" s="56">
        <f>SUM('Ann 13'!D17:D20)*100000</f>
        <v>568461.53846153838</v>
      </c>
      <c r="F20" s="56">
        <f>SUM('Ann 13'!D21:D24)*100000</f>
        <v>568461.53846153838</v>
      </c>
      <c r="G20" s="56">
        <f>SUM('Ann 13'!D25:D28)*100000</f>
        <v>568461.53846153838</v>
      </c>
      <c r="H20" s="56">
        <f>SUM('Ann 13'!D29:D32)*100000</f>
        <v>568461.53846153838</v>
      </c>
      <c r="I20" s="56">
        <f>SUM('Ann 13'!D33:D36)*100000</f>
        <v>568461.53846153873</v>
      </c>
      <c r="J20" s="56">
        <v>0</v>
      </c>
      <c r="K20" s="56">
        <v>0</v>
      </c>
    </row>
    <row r="21" spans="1:12" x14ac:dyDescent="0.6">
      <c r="A21" s="34" t="s">
        <v>174</v>
      </c>
      <c r="B21" s="56">
        <f>B4+B5+B6-B7-B13-B8</f>
        <v>535000</v>
      </c>
      <c r="C21" s="56">
        <f>C19-C20</f>
        <v>3507409.8730769232</v>
      </c>
      <c r="D21" s="56">
        <f>D19-D20</f>
        <v>3258046.4084230773</v>
      </c>
      <c r="E21" s="56">
        <f>E19-E20</f>
        <v>3042451.2577722976</v>
      </c>
      <c r="F21" s="56">
        <f t="shared" ref="F21:K21" si="4">F19-F20</f>
        <v>2774224.7636952032</v>
      </c>
      <c r="G21" s="56">
        <f t="shared" si="4"/>
        <v>2457861.5673848297</v>
      </c>
      <c r="H21" s="56">
        <f t="shared" si="4"/>
        <v>3025835.1813948578</v>
      </c>
      <c r="I21" s="56">
        <f t="shared" si="4"/>
        <v>3872525.9403533284</v>
      </c>
      <c r="J21" s="56">
        <f t="shared" si="4"/>
        <v>5315107.9502539448</v>
      </c>
      <c r="K21" s="56">
        <f t="shared" si="4"/>
        <v>6673389.6136223143</v>
      </c>
    </row>
    <row r="22" spans="1:12" x14ac:dyDescent="0.6">
      <c r="B22" s="55"/>
    </row>
    <row r="23" spans="1:12" x14ac:dyDescent="0.6">
      <c r="A23" s="114" t="s">
        <v>175</v>
      </c>
      <c r="B23" s="115">
        <v>0.06</v>
      </c>
      <c r="C23" s="116"/>
      <c r="D23" s="114"/>
      <c r="E23" s="114"/>
      <c r="F23" s="114"/>
      <c r="G23" s="114"/>
      <c r="H23" s="114"/>
      <c r="I23" s="114"/>
      <c r="J23" s="114"/>
      <c r="K23" s="114"/>
      <c r="L23" s="114"/>
    </row>
    <row r="24" spans="1:12" x14ac:dyDescent="0.6">
      <c r="A24" s="114" t="s">
        <v>176</v>
      </c>
      <c r="B24" s="114">
        <v>1</v>
      </c>
      <c r="C24" s="117">
        <f>1/(1+$B$23)</f>
        <v>0.94339622641509424</v>
      </c>
      <c r="D24" s="117">
        <f>1/((1+$B$23)*(1+$B$23))</f>
        <v>0.88999644001423983</v>
      </c>
      <c r="E24" s="117">
        <f>1/((1+$B$23)*(1+$B$23)*(1+$B$23))</f>
        <v>0.8396192830323016</v>
      </c>
      <c r="F24" s="117">
        <f>1/((1+$B$23)*(1+$B$23)*(1+$B$23)*(1+$B$23))</f>
        <v>0.79209366323802044</v>
      </c>
      <c r="G24" s="117">
        <f>1/((1+$B$23)*(1+$B$23)*(1+$B$23)*(1+$B$23)*(1+$B$23))</f>
        <v>0.74725817286605689</v>
      </c>
      <c r="H24" s="117">
        <f>1/((1+$B$23)*(1+$B$23)*(1+$B$23)*(1+$B$23)*(1+$B$23)*(1+$B$23))</f>
        <v>0.70496054043967626</v>
      </c>
      <c r="I24" s="117">
        <f>1/((1+$B$23)*(1+$B$23)*(1+$B$23)*(1+$B$23)*(1+$B$23)*(1+$B$23)*(1+$B$23))</f>
        <v>0.6650571136223361</v>
      </c>
      <c r="J24" s="117">
        <f>1/((1+$B$23)*(1+$B$23)*(1+$B$23)*(1+$B$23)*(1+$B$23)*(1+$B$23)*(1+$B$23)*(1+$B$23))</f>
        <v>0.62741237134182648</v>
      </c>
      <c r="K24" s="117">
        <f>1/((1+$B$23)*(1+$B$23)*(1+$B$23)*(1+$B$23)*(1+$B$23)*(1+$B$23)*(1+$B$23)*(1+$B$23)*(1+$B$23))</f>
        <v>0.59189846353002495</v>
      </c>
      <c r="L24" s="114"/>
    </row>
    <row r="25" spans="1:12" x14ac:dyDescent="0.6">
      <c r="A25" s="114" t="s">
        <v>177</v>
      </c>
      <c r="B25" s="114">
        <f>B4+B9+B11+B5+B6</f>
        <v>4700000</v>
      </c>
      <c r="C25" s="114">
        <f>C4+C9+C11+C5+C6</f>
        <v>37422400</v>
      </c>
      <c r="D25" s="114">
        <f t="shared" ref="D25:K25" si="5">D4+D9+D11</f>
        <v>53090223.373076923</v>
      </c>
      <c r="E25" s="114">
        <f t="shared" si="5"/>
        <v>56813940.283423066</v>
      </c>
      <c r="F25" s="114">
        <f t="shared" si="5"/>
        <v>60479207.007772297</v>
      </c>
      <c r="G25" s="114">
        <f t="shared" si="5"/>
        <v>64091842.388695203</v>
      </c>
      <c r="H25" s="114">
        <f t="shared" si="5"/>
        <v>68722598.067384839</v>
      </c>
      <c r="I25" s="114">
        <f t="shared" si="5"/>
        <v>73500718.80639486</v>
      </c>
      <c r="J25" s="114">
        <f t="shared" si="5"/>
        <v>78306672.690353334</v>
      </c>
      <c r="K25" s="114">
        <f t="shared" si="5"/>
        <v>83583075.825253949</v>
      </c>
      <c r="L25" s="114"/>
    </row>
    <row r="26" spans="1:12" x14ac:dyDescent="0.6">
      <c r="A26" s="114" t="s">
        <v>178</v>
      </c>
      <c r="B26" s="114">
        <f>B25*B24</f>
        <v>4700000</v>
      </c>
      <c r="C26" s="114">
        <f>C25*C24</f>
        <v>35304150.943396226</v>
      </c>
      <c r="D26" s="114">
        <f t="shared" ref="D26:K26" si="6">D25*D24</f>
        <v>47250109.801599249</v>
      </c>
      <c r="E26" s="114">
        <f t="shared" si="6"/>
        <v>47702079.80700767</v>
      </c>
      <c r="F26" s="114">
        <f t="shared" si="6"/>
        <v>47905196.628516912</v>
      </c>
      <c r="G26" s="114">
        <f t="shared" si="6"/>
        <v>47893153.038995676</v>
      </c>
      <c r="H26" s="114">
        <f t="shared" si="6"/>
        <v>48446719.87400227</v>
      </c>
      <c r="I26" s="114">
        <f t="shared" si="6"/>
        <v>48882175.898547925</v>
      </c>
      <c r="J26" s="114">
        <f t="shared" si="6"/>
        <v>49130575.204542831</v>
      </c>
      <c r="K26" s="114">
        <f t="shared" si="6"/>
        <v>49472694.158081383</v>
      </c>
      <c r="L26" s="114"/>
    </row>
    <row r="27" spans="1:12" x14ac:dyDescent="0.6">
      <c r="A27" s="114" t="s">
        <v>179</v>
      </c>
      <c r="B27" s="114">
        <f>B10+B12+B14+B16+B18+B20+B7+B13+B8</f>
        <v>4165000</v>
      </c>
      <c r="C27" s="114">
        <f t="shared" ref="C27:K27" si="7">C10+C12+C14+C16+C18+C20+C7+C13</f>
        <v>33914990.126923077</v>
      </c>
      <c r="D27" s="114">
        <f t="shared" si="7"/>
        <v>49832176.964653842</v>
      </c>
      <c r="E27" s="114">
        <f t="shared" si="7"/>
        <v>53771489.025650769</v>
      </c>
      <c r="F27" s="114">
        <f t="shared" si="7"/>
        <v>57704982.244077086</v>
      </c>
      <c r="G27" s="114">
        <f t="shared" si="7"/>
        <v>61633980.821310379</v>
      </c>
      <c r="H27" s="114">
        <f t="shared" si="7"/>
        <v>65696762.885989971</v>
      </c>
      <c r="I27" s="114">
        <f t="shared" si="7"/>
        <v>69628192.866041526</v>
      </c>
      <c r="J27" s="114">
        <f t="shared" si="7"/>
        <v>72991564.740099385</v>
      </c>
      <c r="K27" s="114">
        <f t="shared" si="7"/>
        <v>76909686.211631641</v>
      </c>
      <c r="L27" s="114"/>
    </row>
    <row r="28" spans="1:12" x14ac:dyDescent="0.6">
      <c r="A28" s="114" t="s">
        <v>180</v>
      </c>
      <c r="B28" s="114">
        <f>B27*B24</f>
        <v>4165000</v>
      </c>
      <c r="C28" s="114">
        <f>C27*C24</f>
        <v>31995273.704644408</v>
      </c>
      <c r="D28" s="114">
        <f t="shared" ref="D28:K28" si="8">D27*D24</f>
        <v>44350460.096701525</v>
      </c>
      <c r="E28" s="114">
        <f t="shared" si="8"/>
        <v>45147579.063296176</v>
      </c>
      <c r="F28" s="114">
        <f t="shared" si="8"/>
        <v>45707750.772795945</v>
      </c>
      <c r="G28" s="114">
        <f t="shared" si="8"/>
        <v>46056495.894993983</v>
      </c>
      <c r="H28" s="114">
        <f t="shared" si="8"/>
        <v>46313625.469244756</v>
      </c>
      <c r="I28" s="114">
        <f t="shared" si="8"/>
        <v>46306724.974228911</v>
      </c>
      <c r="J28" s="114">
        <f t="shared" si="8"/>
        <v>45795810.721536204</v>
      </c>
      <c r="K28" s="114">
        <f t="shared" si="8"/>
        <v>45522725.099241115</v>
      </c>
      <c r="L28" s="114"/>
    </row>
    <row r="29" spans="1:12" x14ac:dyDescent="0.6">
      <c r="A29" s="114"/>
      <c r="B29" s="114"/>
      <c r="C29" s="114"/>
      <c r="D29" s="114"/>
      <c r="E29" s="114"/>
      <c r="F29" s="114"/>
      <c r="G29" s="114"/>
      <c r="H29" s="114"/>
      <c r="I29" s="114"/>
      <c r="J29" s="114"/>
      <c r="K29" s="114"/>
      <c r="L29" s="114"/>
    </row>
    <row r="30" spans="1:12" x14ac:dyDescent="0.6">
      <c r="A30" s="114" t="s">
        <v>181</v>
      </c>
      <c r="B30" s="114">
        <f>B25-B27</f>
        <v>535000</v>
      </c>
      <c r="C30" s="114">
        <f>C25-C27</f>
        <v>3507409.8730769232</v>
      </c>
      <c r="D30" s="114">
        <f>D25-D27</f>
        <v>3258046.408423081</v>
      </c>
      <c r="E30" s="114">
        <f t="shared" ref="E30:K30" si="9">E25-E27</f>
        <v>3042451.2577722967</v>
      </c>
      <c r="F30" s="114">
        <f t="shared" si="9"/>
        <v>2774224.7636952102</v>
      </c>
      <c r="G30" s="114">
        <f t="shared" si="9"/>
        <v>2457861.5673848242</v>
      </c>
      <c r="H30" s="114">
        <f t="shared" si="9"/>
        <v>3025835.1813948676</v>
      </c>
      <c r="I30" s="114">
        <f t="shared" si="9"/>
        <v>3872525.940353334</v>
      </c>
      <c r="J30" s="114">
        <f t="shared" si="9"/>
        <v>5315107.9502539486</v>
      </c>
      <c r="K30" s="114">
        <f t="shared" si="9"/>
        <v>6673389.6136223078</v>
      </c>
      <c r="L30" s="114"/>
    </row>
    <row r="31" spans="1:12" x14ac:dyDescent="0.6">
      <c r="A31" s="114" t="s">
        <v>182</v>
      </c>
      <c r="B31" s="114">
        <f>B26-B28</f>
        <v>535000</v>
      </c>
      <c r="C31" s="114">
        <f>C30*C24</f>
        <v>3308877.2387518138</v>
      </c>
      <c r="D31" s="114">
        <f t="shared" ref="D31:K31" si="10">D30*D24</f>
        <v>2899649.7048977222</v>
      </c>
      <c r="E31" s="114">
        <f t="shared" si="10"/>
        <v>2554500.7437115</v>
      </c>
      <c r="F31" s="114">
        <f t="shared" si="10"/>
        <v>2197445.8557209708</v>
      </c>
      <c r="G31" s="114">
        <f t="shared" si="10"/>
        <v>1836657.1440016865</v>
      </c>
      <c r="H31" s="114">
        <f t="shared" si="10"/>
        <v>2133094.4047575118</v>
      </c>
      <c r="I31" s="114">
        <f t="shared" si="10"/>
        <v>2575450.9243190112</v>
      </c>
      <c r="J31" s="114">
        <f t="shared" si="10"/>
        <v>3334764.4830066245</v>
      </c>
      <c r="K31" s="114">
        <f t="shared" si="10"/>
        <v>3949969.0588402711</v>
      </c>
      <c r="L31" s="114">
        <f>SUM(C31:K31)</f>
        <v>24790409.55800711</v>
      </c>
    </row>
    <row r="32" spans="1:12" x14ac:dyDescent="0.6">
      <c r="C32" s="55"/>
      <c r="D32" s="55"/>
      <c r="E32" s="55"/>
      <c r="F32" s="55"/>
      <c r="G32" s="55"/>
    </row>
  </sheetData>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ADB1-212F-431E-A926-791FC9CE0F57}">
  <sheetPr>
    <pageSetUpPr fitToPage="1"/>
  </sheetPr>
  <dimension ref="A1:J27"/>
  <sheetViews>
    <sheetView workbookViewId="0"/>
  </sheetViews>
  <sheetFormatPr defaultRowHeight="17" x14ac:dyDescent="0.6"/>
  <cols>
    <col min="1" max="1" width="40.36328125" style="6" bestFit="1" customWidth="1"/>
    <col min="2" max="10" width="16.08984375" style="6" bestFit="1" customWidth="1"/>
    <col min="11" max="11" width="12.54296875" style="6" bestFit="1" customWidth="1"/>
    <col min="12" max="16384" width="8.7265625" style="6"/>
  </cols>
  <sheetData>
    <row r="1" spans="1:10" x14ac:dyDescent="0.6">
      <c r="A1" s="5" t="s">
        <v>158</v>
      </c>
    </row>
    <row r="2" spans="1:10" x14ac:dyDescent="0.6">
      <c r="A2" s="142" t="s">
        <v>3</v>
      </c>
      <c r="B2" s="143" t="s">
        <v>47</v>
      </c>
      <c r="C2" s="143"/>
      <c r="D2" s="143"/>
      <c r="E2" s="143"/>
      <c r="F2" s="143"/>
      <c r="G2" s="143"/>
      <c r="H2" s="143"/>
      <c r="I2" s="143"/>
      <c r="J2" s="143"/>
    </row>
    <row r="3" spans="1:10" x14ac:dyDescent="0.6">
      <c r="A3" s="142"/>
      <c r="B3" s="59" t="s">
        <v>38</v>
      </c>
      <c r="C3" s="59" t="s">
        <v>39</v>
      </c>
      <c r="D3" s="59" t="s">
        <v>40</v>
      </c>
      <c r="E3" s="59" t="s">
        <v>41</v>
      </c>
      <c r="F3" s="59" t="s">
        <v>42</v>
      </c>
      <c r="G3" s="59" t="s">
        <v>43</v>
      </c>
      <c r="H3" s="59" t="s">
        <v>44</v>
      </c>
      <c r="I3" s="59" t="s">
        <v>45</v>
      </c>
      <c r="J3" s="59" t="s">
        <v>46</v>
      </c>
    </row>
    <row r="4" spans="1:10" x14ac:dyDescent="0.6">
      <c r="A4" s="34" t="s">
        <v>235</v>
      </c>
      <c r="B4" s="99">
        <v>0.6</v>
      </c>
      <c r="C4" s="99">
        <v>0.65</v>
      </c>
      <c r="D4" s="99">
        <v>0.7</v>
      </c>
      <c r="E4" s="99">
        <v>0.75</v>
      </c>
      <c r="F4" s="99">
        <v>0.8</v>
      </c>
      <c r="G4" s="99">
        <v>0.85</v>
      </c>
      <c r="H4" s="99">
        <v>0.9</v>
      </c>
      <c r="I4" s="99">
        <v>0.95</v>
      </c>
      <c r="J4" s="99">
        <v>1</v>
      </c>
    </row>
    <row r="5" spans="1:10" x14ac:dyDescent="0.6">
      <c r="A5" s="34" t="s">
        <v>260</v>
      </c>
      <c r="B5" s="100">
        <f>$B$12*B4</f>
        <v>202500</v>
      </c>
      <c r="C5" s="100">
        <f t="shared" ref="C5:J5" si="0">$B$12*C4</f>
        <v>219375</v>
      </c>
      <c r="D5" s="100">
        <f t="shared" si="0"/>
        <v>236249.99999999997</v>
      </c>
      <c r="E5" s="100">
        <f t="shared" si="0"/>
        <v>253125</v>
      </c>
      <c r="F5" s="100">
        <f t="shared" si="0"/>
        <v>270000</v>
      </c>
      <c r="G5" s="100">
        <f t="shared" si="0"/>
        <v>286875</v>
      </c>
      <c r="H5" s="100">
        <f t="shared" si="0"/>
        <v>303750</v>
      </c>
      <c r="I5" s="100">
        <f t="shared" si="0"/>
        <v>320625</v>
      </c>
      <c r="J5" s="100">
        <f t="shared" si="0"/>
        <v>337500</v>
      </c>
    </row>
    <row r="6" spans="1:10" x14ac:dyDescent="0.6">
      <c r="A6" s="34" t="s">
        <v>275</v>
      </c>
      <c r="B6" s="100">
        <f>B5*1000/750</f>
        <v>270000</v>
      </c>
      <c r="C6" s="100">
        <f t="shared" ref="C6:J6" si="1">C5*1000/750</f>
        <v>292500</v>
      </c>
      <c r="D6" s="100">
        <f t="shared" si="1"/>
        <v>314999.99999999994</v>
      </c>
      <c r="E6" s="100">
        <f t="shared" si="1"/>
        <v>337500</v>
      </c>
      <c r="F6" s="100">
        <f t="shared" si="1"/>
        <v>360000</v>
      </c>
      <c r="G6" s="100">
        <f t="shared" si="1"/>
        <v>382500</v>
      </c>
      <c r="H6" s="100">
        <f t="shared" si="1"/>
        <v>405000</v>
      </c>
      <c r="I6" s="100">
        <f t="shared" si="1"/>
        <v>427500</v>
      </c>
      <c r="J6" s="100">
        <f t="shared" si="1"/>
        <v>450000</v>
      </c>
    </row>
    <row r="7" spans="1:10" x14ac:dyDescent="0.6">
      <c r="A7" s="34" t="s">
        <v>273</v>
      </c>
      <c r="B7" s="56">
        <f>B5*99%</f>
        <v>200475</v>
      </c>
      <c r="C7" s="56">
        <f t="shared" ref="C7:F7" si="2">C5*99%</f>
        <v>217181.25</v>
      </c>
      <c r="D7" s="56">
        <f t="shared" si="2"/>
        <v>233887.49999999997</v>
      </c>
      <c r="E7" s="56">
        <f t="shared" si="2"/>
        <v>250593.75</v>
      </c>
      <c r="F7" s="56">
        <f t="shared" si="2"/>
        <v>267300</v>
      </c>
      <c r="G7" s="56">
        <f>G5*101%</f>
        <v>289743.75</v>
      </c>
      <c r="H7" s="56">
        <f t="shared" ref="H7:I7" si="3">H5*101%</f>
        <v>306787.5</v>
      </c>
      <c r="I7" s="56">
        <f t="shared" si="3"/>
        <v>323831.25</v>
      </c>
      <c r="J7" s="56">
        <f>MIN(J5*101%,J22+J21)</f>
        <v>340200</v>
      </c>
    </row>
    <row r="8" spans="1:10" x14ac:dyDescent="0.6">
      <c r="A8" s="34" t="s">
        <v>274</v>
      </c>
      <c r="B8" s="56">
        <f>B7*$C$16</f>
        <v>46109250</v>
      </c>
      <c r="C8" s="56">
        <f>C7*$C$16*1.01</f>
        <v>50451204.375</v>
      </c>
      <c r="D8" s="56">
        <f t="shared" ref="D8:J8" si="4">D7*$C$16*1.01</f>
        <v>54332066.249999993</v>
      </c>
      <c r="E8" s="56">
        <f t="shared" si="4"/>
        <v>58212928.125</v>
      </c>
      <c r="F8" s="56">
        <f t="shared" si="4"/>
        <v>62093790</v>
      </c>
      <c r="G8" s="56">
        <f t="shared" si="4"/>
        <v>67307473.125</v>
      </c>
      <c r="H8" s="56">
        <f t="shared" si="4"/>
        <v>71266736.25</v>
      </c>
      <c r="I8" s="56">
        <f t="shared" si="4"/>
        <v>75225999.375</v>
      </c>
      <c r="J8" s="56">
        <f t="shared" si="4"/>
        <v>79028460</v>
      </c>
    </row>
    <row r="9" spans="1:10" x14ac:dyDescent="0.6">
      <c r="B9" s="30"/>
      <c r="C9" s="30"/>
      <c r="D9" s="30"/>
      <c r="E9" s="30"/>
      <c r="F9" s="30"/>
      <c r="G9" s="30"/>
      <c r="H9" s="30"/>
      <c r="I9" s="30"/>
      <c r="J9" s="30"/>
    </row>
    <row r="10" spans="1:10" x14ac:dyDescent="0.6">
      <c r="A10" s="5" t="s">
        <v>251</v>
      </c>
    </row>
    <row r="12" spans="1:10" x14ac:dyDescent="0.6">
      <c r="A12" s="6" t="s">
        <v>234</v>
      </c>
      <c r="B12" s="101">
        <f>1.5*225*1000</f>
        <v>337500</v>
      </c>
      <c r="C12" s="134" t="s">
        <v>314</v>
      </c>
      <c r="E12" s="102"/>
      <c r="G12" s="55"/>
    </row>
    <row r="13" spans="1:10" x14ac:dyDescent="0.6">
      <c r="A13" s="6" t="s">
        <v>249</v>
      </c>
      <c r="B13" s="103" t="s">
        <v>297</v>
      </c>
      <c r="C13" s="133"/>
    </row>
    <row r="15" spans="1:10" s="107" customFormat="1" ht="58" customHeight="1" x14ac:dyDescent="0.35">
      <c r="A15" s="104" t="s">
        <v>159</v>
      </c>
      <c r="B15" s="105" t="s">
        <v>160</v>
      </c>
      <c r="C15" s="106" t="s">
        <v>278</v>
      </c>
      <c r="D15" s="105" t="s">
        <v>279</v>
      </c>
    </row>
    <row r="16" spans="1:10" s="107" customFormat="1" x14ac:dyDescent="0.35">
      <c r="A16" s="104" t="s">
        <v>161</v>
      </c>
      <c r="B16" s="108">
        <f>B12</f>
        <v>337500</v>
      </c>
      <c r="C16" s="109">
        <v>230</v>
      </c>
      <c r="D16" s="110">
        <v>150</v>
      </c>
    </row>
    <row r="17" spans="1:10" s="107" customFormat="1" x14ac:dyDescent="0.35">
      <c r="A17" s="111"/>
      <c r="B17" s="112"/>
      <c r="C17" s="113"/>
      <c r="D17" s="113"/>
    </row>
    <row r="18" spans="1:10" x14ac:dyDescent="0.6">
      <c r="A18" s="5" t="s">
        <v>250</v>
      </c>
    </row>
    <row r="19" spans="1:10" x14ac:dyDescent="0.6">
      <c r="A19" s="142" t="s">
        <v>3</v>
      </c>
      <c r="B19" s="143" t="s">
        <v>47</v>
      </c>
      <c r="C19" s="143"/>
      <c r="D19" s="143"/>
      <c r="E19" s="143"/>
      <c r="F19" s="143"/>
      <c r="G19" s="143"/>
      <c r="H19" s="143"/>
      <c r="I19" s="143"/>
      <c r="J19" s="143"/>
    </row>
    <row r="20" spans="1:10" x14ac:dyDescent="0.6">
      <c r="A20" s="142"/>
      <c r="B20" s="59" t="s">
        <v>38</v>
      </c>
      <c r="C20" s="59" t="s">
        <v>39</v>
      </c>
      <c r="D20" s="59" t="s">
        <v>40</v>
      </c>
      <c r="E20" s="59" t="s">
        <v>41</v>
      </c>
      <c r="F20" s="59" t="s">
        <v>42</v>
      </c>
      <c r="G20" s="59" t="s">
        <v>43</v>
      </c>
      <c r="H20" s="59" t="s">
        <v>44</v>
      </c>
      <c r="I20" s="59" t="s">
        <v>45</v>
      </c>
      <c r="J20" s="59" t="s">
        <v>46</v>
      </c>
    </row>
    <row r="21" spans="1:10" x14ac:dyDescent="0.6">
      <c r="A21" s="34" t="s">
        <v>252</v>
      </c>
      <c r="B21" s="93">
        <v>0</v>
      </c>
      <c r="C21" s="82">
        <f>B24</f>
        <v>2025</v>
      </c>
      <c r="D21" s="82">
        <f t="shared" ref="D21:J21" si="5">C24</f>
        <v>4218.75</v>
      </c>
      <c r="E21" s="82">
        <f t="shared" si="5"/>
        <v>6581.25</v>
      </c>
      <c r="F21" s="82">
        <f t="shared" si="5"/>
        <v>9112.5</v>
      </c>
      <c r="G21" s="82">
        <f t="shared" si="5"/>
        <v>11812.5</v>
      </c>
      <c r="H21" s="82">
        <f t="shared" si="5"/>
        <v>8943.75</v>
      </c>
      <c r="I21" s="82">
        <f t="shared" si="5"/>
        <v>5906.25</v>
      </c>
      <c r="J21" s="82">
        <f t="shared" si="5"/>
        <v>2700</v>
      </c>
    </row>
    <row r="22" spans="1:10" x14ac:dyDescent="0.6">
      <c r="A22" s="34" t="s">
        <v>253</v>
      </c>
      <c r="B22" s="82">
        <f>B5</f>
        <v>202500</v>
      </c>
      <c r="C22" s="82">
        <f t="shared" ref="C22:J22" si="6">C5</f>
        <v>219375</v>
      </c>
      <c r="D22" s="82">
        <f t="shared" si="6"/>
        <v>236249.99999999997</v>
      </c>
      <c r="E22" s="82">
        <f t="shared" si="6"/>
        <v>253125</v>
      </c>
      <c r="F22" s="82">
        <f t="shared" si="6"/>
        <v>270000</v>
      </c>
      <c r="G22" s="82">
        <f t="shared" si="6"/>
        <v>286875</v>
      </c>
      <c r="H22" s="82">
        <f t="shared" si="6"/>
        <v>303750</v>
      </c>
      <c r="I22" s="82">
        <f t="shared" si="6"/>
        <v>320625</v>
      </c>
      <c r="J22" s="82">
        <f t="shared" si="6"/>
        <v>337500</v>
      </c>
    </row>
    <row r="23" spans="1:10" x14ac:dyDescent="0.6">
      <c r="A23" s="34" t="s">
        <v>49</v>
      </c>
      <c r="B23" s="82">
        <f>B7</f>
        <v>200475</v>
      </c>
      <c r="C23" s="82">
        <f t="shared" ref="C23:J23" si="7">C7</f>
        <v>217181.25</v>
      </c>
      <c r="D23" s="82">
        <f t="shared" si="7"/>
        <v>233887.49999999997</v>
      </c>
      <c r="E23" s="82">
        <f t="shared" si="7"/>
        <v>250593.75</v>
      </c>
      <c r="F23" s="82">
        <f t="shared" si="7"/>
        <v>267300</v>
      </c>
      <c r="G23" s="82">
        <f t="shared" si="7"/>
        <v>289743.75</v>
      </c>
      <c r="H23" s="82">
        <f t="shared" si="7"/>
        <v>306787.5</v>
      </c>
      <c r="I23" s="82">
        <f t="shared" si="7"/>
        <v>323831.25</v>
      </c>
      <c r="J23" s="82">
        <f t="shared" si="7"/>
        <v>340200</v>
      </c>
    </row>
    <row r="24" spans="1:10" x14ac:dyDescent="0.6">
      <c r="A24" s="34" t="s">
        <v>254</v>
      </c>
      <c r="B24" s="82">
        <f>B21+B22-B23</f>
        <v>2025</v>
      </c>
      <c r="C24" s="82">
        <f t="shared" ref="C24:J24" si="8">C21+C22-C23</f>
        <v>4218.75</v>
      </c>
      <c r="D24" s="82">
        <f t="shared" si="8"/>
        <v>6581.25</v>
      </c>
      <c r="E24" s="82">
        <f t="shared" si="8"/>
        <v>9112.5</v>
      </c>
      <c r="F24" s="82">
        <f t="shared" si="8"/>
        <v>11812.5</v>
      </c>
      <c r="G24" s="82">
        <f t="shared" si="8"/>
        <v>8943.75</v>
      </c>
      <c r="H24" s="82">
        <f t="shared" si="8"/>
        <v>5906.25</v>
      </c>
      <c r="I24" s="82">
        <f t="shared" si="8"/>
        <v>2700</v>
      </c>
      <c r="J24" s="82">
        <f t="shared" si="8"/>
        <v>0</v>
      </c>
    </row>
    <row r="26" spans="1:10" x14ac:dyDescent="0.6">
      <c r="A26" s="145" t="s">
        <v>317</v>
      </c>
      <c r="B26" s="145"/>
      <c r="C26" s="145"/>
      <c r="D26" s="145"/>
      <c r="E26" s="145"/>
      <c r="F26" s="145"/>
      <c r="G26" s="145"/>
      <c r="H26" s="145"/>
      <c r="I26" s="145"/>
      <c r="J26" s="145"/>
    </row>
    <row r="27" spans="1:10" x14ac:dyDescent="0.6">
      <c r="A27" s="6" t="s">
        <v>298</v>
      </c>
    </row>
  </sheetData>
  <mergeCells count="5">
    <mergeCell ref="B2:J2"/>
    <mergeCell ref="B19:J19"/>
    <mergeCell ref="A26:J26"/>
    <mergeCell ref="A19:A20"/>
    <mergeCell ref="A2:A3"/>
  </mergeCells>
  <pageMargins left="0.7" right="0.7" top="0.75" bottom="0.75" header="0.3" footer="0.3"/>
  <pageSetup scale="6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B69F-8F0D-45BD-B703-60FCEF10A70F}">
  <dimension ref="A2:J8"/>
  <sheetViews>
    <sheetView workbookViewId="0">
      <selection activeCell="B3" sqref="B3:F8"/>
    </sheetView>
  </sheetViews>
  <sheetFormatPr defaultRowHeight="17" x14ac:dyDescent="0.6"/>
  <cols>
    <col min="1" max="1" width="16.453125" style="6" bestFit="1" customWidth="1"/>
    <col min="2" max="16384" width="8.7265625" style="6"/>
  </cols>
  <sheetData>
    <row r="2" spans="1:10" x14ac:dyDescent="0.6">
      <c r="B2" s="6" t="s">
        <v>38</v>
      </c>
      <c r="C2" s="6" t="s">
        <v>39</v>
      </c>
      <c r="D2" s="6" t="s">
        <v>40</v>
      </c>
      <c r="E2" s="6" t="s">
        <v>41</v>
      </c>
      <c r="F2" s="6" t="s">
        <v>42</v>
      </c>
      <c r="G2" s="6" t="s">
        <v>43</v>
      </c>
      <c r="H2" s="6" t="s">
        <v>44</v>
      </c>
      <c r="I2" s="6" t="s">
        <v>45</v>
      </c>
      <c r="J2" s="6" t="s">
        <v>46</v>
      </c>
    </row>
    <row r="3" spans="1:10" x14ac:dyDescent="0.6">
      <c r="A3" s="6" t="s">
        <v>183</v>
      </c>
      <c r="B3" s="30">
        <f>'Ann 4'!C23/100000</f>
        <v>461.09249999999997</v>
      </c>
      <c r="C3" s="30">
        <f>'Ann 4'!D23/100000</f>
        <v>504.51204374999998</v>
      </c>
      <c r="D3" s="30">
        <f>'Ann 4'!E23/100000</f>
        <v>543.32066249999991</v>
      </c>
      <c r="E3" s="30">
        <f>'Ann 4'!F23/100000</f>
        <v>582.12928124999996</v>
      </c>
      <c r="F3" s="30">
        <f>'Ann 4'!G23/100000</f>
        <v>620.93790000000001</v>
      </c>
      <c r="G3" s="30">
        <f>'Ann 4'!H23/100000</f>
        <v>673.07473125000001</v>
      </c>
      <c r="H3" s="30">
        <f>'Ann 4'!I23/100000</f>
        <v>712.66736249999997</v>
      </c>
      <c r="I3" s="30">
        <f>'Ann 4'!J23/100000</f>
        <v>752.25999375000004</v>
      </c>
      <c r="J3" s="30">
        <f>'Ann 4'!K23/100000</f>
        <v>790.28459999999995</v>
      </c>
    </row>
    <row r="4" spans="1:10" x14ac:dyDescent="0.6">
      <c r="A4" s="6" t="s">
        <v>184</v>
      </c>
      <c r="B4" s="30">
        <f>'Ann 4'!C22/100000</f>
        <v>451.01319999999998</v>
      </c>
      <c r="C4" s="30">
        <f>'Ann 4'!D22/100000</f>
        <v>487.62470400000001</v>
      </c>
      <c r="D4" s="30">
        <f>'Ann 4'!E22/100000</f>
        <v>524.39039777999994</v>
      </c>
      <c r="E4" s="30">
        <f>'Ann 4'!F22/100000</f>
        <v>561.32049347459997</v>
      </c>
      <c r="F4" s="30">
        <f>'Ann 4'!G22/100000</f>
        <v>598.42588901032207</v>
      </c>
      <c r="G4" s="30">
        <f>'Ann 4'!H22/100000</f>
        <v>647.65221465816956</v>
      </c>
      <c r="H4" s="30">
        <f>'Ann 4'!I22/100000</f>
        <v>685.84588277222258</v>
      </c>
      <c r="I4" s="30">
        <f>'Ann 4'!J22/100000</f>
        <v>724.25214093365867</v>
      </c>
      <c r="J4" s="30">
        <f>'Ann 4'!K22/100000</f>
        <v>761.48112873476418</v>
      </c>
    </row>
    <row r="5" spans="1:10" x14ac:dyDescent="0.6">
      <c r="A5" s="6" t="s">
        <v>185</v>
      </c>
      <c r="B5" s="30">
        <f>B3-B4</f>
        <v>10.079299999999989</v>
      </c>
      <c r="C5" s="30">
        <f t="shared" ref="C5:J5" si="0">C3-C4</f>
        <v>16.887339749999967</v>
      </c>
      <c r="D5" s="30">
        <f t="shared" si="0"/>
        <v>18.930264719999968</v>
      </c>
      <c r="E5" s="30">
        <f t="shared" si="0"/>
        <v>20.808787775399992</v>
      </c>
      <c r="F5" s="30">
        <f t="shared" si="0"/>
        <v>22.512010989677947</v>
      </c>
      <c r="G5" s="30">
        <f t="shared" si="0"/>
        <v>25.422516591830458</v>
      </c>
      <c r="H5" s="30">
        <f t="shared" si="0"/>
        <v>26.821479727777387</v>
      </c>
      <c r="I5" s="30">
        <f t="shared" si="0"/>
        <v>28.007852816341369</v>
      </c>
      <c r="J5" s="30">
        <f t="shared" si="0"/>
        <v>28.803471265235771</v>
      </c>
    </row>
    <row r="6" spans="1:10" x14ac:dyDescent="0.6">
      <c r="A6" s="6" t="s">
        <v>186</v>
      </c>
      <c r="B6" s="30">
        <f>B5</f>
        <v>10.079299999999989</v>
      </c>
      <c r="C6" s="30">
        <f t="shared" ref="C6:J6" si="1">C5</f>
        <v>16.887339749999967</v>
      </c>
      <c r="D6" s="30">
        <f t="shared" si="1"/>
        <v>18.930264719999968</v>
      </c>
      <c r="E6" s="30">
        <f t="shared" si="1"/>
        <v>20.808787775399992</v>
      </c>
      <c r="F6" s="30">
        <f t="shared" si="1"/>
        <v>22.512010989677947</v>
      </c>
      <c r="G6" s="30">
        <f t="shared" si="1"/>
        <v>25.422516591830458</v>
      </c>
      <c r="H6" s="30">
        <f t="shared" si="1"/>
        <v>26.821479727777387</v>
      </c>
      <c r="I6" s="30">
        <f t="shared" si="1"/>
        <v>28.007852816341369</v>
      </c>
      <c r="J6" s="30">
        <f t="shared" si="1"/>
        <v>28.803471265235771</v>
      </c>
    </row>
    <row r="7" spans="1:10" x14ac:dyDescent="0.6">
      <c r="A7" s="6" t="s">
        <v>187</v>
      </c>
      <c r="B7" s="118">
        <f>'Ann 4'!C34/100000</f>
        <v>1.2761173076923087</v>
      </c>
      <c r="C7" s="118">
        <f>'Ann 4'!D34/100000</f>
        <v>9.6371570576923222</v>
      </c>
      <c r="D7" s="118">
        <f>'Ann 4'!E34/100000</f>
        <v>12.686652700769258</v>
      </c>
      <c r="E7" s="118">
        <f>'Ann 4'!F34/100000</f>
        <v>15.477322366746138</v>
      </c>
      <c r="F7" s="118">
        <f>'Ann 4'!G34/100000</f>
        <v>18.011891738476056</v>
      </c>
      <c r="G7" s="118">
        <f>'Ann 4'!H34/100000</f>
        <v>21.684577112924227</v>
      </c>
      <c r="H7" s="118">
        <f>'Ann 4'!I34/100000</f>
        <v>23.786491193784006</v>
      </c>
      <c r="I7" s="118">
        <f>'Ann 4'!J34/100000</f>
        <v>25.497173217831602</v>
      </c>
      <c r="J7" s="118">
        <f>'Ann 4'!K34/100000</f>
        <v>26.560445792502541</v>
      </c>
    </row>
    <row r="8" spans="1:10" x14ac:dyDescent="0.6">
      <c r="A8" s="6" t="s">
        <v>188</v>
      </c>
      <c r="B8" s="118">
        <f>'Ann 4'!C36/100000</f>
        <v>0.74328211538461619</v>
      </c>
      <c r="C8" s="118">
        <f>'Ann 4'!D36/100000</f>
        <v>6.7460099403846261</v>
      </c>
      <c r="D8" s="118">
        <f>'Ann 4'!E36/100000</f>
        <v>8.8806568905384822</v>
      </c>
      <c r="E8" s="118">
        <f>'Ann 4'!F36/100000</f>
        <v>10.834125656722298</v>
      </c>
      <c r="F8" s="118">
        <f>'Ann 4'!G36/100000</f>
        <v>12.608324216933239</v>
      </c>
      <c r="G8" s="118">
        <f>'Ann 4'!H36/100000</f>
        <v>15.17920397904696</v>
      </c>
      <c r="H8" s="118">
        <f>'Ann 4'!I36/100000</f>
        <v>16.650543835648804</v>
      </c>
      <c r="I8" s="118">
        <f>'Ann 4'!J36/100000</f>
        <v>17.848021252482123</v>
      </c>
      <c r="J8" s="118">
        <f>'Ann 4'!K36/100000</f>
        <v>18.59231205475178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DA7-00E0-4D15-8196-E2CB4C255341}">
  <sheetPr>
    <pageSetUpPr fitToPage="1"/>
  </sheetPr>
  <dimension ref="A1:L8"/>
  <sheetViews>
    <sheetView tabSelected="1" workbookViewId="0"/>
  </sheetViews>
  <sheetFormatPr defaultRowHeight="17" x14ac:dyDescent="0.6"/>
  <cols>
    <col min="1" max="1" width="8.7265625" style="6"/>
    <col min="2" max="2" width="84" style="6" bestFit="1" customWidth="1"/>
    <col min="3" max="3" width="12.36328125" style="6" bestFit="1" customWidth="1"/>
    <col min="4" max="12" width="12.54296875" style="6" bestFit="1" customWidth="1"/>
    <col min="13" max="16384" width="8.7265625" style="6"/>
  </cols>
  <sheetData>
    <row r="1" spans="1:12" x14ac:dyDescent="0.6">
      <c r="A1" s="5" t="s">
        <v>208</v>
      </c>
      <c r="B1" s="5" t="s">
        <v>209</v>
      </c>
    </row>
    <row r="2" spans="1:12" x14ac:dyDescent="0.6">
      <c r="A2" s="6">
        <v>1</v>
      </c>
      <c r="B2" s="6" t="s">
        <v>294</v>
      </c>
    </row>
    <row r="3" spans="1:12" x14ac:dyDescent="0.6">
      <c r="A3" s="6">
        <v>2</v>
      </c>
      <c r="B3" s="6" t="s">
        <v>210</v>
      </c>
    </row>
    <row r="4" spans="1:12" x14ac:dyDescent="0.6">
      <c r="C4" s="6" t="s">
        <v>163</v>
      </c>
      <c r="D4" s="6">
        <v>90000</v>
      </c>
      <c r="E4" s="6">
        <f>D4*1.05</f>
        <v>94500</v>
      </c>
      <c r="F4" s="6">
        <f t="shared" ref="F4:L4" si="0">E4*1.05</f>
        <v>99225</v>
      </c>
      <c r="G4" s="6">
        <f t="shared" si="0"/>
        <v>104186.25</v>
      </c>
      <c r="H4" s="6">
        <f t="shared" si="0"/>
        <v>109395.5625</v>
      </c>
      <c r="I4" s="6">
        <f t="shared" si="0"/>
        <v>114865.34062500001</v>
      </c>
      <c r="J4" s="6">
        <f t="shared" si="0"/>
        <v>120608.60765625002</v>
      </c>
      <c r="K4" s="6">
        <f t="shared" si="0"/>
        <v>126639.03803906254</v>
      </c>
      <c r="L4" s="6">
        <f t="shared" si="0"/>
        <v>132970.98994101566</v>
      </c>
    </row>
    <row r="5" spans="1:12" x14ac:dyDescent="0.6">
      <c r="C5" s="6" t="s">
        <v>69</v>
      </c>
      <c r="D5" s="6">
        <f>D4*14</f>
        <v>1260000</v>
      </c>
      <c r="E5" s="6">
        <f t="shared" ref="E5:L5" si="1">E4*14</f>
        <v>1323000</v>
      </c>
      <c r="F5" s="6">
        <f t="shared" si="1"/>
        <v>1389150</v>
      </c>
      <c r="G5" s="6">
        <f t="shared" si="1"/>
        <v>1458607.5</v>
      </c>
      <c r="H5" s="6">
        <f t="shared" si="1"/>
        <v>1531537.875</v>
      </c>
      <c r="I5" s="6">
        <f t="shared" si="1"/>
        <v>1608114.7687500003</v>
      </c>
      <c r="J5" s="6">
        <f t="shared" si="1"/>
        <v>1688520.5071875004</v>
      </c>
      <c r="K5" s="6">
        <f t="shared" si="1"/>
        <v>1772946.5325468755</v>
      </c>
      <c r="L5" s="6">
        <f t="shared" si="1"/>
        <v>1861593.8591742194</v>
      </c>
    </row>
    <row r="6" spans="1:12" x14ac:dyDescent="0.6">
      <c r="A6" s="6">
        <v>3</v>
      </c>
      <c r="B6" s="6" t="s">
        <v>259</v>
      </c>
    </row>
    <row r="7" spans="1:12" x14ac:dyDescent="0.6">
      <c r="A7" s="6">
        <v>4</v>
      </c>
      <c r="B7" s="6" t="s">
        <v>270</v>
      </c>
    </row>
    <row r="8" spans="1:12" x14ac:dyDescent="0.6">
      <c r="A8" s="6">
        <v>5</v>
      </c>
      <c r="B8" s="6" t="s">
        <v>246</v>
      </c>
    </row>
  </sheetData>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8DE0-72C3-4C7B-BCE1-80ED309267B8}">
  <dimension ref="A1:K7"/>
  <sheetViews>
    <sheetView workbookViewId="0">
      <selection activeCell="C5" sqref="C5"/>
    </sheetView>
  </sheetViews>
  <sheetFormatPr defaultRowHeight="14.5" x14ac:dyDescent="0.35"/>
  <cols>
    <col min="3" max="3" width="8.81640625" bestFit="1" customWidth="1"/>
    <col min="4" max="5" width="11.81640625" bestFit="1" customWidth="1"/>
    <col min="6" max="6" width="9.81640625" bestFit="1" customWidth="1"/>
    <col min="7" max="11" width="11.81640625" bestFit="1" customWidth="1"/>
  </cols>
  <sheetData>
    <row r="1" spans="1:11" x14ac:dyDescent="0.35">
      <c r="A1" t="s">
        <v>133</v>
      </c>
    </row>
    <row r="2" spans="1:11" x14ac:dyDescent="0.35">
      <c r="C2" t="s">
        <v>38</v>
      </c>
      <c r="D2" t="s">
        <v>39</v>
      </c>
      <c r="E2" t="s">
        <v>40</v>
      </c>
      <c r="F2" t="s">
        <v>41</v>
      </c>
      <c r="G2" t="s">
        <v>42</v>
      </c>
      <c r="H2" t="s">
        <v>43</v>
      </c>
      <c r="I2" t="s">
        <v>44</v>
      </c>
      <c r="J2" t="s">
        <v>45</v>
      </c>
      <c r="K2" t="s">
        <v>46</v>
      </c>
    </row>
    <row r="3" spans="1:11" x14ac:dyDescent="0.35">
      <c r="A3" t="s">
        <v>134</v>
      </c>
      <c r="C3">
        <f>'Ann 4'!C23/300*270</f>
        <v>41498325</v>
      </c>
      <c r="D3">
        <f>'Ann 4'!D23/300*270</f>
        <v>45406083.9375</v>
      </c>
      <c r="E3">
        <f>'Ann 4'!E23/300*270</f>
        <v>48898859.624999993</v>
      </c>
      <c r="F3">
        <f>'Ann 4'!F23/300*270</f>
        <v>52391635.3125</v>
      </c>
      <c r="G3">
        <f>'Ann 4'!G23/300*270</f>
        <v>55884411</v>
      </c>
      <c r="H3">
        <f>'Ann 4'!H23/300*270</f>
        <v>60576725.8125</v>
      </c>
      <c r="I3">
        <f>'Ann 4'!I23/300*270</f>
        <v>64140062.625</v>
      </c>
      <c r="J3">
        <f>'Ann 4'!J23/300*270</f>
        <v>67703399.4375</v>
      </c>
      <c r="K3">
        <f>'Ann 4'!K23/300*270</f>
        <v>71125614</v>
      </c>
    </row>
    <row r="4" spans="1:11" x14ac:dyDescent="0.35">
      <c r="A4" t="s">
        <v>135</v>
      </c>
      <c r="C4">
        <v>5000000</v>
      </c>
    </row>
    <row r="5" spans="1:11" x14ac:dyDescent="0.35">
      <c r="A5" t="s">
        <v>136</v>
      </c>
      <c r="C5">
        <v>21492978</v>
      </c>
    </row>
    <row r="7" spans="1:11" x14ac:dyDescent="0.35">
      <c r="A7" t="s">
        <v>137</v>
      </c>
      <c r="C7">
        <f>'Ann 3'!E21</f>
        <v>4115000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A738-A431-4FFB-9E48-2908CC4F126C}">
  <dimension ref="A1:C40"/>
  <sheetViews>
    <sheetView workbookViewId="0"/>
  </sheetViews>
  <sheetFormatPr defaultRowHeight="17" x14ac:dyDescent="0.6"/>
  <cols>
    <col min="1" max="1" width="8.7265625" style="6"/>
    <col min="2" max="2" width="44.90625" style="6" customWidth="1"/>
    <col min="3" max="3" width="13.26953125" style="6" customWidth="1"/>
    <col min="4" max="16384" width="8.7265625" style="6"/>
  </cols>
  <sheetData>
    <row r="1" spans="1:3" x14ac:dyDescent="0.6">
      <c r="A1" s="5" t="s">
        <v>211</v>
      </c>
    </row>
    <row r="3" spans="1:3" x14ac:dyDescent="0.6">
      <c r="A3" s="5" t="s">
        <v>0</v>
      </c>
    </row>
    <row r="5" spans="1:3" x14ac:dyDescent="0.6">
      <c r="A5" s="7" t="s">
        <v>1</v>
      </c>
      <c r="B5" s="8"/>
      <c r="C5" s="9"/>
    </row>
    <row r="6" spans="1:3" ht="34" x14ac:dyDescent="0.6">
      <c r="A6" s="10" t="s">
        <v>2</v>
      </c>
      <c r="B6" s="10" t="s">
        <v>3</v>
      </c>
      <c r="C6" s="11" t="s">
        <v>4</v>
      </c>
    </row>
    <row r="7" spans="1:3" x14ac:dyDescent="0.6">
      <c r="A7" s="12">
        <v>1</v>
      </c>
      <c r="B7" s="13" t="s">
        <v>6</v>
      </c>
      <c r="C7" s="14"/>
    </row>
    <row r="8" spans="1:3" x14ac:dyDescent="0.6">
      <c r="A8" s="12" t="s">
        <v>5</v>
      </c>
      <c r="B8" s="13" t="s">
        <v>7</v>
      </c>
      <c r="C8" s="15">
        <v>0</v>
      </c>
    </row>
    <row r="9" spans="1:3" x14ac:dyDescent="0.6">
      <c r="A9" s="12"/>
      <c r="B9" s="16" t="s">
        <v>8</v>
      </c>
      <c r="C9" s="17">
        <f>SUM(C8)</f>
        <v>0</v>
      </c>
    </row>
    <row r="10" spans="1:3" x14ac:dyDescent="0.6">
      <c r="A10" s="12"/>
      <c r="B10" s="13"/>
      <c r="C10" s="14"/>
    </row>
    <row r="11" spans="1:3" x14ac:dyDescent="0.6">
      <c r="A11" s="12">
        <v>2</v>
      </c>
      <c r="B11" s="13" t="s">
        <v>157</v>
      </c>
      <c r="C11" s="15">
        <v>0</v>
      </c>
    </row>
    <row r="12" spans="1:3" x14ac:dyDescent="0.6">
      <c r="A12" s="12" t="s">
        <v>5</v>
      </c>
      <c r="B12" s="16" t="s">
        <v>8</v>
      </c>
      <c r="C12" s="17">
        <f>C11</f>
        <v>0</v>
      </c>
    </row>
    <row r="13" spans="1:3" x14ac:dyDescent="0.6">
      <c r="A13" s="12"/>
      <c r="B13" s="13"/>
      <c r="C13" s="14"/>
    </row>
    <row r="14" spans="1:3" x14ac:dyDescent="0.6">
      <c r="A14" s="12">
        <v>3</v>
      </c>
      <c r="B14" s="13" t="s">
        <v>9</v>
      </c>
      <c r="C14" s="14"/>
    </row>
    <row r="15" spans="1:3" x14ac:dyDescent="0.6">
      <c r="A15" s="12" t="s">
        <v>5</v>
      </c>
      <c r="B15" s="13" t="s">
        <v>9</v>
      </c>
      <c r="C15" s="15">
        <f>(3000*400)/100000</f>
        <v>12</v>
      </c>
    </row>
    <row r="16" spans="1:3" x14ac:dyDescent="0.6">
      <c r="A16" s="12"/>
      <c r="B16" s="16" t="s">
        <v>8</v>
      </c>
      <c r="C16" s="18">
        <f>C15</f>
        <v>12</v>
      </c>
    </row>
    <row r="17" spans="1:3" x14ac:dyDescent="0.6">
      <c r="A17" s="12"/>
      <c r="B17" s="13"/>
      <c r="C17" s="14"/>
    </row>
    <row r="18" spans="1:3" x14ac:dyDescent="0.6">
      <c r="A18" s="12">
        <v>4</v>
      </c>
      <c r="B18" s="13" t="s">
        <v>10</v>
      </c>
      <c r="C18" s="14"/>
    </row>
    <row r="19" spans="1:3" x14ac:dyDescent="0.6">
      <c r="A19" s="12" t="s">
        <v>5</v>
      </c>
      <c r="B19" s="13" t="s">
        <v>11</v>
      </c>
      <c r="C19" s="19">
        <f>'Ann 3'!E18/100000</f>
        <v>29.15</v>
      </c>
    </row>
    <row r="20" spans="1:3" x14ac:dyDescent="0.6">
      <c r="A20" s="12"/>
      <c r="B20" s="16" t="s">
        <v>8</v>
      </c>
      <c r="C20" s="20">
        <f>C19</f>
        <v>29.15</v>
      </c>
    </row>
    <row r="21" spans="1:3" x14ac:dyDescent="0.6">
      <c r="A21" s="12"/>
      <c r="B21" s="13"/>
      <c r="C21" s="14"/>
    </row>
    <row r="22" spans="1:3" x14ac:dyDescent="0.6">
      <c r="A22" s="12">
        <v>5</v>
      </c>
      <c r="B22" s="13" t="s">
        <v>12</v>
      </c>
      <c r="C22" s="14"/>
    </row>
    <row r="23" spans="1:3" x14ac:dyDescent="0.6">
      <c r="A23" s="12" t="s">
        <v>5</v>
      </c>
      <c r="B23" s="13" t="s">
        <v>13</v>
      </c>
      <c r="C23" s="15">
        <v>0</v>
      </c>
    </row>
    <row r="24" spans="1:3" x14ac:dyDescent="0.6">
      <c r="A24" s="12"/>
      <c r="B24" s="13"/>
      <c r="C24" s="15"/>
    </row>
    <row r="25" spans="1:3" x14ac:dyDescent="0.6">
      <c r="A25" s="12">
        <v>6</v>
      </c>
      <c r="B25" s="13" t="s">
        <v>14</v>
      </c>
      <c r="C25" s="15">
        <v>5.35</v>
      </c>
    </row>
    <row r="26" spans="1:3" x14ac:dyDescent="0.6">
      <c r="A26" s="12"/>
      <c r="B26" s="13"/>
      <c r="C26" s="15"/>
    </row>
    <row r="27" spans="1:3" x14ac:dyDescent="0.6">
      <c r="A27" s="12">
        <v>7</v>
      </c>
      <c r="B27" s="13" t="s">
        <v>15</v>
      </c>
      <c r="C27" s="15">
        <v>0</v>
      </c>
    </row>
    <row r="28" spans="1:3" x14ac:dyDescent="0.6">
      <c r="A28" s="12" t="s">
        <v>5</v>
      </c>
      <c r="B28" s="13" t="s">
        <v>16</v>
      </c>
      <c r="C28" s="15">
        <v>0</v>
      </c>
    </row>
    <row r="29" spans="1:3" x14ac:dyDescent="0.6">
      <c r="A29" s="12"/>
      <c r="B29" s="16" t="s">
        <v>8</v>
      </c>
      <c r="C29" s="17">
        <f>SUM(C27:C28)</f>
        <v>0</v>
      </c>
    </row>
    <row r="30" spans="1:3" x14ac:dyDescent="0.6">
      <c r="A30" s="12"/>
      <c r="B30" s="13"/>
      <c r="C30" s="15"/>
    </row>
    <row r="31" spans="1:3" x14ac:dyDescent="0.6">
      <c r="A31" s="12">
        <v>8</v>
      </c>
      <c r="B31" s="13" t="s">
        <v>17</v>
      </c>
      <c r="C31" s="14"/>
    </row>
    <row r="32" spans="1:3" ht="34" x14ac:dyDescent="0.6">
      <c r="A32" s="12"/>
      <c r="B32" s="21" t="s">
        <v>18</v>
      </c>
      <c r="C32" s="14"/>
    </row>
    <row r="33" spans="1:3" x14ac:dyDescent="0.6">
      <c r="A33" s="12" t="s">
        <v>5</v>
      </c>
      <c r="B33" s="13" t="s">
        <v>19</v>
      </c>
      <c r="C33" s="15"/>
    </row>
    <row r="34" spans="1:3" x14ac:dyDescent="0.6">
      <c r="A34" s="12" t="s">
        <v>20</v>
      </c>
      <c r="B34" s="13" t="s">
        <v>21</v>
      </c>
      <c r="C34" s="15">
        <v>0.5</v>
      </c>
    </row>
    <row r="35" spans="1:3" x14ac:dyDescent="0.6">
      <c r="A35" s="12"/>
      <c r="B35" s="16" t="s">
        <v>8</v>
      </c>
      <c r="C35" s="17">
        <f>C34</f>
        <v>0.5</v>
      </c>
    </row>
    <row r="36" spans="1:3" x14ac:dyDescent="0.6">
      <c r="A36" s="12"/>
      <c r="B36" s="13"/>
      <c r="C36" s="15"/>
    </row>
    <row r="37" spans="1:3" s="5" customFormat="1" x14ac:dyDescent="0.6">
      <c r="A37" s="22"/>
      <c r="B37" s="23" t="s">
        <v>22</v>
      </c>
      <c r="C37" s="24">
        <f>C35+C29+C25+C20+C16+C23+C12+C9</f>
        <v>47</v>
      </c>
    </row>
    <row r="38" spans="1:3" x14ac:dyDescent="0.6">
      <c r="A38" s="25"/>
    </row>
    <row r="39" spans="1:3" x14ac:dyDescent="0.6">
      <c r="A39" s="25"/>
    </row>
    <row r="40" spans="1:3" x14ac:dyDescent="0.6">
      <c r="A40"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81CD-D127-4212-A91B-7CC6FC2C782F}">
  <dimension ref="A1:D8"/>
  <sheetViews>
    <sheetView workbookViewId="0"/>
  </sheetViews>
  <sheetFormatPr defaultRowHeight="17" x14ac:dyDescent="0.6"/>
  <cols>
    <col min="1" max="1" width="6.36328125" style="6" bestFit="1" customWidth="1"/>
    <col min="2" max="2" width="22.08984375" style="6" customWidth="1"/>
    <col min="3" max="3" width="18.81640625" style="6" bestFit="1" customWidth="1"/>
    <col min="4" max="16384" width="8.7265625" style="6"/>
  </cols>
  <sheetData>
    <row r="1" spans="1:4" x14ac:dyDescent="0.6">
      <c r="A1" s="5" t="s">
        <v>23</v>
      </c>
    </row>
    <row r="3" spans="1:4" s="5" customFormat="1" x14ac:dyDescent="0.6">
      <c r="A3" s="128" t="s">
        <v>24</v>
      </c>
      <c r="B3" s="129" t="s">
        <v>25</v>
      </c>
      <c r="C3" s="130" t="s">
        <v>4</v>
      </c>
    </row>
    <row r="4" spans="1:4" x14ac:dyDescent="0.6">
      <c r="A4" s="26">
        <v>1</v>
      </c>
      <c r="B4" s="27" t="s">
        <v>26</v>
      </c>
      <c r="C4" s="132">
        <f>C8*10%</f>
        <v>4.7</v>
      </c>
      <c r="D4" s="29"/>
    </row>
    <row r="5" spans="1:4" x14ac:dyDescent="0.6">
      <c r="A5" s="26">
        <v>2</v>
      </c>
      <c r="B5" s="27" t="s">
        <v>27</v>
      </c>
      <c r="C5" s="28">
        <v>0</v>
      </c>
      <c r="D5" s="30"/>
    </row>
    <row r="6" spans="1:4" x14ac:dyDescent="0.6">
      <c r="A6" s="26">
        <v>3</v>
      </c>
      <c r="B6" s="27" t="s">
        <v>28</v>
      </c>
      <c r="C6" s="19">
        <f>C8-C4-C7</f>
        <v>36.949999999999996</v>
      </c>
      <c r="D6" s="29"/>
    </row>
    <row r="7" spans="1:4" x14ac:dyDescent="0.6">
      <c r="A7" s="26">
        <v>4</v>
      </c>
      <c r="B7" s="27" t="s">
        <v>29</v>
      </c>
      <c r="C7" s="19">
        <f>'Ann 1'!C25</f>
        <v>5.35</v>
      </c>
      <c r="D7" s="136"/>
    </row>
    <row r="8" spans="1:4" s="5" customFormat="1" x14ac:dyDescent="0.6">
      <c r="A8" s="50"/>
      <c r="B8" s="51" t="s">
        <v>8</v>
      </c>
      <c r="C8" s="127">
        <f>'Ann 1'!C37</f>
        <v>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858-CA67-4C56-BFC5-E2781F80B181}">
  <sheetPr>
    <pageSetUpPr fitToPage="1"/>
  </sheetPr>
  <dimension ref="A1:F23"/>
  <sheetViews>
    <sheetView workbookViewId="0"/>
  </sheetViews>
  <sheetFormatPr defaultRowHeight="17" x14ac:dyDescent="0.6"/>
  <cols>
    <col min="1" max="1" width="2.81640625" style="6" bestFit="1" customWidth="1"/>
    <col min="2" max="2" width="90.1796875" style="6" bestFit="1" customWidth="1"/>
    <col min="3" max="3" width="8.7265625" style="6"/>
    <col min="4" max="4" width="17.90625" style="6" bestFit="1" customWidth="1"/>
    <col min="5" max="5" width="12.1796875" style="6" bestFit="1" customWidth="1"/>
    <col min="6" max="6" width="8.7265625" style="6"/>
    <col min="7" max="7" width="9.1796875" style="6" bestFit="1" customWidth="1"/>
    <col min="8" max="16384" width="8.7265625" style="6"/>
  </cols>
  <sheetData>
    <row r="1" spans="1:5" x14ac:dyDescent="0.6">
      <c r="A1" s="5" t="s">
        <v>30</v>
      </c>
    </row>
    <row r="3" spans="1:5" x14ac:dyDescent="0.6">
      <c r="A3" s="33" t="s">
        <v>232</v>
      </c>
      <c r="B3" s="8"/>
      <c r="C3" s="8" t="s">
        <v>31</v>
      </c>
      <c r="D3" s="8"/>
      <c r="E3" s="9" t="s">
        <v>32</v>
      </c>
    </row>
    <row r="4" spans="1:5" x14ac:dyDescent="0.6">
      <c r="A4" s="37">
        <v>1</v>
      </c>
      <c r="B4" s="38" t="s">
        <v>241</v>
      </c>
      <c r="C4" s="39">
        <v>1</v>
      </c>
      <c r="D4" s="40"/>
      <c r="E4" s="41">
        <f>'Ann 1'!C15*100000</f>
        <v>1200000</v>
      </c>
    </row>
    <row r="5" spans="1:5" x14ac:dyDescent="0.6">
      <c r="A5" s="42" t="s">
        <v>233</v>
      </c>
      <c r="B5" s="43"/>
      <c r="C5" s="43"/>
      <c r="D5" s="43"/>
      <c r="E5" s="44">
        <f>SUM(E4:E4)</f>
        <v>1200000</v>
      </c>
    </row>
    <row r="6" spans="1:5" x14ac:dyDescent="0.6">
      <c r="A6" s="31"/>
      <c r="B6" s="32"/>
      <c r="C6" s="32"/>
      <c r="D6" s="32"/>
      <c r="E6" s="45"/>
    </row>
    <row r="7" spans="1:5" x14ac:dyDescent="0.6">
      <c r="A7" s="33" t="s">
        <v>295</v>
      </c>
      <c r="B7" s="8"/>
      <c r="C7" s="8" t="s">
        <v>31</v>
      </c>
      <c r="D7" s="8" t="s">
        <v>300</v>
      </c>
      <c r="E7" s="9" t="s">
        <v>32</v>
      </c>
    </row>
    <row r="8" spans="1:5" x14ac:dyDescent="0.6">
      <c r="A8" s="6">
        <v>1</v>
      </c>
      <c r="B8" s="25" t="s">
        <v>318</v>
      </c>
      <c r="C8" s="39">
        <v>1</v>
      </c>
      <c r="D8" s="40"/>
      <c r="E8" s="49">
        <f>C8*300000</f>
        <v>300000</v>
      </c>
    </row>
    <row r="9" spans="1:5" x14ac:dyDescent="0.6">
      <c r="A9" s="6">
        <v>2</v>
      </c>
      <c r="B9" s="25" t="s">
        <v>302</v>
      </c>
      <c r="C9" s="46">
        <v>2</v>
      </c>
      <c r="D9" s="47" t="s">
        <v>303</v>
      </c>
      <c r="E9" s="48">
        <f>C9*210000</f>
        <v>420000</v>
      </c>
    </row>
    <row r="10" spans="1:5" x14ac:dyDescent="0.6">
      <c r="A10" s="6">
        <v>3</v>
      </c>
      <c r="B10" s="25" t="s">
        <v>304</v>
      </c>
      <c r="C10" s="46">
        <v>2</v>
      </c>
      <c r="D10" s="47"/>
      <c r="E10" s="49">
        <f>C10*300000</f>
        <v>600000</v>
      </c>
    </row>
    <row r="11" spans="1:5" x14ac:dyDescent="0.6">
      <c r="A11" s="6">
        <v>4</v>
      </c>
      <c r="B11" s="25" t="s">
        <v>305</v>
      </c>
      <c r="C11" s="46">
        <v>1</v>
      </c>
      <c r="D11" s="47"/>
      <c r="E11" s="49">
        <f>C11*45000</f>
        <v>45000</v>
      </c>
    </row>
    <row r="12" spans="1:5" x14ac:dyDescent="0.6">
      <c r="A12" s="6">
        <v>5</v>
      </c>
      <c r="B12" s="25" t="s">
        <v>306</v>
      </c>
      <c r="C12" s="46">
        <v>2</v>
      </c>
      <c r="D12" s="47"/>
      <c r="E12" s="49">
        <f>C12*25000</f>
        <v>50000</v>
      </c>
    </row>
    <row r="13" spans="1:5" x14ac:dyDescent="0.6">
      <c r="A13" s="6">
        <v>6</v>
      </c>
      <c r="B13" s="25" t="s">
        <v>307</v>
      </c>
      <c r="C13" s="46">
        <v>2</v>
      </c>
      <c r="D13" s="47"/>
      <c r="E13" s="49">
        <f>C13*50000</f>
        <v>100000</v>
      </c>
    </row>
    <row r="14" spans="1:5" x14ac:dyDescent="0.6">
      <c r="A14" s="6">
        <v>7</v>
      </c>
      <c r="B14" s="25" t="s">
        <v>308</v>
      </c>
      <c r="C14" s="46">
        <v>1</v>
      </c>
      <c r="D14" s="47"/>
      <c r="E14" s="49">
        <f>C14*500000</f>
        <v>500000</v>
      </c>
    </row>
    <row r="15" spans="1:5" x14ac:dyDescent="0.6">
      <c r="A15" s="6">
        <v>8</v>
      </c>
      <c r="B15" s="25" t="s">
        <v>309</v>
      </c>
      <c r="C15" s="46"/>
      <c r="D15" s="47"/>
      <c r="E15" s="49">
        <v>200000</v>
      </c>
    </row>
    <row r="16" spans="1:5" x14ac:dyDescent="0.6">
      <c r="A16" s="6">
        <v>9</v>
      </c>
      <c r="B16" s="25" t="s">
        <v>310</v>
      </c>
      <c r="C16" s="46"/>
      <c r="D16" s="47"/>
      <c r="E16" s="49">
        <v>100000</v>
      </c>
    </row>
    <row r="17" spans="1:6" x14ac:dyDescent="0.6">
      <c r="A17" s="6">
        <v>10</v>
      </c>
      <c r="B17" s="25" t="s">
        <v>311</v>
      </c>
      <c r="C17" s="46"/>
      <c r="D17" s="47"/>
      <c r="E17" s="49">
        <v>600000</v>
      </c>
    </row>
    <row r="18" spans="1:6" s="5" customFormat="1" x14ac:dyDescent="0.6">
      <c r="A18" s="50" t="s">
        <v>33</v>
      </c>
      <c r="B18" s="51"/>
      <c r="C18" s="51"/>
      <c r="D18" s="51"/>
      <c r="E18" s="52">
        <f>SUM(E8:E17)</f>
        <v>2915000</v>
      </c>
      <c r="F18" s="53"/>
    </row>
    <row r="19" spans="1:6" x14ac:dyDescent="0.6">
      <c r="A19" s="26"/>
      <c r="B19" s="27"/>
      <c r="C19" s="27"/>
      <c r="D19" s="27"/>
      <c r="E19" s="14"/>
    </row>
    <row r="20" spans="1:6" x14ac:dyDescent="0.6">
      <c r="A20" s="26"/>
      <c r="B20" s="27"/>
      <c r="C20" s="27"/>
      <c r="D20" s="27"/>
      <c r="E20" s="14"/>
    </row>
    <row r="21" spans="1:6" s="5" customFormat="1" x14ac:dyDescent="0.6">
      <c r="A21" s="50" t="s">
        <v>34</v>
      </c>
      <c r="B21" s="51"/>
      <c r="C21" s="51"/>
      <c r="D21" s="51"/>
      <c r="E21" s="52">
        <f>E18+E5</f>
        <v>4115000</v>
      </c>
    </row>
    <row r="22" spans="1:6" x14ac:dyDescent="0.6">
      <c r="E22" s="54"/>
    </row>
    <row r="23" spans="1:6" x14ac:dyDescent="0.6">
      <c r="A23" s="6" t="s">
        <v>296</v>
      </c>
      <c r="E23" s="55"/>
    </row>
  </sheetData>
  <pageMargins left="0.7" right="0.7" top="0.75" bottom="0.75" header="0.3" footer="0.3"/>
  <pageSetup scale="9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6FA6-76E6-4673-8AD3-A2A7C9EA52B0}">
  <sheetPr>
    <pageSetUpPr fitToPage="1"/>
  </sheetPr>
  <dimension ref="A1:K47"/>
  <sheetViews>
    <sheetView workbookViewId="0"/>
  </sheetViews>
  <sheetFormatPr defaultRowHeight="17" x14ac:dyDescent="0.6"/>
  <cols>
    <col min="1" max="1" width="8.7265625" style="6"/>
    <col min="2" max="2" width="55.7265625" style="6" bestFit="1" customWidth="1"/>
    <col min="3" max="3" width="19.08984375" style="6" bestFit="1" customWidth="1"/>
    <col min="4" max="11" width="15.6328125" style="6" bestFit="1" customWidth="1"/>
    <col min="12" max="16384" width="8.7265625" style="6"/>
  </cols>
  <sheetData>
    <row r="1" spans="1:11" x14ac:dyDescent="0.6">
      <c r="A1" s="5" t="s">
        <v>35</v>
      </c>
    </row>
    <row r="3" spans="1:11" s="5" customFormat="1" x14ac:dyDescent="0.6">
      <c r="A3" s="140" t="s">
        <v>36</v>
      </c>
      <c r="B3" s="138" t="s">
        <v>37</v>
      </c>
      <c r="C3" s="137" t="s">
        <v>47</v>
      </c>
      <c r="D3" s="137"/>
      <c r="E3" s="137"/>
      <c r="F3" s="137"/>
      <c r="G3" s="137"/>
      <c r="H3" s="137"/>
      <c r="I3" s="137"/>
      <c r="J3" s="137"/>
      <c r="K3" s="137"/>
    </row>
    <row r="4" spans="1:11" s="5" customFormat="1" x14ac:dyDescent="0.6">
      <c r="A4" s="141"/>
      <c r="B4" s="139"/>
      <c r="C4" s="135" t="s">
        <v>38</v>
      </c>
      <c r="D4" s="135" t="s">
        <v>39</v>
      </c>
      <c r="E4" s="135" t="s">
        <v>40</v>
      </c>
      <c r="F4" s="135" t="s">
        <v>41</v>
      </c>
      <c r="G4" s="135" t="s">
        <v>42</v>
      </c>
      <c r="H4" s="135" t="s">
        <v>43</v>
      </c>
      <c r="I4" s="135" t="s">
        <v>44</v>
      </c>
      <c r="J4" s="135" t="s">
        <v>45</v>
      </c>
      <c r="K4" s="135" t="s">
        <v>46</v>
      </c>
    </row>
    <row r="5" spans="1:11" x14ac:dyDescent="0.6">
      <c r="A5" s="34"/>
      <c r="B5" s="34" t="s">
        <v>48</v>
      </c>
      <c r="C5" s="34">
        <v>12</v>
      </c>
      <c r="D5" s="34">
        <v>12</v>
      </c>
      <c r="E5" s="34">
        <v>12</v>
      </c>
      <c r="F5" s="34">
        <v>12</v>
      </c>
      <c r="G5" s="34">
        <v>12</v>
      </c>
      <c r="H5" s="34">
        <v>12</v>
      </c>
      <c r="I5" s="34">
        <v>12</v>
      </c>
      <c r="J5" s="34">
        <v>12</v>
      </c>
      <c r="K5" s="34">
        <v>12</v>
      </c>
    </row>
    <row r="6" spans="1:11" x14ac:dyDescent="0.6">
      <c r="A6" s="34"/>
      <c r="B6" s="34"/>
      <c r="C6" s="34"/>
      <c r="D6" s="34"/>
      <c r="E6" s="34"/>
      <c r="F6" s="34"/>
      <c r="G6" s="34"/>
      <c r="H6" s="34"/>
      <c r="I6" s="34"/>
      <c r="J6" s="34"/>
      <c r="K6" s="34"/>
    </row>
    <row r="7" spans="1:11" x14ac:dyDescent="0.6">
      <c r="A7" s="34"/>
      <c r="B7" s="34" t="s">
        <v>315</v>
      </c>
      <c r="C7" s="56">
        <f>Budgets!B6*Budgets!$D$16</f>
        <v>40500000</v>
      </c>
      <c r="D7" s="56">
        <f>Budgets!C6*Budgets!$D$16</f>
        <v>43875000</v>
      </c>
      <c r="E7" s="56">
        <f>Budgets!D6*Budgets!$D$16</f>
        <v>47249999.999999993</v>
      </c>
      <c r="F7" s="56">
        <f>Budgets!E6*Budgets!$D$16</f>
        <v>50625000</v>
      </c>
      <c r="G7" s="56">
        <f>Budgets!F6*Budgets!$D$16</f>
        <v>54000000</v>
      </c>
      <c r="H7" s="56">
        <f>Budgets!G6*Budgets!$D$16</f>
        <v>57375000</v>
      </c>
      <c r="I7" s="56">
        <f>Budgets!H6*Budgets!$D$16</f>
        <v>60750000</v>
      </c>
      <c r="J7" s="56">
        <f>Budgets!I6*Budgets!$D$16</f>
        <v>64125000</v>
      </c>
      <c r="K7" s="56">
        <f>Budgets!J6*Budgets!$D$16</f>
        <v>67500000</v>
      </c>
    </row>
    <row r="8" spans="1:11" x14ac:dyDescent="0.6">
      <c r="A8" s="34"/>
      <c r="B8" s="34" t="s">
        <v>162</v>
      </c>
      <c r="C8" s="56">
        <f>150000+C43</f>
        <v>1230000</v>
      </c>
      <c r="D8" s="56">
        <f t="shared" ref="D8:K8" si="0">150000+D43</f>
        <v>1284000</v>
      </c>
      <c r="E8" s="56">
        <f t="shared" si="0"/>
        <v>1340700</v>
      </c>
      <c r="F8" s="56">
        <f t="shared" si="0"/>
        <v>1400235</v>
      </c>
      <c r="G8" s="56">
        <f t="shared" si="0"/>
        <v>1462746.75</v>
      </c>
      <c r="H8" s="56">
        <f t="shared" si="0"/>
        <v>1528384.0875000001</v>
      </c>
      <c r="I8" s="56">
        <f t="shared" si="0"/>
        <v>1597303.2918750003</v>
      </c>
      <c r="J8" s="56">
        <f t="shared" si="0"/>
        <v>1669668.4564687505</v>
      </c>
      <c r="K8" s="56">
        <f t="shared" si="0"/>
        <v>1745651.879292188</v>
      </c>
    </row>
    <row r="9" spans="1:11" x14ac:dyDescent="0.6">
      <c r="A9" s="34"/>
      <c r="B9" s="34" t="s">
        <v>245</v>
      </c>
      <c r="C9" s="56">
        <f>2%*'Ann 3'!E21</f>
        <v>82300</v>
      </c>
      <c r="D9" s="56">
        <f>C9*1.05</f>
        <v>86415</v>
      </c>
      <c r="E9" s="56">
        <f t="shared" ref="E9:K9" si="1">D9*1.05</f>
        <v>90735.75</v>
      </c>
      <c r="F9" s="56">
        <f t="shared" si="1"/>
        <v>95272.537500000006</v>
      </c>
      <c r="G9" s="56">
        <f t="shared" si="1"/>
        <v>100036.16437500001</v>
      </c>
      <c r="H9" s="56">
        <f t="shared" si="1"/>
        <v>105037.97259375002</v>
      </c>
      <c r="I9" s="56">
        <f t="shared" si="1"/>
        <v>110289.87122343753</v>
      </c>
      <c r="J9" s="56">
        <f t="shared" si="1"/>
        <v>115804.36478460941</v>
      </c>
      <c r="K9" s="56">
        <f t="shared" si="1"/>
        <v>121594.58302383989</v>
      </c>
    </row>
    <row r="10" spans="1:11" x14ac:dyDescent="0.6">
      <c r="A10" s="34"/>
      <c r="B10" s="34" t="s">
        <v>316</v>
      </c>
      <c r="C10" s="56">
        <f>C7*1%</f>
        <v>405000</v>
      </c>
      <c r="D10" s="56">
        <f t="shared" ref="D10:K10" si="2">D7*1%</f>
        <v>438750</v>
      </c>
      <c r="E10" s="56">
        <f t="shared" si="2"/>
        <v>472499.99999999994</v>
      </c>
      <c r="F10" s="56">
        <f t="shared" si="2"/>
        <v>506250</v>
      </c>
      <c r="G10" s="56">
        <f t="shared" si="2"/>
        <v>540000</v>
      </c>
      <c r="H10" s="56">
        <f t="shared" si="2"/>
        <v>573750</v>
      </c>
      <c r="I10" s="56">
        <f t="shared" si="2"/>
        <v>607500</v>
      </c>
      <c r="J10" s="56">
        <f t="shared" si="2"/>
        <v>641250</v>
      </c>
      <c r="K10" s="56">
        <f t="shared" si="2"/>
        <v>675000</v>
      </c>
    </row>
    <row r="11" spans="1:11" x14ac:dyDescent="0.6">
      <c r="A11" s="34"/>
      <c r="B11" s="34" t="s">
        <v>164</v>
      </c>
      <c r="C11" s="56">
        <f>SUM(C7:C10)</f>
        <v>42217300</v>
      </c>
      <c r="D11" s="56">
        <f t="shared" ref="D11:K11" si="3">SUM(D7:D10)</f>
        <v>45684165</v>
      </c>
      <c r="E11" s="56">
        <f t="shared" si="3"/>
        <v>49153935.749999993</v>
      </c>
      <c r="F11" s="56">
        <f t="shared" si="3"/>
        <v>52626757.537500001</v>
      </c>
      <c r="G11" s="56">
        <f t="shared" si="3"/>
        <v>56102782.914375</v>
      </c>
      <c r="H11" s="56">
        <f t="shared" si="3"/>
        <v>59582172.060093746</v>
      </c>
      <c r="I11" s="56">
        <f t="shared" si="3"/>
        <v>63065093.163098432</v>
      </c>
      <c r="J11" s="56">
        <f t="shared" si="3"/>
        <v>66551722.821253359</v>
      </c>
      <c r="K11" s="56">
        <f t="shared" si="3"/>
        <v>70042246.462316036</v>
      </c>
    </row>
    <row r="12" spans="1:11" x14ac:dyDescent="0.6">
      <c r="A12" s="34"/>
      <c r="B12" s="34" t="s">
        <v>247</v>
      </c>
      <c r="C12" s="56">
        <v>0</v>
      </c>
      <c r="D12" s="56">
        <f>C13</f>
        <v>415125</v>
      </c>
      <c r="E12" s="56">
        <f t="shared" ref="E12:K12" si="4">D13</f>
        <v>864843.75</v>
      </c>
      <c r="F12" s="56">
        <f t="shared" si="4"/>
        <v>1349156.25</v>
      </c>
      <c r="G12" s="56">
        <f t="shared" si="4"/>
        <v>1868062.5</v>
      </c>
      <c r="H12" s="56">
        <f t="shared" si="4"/>
        <v>2421562.5</v>
      </c>
      <c r="I12" s="56">
        <f t="shared" si="4"/>
        <v>1833468.75</v>
      </c>
      <c r="J12" s="56">
        <f t="shared" si="4"/>
        <v>1210781.25</v>
      </c>
      <c r="K12" s="56">
        <f t="shared" si="4"/>
        <v>553500</v>
      </c>
    </row>
    <row r="13" spans="1:11" x14ac:dyDescent="0.6">
      <c r="A13" s="34"/>
      <c r="B13" s="34" t="s">
        <v>248</v>
      </c>
      <c r="C13" s="56">
        <f>Budgets!B24*205</f>
        <v>415125</v>
      </c>
      <c r="D13" s="56">
        <f>Budgets!C24*205</f>
        <v>864843.75</v>
      </c>
      <c r="E13" s="56">
        <f>Budgets!D24*205</f>
        <v>1349156.25</v>
      </c>
      <c r="F13" s="56">
        <f>Budgets!E24*205</f>
        <v>1868062.5</v>
      </c>
      <c r="G13" s="56">
        <f>Budgets!F24*205</f>
        <v>2421562.5</v>
      </c>
      <c r="H13" s="56">
        <f>Budgets!G24*205</f>
        <v>1833468.75</v>
      </c>
      <c r="I13" s="56">
        <f>Budgets!H24*205</f>
        <v>1210781.25</v>
      </c>
      <c r="J13" s="56">
        <f>Budgets!I24*205</f>
        <v>553500</v>
      </c>
      <c r="K13" s="56">
        <f>Budgets!J24*205</f>
        <v>0</v>
      </c>
    </row>
    <row r="14" spans="1:11" x14ac:dyDescent="0.6">
      <c r="A14" s="34"/>
      <c r="B14" s="34" t="s">
        <v>165</v>
      </c>
      <c r="C14" s="56">
        <f>C11+C12-C13</f>
        <v>41802175</v>
      </c>
      <c r="D14" s="56">
        <f t="shared" ref="D14:K14" si="5">D11+D12-D13</f>
        <v>45234446.25</v>
      </c>
      <c r="E14" s="56">
        <f t="shared" si="5"/>
        <v>48669623.249999993</v>
      </c>
      <c r="F14" s="56">
        <f t="shared" si="5"/>
        <v>52107851.287500001</v>
      </c>
      <c r="G14" s="56">
        <f t="shared" si="5"/>
        <v>55549282.914375</v>
      </c>
      <c r="H14" s="56">
        <f t="shared" si="5"/>
        <v>60170265.810093746</v>
      </c>
      <c r="I14" s="56">
        <f t="shared" si="5"/>
        <v>63687780.663098432</v>
      </c>
      <c r="J14" s="56">
        <f t="shared" si="5"/>
        <v>67209004.071253359</v>
      </c>
      <c r="K14" s="56">
        <f t="shared" si="5"/>
        <v>70595746.462316036</v>
      </c>
    </row>
    <row r="15" spans="1:11" x14ac:dyDescent="0.6">
      <c r="A15" s="34"/>
      <c r="B15" s="34"/>
      <c r="C15" s="56"/>
      <c r="D15" s="56"/>
      <c r="E15" s="56"/>
      <c r="F15" s="56"/>
      <c r="G15" s="56"/>
      <c r="H15" s="56"/>
      <c r="I15" s="56"/>
      <c r="J15" s="56"/>
      <c r="K15" s="56"/>
    </row>
    <row r="16" spans="1:11" x14ac:dyDescent="0.6">
      <c r="A16" s="34"/>
      <c r="B16" s="34" t="s">
        <v>50</v>
      </c>
      <c r="C16" s="56">
        <f>'Ann 8'!E15</f>
        <v>2553720</v>
      </c>
      <c r="D16" s="56">
        <f>1.07*C16</f>
        <v>2732480.4000000004</v>
      </c>
      <c r="E16" s="56">
        <f t="shared" ref="E16:K16" si="6">1.07*D16</f>
        <v>2923754.0280000004</v>
      </c>
      <c r="F16" s="56">
        <f t="shared" si="6"/>
        <v>3128416.8099600007</v>
      </c>
      <c r="G16" s="56">
        <f t="shared" si="6"/>
        <v>3347405.9866572008</v>
      </c>
      <c r="H16" s="56">
        <f t="shared" si="6"/>
        <v>3581724.4057232053</v>
      </c>
      <c r="I16" s="56">
        <f t="shared" si="6"/>
        <v>3832445.1141238301</v>
      </c>
      <c r="J16" s="56">
        <f t="shared" si="6"/>
        <v>4100716.2721124985</v>
      </c>
      <c r="K16" s="56">
        <f t="shared" si="6"/>
        <v>4387766.4111603741</v>
      </c>
    </row>
    <row r="17" spans="1:11" x14ac:dyDescent="0.6">
      <c r="A17" s="34"/>
      <c r="B17" s="34" t="s">
        <v>319</v>
      </c>
      <c r="C17" s="56">
        <f>Budgets!B7*2</f>
        <v>400950</v>
      </c>
      <c r="D17" s="56">
        <f>Budgets!C7*2</f>
        <v>434362.5</v>
      </c>
      <c r="E17" s="56">
        <f>Budgets!D7*2</f>
        <v>467774.99999999994</v>
      </c>
      <c r="F17" s="56">
        <f>Budgets!E7*2</f>
        <v>501187.5</v>
      </c>
      <c r="G17" s="56">
        <f>Budgets!F7*2</f>
        <v>534600</v>
      </c>
      <c r="H17" s="56">
        <f>Budgets!G7*2</f>
        <v>579487.5</v>
      </c>
      <c r="I17" s="56">
        <f>Budgets!H7*2</f>
        <v>613575</v>
      </c>
      <c r="J17" s="56">
        <f>Budgets!I7*2</f>
        <v>647662.5</v>
      </c>
      <c r="K17" s="56">
        <f>Budgets!J7*2</f>
        <v>680400</v>
      </c>
    </row>
    <row r="18" spans="1:11" x14ac:dyDescent="0.6">
      <c r="A18" s="34"/>
      <c r="B18" s="34" t="s">
        <v>299</v>
      </c>
      <c r="C18" s="56">
        <f>Budgets!B7*1</f>
        <v>200475</v>
      </c>
      <c r="D18" s="56">
        <f>Budgets!C7*1</f>
        <v>217181.25</v>
      </c>
      <c r="E18" s="56">
        <f>Budgets!D7*1</f>
        <v>233887.49999999997</v>
      </c>
      <c r="F18" s="56">
        <f>Budgets!E7*1</f>
        <v>250593.75</v>
      </c>
      <c r="G18" s="56">
        <f>Budgets!F7*1</f>
        <v>267300</v>
      </c>
      <c r="H18" s="56">
        <f>Budgets!G7*1</f>
        <v>289743.75</v>
      </c>
      <c r="I18" s="56">
        <f>Budgets!H7*1</f>
        <v>306787.5</v>
      </c>
      <c r="J18" s="56">
        <f>Budgets!I7*1</f>
        <v>323831.25</v>
      </c>
      <c r="K18" s="56">
        <f>Budgets!J7*1</f>
        <v>340200</v>
      </c>
    </row>
    <row r="19" spans="1:11" x14ac:dyDescent="0.6">
      <c r="A19" s="34"/>
      <c r="B19" s="34" t="s">
        <v>268</v>
      </c>
      <c r="C19" s="56">
        <v>144000</v>
      </c>
      <c r="D19" s="56">
        <v>144000</v>
      </c>
      <c r="E19" s="56">
        <v>144000</v>
      </c>
      <c r="F19" s="56">
        <v>144000</v>
      </c>
      <c r="G19" s="56">
        <v>144000</v>
      </c>
      <c r="H19" s="56">
        <v>144000</v>
      </c>
      <c r="I19" s="56">
        <v>144000</v>
      </c>
      <c r="J19" s="56">
        <v>144000</v>
      </c>
      <c r="K19" s="56">
        <v>144000</v>
      </c>
    </row>
    <row r="20" spans="1:11" x14ac:dyDescent="0.6">
      <c r="A20" s="34"/>
      <c r="B20" s="34" t="s">
        <v>8</v>
      </c>
      <c r="C20" s="56">
        <f>SUM(C16:C19)</f>
        <v>3299145</v>
      </c>
      <c r="D20" s="56">
        <f t="shared" ref="D20:K20" si="7">SUM(D16:D19)</f>
        <v>3528024.1500000004</v>
      </c>
      <c r="E20" s="56">
        <f t="shared" si="7"/>
        <v>3769416.5280000004</v>
      </c>
      <c r="F20" s="56">
        <f t="shared" si="7"/>
        <v>4024198.0599600007</v>
      </c>
      <c r="G20" s="56">
        <f t="shared" si="7"/>
        <v>4293305.9866572004</v>
      </c>
      <c r="H20" s="56">
        <f t="shared" si="7"/>
        <v>4594955.6557232048</v>
      </c>
      <c r="I20" s="56">
        <f t="shared" si="7"/>
        <v>4896807.6141238306</v>
      </c>
      <c r="J20" s="56">
        <f t="shared" si="7"/>
        <v>5216210.0221124981</v>
      </c>
      <c r="K20" s="56">
        <f t="shared" si="7"/>
        <v>5552366.4111603741</v>
      </c>
    </row>
    <row r="21" spans="1:11" x14ac:dyDescent="0.6">
      <c r="A21" s="34"/>
      <c r="B21" s="34"/>
      <c r="C21" s="56"/>
      <c r="D21" s="56"/>
      <c r="E21" s="56"/>
      <c r="F21" s="56"/>
      <c r="G21" s="56"/>
      <c r="H21" s="56"/>
      <c r="I21" s="56"/>
      <c r="J21" s="56"/>
      <c r="K21" s="56"/>
    </row>
    <row r="22" spans="1:11" x14ac:dyDescent="0.6">
      <c r="A22" s="34"/>
      <c r="B22" s="34" t="s">
        <v>83</v>
      </c>
      <c r="C22" s="56">
        <f t="shared" ref="C22:K22" si="8">C20+C14</f>
        <v>45101320</v>
      </c>
      <c r="D22" s="56">
        <f t="shared" si="8"/>
        <v>48762470.399999999</v>
      </c>
      <c r="E22" s="56">
        <f t="shared" si="8"/>
        <v>52439039.77799999</v>
      </c>
      <c r="F22" s="56">
        <f t="shared" si="8"/>
        <v>56132049.347460002</v>
      </c>
      <c r="G22" s="56">
        <f t="shared" si="8"/>
        <v>59842588.901032202</v>
      </c>
      <c r="H22" s="56">
        <f t="shared" si="8"/>
        <v>64765221.465816952</v>
      </c>
      <c r="I22" s="56">
        <f t="shared" si="8"/>
        <v>68584588.277222261</v>
      </c>
      <c r="J22" s="56">
        <f t="shared" si="8"/>
        <v>72425214.093365863</v>
      </c>
      <c r="K22" s="56">
        <f t="shared" si="8"/>
        <v>76148112.873476416</v>
      </c>
    </row>
    <row r="23" spans="1:11" x14ac:dyDescent="0.6">
      <c r="A23" s="34"/>
      <c r="B23" s="34" t="s">
        <v>84</v>
      </c>
      <c r="C23" s="56">
        <f>Budgets!B8</f>
        <v>46109250</v>
      </c>
      <c r="D23" s="56">
        <f>Budgets!C8</f>
        <v>50451204.375</v>
      </c>
      <c r="E23" s="56">
        <f>Budgets!D8</f>
        <v>54332066.249999993</v>
      </c>
      <c r="F23" s="56">
        <f>Budgets!E8</f>
        <v>58212928.125</v>
      </c>
      <c r="G23" s="56">
        <f>Budgets!F8</f>
        <v>62093790</v>
      </c>
      <c r="H23" s="56">
        <f>Budgets!G8</f>
        <v>67307473.125</v>
      </c>
      <c r="I23" s="56">
        <f>Budgets!H8</f>
        <v>71266736.25</v>
      </c>
      <c r="J23" s="56">
        <f>Budgets!I8</f>
        <v>75225999.375</v>
      </c>
      <c r="K23" s="56">
        <f>Budgets!J8</f>
        <v>79028460</v>
      </c>
    </row>
    <row r="24" spans="1:11" x14ac:dyDescent="0.6">
      <c r="A24" s="34"/>
      <c r="B24" s="34" t="s">
        <v>85</v>
      </c>
      <c r="C24" s="56">
        <f>C23-C22</f>
        <v>1007930</v>
      </c>
      <c r="D24" s="56">
        <f t="shared" ref="D24:K24" si="9">D23-D22</f>
        <v>1688733.9750000015</v>
      </c>
      <c r="E24" s="56">
        <f t="shared" si="9"/>
        <v>1893026.4720000029</v>
      </c>
      <c r="F24" s="56">
        <f t="shared" si="9"/>
        <v>2080878.7775399983</v>
      </c>
      <c r="G24" s="56">
        <f t="shared" si="9"/>
        <v>2251201.0989677981</v>
      </c>
      <c r="H24" s="56">
        <f t="shared" si="9"/>
        <v>2542251.6591830477</v>
      </c>
      <c r="I24" s="56">
        <f t="shared" si="9"/>
        <v>2682147.9727777392</v>
      </c>
      <c r="J24" s="56">
        <f t="shared" si="9"/>
        <v>2800785.281634137</v>
      </c>
      <c r="K24" s="56">
        <f t="shared" si="9"/>
        <v>2880347.1265235841</v>
      </c>
    </row>
    <row r="25" spans="1:11" x14ac:dyDescent="0.6">
      <c r="A25" s="34"/>
      <c r="B25" s="34"/>
      <c r="C25" s="56"/>
      <c r="D25" s="56"/>
      <c r="E25" s="56"/>
      <c r="F25" s="56"/>
      <c r="G25" s="56"/>
      <c r="H25" s="56"/>
      <c r="I25" s="56"/>
      <c r="J25" s="56"/>
      <c r="K25" s="56"/>
    </row>
    <row r="26" spans="1:11" x14ac:dyDescent="0.6">
      <c r="A26" s="34"/>
      <c r="B26" s="34" t="s">
        <v>86</v>
      </c>
      <c r="C26" s="56"/>
      <c r="D26" s="56"/>
      <c r="E26" s="56"/>
      <c r="F26" s="56"/>
      <c r="G26" s="56"/>
      <c r="H26" s="56"/>
      <c r="I26" s="56"/>
      <c r="J26" s="56"/>
      <c r="K26" s="56"/>
    </row>
    <row r="27" spans="1:11" x14ac:dyDescent="0.6">
      <c r="A27" s="34"/>
      <c r="B27" s="34" t="s">
        <v>87</v>
      </c>
      <c r="C27" s="56">
        <f>SUM('Ann 13'!E9:E12)*100000</f>
        <v>219568.26923076916</v>
      </c>
      <c r="D27" s="56">
        <f>SUM('Ann 13'!E13:E16)*100000</f>
        <v>191855.76923076925</v>
      </c>
      <c r="E27" s="56">
        <f>SUM('Ann 13'!E17:E20)*100000</f>
        <v>157748.07692307691</v>
      </c>
      <c r="F27" s="56">
        <f>SUM('Ann 13'!E21:E24)*100000</f>
        <v>123640.38461538462</v>
      </c>
      <c r="G27" s="56">
        <f>SUM('Ann 13'!E25:E28)*100000</f>
        <v>89532.692307692312</v>
      </c>
      <c r="H27" s="56">
        <f>SUM('Ann 13'!E29:E32)*100000</f>
        <v>55425.000000000015</v>
      </c>
      <c r="I27" s="56">
        <f>SUM('Ann 13'!E33:E36)*100000</f>
        <v>21317.30769230771</v>
      </c>
      <c r="J27" s="56">
        <v>0</v>
      </c>
      <c r="K27" s="56">
        <v>0</v>
      </c>
    </row>
    <row r="28" spans="1:11" x14ac:dyDescent="0.6">
      <c r="A28" s="34"/>
      <c r="B28" s="34" t="s">
        <v>156</v>
      </c>
      <c r="C28" s="56">
        <f>'Ann 1'!$C$25*100000*10%</f>
        <v>53500</v>
      </c>
      <c r="D28" s="56">
        <f>'Ann 1'!$C$25*100000*10%</f>
        <v>53500</v>
      </c>
      <c r="E28" s="56">
        <f>'Ann 1'!$C$25*100000*10%</f>
        <v>53500</v>
      </c>
      <c r="F28" s="56">
        <f>'Ann 1'!$C$25*100000*10%</f>
        <v>53500</v>
      </c>
      <c r="G28" s="56">
        <f>'Ann 1'!$C$25*100000*10%</f>
        <v>53500</v>
      </c>
      <c r="H28" s="56">
        <f>'Ann 1'!$C$25*100000*10%</f>
        <v>53500</v>
      </c>
      <c r="I28" s="56">
        <f>'Ann 1'!$C$25*100000*10%</f>
        <v>53500</v>
      </c>
      <c r="J28" s="56">
        <f>'Ann 1'!$C$25*100000*10%</f>
        <v>53500</v>
      </c>
      <c r="K28" s="56">
        <f>'Ann 1'!$C$25*100000*10%</f>
        <v>53500</v>
      </c>
    </row>
    <row r="29" spans="1:11" x14ac:dyDescent="0.6">
      <c r="A29" s="34"/>
      <c r="B29" s="57" t="s">
        <v>261</v>
      </c>
      <c r="C29" s="56">
        <f>SUM(C27:C28)</f>
        <v>273068.26923076913</v>
      </c>
      <c r="D29" s="56">
        <f t="shared" ref="D29:K29" si="10">SUM(D27:D28)</f>
        <v>245355.76923076925</v>
      </c>
      <c r="E29" s="56">
        <f t="shared" si="10"/>
        <v>211248.07692307691</v>
      </c>
      <c r="F29" s="56">
        <f t="shared" si="10"/>
        <v>177140.38461538462</v>
      </c>
      <c r="G29" s="56">
        <f t="shared" si="10"/>
        <v>143032.69230769231</v>
      </c>
      <c r="H29" s="56">
        <f t="shared" si="10"/>
        <v>108925.00000000001</v>
      </c>
      <c r="I29" s="56">
        <f t="shared" si="10"/>
        <v>74817.307692307717</v>
      </c>
      <c r="J29" s="56">
        <f t="shared" si="10"/>
        <v>53500</v>
      </c>
      <c r="K29" s="56">
        <f t="shared" si="10"/>
        <v>53500</v>
      </c>
    </row>
    <row r="30" spans="1:11" x14ac:dyDescent="0.6">
      <c r="A30" s="34"/>
      <c r="B30" s="34"/>
      <c r="C30" s="56"/>
      <c r="D30" s="56"/>
      <c r="E30" s="56"/>
      <c r="F30" s="56"/>
      <c r="G30" s="56"/>
      <c r="H30" s="56"/>
      <c r="I30" s="56"/>
      <c r="J30" s="56"/>
      <c r="K30" s="56"/>
    </row>
    <row r="31" spans="1:11" x14ac:dyDescent="0.6">
      <c r="A31" s="34"/>
      <c r="B31" s="34" t="s">
        <v>97</v>
      </c>
      <c r="C31" s="56">
        <f t="shared" ref="C31:K31" si="11">C24-C29</f>
        <v>734861.73076923087</v>
      </c>
      <c r="D31" s="56">
        <f t="shared" si="11"/>
        <v>1443378.2057692322</v>
      </c>
      <c r="E31" s="56">
        <f t="shared" si="11"/>
        <v>1681778.3950769259</v>
      </c>
      <c r="F31" s="56">
        <f t="shared" si="11"/>
        <v>1903738.3929246138</v>
      </c>
      <c r="G31" s="56">
        <f t="shared" si="11"/>
        <v>2108168.4066601056</v>
      </c>
      <c r="H31" s="56">
        <f t="shared" si="11"/>
        <v>2433326.6591830477</v>
      </c>
      <c r="I31" s="56">
        <f t="shared" si="11"/>
        <v>2607330.6650854317</v>
      </c>
      <c r="J31" s="56">
        <f t="shared" si="11"/>
        <v>2747285.281634137</v>
      </c>
      <c r="K31" s="56">
        <f t="shared" si="11"/>
        <v>2826847.1265235841</v>
      </c>
    </row>
    <row r="32" spans="1:11" x14ac:dyDescent="0.6">
      <c r="A32" s="34"/>
      <c r="B32" s="34" t="s">
        <v>167</v>
      </c>
      <c r="C32" s="56">
        <f>'Ann 1'!C34*100000</f>
        <v>50000</v>
      </c>
      <c r="D32" s="56">
        <v>0</v>
      </c>
      <c r="E32" s="56">
        <v>0</v>
      </c>
      <c r="F32" s="56">
        <v>0</v>
      </c>
      <c r="G32" s="56">
        <v>0</v>
      </c>
      <c r="H32" s="56">
        <v>0</v>
      </c>
      <c r="I32" s="56">
        <v>0</v>
      </c>
      <c r="J32" s="56">
        <v>0</v>
      </c>
      <c r="K32" s="56">
        <v>0</v>
      </c>
    </row>
    <row r="33" spans="1:11" x14ac:dyDescent="0.6">
      <c r="A33" s="34"/>
      <c r="B33" s="57" t="s">
        <v>98</v>
      </c>
      <c r="C33" s="56">
        <f>'Ann 9'!C12+'Ann 9'!D12+'Ann 9'!E12</f>
        <v>557250</v>
      </c>
      <c r="D33" s="56">
        <f>'Ann 9'!C13+'Ann 9'!D13+'Ann 9'!E13</f>
        <v>479662.5</v>
      </c>
      <c r="E33" s="56">
        <f>'Ann 9'!C14+'Ann 9'!D14+'Ann 9'!E14</f>
        <v>413113.125</v>
      </c>
      <c r="F33" s="56">
        <f>'Ann 9'!C15+'Ann 9'!D15+'Ann 9'!E15</f>
        <v>356006.15625</v>
      </c>
      <c r="G33" s="56">
        <f>'Ann 9'!C16+'Ann 9'!D16+'Ann 9'!E16</f>
        <v>306979.23281249998</v>
      </c>
      <c r="H33" s="56">
        <f>'Ann 9'!C17+'Ann 9'!D17+'Ann 9'!E17</f>
        <v>264868.94789062499</v>
      </c>
      <c r="I33" s="56">
        <f>'Ann 9'!C18+'Ann 9'!D18+'Ann 9'!E18</f>
        <v>228681.54570703121</v>
      </c>
      <c r="J33" s="56">
        <f>'Ann 9'!C19+'Ann 9'!D19+'Ann 9'!E19</f>
        <v>197567.95985097653</v>
      </c>
      <c r="K33" s="56">
        <f>'Ann 9'!C20+'Ann 9'!D20+'Ann 9'!E20</f>
        <v>170802.54727333004</v>
      </c>
    </row>
    <row r="34" spans="1:11" x14ac:dyDescent="0.6">
      <c r="A34" s="34"/>
      <c r="B34" s="57" t="s">
        <v>99</v>
      </c>
      <c r="C34" s="56">
        <f>C31-C32-C33</f>
        <v>127611.73076923087</v>
      </c>
      <c r="D34" s="56">
        <f t="shared" ref="D34:K34" si="12">D31-D32-D33</f>
        <v>963715.70576923224</v>
      </c>
      <c r="E34" s="56">
        <f t="shared" si="12"/>
        <v>1268665.2700769259</v>
      </c>
      <c r="F34" s="56">
        <f t="shared" si="12"/>
        <v>1547732.2366746138</v>
      </c>
      <c r="G34" s="56">
        <f t="shared" si="12"/>
        <v>1801189.1738476055</v>
      </c>
      <c r="H34" s="56">
        <f t="shared" si="12"/>
        <v>2168457.7112924228</v>
      </c>
      <c r="I34" s="56">
        <f t="shared" si="12"/>
        <v>2378649.1193784005</v>
      </c>
      <c r="J34" s="56">
        <f t="shared" si="12"/>
        <v>2549717.3217831603</v>
      </c>
      <c r="K34" s="56">
        <f t="shared" si="12"/>
        <v>2656044.5792502542</v>
      </c>
    </row>
    <row r="35" spans="1:11" x14ac:dyDescent="0.6">
      <c r="A35" s="34"/>
      <c r="B35" s="57" t="s">
        <v>100</v>
      </c>
      <c r="C35" s="56">
        <f>'Ann 10'!B14</f>
        <v>53283.519230769256</v>
      </c>
      <c r="D35" s="56">
        <f>'Ann 10'!C14</f>
        <v>289114.71173076966</v>
      </c>
      <c r="E35" s="56">
        <f>'Ann 10'!D14</f>
        <v>380599.58102307777</v>
      </c>
      <c r="F35" s="56">
        <f>'Ann 10'!E14</f>
        <v>464319.6710023841</v>
      </c>
      <c r="G35" s="56">
        <f>'Ann 10'!F14</f>
        <v>540356.7521542816</v>
      </c>
      <c r="H35" s="56">
        <f>'Ann 10'!G14</f>
        <v>650537.31338772678</v>
      </c>
      <c r="I35" s="56">
        <f>'Ann 10'!H14</f>
        <v>713594.73581352015</v>
      </c>
      <c r="J35" s="56">
        <f>'Ann 10'!I14</f>
        <v>764915.19653494807</v>
      </c>
      <c r="K35" s="56">
        <f>'Ann 10'!J14</f>
        <v>796813.37377507624</v>
      </c>
    </row>
    <row r="36" spans="1:11" x14ac:dyDescent="0.6">
      <c r="A36" s="34"/>
      <c r="B36" s="57" t="s">
        <v>101</v>
      </c>
      <c r="C36" s="56">
        <f>C34-C35</f>
        <v>74328.211538461619</v>
      </c>
      <c r="D36" s="56">
        <f>D34-D35</f>
        <v>674600.99403846264</v>
      </c>
      <c r="E36" s="56">
        <f t="shared" ref="E36:K36" si="13">E34-E35</f>
        <v>888065.68905384815</v>
      </c>
      <c r="F36" s="56">
        <f t="shared" si="13"/>
        <v>1083412.5656722297</v>
      </c>
      <c r="G36" s="56">
        <f t="shared" si="13"/>
        <v>1260832.4216933239</v>
      </c>
      <c r="H36" s="56">
        <f t="shared" si="13"/>
        <v>1517920.3979046959</v>
      </c>
      <c r="I36" s="56">
        <f t="shared" si="13"/>
        <v>1665054.3835648804</v>
      </c>
      <c r="J36" s="56">
        <f t="shared" si="13"/>
        <v>1784802.1252482124</v>
      </c>
      <c r="K36" s="56">
        <f t="shared" si="13"/>
        <v>1859231.2054751781</v>
      </c>
    </row>
    <row r="37" spans="1:11" x14ac:dyDescent="0.6">
      <c r="A37" s="34"/>
      <c r="B37" s="57" t="s">
        <v>255</v>
      </c>
      <c r="C37" s="56">
        <f>C36*80%</f>
        <v>59462.569230769295</v>
      </c>
      <c r="D37" s="56">
        <f t="shared" ref="D37:K37" si="14">D36*80%</f>
        <v>539680.79523077013</v>
      </c>
      <c r="E37" s="56">
        <f t="shared" si="14"/>
        <v>710452.55124307855</v>
      </c>
      <c r="F37" s="56">
        <f t="shared" si="14"/>
        <v>866730.05253778386</v>
      </c>
      <c r="G37" s="56">
        <f t="shared" si="14"/>
        <v>1008665.9373546592</v>
      </c>
      <c r="H37" s="56">
        <f t="shared" si="14"/>
        <v>1214336.3183237568</v>
      </c>
      <c r="I37" s="56">
        <f t="shared" si="14"/>
        <v>1332043.5068519043</v>
      </c>
      <c r="J37" s="56">
        <f t="shared" si="14"/>
        <v>1427841.70019857</v>
      </c>
      <c r="K37" s="56">
        <f t="shared" si="14"/>
        <v>1487384.9643801425</v>
      </c>
    </row>
    <row r="38" spans="1:11" x14ac:dyDescent="0.6">
      <c r="A38" s="34"/>
      <c r="B38" s="57" t="s">
        <v>111</v>
      </c>
      <c r="C38" s="56">
        <f>C36-C37</f>
        <v>14865.642307692324</v>
      </c>
      <c r="D38" s="56">
        <f t="shared" ref="D38:K38" si="15">D36-D37</f>
        <v>134920.1988076925</v>
      </c>
      <c r="E38" s="56">
        <f t="shared" si="15"/>
        <v>177613.13781076961</v>
      </c>
      <c r="F38" s="56">
        <f t="shared" si="15"/>
        <v>216682.51313444588</v>
      </c>
      <c r="G38" s="56">
        <f t="shared" si="15"/>
        <v>252166.48433866468</v>
      </c>
      <c r="H38" s="56">
        <f t="shared" si="15"/>
        <v>303584.07958093914</v>
      </c>
      <c r="I38" s="56">
        <f t="shared" si="15"/>
        <v>333010.87671297602</v>
      </c>
      <c r="J38" s="56">
        <f t="shared" si="15"/>
        <v>356960.42504964233</v>
      </c>
      <c r="K38" s="56">
        <f t="shared" si="15"/>
        <v>371846.24109503557</v>
      </c>
    </row>
    <row r="40" spans="1:11" x14ac:dyDescent="0.6">
      <c r="A40" s="6" t="s">
        <v>321</v>
      </c>
    </row>
    <row r="41" spans="1:11" x14ac:dyDescent="0.6">
      <c r="A41" s="6" t="s">
        <v>271</v>
      </c>
    </row>
    <row r="42" spans="1:11" x14ac:dyDescent="0.6">
      <c r="B42" s="6" t="s">
        <v>163</v>
      </c>
      <c r="C42" s="6">
        <v>90000</v>
      </c>
      <c r="D42" s="6">
        <f>C42*1.05</f>
        <v>94500</v>
      </c>
      <c r="E42" s="6">
        <f t="shared" ref="E42:K42" si="16">D42*1.05</f>
        <v>99225</v>
      </c>
      <c r="F42" s="6">
        <f t="shared" si="16"/>
        <v>104186.25</v>
      </c>
      <c r="G42" s="6">
        <f t="shared" si="16"/>
        <v>109395.5625</v>
      </c>
      <c r="H42" s="6">
        <f t="shared" si="16"/>
        <v>114865.34062500001</v>
      </c>
      <c r="I42" s="6">
        <f t="shared" si="16"/>
        <v>120608.60765625002</v>
      </c>
      <c r="J42" s="6">
        <f t="shared" si="16"/>
        <v>126639.03803906254</v>
      </c>
      <c r="K42" s="6">
        <f t="shared" si="16"/>
        <v>132970.98994101566</v>
      </c>
    </row>
    <row r="43" spans="1:11" x14ac:dyDescent="0.6">
      <c r="B43" s="6" t="s">
        <v>69</v>
      </c>
      <c r="C43" s="6">
        <f>C42*12</f>
        <v>1080000</v>
      </c>
      <c r="D43" s="6">
        <f t="shared" ref="D43:K43" si="17">D42*12</f>
        <v>1134000</v>
      </c>
      <c r="E43" s="6">
        <f t="shared" si="17"/>
        <v>1190700</v>
      </c>
      <c r="F43" s="6">
        <f t="shared" si="17"/>
        <v>1250235</v>
      </c>
      <c r="G43" s="6">
        <f t="shared" si="17"/>
        <v>1312746.75</v>
      </c>
      <c r="H43" s="6">
        <f t="shared" si="17"/>
        <v>1378384.0875000001</v>
      </c>
      <c r="I43" s="6">
        <f t="shared" si="17"/>
        <v>1447303.2918750003</v>
      </c>
      <c r="J43" s="6">
        <f t="shared" si="17"/>
        <v>1519668.4564687505</v>
      </c>
      <c r="K43" s="6">
        <f t="shared" si="17"/>
        <v>1595651.879292188</v>
      </c>
    </row>
    <row r="44" spans="1:11" x14ac:dyDescent="0.6">
      <c r="A44" s="6" t="s">
        <v>272</v>
      </c>
    </row>
    <row r="45" spans="1:11" x14ac:dyDescent="0.6">
      <c r="A45" s="6" t="s">
        <v>323</v>
      </c>
    </row>
    <row r="46" spans="1:11" x14ac:dyDescent="0.6">
      <c r="A46" s="6" t="s">
        <v>322</v>
      </c>
    </row>
    <row r="47" spans="1:11" x14ac:dyDescent="0.6">
      <c r="A47" s="6" t="s">
        <v>324</v>
      </c>
    </row>
  </sheetData>
  <mergeCells count="3">
    <mergeCell ref="C3:K3"/>
    <mergeCell ref="B3:B4"/>
    <mergeCell ref="A3:A4"/>
  </mergeCells>
  <pageMargins left="0.7" right="0.7" top="0.75" bottom="0.75" header="0.3" footer="0.3"/>
  <pageSetup scale="58" fitToHeight="0" orientation="landscape" r:id="rId1"/>
  <ignoredErrors>
    <ignoredError sqref="D2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C10C-E414-4E29-98C1-5FAEC5C52CAE}">
  <sheetPr>
    <pageSetUpPr fitToPage="1"/>
  </sheetPr>
  <dimension ref="A1:M55"/>
  <sheetViews>
    <sheetView workbookViewId="0">
      <selection activeCell="C1" sqref="C1"/>
    </sheetView>
  </sheetViews>
  <sheetFormatPr defaultRowHeight="17" x14ac:dyDescent="0.6"/>
  <cols>
    <col min="1" max="1" width="8.7265625" style="6"/>
    <col min="2" max="2" width="28.26953125" style="6" customWidth="1"/>
    <col min="3" max="3" width="15.6328125" style="6" bestFit="1" customWidth="1"/>
    <col min="4" max="10" width="13.7265625" style="6" bestFit="1" customWidth="1"/>
    <col min="11" max="11" width="13.6328125" style="6" bestFit="1" customWidth="1"/>
    <col min="12" max="12" width="10" style="6" bestFit="1" customWidth="1"/>
    <col min="13" max="16384" width="8.7265625" style="6"/>
  </cols>
  <sheetData>
    <row r="1" spans="1:11" x14ac:dyDescent="0.6">
      <c r="A1" s="5" t="s">
        <v>112</v>
      </c>
    </row>
    <row r="3" spans="1:11" x14ac:dyDescent="0.6">
      <c r="A3" s="6" t="s">
        <v>282</v>
      </c>
    </row>
    <row r="5" spans="1:11" x14ac:dyDescent="0.6">
      <c r="A5" s="142" t="s">
        <v>36</v>
      </c>
      <c r="B5" s="142" t="s">
        <v>37</v>
      </c>
      <c r="C5" s="143" t="s">
        <v>47</v>
      </c>
      <c r="D5" s="143"/>
      <c r="E5" s="143"/>
      <c r="F5" s="143"/>
      <c r="G5" s="143"/>
      <c r="H5" s="143"/>
      <c r="I5" s="143"/>
      <c r="J5" s="143"/>
      <c r="K5" s="143"/>
    </row>
    <row r="6" spans="1:11" x14ac:dyDescent="0.6">
      <c r="A6" s="142"/>
      <c r="B6" s="142"/>
      <c r="C6" s="58" t="s">
        <v>38</v>
      </c>
      <c r="D6" s="58" t="s">
        <v>39</v>
      </c>
      <c r="E6" s="58" t="s">
        <v>40</v>
      </c>
      <c r="F6" s="58" t="s">
        <v>41</v>
      </c>
      <c r="G6" s="58" t="s">
        <v>42</v>
      </c>
      <c r="H6" s="58" t="s">
        <v>43</v>
      </c>
      <c r="I6" s="58" t="s">
        <v>44</v>
      </c>
      <c r="J6" s="58" t="s">
        <v>45</v>
      </c>
      <c r="K6" s="58" t="s">
        <v>46</v>
      </c>
    </row>
    <row r="7" spans="1:11" x14ac:dyDescent="0.6">
      <c r="A7" s="37" t="s">
        <v>143</v>
      </c>
      <c r="B7" s="60" t="s">
        <v>113</v>
      </c>
      <c r="C7" s="61"/>
      <c r="D7" s="61"/>
      <c r="E7" s="62"/>
      <c r="F7" s="62"/>
      <c r="G7" s="62"/>
      <c r="H7" s="62"/>
      <c r="I7" s="62"/>
      <c r="J7" s="62"/>
      <c r="K7" s="62"/>
    </row>
    <row r="8" spans="1:11" x14ac:dyDescent="0.6">
      <c r="A8" s="26">
        <v>1</v>
      </c>
      <c r="B8" s="27" t="s">
        <v>114</v>
      </c>
      <c r="C8" s="13"/>
      <c r="D8" s="13"/>
      <c r="E8" s="14"/>
      <c r="F8" s="14"/>
      <c r="G8" s="14"/>
      <c r="H8" s="14"/>
      <c r="I8" s="14"/>
      <c r="J8" s="14"/>
      <c r="K8" s="14"/>
    </row>
    <row r="9" spans="1:11" x14ac:dyDescent="0.6">
      <c r="A9" s="26"/>
      <c r="B9" s="27" t="s">
        <v>115</v>
      </c>
      <c r="C9" s="64">
        <f>('Ann 9'!F9*100000)+('Ann 1'!C8*100000)</f>
        <v>4115000</v>
      </c>
      <c r="D9" s="64">
        <f>C11</f>
        <v>3557750</v>
      </c>
      <c r="E9" s="28">
        <f t="shared" ref="E9:K9" si="0">D11</f>
        <v>3078087.5</v>
      </c>
      <c r="F9" s="28">
        <f t="shared" si="0"/>
        <v>2664974.375</v>
      </c>
      <c r="G9" s="28">
        <f t="shared" si="0"/>
        <v>2308968.21875</v>
      </c>
      <c r="H9" s="28">
        <f t="shared" si="0"/>
        <v>2001988.9859374999</v>
      </c>
      <c r="I9" s="28">
        <f t="shared" si="0"/>
        <v>1737120.038046875</v>
      </c>
      <c r="J9" s="28">
        <f t="shared" si="0"/>
        <v>1508438.4923398439</v>
      </c>
      <c r="K9" s="28">
        <f t="shared" si="0"/>
        <v>1310870.5324888674</v>
      </c>
    </row>
    <row r="10" spans="1:11" x14ac:dyDescent="0.6">
      <c r="A10" s="26"/>
      <c r="B10" s="27" t="s">
        <v>116</v>
      </c>
      <c r="C10" s="64">
        <f>'Ann 9'!C12+'Ann 9'!D12+'Ann 9'!E12</f>
        <v>557250</v>
      </c>
      <c r="D10" s="64">
        <f>'Ann 9'!C13+'Ann 9'!D13+'Ann 9'!E13</f>
        <v>479662.5</v>
      </c>
      <c r="E10" s="28">
        <f>'Ann 9'!C14+'Ann 9'!D14+'Ann 9'!E14</f>
        <v>413113.125</v>
      </c>
      <c r="F10" s="28">
        <f>'Ann 9'!C15+'Ann 9'!D15+'Ann 9'!E15</f>
        <v>356006.15625</v>
      </c>
      <c r="G10" s="28">
        <f>'Ann 9'!C16+'Ann 9'!D16+'Ann 9'!E16</f>
        <v>306979.23281249998</v>
      </c>
      <c r="H10" s="28">
        <f>'Ann 9'!C17+'Ann 9'!D17+'Ann 9'!E17</f>
        <v>264868.94789062499</v>
      </c>
      <c r="I10" s="28">
        <f>+'Ann 9'!C18+'Ann 9'!D18+'Ann 9'!E18</f>
        <v>228681.54570703121</v>
      </c>
      <c r="J10" s="28">
        <f>'Ann 9'!C19+'Ann 9'!D19+'Ann 9'!E19</f>
        <v>197567.95985097653</v>
      </c>
      <c r="K10" s="28">
        <f>+'Ann 9'!C20+'Ann 9'!D20+'Ann 9'!E20</f>
        <v>170802.54727333004</v>
      </c>
    </row>
    <row r="11" spans="1:11" collapsed="1" x14ac:dyDescent="0.6">
      <c r="A11" s="26"/>
      <c r="B11" s="27" t="s">
        <v>285</v>
      </c>
      <c r="C11" s="64">
        <f>C9-C10</f>
        <v>3557750</v>
      </c>
      <c r="D11" s="64">
        <f>D9-D10</f>
        <v>3078087.5</v>
      </c>
      <c r="E11" s="28">
        <f t="shared" ref="E11:K11" si="1">E9-E10</f>
        <v>2664974.375</v>
      </c>
      <c r="F11" s="28">
        <f t="shared" si="1"/>
        <v>2308968.21875</v>
      </c>
      <c r="G11" s="28">
        <f t="shared" si="1"/>
        <v>2001988.9859374999</v>
      </c>
      <c r="H11" s="28">
        <f t="shared" si="1"/>
        <v>1737120.038046875</v>
      </c>
      <c r="I11" s="28">
        <f t="shared" si="1"/>
        <v>1508438.4923398439</v>
      </c>
      <c r="J11" s="28">
        <f t="shared" si="1"/>
        <v>1310870.5324888674</v>
      </c>
      <c r="K11" s="28">
        <f t="shared" si="1"/>
        <v>1140067.9852155373</v>
      </c>
    </row>
    <row r="12" spans="1:11" x14ac:dyDescent="0.6">
      <c r="A12" s="26">
        <v>2</v>
      </c>
      <c r="B12" s="27" t="s">
        <v>117</v>
      </c>
      <c r="C12" s="64">
        <f>'Ann 4'!C23*60/300</f>
        <v>9221850</v>
      </c>
      <c r="D12" s="63">
        <f>'Ann 4'!D23*60/300</f>
        <v>10090240.875</v>
      </c>
      <c r="E12" s="63">
        <f>'Ann 4'!E23*60/300</f>
        <v>10866413.249999998</v>
      </c>
      <c r="F12" s="63">
        <f>'Ann 4'!F23*60/300</f>
        <v>11642585.625</v>
      </c>
      <c r="G12" s="63">
        <f>'Ann 4'!G23*60/300</f>
        <v>12418758</v>
      </c>
      <c r="H12" s="63">
        <f>'Ann 4'!H23*60/300</f>
        <v>13461494.625</v>
      </c>
      <c r="I12" s="63">
        <f>'Ann 4'!I23*60/300</f>
        <v>14253347.25</v>
      </c>
      <c r="J12" s="63">
        <f>'Ann 4'!J23*60/300</f>
        <v>15045199.875</v>
      </c>
      <c r="K12" s="63">
        <f>'Ann 4'!K23*60/300</f>
        <v>15805692</v>
      </c>
    </row>
    <row r="13" spans="1:11" x14ac:dyDescent="0.6">
      <c r="A13" s="26">
        <v>3</v>
      </c>
      <c r="B13" s="65" t="s">
        <v>257</v>
      </c>
      <c r="C13" s="64">
        <f>'Ann 4'!C13</f>
        <v>415125</v>
      </c>
      <c r="D13" s="63">
        <f>'Ann 4'!D13</f>
        <v>864843.75</v>
      </c>
      <c r="E13" s="63">
        <f>'Ann 4'!E13</f>
        <v>1349156.25</v>
      </c>
      <c r="F13" s="63">
        <f>'Ann 4'!F13</f>
        <v>1868062.5</v>
      </c>
      <c r="G13" s="63">
        <f>'Ann 4'!G13</f>
        <v>2421562.5</v>
      </c>
      <c r="H13" s="63">
        <f>'Ann 4'!H13</f>
        <v>1833468.75</v>
      </c>
      <c r="I13" s="63">
        <f>'Ann 4'!I13</f>
        <v>1210781.25</v>
      </c>
      <c r="J13" s="63">
        <f>'Ann 4'!J13</f>
        <v>553500</v>
      </c>
      <c r="K13" s="63">
        <f>'Ann 4'!K13</f>
        <v>0</v>
      </c>
    </row>
    <row r="14" spans="1:11" x14ac:dyDescent="0.6">
      <c r="A14" s="26">
        <v>4</v>
      </c>
      <c r="B14" s="27" t="s">
        <v>118</v>
      </c>
      <c r="C14" s="123">
        <f>'Ann 14'!C21</f>
        <v>3507409.8730769232</v>
      </c>
      <c r="D14" s="66">
        <f>'Ann 14'!D21</f>
        <v>3258046.4084230773</v>
      </c>
      <c r="E14" s="66">
        <f>'Ann 14'!E21</f>
        <v>3042451.2577722976</v>
      </c>
      <c r="F14" s="66">
        <f>'Ann 14'!F21</f>
        <v>2774224.7636952032</v>
      </c>
      <c r="G14" s="66">
        <f>'Ann 14'!G21</f>
        <v>2457861.5673848297</v>
      </c>
      <c r="H14" s="66">
        <f>'Ann 14'!H21</f>
        <v>3025835.1813948578</v>
      </c>
      <c r="I14" s="66">
        <f>'Ann 14'!I21</f>
        <v>3872525.9403533284</v>
      </c>
      <c r="J14" s="66">
        <f>'Ann 14'!J21</f>
        <v>5315107.9502539448</v>
      </c>
      <c r="K14" s="66">
        <f>'Ann 14'!K21</f>
        <v>6673389.6136223143</v>
      </c>
    </row>
    <row r="15" spans="1:11" x14ac:dyDescent="0.6">
      <c r="A15" s="26"/>
      <c r="B15" s="27" t="s">
        <v>125</v>
      </c>
      <c r="C15" s="64">
        <f t="shared" ref="C15:K15" si="2">SUM(C11:C14)</f>
        <v>16702134.873076923</v>
      </c>
      <c r="D15" s="63">
        <f t="shared" si="2"/>
        <v>17291218.533423077</v>
      </c>
      <c r="E15" s="67">
        <f t="shared" si="2"/>
        <v>17922995.132772297</v>
      </c>
      <c r="F15" s="67">
        <f t="shared" si="2"/>
        <v>18593841.107445203</v>
      </c>
      <c r="G15" s="67">
        <f t="shared" si="2"/>
        <v>19300171.05332233</v>
      </c>
      <c r="H15" s="67">
        <f t="shared" si="2"/>
        <v>20057918.594441731</v>
      </c>
      <c r="I15" s="67">
        <f t="shared" si="2"/>
        <v>20845092.932693169</v>
      </c>
      <c r="J15" s="67">
        <f t="shared" si="2"/>
        <v>22224678.357742812</v>
      </c>
      <c r="K15" s="67">
        <f t="shared" si="2"/>
        <v>23619149.598837852</v>
      </c>
    </row>
    <row r="16" spans="1:11" x14ac:dyDescent="0.6">
      <c r="A16" s="26"/>
      <c r="B16" s="27"/>
      <c r="C16" s="64"/>
      <c r="D16" s="63"/>
      <c r="E16" s="67"/>
      <c r="F16" s="67"/>
      <c r="G16" s="67"/>
      <c r="H16" s="67"/>
      <c r="I16" s="67"/>
      <c r="J16" s="67"/>
      <c r="K16" s="67"/>
    </row>
    <row r="17" spans="1:13" x14ac:dyDescent="0.6">
      <c r="A17" s="26" t="s">
        <v>144</v>
      </c>
      <c r="B17" s="68" t="s">
        <v>119</v>
      </c>
      <c r="C17" s="64"/>
      <c r="D17" s="13"/>
      <c r="E17" s="14"/>
      <c r="F17" s="14"/>
      <c r="G17" s="14"/>
      <c r="H17" s="14"/>
      <c r="I17" s="14"/>
      <c r="J17" s="14"/>
      <c r="K17" s="14"/>
    </row>
    <row r="18" spans="1:13" x14ac:dyDescent="0.6">
      <c r="A18" s="26">
        <v>1</v>
      </c>
      <c r="B18" s="27" t="s">
        <v>120</v>
      </c>
      <c r="C18" s="123">
        <f>'Ann 2'!C4*100000</f>
        <v>470000</v>
      </c>
      <c r="D18" s="66">
        <f>C21</f>
        <v>484865.64230769232</v>
      </c>
      <c r="E18" s="69">
        <f t="shared" ref="E18:K18" si="3">D21</f>
        <v>619785.84111538483</v>
      </c>
      <c r="F18" s="69">
        <f t="shared" si="3"/>
        <v>797398.97892615444</v>
      </c>
      <c r="G18" s="69">
        <f t="shared" si="3"/>
        <v>1014081.4920606003</v>
      </c>
      <c r="H18" s="69">
        <f t="shared" si="3"/>
        <v>1266247.976399265</v>
      </c>
      <c r="I18" s="69">
        <f t="shared" si="3"/>
        <v>1569832.0559802041</v>
      </c>
      <c r="J18" s="69">
        <f t="shared" si="3"/>
        <v>1902842.9326931802</v>
      </c>
      <c r="K18" s="69">
        <f t="shared" si="3"/>
        <v>2259803.3577428227</v>
      </c>
    </row>
    <row r="19" spans="1:13" x14ac:dyDescent="0.6">
      <c r="A19" s="26"/>
      <c r="B19" s="27" t="s">
        <v>121</v>
      </c>
      <c r="C19" s="123">
        <f>'Ann 4'!C38</f>
        <v>14865.642307692324</v>
      </c>
      <c r="D19" s="66">
        <f>'Ann 4'!D38</f>
        <v>134920.1988076925</v>
      </c>
      <c r="E19" s="69">
        <f>'Ann 4'!E38</f>
        <v>177613.13781076961</v>
      </c>
      <c r="F19" s="69">
        <f>'Ann 4'!F38</f>
        <v>216682.51313444588</v>
      </c>
      <c r="G19" s="69">
        <f>'Ann 4'!G38</f>
        <v>252166.48433866468</v>
      </c>
      <c r="H19" s="69">
        <f>'Ann 4'!H38</f>
        <v>303584.07958093914</v>
      </c>
      <c r="I19" s="69">
        <f>'Ann 4'!I38</f>
        <v>333010.87671297602</v>
      </c>
      <c r="J19" s="69">
        <f>'Ann 4'!J38</f>
        <v>356960.42504964233</v>
      </c>
      <c r="K19" s="69">
        <f>'Ann 4'!K38</f>
        <v>371846.24109503557</v>
      </c>
    </row>
    <row r="20" spans="1:13" x14ac:dyDescent="0.6">
      <c r="A20" s="26"/>
      <c r="B20" s="27" t="s">
        <v>122</v>
      </c>
      <c r="C20" s="123">
        <v>0</v>
      </c>
      <c r="D20" s="66">
        <v>0</v>
      </c>
      <c r="E20" s="69">
        <v>0</v>
      </c>
      <c r="F20" s="69">
        <v>0</v>
      </c>
      <c r="G20" s="69">
        <v>0</v>
      </c>
      <c r="H20" s="69">
        <v>0</v>
      </c>
      <c r="I20" s="69">
        <v>0</v>
      </c>
      <c r="J20" s="69">
        <v>0</v>
      </c>
      <c r="K20" s="69">
        <v>0</v>
      </c>
    </row>
    <row r="21" spans="1:13" x14ac:dyDescent="0.6">
      <c r="A21" s="26"/>
      <c r="B21" s="27" t="s">
        <v>123</v>
      </c>
      <c r="C21" s="123">
        <f>C18+C19</f>
        <v>484865.64230769232</v>
      </c>
      <c r="D21" s="66">
        <f t="shared" ref="D21:K21" si="4">D18+D19</f>
        <v>619785.84111538483</v>
      </c>
      <c r="E21" s="69">
        <f t="shared" si="4"/>
        <v>797398.97892615444</v>
      </c>
      <c r="F21" s="69">
        <f t="shared" si="4"/>
        <v>1014081.4920606003</v>
      </c>
      <c r="G21" s="69">
        <f t="shared" si="4"/>
        <v>1266247.976399265</v>
      </c>
      <c r="H21" s="69">
        <f t="shared" si="4"/>
        <v>1569832.0559802041</v>
      </c>
      <c r="I21" s="69">
        <f t="shared" si="4"/>
        <v>1902842.9326931802</v>
      </c>
      <c r="J21" s="69">
        <f t="shared" si="4"/>
        <v>2259803.3577428227</v>
      </c>
      <c r="K21" s="69">
        <f t="shared" si="4"/>
        <v>2631649.5988378581</v>
      </c>
    </row>
    <row r="22" spans="1:13" x14ac:dyDescent="0.6">
      <c r="A22" s="26">
        <v>2</v>
      </c>
      <c r="B22" s="27" t="s">
        <v>28</v>
      </c>
      <c r="C22" s="123">
        <f>'Ann 13'!C13*100000</f>
        <v>3410769.2307692305</v>
      </c>
      <c r="D22" s="66">
        <f>'Ann 13'!C17*100000</f>
        <v>2842307.6923076925</v>
      </c>
      <c r="E22" s="66">
        <f>'Ann 13'!C21*100000</f>
        <v>2273846.153846154</v>
      </c>
      <c r="F22" s="66">
        <f>'Ann 13'!C25*100000</f>
        <v>1705384.6153846155</v>
      </c>
      <c r="G22" s="69">
        <f>('Ann 13'!C28-'Ann 13'!D28)*100000</f>
        <v>1136923.0769230772</v>
      </c>
      <c r="H22" s="69">
        <f>('Ann 13'!C32-'Ann 13'!D32)*100000</f>
        <v>568461.53846153873</v>
      </c>
      <c r="I22" s="69">
        <v>0</v>
      </c>
      <c r="J22" s="69">
        <v>0</v>
      </c>
      <c r="K22" s="69">
        <v>0</v>
      </c>
    </row>
    <row r="23" spans="1:13" x14ac:dyDescent="0.6">
      <c r="A23" s="26">
        <v>3</v>
      </c>
      <c r="B23" s="65" t="s">
        <v>155</v>
      </c>
      <c r="C23" s="123">
        <f>'Ann 2'!$C$7*100000</f>
        <v>535000</v>
      </c>
      <c r="D23" s="66">
        <f>'Ann 2'!$C$7*100000</f>
        <v>535000</v>
      </c>
      <c r="E23" s="66">
        <f>'Ann 2'!$C$7*100000</f>
        <v>535000</v>
      </c>
      <c r="F23" s="66">
        <f>'Ann 2'!$C$7*100000</f>
        <v>535000</v>
      </c>
      <c r="G23" s="66">
        <f>'Ann 2'!$C$7*100000</f>
        <v>535000</v>
      </c>
      <c r="H23" s="66">
        <f>'Ann 2'!$C$7*100000</f>
        <v>535000</v>
      </c>
      <c r="I23" s="66">
        <f>'Ann 2'!$C$7*100000</f>
        <v>535000</v>
      </c>
      <c r="J23" s="66">
        <f>'Ann 2'!$C$7*100000</f>
        <v>535000</v>
      </c>
      <c r="K23" s="66">
        <f>'Ann 2'!$C$7*100000</f>
        <v>535000</v>
      </c>
    </row>
    <row r="24" spans="1:13" x14ac:dyDescent="0.6">
      <c r="A24" s="26">
        <v>4</v>
      </c>
      <c r="B24" s="65" t="s">
        <v>150</v>
      </c>
      <c r="C24" s="123">
        <f>('Ann 4'!C10+'Ann 4'!C7)*90/300</f>
        <v>12271500</v>
      </c>
      <c r="D24" s="66">
        <f>('Ann 4'!D10+'Ann 4'!D7)*90/300</f>
        <v>13294125</v>
      </c>
      <c r="E24" s="66">
        <f>('Ann 4'!E10+'Ann 4'!E7)*90/300</f>
        <v>14316749.999999996</v>
      </c>
      <c r="F24" s="66">
        <f>('Ann 4'!F10+'Ann 4'!F7)*90/300</f>
        <v>15339375</v>
      </c>
      <c r="G24" s="66">
        <f>('Ann 4'!G10+'Ann 4'!G7)*90/300</f>
        <v>16362000</v>
      </c>
      <c r="H24" s="66">
        <f>('Ann 4'!H10+'Ann 4'!H7)*90/300</f>
        <v>17384625</v>
      </c>
      <c r="I24" s="66">
        <f>('Ann 4'!I10+'Ann 4'!I7)*90/300</f>
        <v>18407250</v>
      </c>
      <c r="J24" s="66">
        <f>('Ann 4'!J10+'Ann 4'!J7)*90/300</f>
        <v>19429875</v>
      </c>
      <c r="K24" s="66">
        <f>('Ann 4'!K10+'Ann 4'!K7)*90/300</f>
        <v>20452500</v>
      </c>
    </row>
    <row r="25" spans="1:13" x14ac:dyDescent="0.6">
      <c r="A25" s="26"/>
      <c r="B25" s="27" t="s">
        <v>124</v>
      </c>
      <c r="C25" s="64">
        <f t="shared" ref="C25:K25" si="5">SUM(C21:C24)</f>
        <v>16702134.873076923</v>
      </c>
      <c r="D25" s="63">
        <f t="shared" si="5"/>
        <v>17291218.533423077</v>
      </c>
      <c r="E25" s="63">
        <f t="shared" si="5"/>
        <v>17922995.132772304</v>
      </c>
      <c r="F25" s="63">
        <f t="shared" si="5"/>
        <v>18593841.107445218</v>
      </c>
      <c r="G25" s="63">
        <f t="shared" si="5"/>
        <v>19300171.053322341</v>
      </c>
      <c r="H25" s="63">
        <f t="shared" si="5"/>
        <v>20057918.594441742</v>
      </c>
      <c r="I25" s="63">
        <f t="shared" si="5"/>
        <v>20845092.93269318</v>
      </c>
      <c r="J25" s="63">
        <f t="shared" si="5"/>
        <v>22224678.357742824</v>
      </c>
      <c r="K25" s="63">
        <f t="shared" si="5"/>
        <v>23619149.59883786</v>
      </c>
    </row>
    <row r="26" spans="1:13" x14ac:dyDescent="0.6">
      <c r="A26" s="26"/>
      <c r="B26" s="27"/>
      <c r="C26" s="64"/>
      <c r="D26" s="64"/>
      <c r="E26" s="64"/>
      <c r="F26" s="64"/>
      <c r="G26" s="64"/>
      <c r="H26" s="64"/>
      <c r="I26" s="64"/>
      <c r="J26" s="64"/>
      <c r="K26" s="64"/>
      <c r="L26" s="70"/>
      <c r="M26" s="27"/>
    </row>
    <row r="27" spans="1:13" x14ac:dyDescent="0.6">
      <c r="A27" s="76"/>
      <c r="B27" s="77" t="s">
        <v>126</v>
      </c>
      <c r="C27" s="78"/>
      <c r="D27" s="78"/>
      <c r="E27" s="79"/>
      <c r="F27" s="79"/>
      <c r="G27" s="79"/>
      <c r="H27" s="79"/>
      <c r="I27" s="79"/>
      <c r="J27" s="79"/>
      <c r="K27" s="79"/>
    </row>
    <row r="28" spans="1:13" x14ac:dyDescent="0.6">
      <c r="A28" s="26"/>
      <c r="B28" s="27" t="s">
        <v>127</v>
      </c>
      <c r="C28" s="63">
        <f t="shared" ref="C28:K28" si="6">SUM(C12:C14)</f>
        <v>13144384.873076923</v>
      </c>
      <c r="D28" s="63">
        <f t="shared" si="6"/>
        <v>14213131.033423077</v>
      </c>
      <c r="E28" s="67">
        <f t="shared" si="6"/>
        <v>15258020.757772297</v>
      </c>
      <c r="F28" s="67">
        <f t="shared" si="6"/>
        <v>16284872.888695203</v>
      </c>
      <c r="G28" s="67">
        <f t="shared" si="6"/>
        <v>17298182.067384832</v>
      </c>
      <c r="H28" s="67">
        <f t="shared" si="6"/>
        <v>18320798.556394856</v>
      </c>
      <c r="I28" s="67">
        <f t="shared" si="6"/>
        <v>19336654.440353326</v>
      </c>
      <c r="J28" s="67">
        <f t="shared" si="6"/>
        <v>20913807.825253945</v>
      </c>
      <c r="K28" s="67">
        <f t="shared" si="6"/>
        <v>22479081.613622315</v>
      </c>
    </row>
    <row r="29" spans="1:13" x14ac:dyDescent="0.6">
      <c r="A29" s="26"/>
      <c r="B29" s="27" t="s">
        <v>128</v>
      </c>
      <c r="C29" s="63">
        <f>C24+C23</f>
        <v>12806500</v>
      </c>
      <c r="D29" s="63">
        <f t="shared" ref="D29:K29" si="7">D24+D23</f>
        <v>13829125</v>
      </c>
      <c r="E29" s="63">
        <f t="shared" si="7"/>
        <v>14851749.999999996</v>
      </c>
      <c r="F29" s="63">
        <f t="shared" si="7"/>
        <v>15874375</v>
      </c>
      <c r="G29" s="63">
        <f t="shared" si="7"/>
        <v>16897000</v>
      </c>
      <c r="H29" s="63">
        <f t="shared" si="7"/>
        <v>17919625</v>
      </c>
      <c r="I29" s="63">
        <f t="shared" si="7"/>
        <v>18942250</v>
      </c>
      <c r="J29" s="63">
        <f t="shared" si="7"/>
        <v>19964875</v>
      </c>
      <c r="K29" s="63">
        <f t="shared" si="7"/>
        <v>20987500</v>
      </c>
    </row>
    <row r="30" spans="1:13" x14ac:dyDescent="0.6">
      <c r="A30" s="26"/>
      <c r="B30" s="27" t="s">
        <v>132</v>
      </c>
      <c r="C30" s="13">
        <f>C28/C29</f>
        <v>1.0263838576564184</v>
      </c>
      <c r="D30" s="13">
        <f>D28/D29</f>
        <v>1.0277679197652112</v>
      </c>
      <c r="E30" s="14">
        <f t="shared" ref="E30:K30" si="8">E28/E29</f>
        <v>1.0273550765244701</v>
      </c>
      <c r="F30" s="14">
        <f t="shared" si="8"/>
        <v>1.0258591527978396</v>
      </c>
      <c r="G30" s="14">
        <f t="shared" si="8"/>
        <v>1.0237427985668954</v>
      </c>
      <c r="H30" s="14">
        <f t="shared" si="8"/>
        <v>1.0223873856955632</v>
      </c>
      <c r="I30" s="14">
        <f t="shared" si="8"/>
        <v>1.0208214145813368</v>
      </c>
      <c r="J30" s="14">
        <f t="shared" si="8"/>
        <v>1.0475301160289732</v>
      </c>
      <c r="K30" s="14">
        <f t="shared" si="8"/>
        <v>1.0710699994578827</v>
      </c>
    </row>
    <row r="31" spans="1:13" x14ac:dyDescent="0.6">
      <c r="A31" s="26"/>
      <c r="B31" s="65" t="s">
        <v>145</v>
      </c>
      <c r="C31" s="13"/>
      <c r="D31" s="13"/>
      <c r="E31" s="14"/>
      <c r="F31" s="14">
        <f>AVERAGE(C30:K30)</f>
        <v>1.0325464134527325</v>
      </c>
      <c r="G31" s="14"/>
      <c r="H31" s="14"/>
      <c r="I31" s="14"/>
      <c r="J31" s="14"/>
      <c r="K31" s="14"/>
    </row>
    <row r="32" spans="1:13" x14ac:dyDescent="0.6">
      <c r="A32" s="26"/>
      <c r="B32" s="27"/>
      <c r="C32" s="13"/>
      <c r="D32" s="13"/>
      <c r="E32" s="14"/>
      <c r="F32" s="14"/>
      <c r="G32" s="14"/>
      <c r="H32" s="14"/>
      <c r="I32" s="14"/>
      <c r="J32" s="14"/>
      <c r="K32" s="14"/>
    </row>
    <row r="33" spans="1:11" x14ac:dyDescent="0.6">
      <c r="A33" s="76"/>
      <c r="B33" s="77" t="s">
        <v>129</v>
      </c>
      <c r="C33" s="78"/>
      <c r="D33" s="78"/>
      <c r="E33" s="79"/>
      <c r="F33" s="79"/>
      <c r="G33" s="79"/>
      <c r="H33" s="79"/>
      <c r="I33" s="79"/>
      <c r="J33" s="79"/>
      <c r="K33" s="79"/>
    </row>
    <row r="34" spans="1:11" x14ac:dyDescent="0.6">
      <c r="A34" s="26"/>
      <c r="B34" s="27" t="s">
        <v>130</v>
      </c>
      <c r="C34" s="63">
        <f>C22+C23</f>
        <v>3945769.2307692305</v>
      </c>
      <c r="D34" s="63">
        <f t="shared" ref="D34:K34" si="9">D22+D23</f>
        <v>3377307.6923076925</v>
      </c>
      <c r="E34" s="63">
        <f t="shared" si="9"/>
        <v>2808846.153846154</v>
      </c>
      <c r="F34" s="63">
        <f t="shared" si="9"/>
        <v>2240384.6153846155</v>
      </c>
      <c r="G34" s="63">
        <f t="shared" si="9"/>
        <v>1671923.0769230772</v>
      </c>
      <c r="H34" s="63">
        <f t="shared" si="9"/>
        <v>1103461.5384615387</v>
      </c>
      <c r="I34" s="63">
        <f t="shared" si="9"/>
        <v>535000</v>
      </c>
      <c r="J34" s="63">
        <f t="shared" si="9"/>
        <v>535000</v>
      </c>
      <c r="K34" s="63">
        <f t="shared" si="9"/>
        <v>535000</v>
      </c>
    </row>
    <row r="35" spans="1:11" x14ac:dyDescent="0.6">
      <c r="A35" s="26"/>
      <c r="B35" s="27" t="s">
        <v>131</v>
      </c>
      <c r="C35" s="63">
        <f t="shared" ref="C35:K35" si="10">C21</f>
        <v>484865.64230769232</v>
      </c>
      <c r="D35" s="63">
        <f t="shared" si="10"/>
        <v>619785.84111538483</v>
      </c>
      <c r="E35" s="67">
        <f t="shared" si="10"/>
        <v>797398.97892615444</v>
      </c>
      <c r="F35" s="67">
        <f t="shared" si="10"/>
        <v>1014081.4920606003</v>
      </c>
      <c r="G35" s="67">
        <f t="shared" si="10"/>
        <v>1266247.976399265</v>
      </c>
      <c r="H35" s="67">
        <f t="shared" si="10"/>
        <v>1569832.0559802041</v>
      </c>
      <c r="I35" s="67">
        <f t="shared" si="10"/>
        <v>1902842.9326931802</v>
      </c>
      <c r="J35" s="67">
        <f t="shared" si="10"/>
        <v>2259803.3577428227</v>
      </c>
      <c r="K35" s="67">
        <f t="shared" si="10"/>
        <v>2631649.5988378581</v>
      </c>
    </row>
    <row r="36" spans="1:11" x14ac:dyDescent="0.6">
      <c r="A36" s="26"/>
      <c r="B36" s="27" t="s">
        <v>132</v>
      </c>
      <c r="C36" s="13">
        <f>C34/C35</f>
        <v>8.1378610618594269</v>
      </c>
      <c r="D36" s="13">
        <f t="shared" ref="D36:K36" si="11">D34/D35</f>
        <v>5.4491527044725485</v>
      </c>
      <c r="E36" s="14">
        <f t="shared" si="11"/>
        <v>3.5225103468639829</v>
      </c>
      <c r="F36" s="14">
        <f t="shared" si="11"/>
        <v>2.2092747308031262</v>
      </c>
      <c r="G36" s="14">
        <f t="shared" si="11"/>
        <v>1.3203757147769746</v>
      </c>
      <c r="H36" s="14">
        <f t="shared" si="11"/>
        <v>0.70291693576899006</v>
      </c>
      <c r="I36" s="14">
        <f t="shared" si="11"/>
        <v>0.28115825579087084</v>
      </c>
      <c r="J36" s="14">
        <f t="shared" si="11"/>
        <v>0.23674626297324308</v>
      </c>
      <c r="K36" s="14">
        <f t="shared" si="11"/>
        <v>0.20329454203791306</v>
      </c>
    </row>
    <row r="37" spans="1:11" x14ac:dyDescent="0.6">
      <c r="A37" s="26"/>
      <c r="B37" s="65" t="s">
        <v>145</v>
      </c>
      <c r="C37" s="13"/>
      <c r="D37" s="13"/>
      <c r="E37" s="14"/>
      <c r="F37" s="14">
        <f>AVERAGE(C36:K36)</f>
        <v>2.451476728371897</v>
      </c>
      <c r="G37" s="14"/>
      <c r="H37" s="14"/>
      <c r="I37" s="67"/>
      <c r="J37" s="67"/>
      <c r="K37" s="67"/>
    </row>
    <row r="38" spans="1:11" x14ac:dyDescent="0.6">
      <c r="A38" s="26"/>
      <c r="B38" s="27"/>
      <c r="C38" s="13"/>
      <c r="D38" s="13"/>
      <c r="E38" s="14"/>
      <c r="F38" s="14"/>
      <c r="G38" s="14"/>
      <c r="H38" s="14"/>
      <c r="I38" s="67"/>
      <c r="J38" s="67"/>
      <c r="K38" s="67"/>
    </row>
    <row r="39" spans="1:11" x14ac:dyDescent="0.6">
      <c r="A39" s="76"/>
      <c r="B39" s="77" t="s">
        <v>146</v>
      </c>
      <c r="C39" s="78"/>
      <c r="D39" s="78"/>
      <c r="E39" s="79"/>
      <c r="F39" s="79"/>
      <c r="G39" s="79"/>
      <c r="H39" s="79"/>
      <c r="I39" s="80"/>
      <c r="J39" s="80"/>
      <c r="K39" s="80"/>
    </row>
    <row r="40" spans="1:11" x14ac:dyDescent="0.6">
      <c r="A40" s="26"/>
      <c r="B40" s="65" t="s">
        <v>147</v>
      </c>
      <c r="C40" s="63">
        <f t="shared" ref="C40:K40" si="12">C11</f>
        <v>3557750</v>
      </c>
      <c r="D40" s="63">
        <f t="shared" si="12"/>
        <v>3078087.5</v>
      </c>
      <c r="E40" s="63">
        <f t="shared" si="12"/>
        <v>2664974.375</v>
      </c>
      <c r="F40" s="63">
        <f t="shared" si="12"/>
        <v>2308968.21875</v>
      </c>
      <c r="G40" s="63">
        <f t="shared" si="12"/>
        <v>2001988.9859374999</v>
      </c>
      <c r="H40" s="63">
        <f t="shared" si="12"/>
        <v>1737120.038046875</v>
      </c>
      <c r="I40" s="63">
        <f t="shared" si="12"/>
        <v>1508438.4923398439</v>
      </c>
      <c r="J40" s="63">
        <f t="shared" si="12"/>
        <v>1310870.5324888674</v>
      </c>
      <c r="K40" s="63">
        <f t="shared" si="12"/>
        <v>1140067.9852155373</v>
      </c>
    </row>
    <row r="41" spans="1:11" x14ac:dyDescent="0.6">
      <c r="A41" s="26"/>
      <c r="B41" s="65" t="s">
        <v>130</v>
      </c>
      <c r="C41" s="63">
        <f t="shared" ref="C41:K41" si="13">C22+C23</f>
        <v>3945769.2307692305</v>
      </c>
      <c r="D41" s="63">
        <f t="shared" si="13"/>
        <v>3377307.6923076925</v>
      </c>
      <c r="E41" s="63">
        <f t="shared" si="13"/>
        <v>2808846.153846154</v>
      </c>
      <c r="F41" s="63">
        <f t="shared" si="13"/>
        <v>2240384.6153846155</v>
      </c>
      <c r="G41" s="63">
        <f t="shared" si="13"/>
        <v>1671923.0769230772</v>
      </c>
      <c r="H41" s="63">
        <f t="shared" si="13"/>
        <v>1103461.5384615387</v>
      </c>
      <c r="I41" s="63">
        <f t="shared" si="13"/>
        <v>535000</v>
      </c>
      <c r="J41" s="63">
        <f t="shared" si="13"/>
        <v>535000</v>
      </c>
      <c r="K41" s="63">
        <f t="shared" si="13"/>
        <v>535000</v>
      </c>
    </row>
    <row r="42" spans="1:11" x14ac:dyDescent="0.6">
      <c r="A42" s="26"/>
      <c r="B42" s="65" t="s">
        <v>141</v>
      </c>
      <c r="C42" s="13">
        <f>C40/C41</f>
        <v>0.90166195535627258</v>
      </c>
      <c r="D42" s="13">
        <f t="shared" ref="D42:K42" si="14">D40/D41</f>
        <v>0.91140274456212267</v>
      </c>
      <c r="E42" s="13">
        <f t="shared" si="14"/>
        <v>0.94877904628234966</v>
      </c>
      <c r="F42" s="13">
        <f t="shared" si="14"/>
        <v>1.0306124238197425</v>
      </c>
      <c r="G42" s="13">
        <f t="shared" si="14"/>
        <v>1.1974169228059579</v>
      </c>
      <c r="H42" s="13">
        <f t="shared" si="14"/>
        <v>1.5742461132526573</v>
      </c>
      <c r="I42" s="13">
        <f t="shared" si="14"/>
        <v>2.8195112006352221</v>
      </c>
      <c r="J42" s="13">
        <f t="shared" si="14"/>
        <v>2.4502252943717147</v>
      </c>
      <c r="K42" s="13">
        <f t="shared" si="14"/>
        <v>2.1309681966645555</v>
      </c>
    </row>
    <row r="43" spans="1:11" x14ac:dyDescent="0.6">
      <c r="A43" s="26"/>
      <c r="B43" s="65"/>
      <c r="C43" s="13"/>
      <c r="D43" s="13"/>
      <c r="E43" s="14"/>
      <c r="F43" s="14">
        <f>AVERAGE(C42:K42)</f>
        <v>1.551647099750066</v>
      </c>
      <c r="G43" s="14"/>
      <c r="H43" s="14"/>
      <c r="I43" s="14"/>
      <c r="J43" s="14"/>
      <c r="K43" s="14"/>
    </row>
    <row r="44" spans="1:11" x14ac:dyDescent="0.6">
      <c r="A44" s="26"/>
      <c r="B44" s="27"/>
      <c r="C44" s="13"/>
      <c r="D44" s="13"/>
      <c r="E44" s="14"/>
      <c r="F44" s="14"/>
      <c r="G44" s="14"/>
      <c r="H44" s="14"/>
      <c r="I44" s="67"/>
      <c r="J44" s="67"/>
      <c r="K44" s="67"/>
    </row>
    <row r="45" spans="1:11" x14ac:dyDescent="0.6">
      <c r="A45" s="76"/>
      <c r="B45" s="77" t="s">
        <v>138</v>
      </c>
      <c r="C45" s="78"/>
      <c r="D45" s="78"/>
      <c r="E45" s="79"/>
      <c r="F45" s="79"/>
      <c r="G45" s="79"/>
      <c r="H45" s="79"/>
      <c r="I45" s="80"/>
      <c r="J45" s="80"/>
      <c r="K45" s="80"/>
    </row>
    <row r="46" spans="1:11" x14ac:dyDescent="0.6">
      <c r="A46" s="26"/>
      <c r="B46" s="27" t="s">
        <v>139</v>
      </c>
      <c r="C46" s="66">
        <f>'Ann 4'!C29</f>
        <v>273068.26923076913</v>
      </c>
      <c r="D46" s="66">
        <f>'Ann 4'!D29</f>
        <v>245355.76923076925</v>
      </c>
      <c r="E46" s="66">
        <f>'Ann 4'!E29</f>
        <v>211248.07692307691</v>
      </c>
      <c r="F46" s="66">
        <f>'Ann 4'!F29</f>
        <v>177140.38461538462</v>
      </c>
      <c r="G46" s="66">
        <f>'Ann 4'!G29</f>
        <v>143032.69230769231</v>
      </c>
      <c r="H46" s="66">
        <f>'Ann 4'!H29</f>
        <v>108925.00000000001</v>
      </c>
      <c r="I46" s="66">
        <f>'Ann 4'!I29</f>
        <v>74817.307692307717</v>
      </c>
      <c r="J46" s="66">
        <f>'Ann 4'!J29</f>
        <v>53500</v>
      </c>
      <c r="K46" s="66">
        <f>'Ann 4'!K29</f>
        <v>53500</v>
      </c>
    </row>
    <row r="47" spans="1:11" x14ac:dyDescent="0.6">
      <c r="A47" s="26"/>
      <c r="B47" s="27" t="s">
        <v>142</v>
      </c>
      <c r="C47" s="66">
        <f>(SUM('Ann 13'!D9:D12)*100000)+('Ann 1'!$C$25*100000)</f>
        <v>819230.76923076925</v>
      </c>
      <c r="D47" s="66">
        <f>(SUM('Ann 13'!D13:D16)*100000)+('Ann 1'!$C$25*100000)</f>
        <v>1103461.5384615385</v>
      </c>
      <c r="E47" s="66">
        <f>(SUM('Ann 13'!D17:D20)*100000)+('Ann 1'!$C$25*100000)</f>
        <v>1103461.5384615385</v>
      </c>
      <c r="F47" s="66">
        <f>(SUM('Ann 13'!D21:D24)*100000)+('Ann 1'!$C$25*100000)</f>
        <v>1103461.5384615385</v>
      </c>
      <c r="G47" s="66">
        <f>(SUM('Ann 13'!D25:D28)*100000)+('Ann 1'!$C$25*100000)</f>
        <v>1103461.5384615385</v>
      </c>
      <c r="H47" s="66">
        <f>(SUM('Ann 13'!D29:D32)*100000)+('Ann 1'!$C$25*100000)</f>
        <v>1103461.5384615385</v>
      </c>
      <c r="I47" s="66">
        <f>(SUM('Ann 13'!D33:D36)*100000)+('Ann 1'!$C$25*100000)</f>
        <v>1103461.5384615387</v>
      </c>
      <c r="J47" s="66">
        <f>(SUM('Ann 13'!D37:D37)*100000)+('Ann 1'!$C$25*100000)</f>
        <v>535000</v>
      </c>
      <c r="K47" s="66">
        <f>(SUM('Ann 13'!D38:D39)*100000)+('Ann 1'!$C$25*100000)</f>
        <v>535000</v>
      </c>
    </row>
    <row r="48" spans="1:11" x14ac:dyDescent="0.6">
      <c r="A48" s="26"/>
      <c r="B48" s="27" t="s">
        <v>286</v>
      </c>
      <c r="C48" s="66">
        <f>SUM(C46:C47)</f>
        <v>1092299.0384615385</v>
      </c>
      <c r="D48" s="66">
        <f t="shared" ref="D48:K48" si="15">SUM(D46:D47)</f>
        <v>1348817.3076923077</v>
      </c>
      <c r="E48" s="69">
        <f t="shared" si="15"/>
        <v>1314709.6153846155</v>
      </c>
      <c r="F48" s="69">
        <f t="shared" si="15"/>
        <v>1280601.923076923</v>
      </c>
      <c r="G48" s="69">
        <f t="shared" si="15"/>
        <v>1246494.2307692308</v>
      </c>
      <c r="H48" s="69">
        <f t="shared" si="15"/>
        <v>1212386.5384615385</v>
      </c>
      <c r="I48" s="69">
        <f t="shared" si="15"/>
        <v>1178278.8461538465</v>
      </c>
      <c r="J48" s="69">
        <f t="shared" si="15"/>
        <v>588500</v>
      </c>
      <c r="K48" s="69">
        <f t="shared" si="15"/>
        <v>588500</v>
      </c>
    </row>
    <row r="49" spans="1:11" x14ac:dyDescent="0.6">
      <c r="A49" s="26"/>
      <c r="B49" s="27" t="s">
        <v>140</v>
      </c>
      <c r="C49" s="66">
        <f>'Ann 4'!C24</f>
        <v>1007930</v>
      </c>
      <c r="D49" s="66">
        <f>'Ann 4'!D24</f>
        <v>1688733.9750000015</v>
      </c>
      <c r="E49" s="69">
        <f>'Ann 4'!E24</f>
        <v>1893026.4720000029</v>
      </c>
      <c r="F49" s="69">
        <f>'Ann 4'!F24</f>
        <v>2080878.7775399983</v>
      </c>
      <c r="G49" s="69">
        <f>'Ann 4'!G24</f>
        <v>2251201.0989677981</v>
      </c>
      <c r="H49" s="69">
        <f>'Ann 4'!H24</f>
        <v>2542251.6591830477</v>
      </c>
      <c r="I49" s="69">
        <f>'Ann 4'!I24</f>
        <v>2682147.9727777392</v>
      </c>
      <c r="J49" s="69">
        <f>'Ann 4'!J24</f>
        <v>2800785.281634137</v>
      </c>
      <c r="K49" s="69">
        <f>'Ann 4'!K24</f>
        <v>2880347.1265235841</v>
      </c>
    </row>
    <row r="50" spans="1:11" x14ac:dyDescent="0.6">
      <c r="A50" s="71"/>
      <c r="B50" s="72" t="s">
        <v>132</v>
      </c>
      <c r="C50" s="73">
        <f>C49/C48</f>
        <v>0.92276012750101011</v>
      </c>
      <c r="D50" s="73">
        <f t="shared" ref="D50:K50" si="16">D49/D48</f>
        <v>1.252010902713917</v>
      </c>
      <c r="E50" s="74">
        <f t="shared" si="16"/>
        <v>1.4398818186525562</v>
      </c>
      <c r="F50" s="74">
        <f t="shared" si="16"/>
        <v>1.6249224212784541</v>
      </c>
      <c r="G50" s="74">
        <f t="shared" si="16"/>
        <v>1.8060260877248884</v>
      </c>
      <c r="H50" s="74">
        <f t="shared" si="16"/>
        <v>2.0968986198156285</v>
      </c>
      <c r="I50" s="74">
        <f t="shared" si="16"/>
        <v>2.2763270184581876</v>
      </c>
      <c r="J50" s="74">
        <f t="shared" si="16"/>
        <v>4.7591933417742345</v>
      </c>
      <c r="K50" s="74">
        <f t="shared" si="16"/>
        <v>4.8943876406518001</v>
      </c>
    </row>
    <row r="51" spans="1:11" x14ac:dyDescent="0.6">
      <c r="A51" s="65"/>
      <c r="B51" s="65" t="s">
        <v>145</v>
      </c>
      <c r="C51" s="65"/>
      <c r="D51" s="65"/>
      <c r="E51" s="65"/>
      <c r="F51" s="65">
        <f>AVERAGE(C50:G50)</f>
        <v>1.4091202715741651</v>
      </c>
      <c r="G51" s="65"/>
      <c r="H51" s="65"/>
      <c r="I51" s="65"/>
      <c r="J51" s="65"/>
      <c r="K51" s="65"/>
    </row>
    <row r="52" spans="1:11" x14ac:dyDescent="0.6">
      <c r="I52" s="55"/>
      <c r="J52" s="55"/>
      <c r="K52" s="55"/>
    </row>
    <row r="54" spans="1:11" x14ac:dyDescent="0.6">
      <c r="A54" s="6" t="s">
        <v>258</v>
      </c>
    </row>
    <row r="55" spans="1:11" x14ac:dyDescent="0.6">
      <c r="A55" s="6" t="s">
        <v>269</v>
      </c>
    </row>
  </sheetData>
  <mergeCells count="3">
    <mergeCell ref="A5:A6"/>
    <mergeCell ref="B5:B6"/>
    <mergeCell ref="C5:K5"/>
  </mergeCells>
  <pageMargins left="0.7" right="0.7" top="0.75" bottom="0.75"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480-223F-4A3F-891A-2F2B726FC76B}">
  <dimension ref="A1:C17"/>
  <sheetViews>
    <sheetView workbookViewId="0">
      <selection activeCell="B18" sqref="B18"/>
    </sheetView>
  </sheetViews>
  <sheetFormatPr defaultRowHeight="14.5" x14ac:dyDescent="0.35"/>
  <cols>
    <col min="1" max="1" width="53.453125" bestFit="1" customWidth="1"/>
    <col min="2" max="2" width="13.6328125" bestFit="1" customWidth="1"/>
    <col min="3" max="3" width="11.1796875" bestFit="1" customWidth="1"/>
    <col min="4" max="4" width="12.54296875" bestFit="1" customWidth="1"/>
  </cols>
  <sheetData>
    <row r="1" spans="1:3" x14ac:dyDescent="0.35">
      <c r="A1" s="2" t="s">
        <v>215</v>
      </c>
    </row>
    <row r="3" spans="1:3" x14ac:dyDescent="0.35">
      <c r="A3" s="1" t="s">
        <v>218</v>
      </c>
    </row>
    <row r="5" spans="1:3" x14ac:dyDescent="0.35">
      <c r="A5" s="2" t="s">
        <v>216</v>
      </c>
    </row>
    <row r="6" spans="1:3" x14ac:dyDescent="0.35">
      <c r="A6" s="3" t="s">
        <v>224</v>
      </c>
    </row>
    <row r="7" spans="1:3" x14ac:dyDescent="0.35">
      <c r="A7" t="s">
        <v>217</v>
      </c>
      <c r="B7">
        <v>5</v>
      </c>
      <c r="C7" t="s">
        <v>221</v>
      </c>
    </row>
    <row r="8" spans="1:3" x14ac:dyDescent="0.35">
      <c r="A8" t="s">
        <v>219</v>
      </c>
      <c r="B8">
        <v>30</v>
      </c>
      <c r="C8" t="s">
        <v>222</v>
      </c>
    </row>
    <row r="9" spans="1:3" x14ac:dyDescent="0.35">
      <c r="A9" t="s">
        <v>220</v>
      </c>
      <c r="B9">
        <f>B8*3000*20/B7</f>
        <v>360000</v>
      </c>
      <c r="C9" t="s">
        <v>223</v>
      </c>
    </row>
    <row r="11" spans="1:3" x14ac:dyDescent="0.35">
      <c r="A11" s="3" t="s">
        <v>225</v>
      </c>
    </row>
    <row r="12" spans="1:3" x14ac:dyDescent="0.35">
      <c r="A12" s="3" t="s">
        <v>217</v>
      </c>
      <c r="B12">
        <v>0.5</v>
      </c>
      <c r="C12" t="s">
        <v>226</v>
      </c>
    </row>
    <row r="13" spans="1:3" x14ac:dyDescent="0.35">
      <c r="A13" s="3" t="s">
        <v>227</v>
      </c>
      <c r="B13">
        <f>B12*3000*30</f>
        <v>45000</v>
      </c>
      <c r="C13" t="s">
        <v>228</v>
      </c>
    </row>
    <row r="15" spans="1:3" x14ac:dyDescent="0.35">
      <c r="A15" t="s">
        <v>229</v>
      </c>
      <c r="B15">
        <f>B13+B9</f>
        <v>405000</v>
      </c>
    </row>
    <row r="16" spans="1:3" x14ac:dyDescent="0.35">
      <c r="A16" t="s">
        <v>230</v>
      </c>
      <c r="B16">
        <v>75</v>
      </c>
    </row>
    <row r="17" spans="1:2" x14ac:dyDescent="0.35">
      <c r="A17" t="s">
        <v>231</v>
      </c>
      <c r="B17" s="4">
        <f>B15*B16</f>
        <v>30375000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1FBF-6FFA-405B-9A95-302F8FAA33B6}">
  <dimension ref="A1:E19"/>
  <sheetViews>
    <sheetView workbookViewId="0"/>
  </sheetViews>
  <sheetFormatPr defaultRowHeight="17" x14ac:dyDescent="0.6"/>
  <cols>
    <col min="1" max="1" width="5.6328125" style="6" bestFit="1" customWidth="1"/>
    <col min="2" max="2" width="26.08984375" style="6" bestFit="1" customWidth="1"/>
    <col min="3" max="3" width="8.7265625" style="6"/>
    <col min="4" max="4" width="25" style="6" bestFit="1" customWidth="1"/>
    <col min="5" max="5" width="12.54296875" style="6" bestFit="1" customWidth="1"/>
    <col min="6" max="16384" width="8.7265625" style="6"/>
  </cols>
  <sheetData>
    <row r="1" spans="1:5" x14ac:dyDescent="0.6">
      <c r="A1" s="5" t="s">
        <v>283</v>
      </c>
    </row>
    <row r="3" spans="1:5" x14ac:dyDescent="0.6">
      <c r="A3" s="81" t="s">
        <v>149</v>
      </c>
    </row>
    <row r="5" spans="1:5" x14ac:dyDescent="0.6">
      <c r="A5" s="10" t="s">
        <v>51</v>
      </c>
      <c r="B5" s="10" t="s">
        <v>52</v>
      </c>
      <c r="C5" s="10" t="s">
        <v>53</v>
      </c>
      <c r="D5" s="10" t="s">
        <v>54</v>
      </c>
      <c r="E5" s="10" t="s">
        <v>212</v>
      </c>
    </row>
    <row r="6" spans="1:5" x14ac:dyDescent="0.6">
      <c r="A6" s="57" t="s">
        <v>55</v>
      </c>
      <c r="B6" s="34" t="s">
        <v>242</v>
      </c>
      <c r="C6" s="34">
        <v>1</v>
      </c>
      <c r="D6" s="56">
        <v>18900</v>
      </c>
      <c r="E6" s="56">
        <f t="shared" ref="E6:E11" si="0">D6*C6*12</f>
        <v>226800</v>
      </c>
    </row>
    <row r="7" spans="1:5" x14ac:dyDescent="0.6">
      <c r="A7" s="34" t="s">
        <v>56</v>
      </c>
      <c r="B7" s="34" t="s">
        <v>313</v>
      </c>
      <c r="C7" s="34">
        <v>1</v>
      </c>
      <c r="D7" s="56">
        <v>22000</v>
      </c>
      <c r="E7" s="56">
        <f t="shared" si="0"/>
        <v>264000</v>
      </c>
    </row>
    <row r="8" spans="1:5" x14ac:dyDescent="0.6">
      <c r="A8" s="34" t="s">
        <v>59</v>
      </c>
      <c r="B8" s="34" t="s">
        <v>243</v>
      </c>
      <c r="C8" s="34">
        <v>2</v>
      </c>
      <c r="D8" s="56">
        <v>11000</v>
      </c>
      <c r="E8" s="56">
        <f t="shared" si="0"/>
        <v>264000</v>
      </c>
    </row>
    <row r="9" spans="1:5" x14ac:dyDescent="0.6">
      <c r="A9" s="34" t="s">
        <v>276</v>
      </c>
      <c r="B9" s="34" t="s">
        <v>277</v>
      </c>
      <c r="C9" s="34">
        <v>3</v>
      </c>
      <c r="D9" s="56">
        <v>10000</v>
      </c>
      <c r="E9" s="56">
        <f t="shared" si="0"/>
        <v>360000</v>
      </c>
    </row>
    <row r="10" spans="1:5" x14ac:dyDescent="0.6">
      <c r="A10" s="34" t="s">
        <v>290</v>
      </c>
      <c r="B10" s="34" t="s">
        <v>244</v>
      </c>
      <c r="C10" s="34">
        <v>6</v>
      </c>
      <c r="D10" s="56">
        <v>9000</v>
      </c>
      <c r="E10" s="56">
        <f t="shared" si="0"/>
        <v>648000</v>
      </c>
    </row>
    <row r="11" spans="1:5" x14ac:dyDescent="0.6">
      <c r="A11" s="34" t="s">
        <v>312</v>
      </c>
      <c r="B11" s="34" t="s">
        <v>291</v>
      </c>
      <c r="C11" s="34">
        <v>2</v>
      </c>
      <c r="D11" s="56">
        <v>8400</v>
      </c>
      <c r="E11" s="56">
        <f t="shared" si="0"/>
        <v>201600</v>
      </c>
    </row>
    <row r="12" spans="1:5" x14ac:dyDescent="0.6">
      <c r="A12" s="144" t="s">
        <v>8</v>
      </c>
      <c r="B12" s="144"/>
      <c r="C12" s="144"/>
      <c r="D12" s="144"/>
      <c r="E12" s="82">
        <f>SUM(E6:E11)</f>
        <v>1964400</v>
      </c>
    </row>
    <row r="13" spans="1:5" x14ac:dyDescent="0.6">
      <c r="A13" s="37"/>
      <c r="B13" s="83"/>
      <c r="C13" s="83"/>
      <c r="D13" s="83"/>
      <c r="E13" s="62"/>
    </row>
    <row r="14" spans="1:5" x14ac:dyDescent="0.6">
      <c r="A14" s="71" t="s">
        <v>281</v>
      </c>
      <c r="B14" s="72"/>
      <c r="C14" s="72"/>
      <c r="D14" s="72"/>
      <c r="E14" s="84">
        <f>E12*30%</f>
        <v>589320</v>
      </c>
    </row>
    <row r="15" spans="1:5" x14ac:dyDescent="0.6">
      <c r="A15" s="31" t="s">
        <v>8</v>
      </c>
      <c r="B15" s="32"/>
      <c r="C15" s="32"/>
      <c r="D15" s="32"/>
      <c r="E15" s="85">
        <f>SUM(E12:E14)</f>
        <v>2553720</v>
      </c>
    </row>
    <row r="17" spans="1:5" x14ac:dyDescent="0.6">
      <c r="A17" s="6" t="s">
        <v>57</v>
      </c>
      <c r="E17" s="55">
        <f>E15</f>
        <v>2553720</v>
      </c>
    </row>
    <row r="18" spans="1:5" x14ac:dyDescent="0.6">
      <c r="A18" s="6" t="s">
        <v>58</v>
      </c>
      <c r="E18" s="86">
        <v>7.0000000000000007E-2</v>
      </c>
    </row>
    <row r="19" spans="1:5" x14ac:dyDescent="0.6">
      <c r="A19" s="6" t="s">
        <v>151</v>
      </c>
      <c r="E19" s="6">
        <f>SUM(C6:C11)</f>
        <v>15</v>
      </c>
    </row>
  </sheetData>
  <mergeCells count="1">
    <mergeCell ref="A12:D1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B57-BA66-499F-8B17-ED356988118B}">
  <dimension ref="A1:F22"/>
  <sheetViews>
    <sheetView workbookViewId="0"/>
  </sheetViews>
  <sheetFormatPr defaultRowHeight="17" x14ac:dyDescent="0.6"/>
  <cols>
    <col min="1" max="1" width="6.36328125" style="6" bestFit="1" customWidth="1"/>
    <col min="2" max="2" width="18.81640625" style="6" bestFit="1" customWidth="1"/>
    <col min="3" max="3" width="19.453125" style="6" bestFit="1" customWidth="1"/>
    <col min="4" max="4" width="18.08984375" style="6" bestFit="1" customWidth="1"/>
    <col min="5" max="5" width="14.453125" style="6" bestFit="1" customWidth="1"/>
    <col min="6" max="6" width="26.453125" style="6" bestFit="1" customWidth="1"/>
    <col min="7" max="16384" width="8.7265625" style="6"/>
  </cols>
  <sheetData>
    <row r="1" spans="1:6" x14ac:dyDescent="0.6">
      <c r="A1" s="5" t="s">
        <v>61</v>
      </c>
    </row>
    <row r="3" spans="1:6" x14ac:dyDescent="0.6">
      <c r="A3" s="81" t="s">
        <v>60</v>
      </c>
    </row>
    <row r="5" spans="1:6" x14ac:dyDescent="0.6">
      <c r="A5" s="10" t="s">
        <v>24</v>
      </c>
      <c r="B5" s="10" t="s">
        <v>3</v>
      </c>
      <c r="C5" s="10" t="s">
        <v>289</v>
      </c>
      <c r="D5" s="10" t="s">
        <v>11</v>
      </c>
      <c r="E5" s="10" t="s">
        <v>64</v>
      </c>
      <c r="F5" s="10" t="s">
        <v>65</v>
      </c>
    </row>
    <row r="6" spans="1:6" x14ac:dyDescent="0.6">
      <c r="A6" s="34" t="s">
        <v>55</v>
      </c>
      <c r="B6" s="34" t="s">
        <v>13</v>
      </c>
      <c r="C6" s="56">
        <f>'Ann 1'!C15*100000</f>
        <v>1200000</v>
      </c>
      <c r="D6" s="56">
        <f>('Ann 1'!C20)*100000</f>
        <v>2915000</v>
      </c>
      <c r="E6" s="56">
        <v>0</v>
      </c>
      <c r="F6" s="87">
        <f>SUM(C6:E6)/100000</f>
        <v>41.15</v>
      </c>
    </row>
    <row r="7" spans="1:6" x14ac:dyDescent="0.6">
      <c r="A7" s="34" t="s">
        <v>56</v>
      </c>
      <c r="B7" s="34" t="s">
        <v>62</v>
      </c>
      <c r="C7" s="56">
        <v>0</v>
      </c>
      <c r="D7" s="56">
        <v>0</v>
      </c>
      <c r="E7" s="56">
        <v>0</v>
      </c>
      <c r="F7" s="88">
        <f>SUM(C7:E7)/100000</f>
        <v>0</v>
      </c>
    </row>
    <row r="8" spans="1:6" x14ac:dyDescent="0.6">
      <c r="A8" s="34" t="s">
        <v>59</v>
      </c>
      <c r="B8" s="34" t="s">
        <v>63</v>
      </c>
      <c r="C8" s="56">
        <v>0</v>
      </c>
      <c r="D8" s="56">
        <v>0</v>
      </c>
      <c r="E8" s="56">
        <v>0</v>
      </c>
      <c r="F8" s="88">
        <f>SUM(C8:E8)/100000</f>
        <v>0</v>
      </c>
    </row>
    <row r="9" spans="1:6" x14ac:dyDescent="0.6">
      <c r="A9" s="34"/>
      <c r="B9" s="144" t="s">
        <v>8</v>
      </c>
      <c r="C9" s="144"/>
      <c r="D9" s="144"/>
      <c r="E9" s="144"/>
      <c r="F9" s="87">
        <f>SUM(F6:F8)</f>
        <v>41.15</v>
      </c>
    </row>
    <row r="11" spans="1:6" s="5" customFormat="1" x14ac:dyDescent="0.6">
      <c r="A11" s="125"/>
      <c r="B11" s="125" t="s">
        <v>66</v>
      </c>
      <c r="C11" s="126">
        <v>0.1</v>
      </c>
      <c r="D11" s="126">
        <v>0.15</v>
      </c>
      <c r="E11" s="126">
        <v>0.1</v>
      </c>
      <c r="F11" s="125" t="s">
        <v>166</v>
      </c>
    </row>
    <row r="12" spans="1:6" x14ac:dyDescent="0.6">
      <c r="A12" s="89" t="s">
        <v>67</v>
      </c>
      <c r="B12" s="90">
        <v>1</v>
      </c>
      <c r="C12" s="91">
        <f>C11*C6</f>
        <v>120000</v>
      </c>
      <c r="D12" s="91">
        <f>D11*D6</f>
        <v>437250</v>
      </c>
      <c r="E12" s="91">
        <f>E11*(E6+E8)</f>
        <v>0</v>
      </c>
      <c r="F12" s="91">
        <f>SUM(C12:E12)</f>
        <v>557250</v>
      </c>
    </row>
    <row r="13" spans="1:6" x14ac:dyDescent="0.6">
      <c r="A13" s="89" t="s">
        <v>67</v>
      </c>
      <c r="B13" s="90">
        <v>2</v>
      </c>
      <c r="C13" s="91">
        <f>(C6-C12)*C11</f>
        <v>108000</v>
      </c>
      <c r="D13" s="91">
        <f>(D6-D12)*D11</f>
        <v>371662.5</v>
      </c>
      <c r="E13" s="91">
        <f>(E6+E8-E12)*E11</f>
        <v>0</v>
      </c>
      <c r="F13" s="91">
        <f>SUM(C13:E13)</f>
        <v>479662.5</v>
      </c>
    </row>
    <row r="14" spans="1:6" x14ac:dyDescent="0.6">
      <c r="A14" s="89" t="s">
        <v>67</v>
      </c>
      <c r="B14" s="90">
        <v>3</v>
      </c>
      <c r="C14" s="91">
        <f>(C6-C12-C13)*C11</f>
        <v>97200</v>
      </c>
      <c r="D14" s="91">
        <f>(D6-D12-D13)*D11</f>
        <v>315913.125</v>
      </c>
      <c r="E14" s="91">
        <f>(E6+E8-E12-E13)*E11</f>
        <v>0</v>
      </c>
      <c r="F14" s="91">
        <f t="shared" ref="F14:F20" si="0">SUM(C14:E14)</f>
        <v>413113.125</v>
      </c>
    </row>
    <row r="15" spans="1:6" x14ac:dyDescent="0.6">
      <c r="A15" s="89" t="s">
        <v>67</v>
      </c>
      <c r="B15" s="90">
        <v>4</v>
      </c>
      <c r="C15" s="91">
        <f>(C6-C12-C13-C14)*C11</f>
        <v>87480</v>
      </c>
      <c r="D15" s="91">
        <f>(D6-D12-D13-D14)*D11</f>
        <v>268526.15625</v>
      </c>
      <c r="E15" s="91">
        <f>(E6+E8-E12-E13-E14)*E11</f>
        <v>0</v>
      </c>
      <c r="F15" s="91">
        <f t="shared" si="0"/>
        <v>356006.15625</v>
      </c>
    </row>
    <row r="16" spans="1:6" x14ac:dyDescent="0.6">
      <c r="A16" s="89" t="s">
        <v>67</v>
      </c>
      <c r="B16" s="90">
        <v>5</v>
      </c>
      <c r="C16" s="91">
        <f>(C6-C12-C13-C14-C15)*C11</f>
        <v>78732</v>
      </c>
      <c r="D16" s="91">
        <f>(D6-D12-D13-D14-D15)*D11</f>
        <v>228247.23281250001</v>
      </c>
      <c r="E16" s="91">
        <f>(E6+E8-E12-E13-E14-E15)*E11</f>
        <v>0</v>
      </c>
      <c r="F16" s="91">
        <f t="shared" si="0"/>
        <v>306979.23281249998</v>
      </c>
    </row>
    <row r="17" spans="1:6" x14ac:dyDescent="0.6">
      <c r="A17" s="89" t="s">
        <v>67</v>
      </c>
      <c r="B17" s="90">
        <v>6</v>
      </c>
      <c r="C17" s="91">
        <f>(C6-C12-C13-C14-C15-C16)*C11</f>
        <v>70858.8</v>
      </c>
      <c r="D17" s="91">
        <f>(D6-D12-D13-D14-D15-D16)*D11</f>
        <v>194010.14789062497</v>
      </c>
      <c r="E17" s="91">
        <f>(E6+E8-E12-E13-E14-E15-E16)*E11</f>
        <v>0</v>
      </c>
      <c r="F17" s="91">
        <f t="shared" si="0"/>
        <v>264868.94789062499</v>
      </c>
    </row>
    <row r="18" spans="1:6" x14ac:dyDescent="0.6">
      <c r="A18" s="89" t="s">
        <v>67</v>
      </c>
      <c r="B18" s="90">
        <v>7</v>
      </c>
      <c r="C18" s="91">
        <f>(C6-C12-C13-C14-C15-C16-C17)*C11</f>
        <v>63772.92</v>
      </c>
      <c r="D18" s="91">
        <f>(D6-D12-D13-D14-D15-D16-D17)*D11</f>
        <v>164908.62570703123</v>
      </c>
      <c r="E18" s="91">
        <f>(E6+E8-E12-E13-E14-E15-E16-E17)*E11</f>
        <v>0</v>
      </c>
      <c r="F18" s="91">
        <f t="shared" si="0"/>
        <v>228681.54570703121</v>
      </c>
    </row>
    <row r="19" spans="1:6" x14ac:dyDescent="0.6">
      <c r="A19" s="89" t="s">
        <v>67</v>
      </c>
      <c r="B19" s="90">
        <v>8</v>
      </c>
      <c r="C19" s="91">
        <f>(C6-C12-C13-C14-C15-C16-C17-C18)*C11</f>
        <v>57395.627999999997</v>
      </c>
      <c r="D19" s="91">
        <f>(D6-D12-D13-D14-D15-D16-D17-D18)*D11</f>
        <v>140172.33185097654</v>
      </c>
      <c r="E19" s="91">
        <f>(E6+E8-E12-E13-E14-E15-E16-E17-E18)*E11</f>
        <v>0</v>
      </c>
      <c r="F19" s="91">
        <f t="shared" si="0"/>
        <v>197567.95985097653</v>
      </c>
    </row>
    <row r="20" spans="1:6" x14ac:dyDescent="0.6">
      <c r="A20" s="89" t="s">
        <v>67</v>
      </c>
      <c r="B20" s="90">
        <v>9</v>
      </c>
      <c r="C20" s="91">
        <f>(C6-C12-C13-C14-C15-C16-C17-C18-C19)*C11</f>
        <v>51656.06519999999</v>
      </c>
      <c r="D20" s="91">
        <f>(D6-D12-D13-D14-D15-D16-D17-D18-D19)*D11</f>
        <v>119146.48207333006</v>
      </c>
      <c r="E20" s="91">
        <f>(E6+E8-E12-E13-E14-E15-E16-E17-E18-E19)*E11</f>
        <v>0</v>
      </c>
      <c r="F20" s="91">
        <f t="shared" si="0"/>
        <v>170802.54727333004</v>
      </c>
    </row>
    <row r="21" spans="1:6" x14ac:dyDescent="0.6">
      <c r="B21" s="25"/>
    </row>
    <row r="22" spans="1:6" x14ac:dyDescent="0.6">
      <c r="A22" s="92"/>
    </row>
  </sheetData>
  <mergeCells count="1">
    <mergeCell ref="B9:E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Ann 1</vt:lpstr>
      <vt:lpstr>Ann 2</vt:lpstr>
      <vt:lpstr>Ann 3</vt:lpstr>
      <vt:lpstr>Ann 4</vt:lpstr>
      <vt:lpstr>Ann 5</vt:lpstr>
      <vt:lpstr>Ann 6</vt:lpstr>
      <vt:lpstr>Ann 8</vt:lpstr>
      <vt:lpstr>Ann 9</vt:lpstr>
      <vt:lpstr>Ann 10</vt:lpstr>
      <vt:lpstr>Ann 11</vt:lpstr>
      <vt:lpstr>Ann 12</vt:lpstr>
      <vt:lpstr>Ann 13</vt:lpstr>
      <vt:lpstr>Ann 14</vt:lpstr>
      <vt:lpstr>Budgets</vt:lpstr>
      <vt:lpstr>For word file</vt:lpstr>
      <vt:lpstr>Assumptions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Navodita Arya</dc:creator>
  <cp:lastModifiedBy>Navodita Arya</cp:lastModifiedBy>
  <cp:lastPrinted>2021-12-07T07:27:54Z</cp:lastPrinted>
  <dcterms:created xsi:type="dcterms:W3CDTF">2021-07-04T07:21:16Z</dcterms:created>
  <dcterms:modified xsi:type="dcterms:W3CDTF">2021-12-07T07:27:56Z</dcterms:modified>
</cp:coreProperties>
</file>