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D:\1. Assignments\6. Ashiwini Mittal Sir- Nabcons\15. Turmeric processing unit\Without subsidy\"/>
    </mc:Choice>
  </mc:AlternateContent>
  <xr:revisionPtr revIDLastSave="0" documentId="13_ncr:1_{56E7B1C5-4AA4-4942-A8EA-BBA20DB5406D}" xr6:coauthVersionLast="47" xr6:coauthVersionMax="47" xr10:uidLastSave="{00000000-0000-0000-0000-000000000000}"/>
  <bookViews>
    <workbookView xWindow="-110" yWindow="-110" windowWidth="19420" windowHeight="11020" xr2:uid="{8B0049CE-B79C-4EF0-8FA8-FBBF9BECEBD1}"/>
  </bookViews>
  <sheets>
    <sheet name="Contents" sheetId="21" r:id="rId1"/>
    <sheet name="Ann 1" sheetId="1" r:id="rId2"/>
    <sheet name="Ann 2" sheetId="2" r:id="rId3"/>
    <sheet name="Ann 3" sheetId="3" r:id="rId4"/>
    <sheet name="Ann 4" sheetId="4" r:id="rId5"/>
    <sheet name="Ann 5" sheetId="7" r:id="rId6"/>
    <sheet name="Ann 6" sheetId="23" state="hidden" r:id="rId7"/>
    <sheet name="Ann 8" sheetId="9" r:id="rId8"/>
    <sheet name="Ann 9" sheetId="10" r:id="rId9"/>
    <sheet name="Ann 10" sheetId="13" r:id="rId10"/>
    <sheet name="Ann 11" sheetId="11" r:id="rId11"/>
    <sheet name="Ann 12" sheetId="12" state="hidden" r:id="rId12"/>
    <sheet name="Ann 13" sheetId="14" r:id="rId13"/>
    <sheet name="Ann 14" sheetId="18" r:id="rId14"/>
    <sheet name="Budgets" sheetId="19" r:id="rId15"/>
    <sheet name="For word file" sheetId="20" state="hidden" r:id="rId16"/>
    <sheet name="Assumptions" sheetId="22" r:id="rId17"/>
    <sheet name="Sheet1" sheetId="15" state="hidden" r:id="rId18"/>
  </sheets>
  <externalReferences>
    <externalReference r:id="rId19"/>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7" i="19" l="1"/>
  <c r="J23" i="19" s="1"/>
  <c r="J22" i="19"/>
  <c r="C23" i="11"/>
  <c r="C25" i="11" s="1"/>
  <c r="K42" i="4"/>
  <c r="J42" i="4"/>
  <c r="D17" i="4"/>
  <c r="E17" i="4"/>
  <c r="F17" i="4"/>
  <c r="G17" i="4"/>
  <c r="H17" i="4"/>
  <c r="I17" i="4"/>
  <c r="J17" i="4"/>
  <c r="D18" i="4"/>
  <c r="E18" i="4"/>
  <c r="F18" i="4"/>
  <c r="G18" i="4"/>
  <c r="H18" i="4"/>
  <c r="I18" i="4"/>
  <c r="J18" i="4"/>
  <c r="C18" i="4"/>
  <c r="C17" i="4"/>
  <c r="D13" i="4"/>
  <c r="E13" i="4"/>
  <c r="F13" i="4"/>
  <c r="G13" i="4"/>
  <c r="H13" i="4"/>
  <c r="I13" i="4"/>
  <c r="J13" i="4"/>
  <c r="C13" i="4"/>
  <c r="D8" i="19"/>
  <c r="E8" i="19"/>
  <c r="F8" i="19"/>
  <c r="G8" i="19"/>
  <c r="H8" i="19"/>
  <c r="I8" i="19"/>
  <c r="C8" i="19"/>
  <c r="B5" i="19"/>
  <c r="K10" i="4"/>
  <c r="B12" i="19"/>
  <c r="C37" i="1"/>
  <c r="D11" i="14"/>
  <c r="C15" i="1"/>
  <c r="E4" i="3" s="1"/>
  <c r="E18" i="3"/>
  <c r="D5" i="22"/>
  <c r="E4" i="22"/>
  <c r="E5" i="22" s="1"/>
  <c r="E9" i="9"/>
  <c r="C43" i="4"/>
  <c r="F5" i="19"/>
  <c r="F6" i="19" s="1"/>
  <c r="G7" i="4" s="1"/>
  <c r="G10" i="4" s="1"/>
  <c r="B8" i="18"/>
  <c r="C29" i="1"/>
  <c r="E8" i="9"/>
  <c r="E10" i="9"/>
  <c r="C21" i="11"/>
  <c r="C35" i="1"/>
  <c r="C32" i="4"/>
  <c r="B13" i="18" s="1"/>
  <c r="E18" i="9"/>
  <c r="E6" i="10"/>
  <c r="F4" i="22" l="1"/>
  <c r="C8" i="4"/>
  <c r="F7" i="19"/>
  <c r="F22" i="19"/>
  <c r="E12" i="10"/>
  <c r="E13" i="10" s="1"/>
  <c r="C5" i="19"/>
  <c r="D5" i="19"/>
  <c r="J5" i="19"/>
  <c r="I5" i="19"/>
  <c r="E5" i="19"/>
  <c r="H5" i="19"/>
  <c r="G5" i="19"/>
  <c r="C23" i="1"/>
  <c r="E7" i="9"/>
  <c r="D28" i="4"/>
  <c r="E28" i="4"/>
  <c r="F28" i="4"/>
  <c r="G28" i="4"/>
  <c r="H28" i="4"/>
  <c r="I28" i="4"/>
  <c r="J28" i="4"/>
  <c r="K28" i="4"/>
  <c r="C28" i="4"/>
  <c r="C7" i="2"/>
  <c r="B13" i="23"/>
  <c r="B15" i="23" s="1"/>
  <c r="B17" i="23" s="1"/>
  <c r="B9" i="23"/>
  <c r="F5" i="22" l="1"/>
  <c r="G4" i="22"/>
  <c r="J6" i="19"/>
  <c r="K7" i="4" s="1"/>
  <c r="C6" i="19"/>
  <c r="D7" i="4" s="1"/>
  <c r="D10" i="4" s="1"/>
  <c r="E6" i="19"/>
  <c r="F7" i="4" s="1"/>
  <c r="F10" i="4" s="1"/>
  <c r="I6" i="19"/>
  <c r="J7" i="4" s="1"/>
  <c r="J10" i="4" s="1"/>
  <c r="G6" i="19"/>
  <c r="H7" i="4" s="1"/>
  <c r="H10" i="4" s="1"/>
  <c r="D6" i="19"/>
  <c r="E7" i="4" s="1"/>
  <c r="E10" i="4" s="1"/>
  <c r="B6" i="19"/>
  <c r="C7" i="4" s="1"/>
  <c r="C10" i="4" s="1"/>
  <c r="H6" i="19"/>
  <c r="I7" i="4" s="1"/>
  <c r="I10" i="4" s="1"/>
  <c r="F23" i="19"/>
  <c r="D22" i="19"/>
  <c r="D7" i="19"/>
  <c r="C22" i="19"/>
  <c r="C7" i="19"/>
  <c r="E7" i="19"/>
  <c r="E22" i="19"/>
  <c r="B22" i="19"/>
  <c r="B7" i="19"/>
  <c r="G22" i="19"/>
  <c r="G7" i="19"/>
  <c r="H7" i="19"/>
  <c r="H22" i="19"/>
  <c r="I7" i="19"/>
  <c r="I22" i="19"/>
  <c r="B4" i="18"/>
  <c r="D8" i="11"/>
  <c r="C28" i="11" s="1"/>
  <c r="E14" i="10"/>
  <c r="B16" i="19"/>
  <c r="C24" i="11" s="1"/>
  <c r="A6" i="21"/>
  <c r="B8" i="19" l="1"/>
  <c r="H4" i="22"/>
  <c r="G5" i="22"/>
  <c r="C23" i="19"/>
  <c r="H23" i="4"/>
  <c r="G23" i="19"/>
  <c r="B23" i="19"/>
  <c r="I23" i="19"/>
  <c r="E23" i="19"/>
  <c r="I23" i="4"/>
  <c r="H23" i="19"/>
  <c r="E23" i="4"/>
  <c r="D23" i="19"/>
  <c r="G23" i="4"/>
  <c r="E15" i="10"/>
  <c r="A13" i="21"/>
  <c r="A11" i="21"/>
  <c r="A10" i="21"/>
  <c r="A9" i="21"/>
  <c r="K47" i="7"/>
  <c r="J47" i="7"/>
  <c r="D23" i="7"/>
  <c r="E23" i="7"/>
  <c r="F23" i="7"/>
  <c r="G23" i="7"/>
  <c r="H23" i="7"/>
  <c r="I23" i="7"/>
  <c r="I34" i="7" s="1"/>
  <c r="J23" i="7"/>
  <c r="J34" i="7" s="1"/>
  <c r="K23" i="7"/>
  <c r="K34" i="7" s="1"/>
  <c r="C23" i="7"/>
  <c r="A14" i="21"/>
  <c r="C20" i="4" l="1"/>
  <c r="H5" i="22"/>
  <c r="I4" i="22"/>
  <c r="G12" i="7"/>
  <c r="D23" i="4"/>
  <c r="J23" i="4"/>
  <c r="F23" i="4"/>
  <c r="C23" i="4"/>
  <c r="I12" i="7"/>
  <c r="H12" i="7"/>
  <c r="E12" i="7"/>
  <c r="B24" i="19"/>
  <c r="E16" i="10"/>
  <c r="E17" i="10" s="1"/>
  <c r="A15" i="21"/>
  <c r="A16" i="21"/>
  <c r="A12" i="21"/>
  <c r="A8" i="21"/>
  <c r="A7" i="21"/>
  <c r="A5" i="21"/>
  <c r="A4" i="21"/>
  <c r="C24" i="18"/>
  <c r="K24" i="18"/>
  <c r="J24" i="18"/>
  <c r="I24" i="18"/>
  <c r="H24" i="18"/>
  <c r="G24" i="18"/>
  <c r="F24" i="18"/>
  <c r="E24" i="18"/>
  <c r="D24" i="18"/>
  <c r="I5" i="22" l="1"/>
  <c r="J4" i="22"/>
  <c r="J12" i="7"/>
  <c r="D12" i="7"/>
  <c r="F12" i="7"/>
  <c r="C12" i="7"/>
  <c r="C21" i="19"/>
  <c r="C24" i="19" s="1"/>
  <c r="E18" i="10"/>
  <c r="E19" i="10" s="1"/>
  <c r="E20" i="10" s="1"/>
  <c r="I41" i="7"/>
  <c r="J41" i="7"/>
  <c r="K41" i="7"/>
  <c r="J5" i="22" l="1"/>
  <c r="K4" i="22"/>
  <c r="D21" i="19"/>
  <c r="D24" i="19" s="1"/>
  <c r="D12" i="4"/>
  <c r="C13" i="7"/>
  <c r="C19" i="1"/>
  <c r="D42" i="4"/>
  <c r="D43" i="4" s="1"/>
  <c r="D8" i="4" s="1"/>
  <c r="K5" i="22" l="1"/>
  <c r="L4" i="22"/>
  <c r="L5" i="22" s="1"/>
  <c r="D13" i="7"/>
  <c r="E12" i="4"/>
  <c r="E21" i="19"/>
  <c r="E24" i="19" s="1"/>
  <c r="E42" i="4"/>
  <c r="E43" i="4" s="1"/>
  <c r="E8" i="4" s="1"/>
  <c r="F12" i="4" l="1"/>
  <c r="E13" i="7"/>
  <c r="F21" i="19"/>
  <c r="F24" i="19" s="1"/>
  <c r="F42" i="4"/>
  <c r="F43" i="4" s="1"/>
  <c r="F8" i="4" s="1"/>
  <c r="G21" i="19" l="1"/>
  <c r="G24" i="19" s="1"/>
  <c r="G12" i="4"/>
  <c r="F13" i="7"/>
  <c r="G42" i="4"/>
  <c r="G43" i="4" s="1"/>
  <c r="G8" i="4" s="1"/>
  <c r="G13" i="7" l="1"/>
  <c r="H12" i="4"/>
  <c r="H21" i="19"/>
  <c r="H24" i="19" s="1"/>
  <c r="K24" i="7"/>
  <c r="K29" i="7" s="1"/>
  <c r="C9" i="18"/>
  <c r="E5" i="11"/>
  <c r="D7" i="11" s="1"/>
  <c r="B3" i="20"/>
  <c r="H42" i="4"/>
  <c r="H43" i="4" s="1"/>
  <c r="H8" i="4" s="1"/>
  <c r="I21" i="19" l="1"/>
  <c r="I24" i="19" s="1"/>
  <c r="I12" i="4"/>
  <c r="H13" i="7"/>
  <c r="I24" i="7"/>
  <c r="I29" i="7" s="1"/>
  <c r="G24" i="7"/>
  <c r="G29" i="7" s="1"/>
  <c r="D9" i="18"/>
  <c r="J24" i="7"/>
  <c r="J29" i="7" s="1"/>
  <c r="E9" i="18"/>
  <c r="H24" i="7"/>
  <c r="H29" i="7" s="1"/>
  <c r="C24" i="7"/>
  <c r="C29" i="7" s="1"/>
  <c r="G3" i="20"/>
  <c r="C3" i="20"/>
  <c r="D3" i="20"/>
  <c r="I3" i="20"/>
  <c r="H3" i="20"/>
  <c r="E3" i="20"/>
  <c r="F3" i="20"/>
  <c r="I42" i="4"/>
  <c r="I43" i="4" s="1"/>
  <c r="I8" i="4" s="1"/>
  <c r="J12" i="4" l="1"/>
  <c r="I13" i="7"/>
  <c r="J21" i="19"/>
  <c r="D24" i="7"/>
  <c r="D29" i="7" s="1"/>
  <c r="E24" i="7"/>
  <c r="E29" i="7" s="1"/>
  <c r="F24" i="7"/>
  <c r="F29" i="7" s="1"/>
  <c r="J43" i="4"/>
  <c r="J8" i="4" s="1"/>
  <c r="K12" i="4" l="1"/>
  <c r="J13" i="7"/>
  <c r="K43" i="4"/>
  <c r="K8" i="4" s="1"/>
  <c r="D12" i="14"/>
  <c r="C12" i="1"/>
  <c r="J29" i="4"/>
  <c r="K29" i="4"/>
  <c r="K14" i="18" s="1"/>
  <c r="C47" i="7" l="1"/>
  <c r="D13" i="14"/>
  <c r="C20" i="18"/>
  <c r="J14" i="18"/>
  <c r="J46" i="7"/>
  <c r="K46" i="7"/>
  <c r="D9" i="11" l="1"/>
  <c r="D14" i="14"/>
  <c r="D15" i="14" s="1"/>
  <c r="D16" i="14" s="1"/>
  <c r="D17" i="14" s="1"/>
  <c r="D18" i="14" s="1"/>
  <c r="E9" i="11" l="1"/>
  <c r="E10" i="11" s="1"/>
  <c r="C29" i="11"/>
  <c r="D20" i="18"/>
  <c r="D47" i="7"/>
  <c r="D19" i="14"/>
  <c r="D20" i="14" s="1"/>
  <c r="D21" i="14" s="1"/>
  <c r="D22" i="14" s="1"/>
  <c r="D23" i="14" s="1"/>
  <c r="D24" i="14" s="1"/>
  <c r="D25" i="14" s="1"/>
  <c r="J48" i="7"/>
  <c r="K48" i="7"/>
  <c r="C20" i="1"/>
  <c r="F8" i="10"/>
  <c r="F7" i="10"/>
  <c r="E6" i="9"/>
  <c r="E11" i="9" s="1"/>
  <c r="E13" i="9" s="1"/>
  <c r="C9" i="1"/>
  <c r="D6" i="10" l="1"/>
  <c r="D12" i="10" s="1"/>
  <c r="D13" i="10" s="1"/>
  <c r="D14" i="10" s="1"/>
  <c r="E20" i="18"/>
  <c r="E47" i="7"/>
  <c r="F20" i="18"/>
  <c r="F47" i="7"/>
  <c r="D11" i="18"/>
  <c r="D26" i="14"/>
  <c r="E11" i="18"/>
  <c r="C3" i="15"/>
  <c r="K6" i="12"/>
  <c r="E5" i="12"/>
  <c r="H6" i="12"/>
  <c r="E6" i="12"/>
  <c r="D6" i="12"/>
  <c r="F6" i="12"/>
  <c r="F5" i="12"/>
  <c r="G5" i="12"/>
  <c r="I6" i="12"/>
  <c r="D27" i="14" l="1"/>
  <c r="E14" i="9"/>
  <c r="E12" i="11" s="1"/>
  <c r="F3" i="15"/>
  <c r="F11" i="18"/>
  <c r="E3" i="15"/>
  <c r="D3" i="15"/>
  <c r="H5" i="12"/>
  <c r="J5" i="12"/>
  <c r="C6" i="12"/>
  <c r="J6" i="12"/>
  <c r="D5" i="12"/>
  <c r="I5" i="12"/>
  <c r="C5" i="12"/>
  <c r="G6" i="12"/>
  <c r="K5" i="12"/>
  <c r="D15" i="10"/>
  <c r="D16" i="10" s="1"/>
  <c r="D17" i="10" s="1"/>
  <c r="D28" i="14" l="1"/>
  <c r="D29" i="14" s="1"/>
  <c r="D30" i="14" s="1"/>
  <c r="D31" i="14" s="1"/>
  <c r="D32" i="14" s="1"/>
  <c r="D33" i="14" s="1"/>
  <c r="D34" i="14" s="1"/>
  <c r="D35" i="14" s="1"/>
  <c r="E16" i="9"/>
  <c r="C16" i="4"/>
  <c r="D16" i="4" s="1"/>
  <c r="E16" i="4" s="1"/>
  <c r="F16" i="4" s="1"/>
  <c r="G16" i="4" s="1"/>
  <c r="H16" i="4" s="1"/>
  <c r="I16" i="4" s="1"/>
  <c r="J16" i="4" s="1"/>
  <c r="K16" i="4" s="1"/>
  <c r="G11" i="18"/>
  <c r="D18" i="10"/>
  <c r="G47" i="7" l="1"/>
  <c r="G20" i="18"/>
  <c r="F9" i="18"/>
  <c r="H11" i="18"/>
  <c r="G3" i="15"/>
  <c r="D19" i="10"/>
  <c r="D20" i="10" s="1"/>
  <c r="D20" i="4" l="1"/>
  <c r="D10" i="18"/>
  <c r="G9" i="18"/>
  <c r="I11" i="18"/>
  <c r="H3" i="15"/>
  <c r="E20" i="4" l="1"/>
  <c r="E10" i="18"/>
  <c r="H47" i="7"/>
  <c r="H20" i="18"/>
  <c r="H9" i="18"/>
  <c r="J11" i="18"/>
  <c r="I3" i="15"/>
  <c r="F20" i="4" l="1"/>
  <c r="F10" i="18"/>
  <c r="I9" i="18"/>
  <c r="K11" i="18"/>
  <c r="G20" i="4" l="1"/>
  <c r="G10" i="18"/>
  <c r="J9" i="18"/>
  <c r="H20" i="4" l="1"/>
  <c r="H10" i="18"/>
  <c r="I20" i="4" l="1"/>
  <c r="I10" i="18"/>
  <c r="J20" i="4" l="1"/>
  <c r="J10" i="18"/>
  <c r="K10" i="18" l="1"/>
  <c r="J3" i="15" l="1"/>
  <c r="E5" i="3"/>
  <c r="C6" i="10" s="1"/>
  <c r="F6" i="10" l="1"/>
  <c r="F9" i="10" s="1"/>
  <c r="C12" i="10"/>
  <c r="C10" i="7" s="1"/>
  <c r="C16" i="1"/>
  <c r="E22" i="3"/>
  <c r="C8" i="2" l="1"/>
  <c r="F12" i="10"/>
  <c r="E13" i="11" s="1"/>
  <c r="C13" i="10"/>
  <c r="C33" i="4"/>
  <c r="B10" i="13"/>
  <c r="C14" i="10"/>
  <c r="D10" i="13" s="1"/>
  <c r="C9" i="7"/>
  <c r="C11" i="7" s="1"/>
  <c r="C40" i="7" s="1"/>
  <c r="B7" i="18"/>
  <c r="B27" i="18" s="1"/>
  <c r="B28" i="18" s="1"/>
  <c r="C9" i="4"/>
  <c r="C7" i="15"/>
  <c r="C4" i="2" l="1"/>
  <c r="F14" i="10"/>
  <c r="C15" i="10"/>
  <c r="E10" i="13" s="1"/>
  <c r="E33" i="4"/>
  <c r="D9" i="7"/>
  <c r="E10" i="7"/>
  <c r="F13" i="10"/>
  <c r="C10" i="13"/>
  <c r="D33" i="4"/>
  <c r="D10" i="7"/>
  <c r="C11" i="4"/>
  <c r="D9" i="4"/>
  <c r="E16" i="11"/>
  <c r="C6" i="2" l="1"/>
  <c r="B6" i="18" s="1"/>
  <c r="C18" i="7"/>
  <c r="B5" i="18"/>
  <c r="F33" i="4"/>
  <c r="F15" i="10"/>
  <c r="C16" i="10"/>
  <c r="C17" i="10" s="1"/>
  <c r="H33" i="4" s="1"/>
  <c r="F10" i="7"/>
  <c r="D11" i="7"/>
  <c r="D11" i="4"/>
  <c r="E9" i="4"/>
  <c r="C14" i="4"/>
  <c r="C22" i="4" s="1"/>
  <c r="C12" i="18"/>
  <c r="B25" i="18" l="1"/>
  <c r="B26" i="18" s="1"/>
  <c r="B31" i="18" s="1"/>
  <c r="B15" i="18"/>
  <c r="B21" i="18"/>
  <c r="C4" i="18" s="1"/>
  <c r="C25" i="18" s="1"/>
  <c r="C26" i="18" s="1"/>
  <c r="D4" i="14"/>
  <c r="G10" i="13"/>
  <c r="F10" i="13"/>
  <c r="H10" i="7"/>
  <c r="G10" i="7"/>
  <c r="C18" i="10"/>
  <c r="I10" i="7" s="1"/>
  <c r="F17" i="10"/>
  <c r="G33" i="4"/>
  <c r="F16" i="10"/>
  <c r="E9" i="7"/>
  <c r="E11" i="7" s="1"/>
  <c r="D40" i="7"/>
  <c r="B4" i="20"/>
  <c r="B5" i="20" s="1"/>
  <c r="B6" i="20" s="1"/>
  <c r="C24" i="4"/>
  <c r="E11" i="4"/>
  <c r="F9" i="4"/>
  <c r="D12" i="18"/>
  <c r="D14" i="4"/>
  <c r="D22" i="4" s="1"/>
  <c r="B30" i="18" l="1"/>
  <c r="C11" i="14"/>
  <c r="D36" i="14"/>
  <c r="C10" i="14"/>
  <c r="E10" i="14" s="1"/>
  <c r="C9" i="14"/>
  <c r="E9" i="14" s="1"/>
  <c r="F18" i="10"/>
  <c r="H10" i="13"/>
  <c r="I33" i="4"/>
  <c r="C19" i="10"/>
  <c r="I10" i="13" s="1"/>
  <c r="F9" i="7"/>
  <c r="F11" i="7" s="1"/>
  <c r="E40" i="7"/>
  <c r="C49" i="7"/>
  <c r="C4" i="20"/>
  <c r="C5" i="20" s="1"/>
  <c r="C6" i="20" s="1"/>
  <c r="D24" i="4"/>
  <c r="F11" i="4"/>
  <c r="G9" i="4"/>
  <c r="E12" i="18"/>
  <c r="E14" i="4"/>
  <c r="E22" i="4" s="1"/>
  <c r="I47" i="7" l="1"/>
  <c r="I20" i="18"/>
  <c r="C12" i="14"/>
  <c r="E11" i="14"/>
  <c r="C20" i="10"/>
  <c r="K33" i="4" s="1"/>
  <c r="J33" i="4"/>
  <c r="J10" i="7"/>
  <c r="F19" i="10"/>
  <c r="G9" i="7"/>
  <c r="G11" i="7" s="1"/>
  <c r="F40" i="7"/>
  <c r="G11" i="4"/>
  <c r="H9" i="4"/>
  <c r="F12" i="18"/>
  <c r="F14" i="4"/>
  <c r="F22" i="4" s="1"/>
  <c r="D49" i="7"/>
  <c r="E24" i="4"/>
  <c r="D4" i="20"/>
  <c r="D5" i="20" s="1"/>
  <c r="D6" i="20" s="1"/>
  <c r="J10" i="13" l="1"/>
  <c r="F20" i="10"/>
  <c r="K10" i="7"/>
  <c r="C13" i="14"/>
  <c r="E12" i="14"/>
  <c r="G40" i="7"/>
  <c r="H9" i="7"/>
  <c r="H11" i="7" s="1"/>
  <c r="F24" i="4"/>
  <c r="E4" i="20"/>
  <c r="E5" i="20" s="1"/>
  <c r="E6" i="20" s="1"/>
  <c r="E49" i="7"/>
  <c r="I9" i="4"/>
  <c r="H11" i="4"/>
  <c r="G14" i="4"/>
  <c r="G22" i="4" s="1"/>
  <c r="G12" i="18"/>
  <c r="E17" i="11" l="1"/>
  <c r="E18" i="11" s="1"/>
  <c r="C30" i="11" s="1"/>
  <c r="C31" i="11" s="1"/>
  <c r="C27" i="4"/>
  <c r="C29" i="4" s="1"/>
  <c r="E13" i="14"/>
  <c r="C22" i="7"/>
  <c r="C14" i="14"/>
  <c r="H40" i="7"/>
  <c r="I9" i="7"/>
  <c r="I11" i="7" s="1"/>
  <c r="G24" i="4"/>
  <c r="F4" i="20"/>
  <c r="F5" i="20" s="1"/>
  <c r="F6" i="20" s="1"/>
  <c r="F49" i="7"/>
  <c r="H12" i="18"/>
  <c r="H14" i="4"/>
  <c r="H22" i="4" s="1"/>
  <c r="I11" i="4"/>
  <c r="J9" i="4"/>
  <c r="E14" i="14" l="1"/>
  <c r="C15" i="14"/>
  <c r="C46" i="7"/>
  <c r="C48" i="7" s="1"/>
  <c r="C50" i="7" s="1"/>
  <c r="C14" i="18"/>
  <c r="C15" i="18" s="1"/>
  <c r="C31" i="4"/>
  <c r="C41" i="7"/>
  <c r="C42" i="7" s="1"/>
  <c r="C34" i="7"/>
  <c r="J9" i="7"/>
  <c r="J11" i="7" s="1"/>
  <c r="I40" i="7"/>
  <c r="I42" i="7" s="1"/>
  <c r="G49" i="7"/>
  <c r="I14" i="4"/>
  <c r="I22" i="4" s="1"/>
  <c r="I12" i="18"/>
  <c r="H24" i="4"/>
  <c r="G4" i="20"/>
  <c r="G5" i="20" s="1"/>
  <c r="G6" i="20" s="1"/>
  <c r="K9" i="4"/>
  <c r="K11" i="4" s="1"/>
  <c r="J11" i="4"/>
  <c r="C34" i="4" l="1"/>
  <c r="B7" i="13"/>
  <c r="B9" i="13" s="1"/>
  <c r="B11" i="13" s="1"/>
  <c r="B13" i="13" s="1"/>
  <c r="B14" i="13" s="1"/>
  <c r="C35" i="4" s="1"/>
  <c r="C16" i="18" s="1"/>
  <c r="C17" i="18" s="1"/>
  <c r="E15" i="14"/>
  <c r="C16" i="14"/>
  <c r="K9" i="7"/>
  <c r="K11" i="7" s="1"/>
  <c r="K40" i="7" s="1"/>
  <c r="K42" i="7" s="1"/>
  <c r="J40" i="7"/>
  <c r="J42" i="7" s="1"/>
  <c r="H49" i="7"/>
  <c r="I24" i="4"/>
  <c r="H4" i="20"/>
  <c r="H5" i="20" s="1"/>
  <c r="H6" i="20" s="1"/>
  <c r="J12" i="18"/>
  <c r="J14" i="4"/>
  <c r="J22" i="4" s="1"/>
  <c r="E16" i="14" l="1"/>
  <c r="D27" i="4" s="1"/>
  <c r="D29" i="4" s="1"/>
  <c r="C17" i="14"/>
  <c r="C36" i="4"/>
  <c r="B7" i="20"/>
  <c r="I49" i="7"/>
  <c r="J24" i="4"/>
  <c r="I4" i="20"/>
  <c r="I5" i="20" s="1"/>
  <c r="I6" i="20" s="1"/>
  <c r="D46" i="7" l="1"/>
  <c r="D48" i="7" s="1"/>
  <c r="D50" i="7" s="1"/>
  <c r="D14" i="18"/>
  <c r="D31" i="4"/>
  <c r="C18" i="14"/>
  <c r="E17" i="14"/>
  <c r="D22" i="7"/>
  <c r="B8" i="20"/>
  <c r="C37" i="4"/>
  <c r="C18" i="18" s="1"/>
  <c r="J49" i="7"/>
  <c r="J50" i="7" s="1"/>
  <c r="J31" i="4"/>
  <c r="D34" i="7" l="1"/>
  <c r="D41" i="7"/>
  <c r="D42" i="7" s="1"/>
  <c r="C19" i="14"/>
  <c r="E18" i="14"/>
  <c r="C7" i="13"/>
  <c r="C9" i="13" s="1"/>
  <c r="C11" i="13" s="1"/>
  <c r="C13" i="13" s="1"/>
  <c r="C14" i="13" s="1"/>
  <c r="D35" i="4" s="1"/>
  <c r="D16" i="18" s="1"/>
  <c r="D34" i="4"/>
  <c r="C27" i="18"/>
  <c r="C19" i="18"/>
  <c r="C21" i="18" s="1"/>
  <c r="C38" i="4"/>
  <c r="C19" i="7" s="1"/>
  <c r="C21" i="7" s="1"/>
  <c r="I7" i="13"/>
  <c r="I9" i="13" s="1"/>
  <c r="I11" i="13" s="1"/>
  <c r="I13" i="13" s="1"/>
  <c r="I14" i="13" s="1"/>
  <c r="J35" i="4" s="1"/>
  <c r="J16" i="18" s="1"/>
  <c r="J34" i="4"/>
  <c r="C14" i="7" l="1"/>
  <c r="D4" i="18"/>
  <c r="C30" i="18"/>
  <c r="C31" i="18" s="1"/>
  <c r="C28" i="18"/>
  <c r="D36" i="4"/>
  <c r="C7" i="20"/>
  <c r="C20" i="14"/>
  <c r="E19" i="14"/>
  <c r="C35" i="7"/>
  <c r="C36" i="7" s="1"/>
  <c r="C25" i="7"/>
  <c r="D18" i="7"/>
  <c r="J36" i="4"/>
  <c r="I7" i="20"/>
  <c r="D37" i="4" l="1"/>
  <c r="D18" i="18" s="1"/>
  <c r="D27" i="18" s="1"/>
  <c r="D28" i="18" s="1"/>
  <c r="C8" i="20"/>
  <c r="C21" i="14"/>
  <c r="E20" i="14"/>
  <c r="E27" i="4" s="1"/>
  <c r="E29" i="4" s="1"/>
  <c r="C28" i="7"/>
  <c r="C30" i="7" s="1"/>
  <c r="C15" i="7"/>
  <c r="D25" i="18"/>
  <c r="D15" i="18"/>
  <c r="D17" i="18" s="1"/>
  <c r="I8" i="20"/>
  <c r="J37" i="4"/>
  <c r="J18" i="18" s="1"/>
  <c r="J27" i="18" s="1"/>
  <c r="J28" i="18" s="1"/>
  <c r="D19" i="18" l="1"/>
  <c r="D21" i="18" s="1"/>
  <c r="E4" i="18" s="1"/>
  <c r="E25" i="18" s="1"/>
  <c r="E26" i="18" s="1"/>
  <c r="D38" i="4"/>
  <c r="D19" i="7" s="1"/>
  <c r="D21" i="7" s="1"/>
  <c r="E18" i="7" s="1"/>
  <c r="D26" i="18"/>
  <c r="D30" i="18"/>
  <c r="D31" i="18" s="1"/>
  <c r="E14" i="18"/>
  <c r="E31" i="4"/>
  <c r="E46" i="7"/>
  <c r="E48" i="7" s="1"/>
  <c r="E50" i="7" s="1"/>
  <c r="E22" i="7"/>
  <c r="C22" i="14"/>
  <c r="E21" i="14"/>
  <c r="J38" i="4"/>
  <c r="J19" i="7" s="1"/>
  <c r="E15" i="18" l="1"/>
  <c r="D14" i="7"/>
  <c r="D25" i="7"/>
  <c r="D35" i="7"/>
  <c r="D36" i="7" s="1"/>
  <c r="E22" i="14"/>
  <c r="C23" i="14"/>
  <c r="E34" i="7"/>
  <c r="E41" i="7"/>
  <c r="E42" i="7" s="1"/>
  <c r="E34" i="4"/>
  <c r="D7" i="13"/>
  <c r="D9" i="13" s="1"/>
  <c r="D11" i="13" s="1"/>
  <c r="D13" i="13" s="1"/>
  <c r="D14" i="13" s="1"/>
  <c r="E35" i="4" s="1"/>
  <c r="E16" i="18" s="1"/>
  <c r="E17" i="18" l="1"/>
  <c r="D15" i="7"/>
  <c r="D28" i="7"/>
  <c r="D30" i="7" s="1"/>
  <c r="E36" i="4"/>
  <c r="D7" i="20"/>
  <c r="E23" i="14"/>
  <c r="C24" i="14"/>
  <c r="C25" i="14" l="1"/>
  <c r="E24" i="14"/>
  <c r="F27" i="4" s="1"/>
  <c r="F29" i="4" s="1"/>
  <c r="D8" i="20"/>
  <c r="E37" i="4"/>
  <c r="E18" i="18" s="1"/>
  <c r="E27" i="18" l="1"/>
  <c r="E19" i="18"/>
  <c r="E21" i="18" s="1"/>
  <c r="F14" i="18"/>
  <c r="F31" i="4"/>
  <c r="F46" i="7"/>
  <c r="F48" i="7" s="1"/>
  <c r="F50" i="7" s="1"/>
  <c r="F22" i="7"/>
  <c r="C26" i="14"/>
  <c r="E25" i="14"/>
  <c r="E38" i="4"/>
  <c r="E19" i="7" s="1"/>
  <c r="E21" i="7" s="1"/>
  <c r="C27" i="14" l="1"/>
  <c r="E26" i="14"/>
  <c r="E14" i="7"/>
  <c r="F4" i="18"/>
  <c r="F41" i="7"/>
  <c r="F42" i="7" s="1"/>
  <c r="F34" i="7"/>
  <c r="F34" i="4"/>
  <c r="E7" i="13"/>
  <c r="E9" i="13" s="1"/>
  <c r="E11" i="13" s="1"/>
  <c r="E13" i="13" s="1"/>
  <c r="E14" i="13" s="1"/>
  <c r="F35" i="4" s="1"/>
  <c r="F16" i="18" s="1"/>
  <c r="F18" i="7"/>
  <c r="E35" i="7"/>
  <c r="E36" i="7" s="1"/>
  <c r="E25" i="7"/>
  <c r="E28" i="18"/>
  <c r="E30" i="18"/>
  <c r="E31" i="18" s="1"/>
  <c r="E7" i="20" l="1"/>
  <c r="F36" i="4"/>
  <c r="F25" i="18"/>
  <c r="F26" i="18" s="1"/>
  <c r="F15" i="18"/>
  <c r="F17" i="18" s="1"/>
  <c r="E15" i="7"/>
  <c r="E28" i="7"/>
  <c r="E30" i="7" s="1"/>
  <c r="C28" i="14"/>
  <c r="E27" i="14"/>
  <c r="E28" i="14" l="1"/>
  <c r="G27" i="4" s="1"/>
  <c r="G29" i="4" s="1"/>
  <c r="G22" i="7"/>
  <c r="C29" i="14"/>
  <c r="F37" i="4"/>
  <c r="E8" i="20"/>
  <c r="F18" i="18" l="1"/>
  <c r="F38" i="4"/>
  <c r="F19" i="7" s="1"/>
  <c r="F21" i="7" s="1"/>
  <c r="C30" i="14"/>
  <c r="E29" i="14"/>
  <c r="G34" i="7"/>
  <c r="G41" i="7"/>
  <c r="G42" i="7" s="1"/>
  <c r="G14" i="18"/>
  <c r="G46" i="7"/>
  <c r="G48" i="7" s="1"/>
  <c r="G50" i="7" s="1"/>
  <c r="G31" i="4"/>
  <c r="E30" i="14" l="1"/>
  <c r="C31" i="14"/>
  <c r="G18" i="7"/>
  <c r="F35" i="7"/>
  <c r="F36" i="7" s="1"/>
  <c r="F25" i="7"/>
  <c r="F7" i="13"/>
  <c r="F9" i="13" s="1"/>
  <c r="F11" i="13" s="1"/>
  <c r="F13" i="13" s="1"/>
  <c r="F14" i="13" s="1"/>
  <c r="G35" i="4" s="1"/>
  <c r="G16" i="18" s="1"/>
  <c r="G34" i="4"/>
  <c r="F27" i="18"/>
  <c r="F19" i="18"/>
  <c r="F21" i="18" s="1"/>
  <c r="F28" i="18" l="1"/>
  <c r="F30" i="18"/>
  <c r="F31" i="18" s="1"/>
  <c r="G36" i="4"/>
  <c r="F7" i="20"/>
  <c r="C32" i="14"/>
  <c r="E31" i="14"/>
  <c r="G4" i="18"/>
  <c r="F14" i="7"/>
  <c r="F28" i="7" l="1"/>
  <c r="F30" i="7" s="1"/>
  <c r="F15" i="7"/>
  <c r="H22" i="7"/>
  <c r="E32" i="14"/>
  <c r="H27" i="4" s="1"/>
  <c r="H29" i="4" s="1"/>
  <c r="C33" i="14"/>
  <c r="G25" i="18"/>
  <c r="G26" i="18" s="1"/>
  <c r="G15" i="18"/>
  <c r="G17" i="18" s="1"/>
  <c r="G37" i="4"/>
  <c r="G18" i="18" s="1"/>
  <c r="G27" i="18" s="1"/>
  <c r="G28" i="18" s="1"/>
  <c r="F8" i="20"/>
  <c r="G19" i="18" l="1"/>
  <c r="G21" i="18" s="1"/>
  <c r="H4" i="18" s="1"/>
  <c r="H25" i="18" s="1"/>
  <c r="C34" i="14"/>
  <c r="E33" i="14"/>
  <c r="G30" i="18"/>
  <c r="G31" i="18" s="1"/>
  <c r="H14" i="18"/>
  <c r="H46" i="7"/>
  <c r="H48" i="7" s="1"/>
  <c r="H50" i="7" s="1"/>
  <c r="H31" i="4"/>
  <c r="H34" i="7"/>
  <c r="H41" i="7"/>
  <c r="H42" i="7" s="1"/>
  <c r="F43" i="7" s="1"/>
  <c r="G38" i="4"/>
  <c r="G19" i="7" s="1"/>
  <c r="G21" i="7" s="1"/>
  <c r="H15" i="18" l="1"/>
  <c r="G14" i="7"/>
  <c r="G7" i="13"/>
  <c r="G9" i="13" s="1"/>
  <c r="G11" i="13" s="1"/>
  <c r="G13" i="13" s="1"/>
  <c r="G14" i="13" s="1"/>
  <c r="H35" i="4" s="1"/>
  <c r="H16" i="18" s="1"/>
  <c r="H34" i="4"/>
  <c r="G25" i="7"/>
  <c r="G35" i="7"/>
  <c r="G36" i="7" s="1"/>
  <c r="H18" i="7"/>
  <c r="C35" i="14"/>
  <c r="E34" i="14"/>
  <c r="H26" i="18"/>
  <c r="H17" i="18" l="1"/>
  <c r="G28" i="7"/>
  <c r="G30" i="7" s="1"/>
  <c r="G15" i="7"/>
  <c r="C36" i="14"/>
  <c r="E36" i="14" s="1"/>
  <c r="E35" i="14"/>
  <c r="G7" i="20"/>
  <c r="H36" i="4"/>
  <c r="I27" i="4" l="1"/>
  <c r="I29" i="4" s="1"/>
  <c r="H37" i="4"/>
  <c r="G8" i="20"/>
  <c r="I14" i="18" l="1"/>
  <c r="I46" i="7"/>
  <c r="I48" i="7" s="1"/>
  <c r="I50" i="7" s="1"/>
  <c r="I31" i="4"/>
  <c r="H18" i="18"/>
  <c r="H38" i="4"/>
  <c r="H19" i="7" s="1"/>
  <c r="H21" i="7" s="1"/>
  <c r="I34" i="4" l="1"/>
  <c r="H7" i="13"/>
  <c r="H9" i="13" s="1"/>
  <c r="H11" i="13" s="1"/>
  <c r="H13" i="13" s="1"/>
  <c r="H14" i="13" s="1"/>
  <c r="I35" i="4" s="1"/>
  <c r="I16" i="18" s="1"/>
  <c r="H27" i="18"/>
  <c r="H19" i="18"/>
  <c r="H21" i="18" s="1"/>
  <c r="H25" i="7"/>
  <c r="I18" i="7"/>
  <c r="H35" i="7"/>
  <c r="H36" i="7" s="1"/>
  <c r="H7" i="20" l="1"/>
  <c r="I36" i="4"/>
  <c r="I4" i="18"/>
  <c r="H14" i="7"/>
  <c r="H28" i="18"/>
  <c r="H30" i="18"/>
  <c r="H31" i="18" s="1"/>
  <c r="H8" i="20" l="1"/>
  <c r="I37" i="4"/>
  <c r="I18" i="18" s="1"/>
  <c r="I27" i="18" s="1"/>
  <c r="I28" i="18" s="1"/>
  <c r="H28" i="7"/>
  <c r="H30" i="7" s="1"/>
  <c r="H15" i="7"/>
  <c r="I15" i="18"/>
  <c r="I17" i="18" s="1"/>
  <c r="I25" i="18"/>
  <c r="I19" i="18" l="1"/>
  <c r="I21" i="18" s="1"/>
  <c r="I14" i="7" s="1"/>
  <c r="I38" i="4"/>
  <c r="I19" i="7" s="1"/>
  <c r="I21" i="7" s="1"/>
  <c r="I25" i="7" s="1"/>
  <c r="I26" i="18"/>
  <c r="I30" i="18"/>
  <c r="I31" i="18" s="1"/>
  <c r="J4" i="18" l="1"/>
  <c r="J15" i="18" s="1"/>
  <c r="J17" i="18" s="1"/>
  <c r="J19" i="18" s="1"/>
  <c r="J21" i="18" s="1"/>
  <c r="J18" i="7"/>
  <c r="J21" i="7" s="1"/>
  <c r="K18" i="7" s="1"/>
  <c r="I35" i="7"/>
  <c r="I36" i="7" s="1"/>
  <c r="I28" i="7"/>
  <c r="I30" i="7" s="1"/>
  <c r="I15" i="7"/>
  <c r="J25" i="18" l="1"/>
  <c r="J25" i="7"/>
  <c r="J35" i="7"/>
  <c r="J36" i="7" s="1"/>
  <c r="J26" i="18"/>
  <c r="J30" i="18"/>
  <c r="J31" i="18" s="1"/>
  <c r="K4" i="18"/>
  <c r="J14" i="7"/>
  <c r="J15" i="7" l="1"/>
  <c r="J28" i="7"/>
  <c r="J30" i="7" s="1"/>
  <c r="K17" i="4"/>
  <c r="J8" i="19"/>
  <c r="K23" i="4" s="1"/>
  <c r="J24" i="19"/>
  <c r="K13" i="4" s="1"/>
  <c r="K18" i="4"/>
  <c r="K20" i="4" l="1"/>
  <c r="K12" i="7"/>
  <c r="K3" i="15"/>
  <c r="K9" i="18"/>
  <c r="J3" i="20"/>
  <c r="K13" i="7"/>
  <c r="K14" i="4"/>
  <c r="K22" i="4" s="1"/>
  <c r="J4" i="20" s="1"/>
  <c r="K12" i="18"/>
  <c r="K24" i="4" l="1"/>
  <c r="K25" i="18"/>
  <c r="K15" i="18"/>
  <c r="J5" i="20"/>
  <c r="J6" i="20" s="1"/>
  <c r="K26" i="18" l="1"/>
  <c r="K49" i="7"/>
  <c r="K50" i="7" s="1"/>
  <c r="F51" i="7" s="1"/>
  <c r="K31" i="4"/>
  <c r="K34" i="4" l="1"/>
  <c r="J7" i="13"/>
  <c r="J9" i="13" s="1"/>
  <c r="J11" i="13" s="1"/>
  <c r="J13" i="13" s="1"/>
  <c r="J14" i="13" s="1"/>
  <c r="K35" i="4" s="1"/>
  <c r="K16" i="18" s="1"/>
  <c r="K17" i="18" l="1"/>
  <c r="K36" i="4"/>
  <c r="J7" i="20"/>
  <c r="J8" i="20" l="1"/>
  <c r="K37" i="4"/>
  <c r="K18" i="18" s="1"/>
  <c r="K27" i="18" s="1"/>
  <c r="K28" i="18" l="1"/>
  <c r="K30" i="18"/>
  <c r="K31" i="18" s="1"/>
  <c r="L31" i="18" s="1"/>
  <c r="K38" i="4"/>
  <c r="K19" i="7" s="1"/>
  <c r="K21" i="7" s="1"/>
  <c r="K19" i="18"/>
  <c r="K21" i="18" s="1"/>
  <c r="K14" i="7" s="1"/>
  <c r="K15" i="7" l="1"/>
  <c r="K28" i="7"/>
  <c r="K30" i="7" s="1"/>
  <c r="F31" i="7" s="1"/>
  <c r="K25" i="7"/>
  <c r="K35" i="7"/>
  <c r="K36" i="7" s="1"/>
  <c r="F37" i="7" s="1"/>
</calcChain>
</file>

<file path=xl/sharedStrings.xml><?xml version="1.0" encoding="utf-8"?>
<sst xmlns="http://schemas.openxmlformats.org/spreadsheetml/2006/main" count="444" uniqueCount="322">
  <si>
    <t>Annexure 1 - Estimated cost of the project</t>
  </si>
  <si>
    <t>Estimated cost of project</t>
  </si>
  <si>
    <t xml:space="preserve">Sr. No. </t>
  </si>
  <si>
    <t>Particulars</t>
  </si>
  <si>
    <t>Grand Total (in lakhs)</t>
  </si>
  <si>
    <t>(a)</t>
  </si>
  <si>
    <t>Land and site development</t>
  </si>
  <si>
    <t>Land (Lease in name of company)</t>
  </si>
  <si>
    <t>Total</t>
  </si>
  <si>
    <t>Civil Work</t>
  </si>
  <si>
    <t>Plant and Machinery (indegenous)</t>
  </si>
  <si>
    <t>Plant and Machinery</t>
  </si>
  <si>
    <t>Miscellanoeus Fixed Assets</t>
  </si>
  <si>
    <t>Cost</t>
  </si>
  <si>
    <t>Working Capital Margin</t>
  </si>
  <si>
    <t>Preliminary Expenses</t>
  </si>
  <si>
    <t>Security Deposit</t>
  </si>
  <si>
    <t>Pre-Operative Expense</t>
  </si>
  <si>
    <t>(for 6 months upto the date od commencement of commercial production)</t>
  </si>
  <si>
    <t>Establisment and Travelling and Other Expenses</t>
  </si>
  <si>
    <t>(b)</t>
  </si>
  <si>
    <t>Legal and Misc Expense</t>
  </si>
  <si>
    <t>Total Cost of Project</t>
  </si>
  <si>
    <t>Annexure 2 - Means of Finance</t>
  </si>
  <si>
    <t>Sr. No.</t>
  </si>
  <si>
    <t>Item</t>
  </si>
  <si>
    <t>Promoter's equity</t>
  </si>
  <si>
    <t>Eligible Assistance</t>
  </si>
  <si>
    <t>Term Loan</t>
  </si>
  <si>
    <t>CC Limit</t>
  </si>
  <si>
    <t>Annexure 3 - Complete Estimate of Civil and Plant and Machinery</t>
  </si>
  <si>
    <t>Units</t>
  </si>
  <si>
    <t>Amt</t>
  </si>
  <si>
    <t>Total Plant and Machinery</t>
  </si>
  <si>
    <t>Total fixed Assets</t>
  </si>
  <si>
    <t>Annexure 4 - Estimated Cost of Production</t>
  </si>
  <si>
    <t>Sr. No</t>
  </si>
  <si>
    <t>Description</t>
  </si>
  <si>
    <t>I</t>
  </si>
  <si>
    <t>II</t>
  </si>
  <si>
    <t>III</t>
  </si>
  <si>
    <t>IV</t>
  </si>
  <si>
    <t>V</t>
  </si>
  <si>
    <t>VI</t>
  </si>
  <si>
    <t>VII</t>
  </si>
  <si>
    <t>VIII</t>
  </si>
  <si>
    <t>IX</t>
  </si>
  <si>
    <t>Year ending March 31st</t>
  </si>
  <si>
    <t>No of Working months</t>
  </si>
  <si>
    <t>Sales</t>
  </si>
  <si>
    <t>Administrative salaries and wages</t>
  </si>
  <si>
    <t>S. No.</t>
  </si>
  <si>
    <t>Designation</t>
  </si>
  <si>
    <t>In no.</t>
  </si>
  <si>
    <t>Salary per person per month</t>
  </si>
  <si>
    <t>i.</t>
  </si>
  <si>
    <t>ii.</t>
  </si>
  <si>
    <t>Total annual wages</t>
  </si>
  <si>
    <t>Annual increase in wages</t>
  </si>
  <si>
    <t>iii.</t>
  </si>
  <si>
    <t>Computation of Depreciation</t>
  </si>
  <si>
    <t>Annexure 9 - Computation of Depreciation</t>
  </si>
  <si>
    <t>Pre operatives</t>
  </si>
  <si>
    <t>Contingencies</t>
  </si>
  <si>
    <t>Misc Fixed Asset</t>
  </si>
  <si>
    <t>Amount in lakhs</t>
  </si>
  <si>
    <t>Rates of Depreciation</t>
  </si>
  <si>
    <t>Year</t>
  </si>
  <si>
    <t>Annexure 11- Break even analysis (At maximum capacity utilization)</t>
  </si>
  <si>
    <t>Variable cost</t>
  </si>
  <si>
    <t>- Running and maintenance cost</t>
  </si>
  <si>
    <t>- Interest on Working capital</t>
  </si>
  <si>
    <t>Contribution</t>
  </si>
  <si>
    <t>Wages and salaries</t>
  </si>
  <si>
    <t>- electricity expense</t>
  </si>
  <si>
    <t>Depreciation</t>
  </si>
  <si>
    <t>Fixed cost</t>
  </si>
  <si>
    <t>Sales price per kg</t>
  </si>
  <si>
    <t>Annexure 12 - Profitability statement</t>
  </si>
  <si>
    <t>Years</t>
  </si>
  <si>
    <t>Vegetable procument expense</t>
  </si>
  <si>
    <t>Fruits procurement expense</t>
  </si>
  <si>
    <t>Direct Expenses</t>
  </si>
  <si>
    <t>Cost of Sales</t>
  </si>
  <si>
    <t>Expected sales revenue</t>
  </si>
  <si>
    <t>Gross Profit</t>
  </si>
  <si>
    <t>Financial expense</t>
  </si>
  <si>
    <t>Interest on Term Loan</t>
  </si>
  <si>
    <t>Annexure 13 - Repayment schedule</t>
  </si>
  <si>
    <t>Repayment schedule</t>
  </si>
  <si>
    <t>Amount of Loan (in lakhs)</t>
  </si>
  <si>
    <t>Rate of interest</t>
  </si>
  <si>
    <t>Moratorium period</t>
  </si>
  <si>
    <t>Quarter</t>
  </si>
  <si>
    <t>Balance outstanding</t>
  </si>
  <si>
    <t>Interest</t>
  </si>
  <si>
    <t>Principal instalment</t>
  </si>
  <si>
    <t>Operating profits (PBT)</t>
  </si>
  <si>
    <t>depreciation</t>
  </si>
  <si>
    <t>Net Profit before Tax</t>
  </si>
  <si>
    <t>Income Tax</t>
  </si>
  <si>
    <t>Profits after Tax</t>
  </si>
  <si>
    <t>Annexure 10 - Calculation of Income tax</t>
  </si>
  <si>
    <t>Calculation of Income Tax</t>
  </si>
  <si>
    <t>Net profit before tax</t>
  </si>
  <si>
    <t>Add- dep on SLM</t>
  </si>
  <si>
    <t>Sub total</t>
  </si>
  <si>
    <t>Less- Dep on WDV</t>
  </si>
  <si>
    <t>Less - Deductions</t>
  </si>
  <si>
    <t>Taxable profits</t>
  </si>
  <si>
    <t>Income tax @30%</t>
  </si>
  <si>
    <t>Profit transfer to balance sheet</t>
  </si>
  <si>
    <t>Annexure 5- Projected balance sheet</t>
  </si>
  <si>
    <t>Asset</t>
  </si>
  <si>
    <t>Fixed Capital expenditure</t>
  </si>
  <si>
    <t>Gross Block</t>
  </si>
  <si>
    <t>Less- Depreciation</t>
  </si>
  <si>
    <t>Sundry debtors</t>
  </si>
  <si>
    <t>Cash/ bank balance</t>
  </si>
  <si>
    <t>Liabilities</t>
  </si>
  <si>
    <t>Capital</t>
  </si>
  <si>
    <t>Add- Profit</t>
  </si>
  <si>
    <t>Less- Drawings</t>
  </si>
  <si>
    <t>Closing capital</t>
  </si>
  <si>
    <t>Total liabilities</t>
  </si>
  <si>
    <t>Total assets</t>
  </si>
  <si>
    <t>Current Ratio</t>
  </si>
  <si>
    <t>Current Assets</t>
  </si>
  <si>
    <t>Current Liabilities</t>
  </si>
  <si>
    <t>Debt Equity ratio</t>
  </si>
  <si>
    <t>Debt</t>
  </si>
  <si>
    <t>Equity</t>
  </si>
  <si>
    <t>Ratio</t>
  </si>
  <si>
    <t>cash flow statement</t>
  </si>
  <si>
    <t>Sales realized</t>
  </si>
  <si>
    <t>Term loan</t>
  </si>
  <si>
    <t>assisstance</t>
  </si>
  <si>
    <t>less- Purchase of assets</t>
  </si>
  <si>
    <t>Debt service coverage ratio</t>
  </si>
  <si>
    <t>Interest on loan (TL + WC)</t>
  </si>
  <si>
    <t>Net operating income</t>
  </si>
  <si>
    <t>ratio</t>
  </si>
  <si>
    <t>Instalment of loan</t>
  </si>
  <si>
    <t>A</t>
  </si>
  <si>
    <t>B</t>
  </si>
  <si>
    <t>Average</t>
  </si>
  <si>
    <t>Fixed asset coverage ratio</t>
  </si>
  <si>
    <t>Fixed assets</t>
  </si>
  <si>
    <t>6 months</t>
  </si>
  <si>
    <t>Details of Manpower</t>
  </si>
  <si>
    <t>Creditors</t>
  </si>
  <si>
    <t>Total manpower</t>
  </si>
  <si>
    <t>opening balance</t>
  </si>
  <si>
    <t>Add: Sales realizations</t>
  </si>
  <si>
    <t>Less: Interest payments</t>
  </si>
  <si>
    <t>Working capital</t>
  </si>
  <si>
    <t>Interest on WC Loan</t>
  </si>
  <si>
    <t>Site Development</t>
  </si>
  <si>
    <t>Sales Budget</t>
  </si>
  <si>
    <t>Products</t>
  </si>
  <si>
    <t>Production at 100% capacity</t>
  </si>
  <si>
    <t>Output</t>
  </si>
  <si>
    <t>Electricity expense</t>
  </si>
  <si>
    <t>Usage in units</t>
  </si>
  <si>
    <t>Cost of Production</t>
  </si>
  <si>
    <t>Sub Total</t>
  </si>
  <si>
    <t>Total depreciation for the year</t>
  </si>
  <si>
    <t>Preliminary Expense</t>
  </si>
  <si>
    <t>Less: Payment made to creditors of previos year</t>
  </si>
  <si>
    <t>Add: Receipts from debtors of previos year</t>
  </si>
  <si>
    <t>Less: Payments made for current year purchase</t>
  </si>
  <si>
    <t>Less: Distrubutions made from profits</t>
  </si>
  <si>
    <t>Less: Income tax</t>
  </si>
  <si>
    <t>Less: Principal repayment of loan</t>
  </si>
  <si>
    <t>Closing cash balance</t>
  </si>
  <si>
    <t>PV dicounting rate</t>
  </si>
  <si>
    <t>PVF</t>
  </si>
  <si>
    <t>Inflows</t>
  </si>
  <si>
    <t>PV of Inflows</t>
  </si>
  <si>
    <t>Outflows</t>
  </si>
  <si>
    <t>PV of Outflows</t>
  </si>
  <si>
    <t>Net cash inflow</t>
  </si>
  <si>
    <t>Net Present value</t>
  </si>
  <si>
    <t>Turnover</t>
  </si>
  <si>
    <t>Cost Of operations</t>
  </si>
  <si>
    <t>Gross profit</t>
  </si>
  <si>
    <t>EBITDA</t>
  </si>
  <si>
    <t>Profit before tax</t>
  </si>
  <si>
    <t>Profit after tax</t>
  </si>
  <si>
    <t>Total BEP %</t>
  </si>
  <si>
    <t>Interest on TL</t>
  </si>
  <si>
    <t>Add: Capital</t>
  </si>
  <si>
    <t>Add: Loan disbursement</t>
  </si>
  <si>
    <t>Less: Purchase of asset</t>
  </si>
  <si>
    <t>Contents Table</t>
  </si>
  <si>
    <t>Contents</t>
  </si>
  <si>
    <t>Link</t>
  </si>
  <si>
    <t>Ann 1'!A1</t>
  </si>
  <si>
    <t>Ann 2'!A1</t>
  </si>
  <si>
    <t>Ann 4'!A1</t>
  </si>
  <si>
    <t>Ann 5'!A1</t>
  </si>
  <si>
    <t>Ann 8'!A1</t>
  </si>
  <si>
    <t>Ann 9'!A1</t>
  </si>
  <si>
    <t>Ann 10'!A1</t>
  </si>
  <si>
    <t>Ann 11'!A1</t>
  </si>
  <si>
    <t>Ann 13'!A1</t>
  </si>
  <si>
    <t>Assumptions!A1</t>
  </si>
  <si>
    <t>Budgets!A1</t>
  </si>
  <si>
    <t>S. no.</t>
  </si>
  <si>
    <t>Assumptions</t>
  </si>
  <si>
    <t>Electricity usage in units is given below</t>
  </si>
  <si>
    <t>DPR without subsidy</t>
  </si>
  <si>
    <t>Annual cost</t>
  </si>
  <si>
    <t>Ann 3'!A1</t>
  </si>
  <si>
    <t>Break-even point is the condition when an entity generate sufficient revenue that it can meet its fixed expense after deducting any variable expense, i.e., the point where contribution is equal to the fixed expense.</t>
  </si>
  <si>
    <t>Annexure 6 - requirement of Power and Fuel</t>
  </si>
  <si>
    <t>Fuel</t>
  </si>
  <si>
    <t>Mileage</t>
  </si>
  <si>
    <t>requirement of Fuel</t>
  </si>
  <si>
    <t>Speed of tractor</t>
  </si>
  <si>
    <t>Fuel requirement as per the operative hours</t>
  </si>
  <si>
    <t xml:space="preserve"> km per litre</t>
  </si>
  <si>
    <t xml:space="preserve"> km per hour</t>
  </si>
  <si>
    <t>litres</t>
  </si>
  <si>
    <t>- For Tractor</t>
  </si>
  <si>
    <t>- For Pwer tiller</t>
  </si>
  <si>
    <t>Litre per hour</t>
  </si>
  <si>
    <t>Fuel requirement during the year for 30 units</t>
  </si>
  <si>
    <t>Litres</t>
  </si>
  <si>
    <t>Total fuel requirement</t>
  </si>
  <si>
    <t>Fuel cost per litre</t>
  </si>
  <si>
    <t>Total fuel cost at 100% capacity utilization</t>
  </si>
  <si>
    <t>1. Civil Work</t>
  </si>
  <si>
    <t>Total Civil Work</t>
  </si>
  <si>
    <t>Per annum capacity in kgs</t>
  </si>
  <si>
    <t>Estimated ocupational capacity</t>
  </si>
  <si>
    <t>Less: Pre incorporation expense</t>
  </si>
  <si>
    <t>Electricity fixed charge</t>
  </si>
  <si>
    <t>BEP in kgs</t>
  </si>
  <si>
    <t>Less: Fixed costs</t>
  </si>
  <si>
    <t>Rs. per kg</t>
  </si>
  <si>
    <t>3. Miscellanoeus Fixed Asset</t>
  </si>
  <si>
    <t>Civil work for building</t>
  </si>
  <si>
    <t>Accountant cum cashier</t>
  </si>
  <si>
    <t>Mechanic</t>
  </si>
  <si>
    <t>Labour</t>
  </si>
  <si>
    <t>Insurance cost @ 2% of purchase cost</t>
  </si>
  <si>
    <t>It is assumed that insuarance cost is 2% of purchase price and this will increase 5% annually</t>
  </si>
  <si>
    <t>Add: Opening Stock</t>
  </si>
  <si>
    <t>Less: Closing Stock</t>
  </si>
  <si>
    <t>Operational days</t>
  </si>
  <si>
    <t>Production Budget</t>
  </si>
  <si>
    <t>Estimation of Production capacity</t>
  </si>
  <si>
    <t>Opening Stock</t>
  </si>
  <si>
    <t>Production</t>
  </si>
  <si>
    <t>Closing Stock</t>
  </si>
  <si>
    <t>Distribution of profits (80%)</t>
  </si>
  <si>
    <t>Less: Land purchase</t>
  </si>
  <si>
    <t>Closing stock</t>
  </si>
  <si>
    <t>1. asssumed that 90 days of purchases are average creditors maintained</t>
  </si>
  <si>
    <t>Asssumed that 90 days of purchases are average creditors maintained</t>
  </si>
  <si>
    <t>Production capacity (kgs)</t>
  </si>
  <si>
    <t>Total Financial expense</t>
  </si>
  <si>
    <t>Variable costs</t>
  </si>
  <si>
    <t>Electricity cost</t>
  </si>
  <si>
    <t>Running and maintenance</t>
  </si>
  <si>
    <t>Interest on working capital</t>
  </si>
  <si>
    <t>Contribution per unit</t>
  </si>
  <si>
    <t>Fixed charges for office</t>
  </si>
  <si>
    <t>Fixed charge for office</t>
  </si>
  <si>
    <t>2. assumed that 60 days of sales are average debtors maintained by the business</t>
  </si>
  <si>
    <t>Assumed that 60 days of sales are average debtors maintained by the business</t>
  </si>
  <si>
    <t>2. Electricity usage in units is given below</t>
  </si>
  <si>
    <t>3. It is assumed that insuarance cost is 2% of purchase price and this will increase 5% annually</t>
  </si>
  <si>
    <t>Polishing machine</t>
  </si>
  <si>
    <t>Input turmeric rhizomes</t>
  </si>
  <si>
    <t>Sales (kgs)</t>
  </si>
  <si>
    <t>Revenue in Rs.</t>
  </si>
  <si>
    <t>Input required to produce above output (kgs)</t>
  </si>
  <si>
    <t>iv.</t>
  </si>
  <si>
    <t>Helpers</t>
  </si>
  <si>
    <t>Input rhizomes cost</t>
  </si>
  <si>
    <t>Sales prices per kg</t>
  </si>
  <si>
    <t>Purchase price per kg</t>
  </si>
  <si>
    <t>Insurance cost</t>
  </si>
  <si>
    <t>Add: benefits @ 30%</t>
  </si>
  <si>
    <t>Projected Balance sheet</t>
  </si>
  <si>
    <t>Annexure 8 - Details of Manpower</t>
  </si>
  <si>
    <t>Annexure 14 - Cash flow statement</t>
  </si>
  <si>
    <t>Net Block</t>
  </si>
  <si>
    <t>Total Interest</t>
  </si>
  <si>
    <t>Break even capacity at maximum capacity utilization</t>
  </si>
  <si>
    <t>Assumed input output ratio is 0.6:1,i.e., to say that 1 kg of rhisomes produce 600 grams of turmeric powder</t>
  </si>
  <si>
    <t>Ann 14'!A1</t>
  </si>
  <si>
    <t>Civil work</t>
  </si>
  <si>
    <t>v.</t>
  </si>
  <si>
    <t>Security</t>
  </si>
  <si>
    <t>Packing charges</t>
  </si>
  <si>
    <t>Selling expense</t>
  </si>
  <si>
    <t>Input cost of rhizomes would increase 10% per annum and there would be 5% wastage in processing on inputs</t>
  </si>
  <si>
    <t>Electricity are semi-fixed cost. Rs. 150,000 pa is fixed, balance is variable at Rs. 14 per unit usage</t>
  </si>
  <si>
    <t>1. Electricity are semi-fixed cost. Rs. 150,000 pa is fixed, balance is variable at Rs. 14 per unit usage</t>
  </si>
  <si>
    <t>Dryer</t>
  </si>
  <si>
    <t>Automatic Turmeric Grinding machine</t>
  </si>
  <si>
    <t>Siever</t>
  </si>
  <si>
    <t>Curing boiler furnance</t>
  </si>
  <si>
    <t>Washer</t>
  </si>
  <si>
    <t>Weighing scale</t>
  </si>
  <si>
    <t>Material Handling Equipment</t>
  </si>
  <si>
    <t>Miscellaneous tools</t>
  </si>
  <si>
    <t>Assumed that 1000 kg per hour is the production capacity</t>
  </si>
  <si>
    <t>2. Plant and machinery**</t>
  </si>
  <si>
    <t xml:space="preserve">** The Plant and Machinery cost estimate is as per the available technology </t>
  </si>
  <si>
    <t>Packing machine</t>
  </si>
  <si>
    <t>225 dys</t>
  </si>
  <si>
    <t>4. Closing stock is valued at Rs 165 (avg cost)</t>
  </si>
  <si>
    <t>assumed that the output is sold in wholesale market</t>
  </si>
  <si>
    <t>Running and Manintenance expense @15% of raw material</t>
  </si>
  <si>
    <t>Packaging cahrges @ Rs. 2 per kg</t>
  </si>
  <si>
    <t>Selling charges @ Rs. 1 per kg</t>
  </si>
  <si>
    <t>5. Input cost of rhizomes would increase 10% per annum while 5% of input is wasted.</t>
  </si>
  <si>
    <t>For the first year of operation the break-even capacity comes at 49.88% capacity, it is because of the fact that in the Initial year the fixed expense of consultancy for project is taken in to consideration for calculation of BEP. considering our operational capacity in year 1 to be 60% which is more than the BEP, hence we can conclude that the project is sound enough to cover its fixed expense.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</si>
</sst>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_(* #,##0.0_);_(* \(#,##0.0\);_(* &quot;-&quot;?_);_(@_)"/>
    <numFmt numFmtId="166" formatCode="_(* #,##0.000000000_);_(* \(#,##0.000000000\);_(* &quot;-&quot;??_);_(@_)"/>
    <numFmt numFmtId="167" formatCode="0.000"/>
    <numFmt numFmtId="168" formatCode="0.0000"/>
    <numFmt numFmtId="169" formatCode="_(* #,##0.000_);_(* \(#,##0.000\);_(*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u/>
      <sz val="11"/>
      <color theme="1"/>
      <name val="Calibri"/>
      <family val="2"/>
      <scheme val="minor"/>
    </font>
    <font>
      <u/>
      <sz val="11"/>
      <color theme="10"/>
      <name val="Calibri"/>
      <family val="2"/>
      <scheme val="minor"/>
    </font>
    <font>
      <b/>
      <sz val="11"/>
      <color theme="1"/>
      <name val="Adobe Devanagari"/>
      <family val="1"/>
    </font>
    <font>
      <sz val="11"/>
      <color theme="1"/>
      <name val="Adobe Devanagari"/>
      <family val="1"/>
    </font>
    <font>
      <u/>
      <sz val="11"/>
      <color theme="1"/>
      <name val="Adobe Devanagari"/>
      <family val="1"/>
    </font>
    <font>
      <u/>
      <sz val="11"/>
      <color theme="10"/>
      <name val="Adobe Devanagari"/>
      <family val="1"/>
    </font>
    <font>
      <sz val="11"/>
      <color theme="0"/>
      <name val="Adobe Devanagari"/>
      <family val="1"/>
    </font>
    <font>
      <sz val="11"/>
      <name val="Adobe Devanagari"/>
      <family val="1"/>
    </font>
  </fonts>
  <fills count="4">
    <fill>
      <patternFill patternType="none"/>
    </fill>
    <fill>
      <patternFill patternType="gray125"/>
    </fill>
    <fill>
      <patternFill patternType="solid">
        <fgColor rgb="FFFFFF00"/>
        <bgColor indexed="64"/>
      </patternFill>
    </fill>
    <fill>
      <patternFill patternType="solid">
        <fgColor theme="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cellStyleXfs>
  <cellXfs count="148">
    <xf numFmtId="0" fontId="0" fillId="0" borderId="0" xfId="0"/>
    <xf numFmtId="0" fontId="3" fillId="0" borderId="0" xfId="0" applyFont="1"/>
    <xf numFmtId="0" fontId="2" fillId="0" borderId="0" xfId="0" applyFont="1"/>
    <xf numFmtId="0" fontId="0" fillId="0" borderId="0" xfId="0" quotePrefix="1"/>
    <xf numFmtId="43" fontId="0" fillId="0" borderId="0" xfId="1" applyFont="1"/>
    <xf numFmtId="0" fontId="5" fillId="0" borderId="0" xfId="0" applyFont="1"/>
    <xf numFmtId="0" fontId="6" fillId="0" borderId="0" xfId="0" applyFont="1"/>
    <xf numFmtId="0" fontId="7" fillId="3" borderId="2" xfId="0" applyFont="1" applyFill="1" applyBorder="1"/>
    <xf numFmtId="0" fontId="6" fillId="3" borderId="3" xfId="0" applyFont="1" applyFill="1" applyBorder="1"/>
    <xf numFmtId="0" fontId="6" fillId="3" borderId="4" xfId="0" applyFont="1" applyFill="1" applyBorder="1"/>
    <xf numFmtId="0" fontId="6" fillId="3" borderId="1" xfId="0" applyFont="1" applyFill="1" applyBorder="1"/>
    <xf numFmtId="0" fontId="6" fillId="3" borderId="1" xfId="0" applyFont="1" applyFill="1" applyBorder="1" applyAlignment="1">
      <alignment wrapText="1"/>
    </xf>
    <xf numFmtId="0" fontId="6" fillId="0" borderId="11" xfId="0" applyFont="1" applyBorder="1" applyAlignment="1">
      <alignment horizontal="left"/>
    </xf>
    <xf numFmtId="0" fontId="6" fillId="0" borderId="11" xfId="0" applyFont="1" applyBorder="1"/>
    <xf numFmtId="0" fontId="6" fillId="0" borderId="9" xfId="0" applyFont="1" applyBorder="1"/>
    <xf numFmtId="43" fontId="6" fillId="0" borderId="9" xfId="1" applyFont="1" applyBorder="1"/>
    <xf numFmtId="0" fontId="5" fillId="0" borderId="11" xfId="0" applyFont="1" applyBorder="1"/>
    <xf numFmtId="43" fontId="5" fillId="0" borderId="9" xfId="1" applyFont="1" applyBorder="1"/>
    <xf numFmtId="43" fontId="5" fillId="0" borderId="9" xfId="1" applyNumberFormat="1" applyFont="1" applyBorder="1"/>
    <xf numFmtId="43" fontId="6" fillId="0" borderId="9" xfId="1" applyNumberFormat="1" applyFont="1" applyBorder="1"/>
    <xf numFmtId="43" fontId="5" fillId="0" borderId="9" xfId="0" applyNumberFormat="1" applyFont="1" applyBorder="1"/>
    <xf numFmtId="0" fontId="6" fillId="0" borderId="11" xfId="0" applyFont="1" applyBorder="1" applyAlignment="1">
      <alignment wrapText="1"/>
    </xf>
    <xf numFmtId="0" fontId="5" fillId="0" borderId="12" xfId="0" applyFont="1" applyBorder="1" applyAlignment="1">
      <alignment horizontal="left"/>
    </xf>
    <xf numFmtId="0" fontId="5" fillId="0" borderId="12" xfId="0" applyFont="1" applyBorder="1"/>
    <xf numFmtId="43" fontId="5" fillId="0" borderId="10" xfId="0" applyNumberFormat="1" applyFont="1" applyBorder="1"/>
    <xf numFmtId="0" fontId="6" fillId="0" borderId="0" xfId="0" applyFont="1" applyAlignment="1">
      <alignment horizontal="left"/>
    </xf>
    <xf numFmtId="0" fontId="6" fillId="0" borderId="8" xfId="0" applyFont="1" applyBorder="1"/>
    <xf numFmtId="0" fontId="6" fillId="0" borderId="0" xfId="0" applyFont="1" applyBorder="1"/>
    <xf numFmtId="43" fontId="6" fillId="0" borderId="9" xfId="0" applyNumberFormat="1" applyFont="1" applyBorder="1"/>
    <xf numFmtId="10" fontId="6" fillId="0" borderId="0" xfId="2" applyNumberFormat="1" applyFont="1"/>
    <xf numFmtId="2" fontId="6" fillId="0" borderId="0" xfId="0" applyNumberFormat="1" applyFont="1"/>
    <xf numFmtId="0" fontId="6" fillId="0" borderId="2" xfId="0" applyFont="1" applyBorder="1"/>
    <xf numFmtId="0" fontId="6" fillId="0" borderId="3" xfId="0" applyFont="1" applyBorder="1"/>
    <xf numFmtId="0" fontId="6" fillId="3" borderId="2" xfId="0" applyFont="1" applyFill="1" applyBorder="1"/>
    <xf numFmtId="0" fontId="6" fillId="0" borderId="1" xfId="0" applyFont="1" applyBorder="1"/>
    <xf numFmtId="0" fontId="8" fillId="0" borderId="1" xfId="3" quotePrefix="1" applyFont="1" applyBorder="1"/>
    <xf numFmtId="0" fontId="8" fillId="0" borderId="1" xfId="3" applyFont="1" applyBorder="1"/>
    <xf numFmtId="0" fontId="6" fillId="0" borderId="5" xfId="0" applyFont="1" applyBorder="1"/>
    <xf numFmtId="0" fontId="6" fillId="0" borderId="6" xfId="0" applyFont="1" applyBorder="1" applyAlignment="1">
      <alignment horizontal="left" wrapText="1"/>
    </xf>
    <xf numFmtId="0" fontId="6" fillId="0" borderId="6" xfId="0" applyFont="1" applyBorder="1" applyAlignment="1">
      <alignment horizontal="left"/>
    </xf>
    <xf numFmtId="164" fontId="6" fillId="0" borderId="6" xfId="1" applyNumberFormat="1" applyFont="1" applyBorder="1"/>
    <xf numFmtId="164" fontId="6" fillId="0" borderId="7" xfId="1" applyNumberFormat="1" applyFont="1" applyBorder="1" applyAlignment="1">
      <alignment horizontal="left"/>
    </xf>
    <xf numFmtId="0" fontId="5" fillId="0" borderId="13" xfId="0" applyFont="1" applyBorder="1"/>
    <xf numFmtId="0" fontId="5" fillId="0" borderId="14" xfId="0" applyFont="1" applyBorder="1"/>
    <xf numFmtId="164" fontId="5" fillId="0" borderId="10" xfId="0" applyNumberFormat="1" applyFont="1" applyBorder="1"/>
    <xf numFmtId="0" fontId="6" fillId="0" borderId="4" xfId="0" applyFont="1" applyBorder="1"/>
    <xf numFmtId="0" fontId="6" fillId="0" borderId="0" xfId="0" applyFont="1" applyBorder="1" applyAlignment="1">
      <alignment horizontal="left"/>
    </xf>
    <xf numFmtId="164" fontId="6" fillId="0" borderId="0" xfId="1" applyNumberFormat="1" applyFont="1" applyBorder="1"/>
    <xf numFmtId="164" fontId="6" fillId="0" borderId="9" xfId="1" applyNumberFormat="1" applyFont="1" applyFill="1" applyBorder="1" applyAlignment="1">
      <alignment horizontal="left"/>
    </xf>
    <xf numFmtId="164" fontId="6" fillId="0" borderId="9" xfId="1" applyNumberFormat="1" applyFont="1" applyBorder="1" applyAlignment="1">
      <alignment horizontal="left"/>
    </xf>
    <xf numFmtId="0" fontId="5" fillId="0" borderId="2" xfId="0" applyFont="1" applyBorder="1"/>
    <xf numFmtId="0" fontId="5" fillId="0" borderId="3" xfId="0" applyFont="1" applyBorder="1"/>
    <xf numFmtId="164" fontId="5" fillId="0" borderId="4" xfId="0" applyNumberFormat="1" applyFont="1" applyBorder="1"/>
    <xf numFmtId="0" fontId="5" fillId="0" borderId="0" xfId="0" applyFont="1" applyFill="1"/>
    <xf numFmtId="43" fontId="6" fillId="0" borderId="0" xfId="0" applyNumberFormat="1" applyFont="1"/>
    <xf numFmtId="164" fontId="6" fillId="0" borderId="0" xfId="0" applyNumberFormat="1" applyFont="1"/>
    <xf numFmtId="164" fontId="6" fillId="3" borderId="4" xfId="1" applyNumberFormat="1" applyFont="1" applyFill="1" applyBorder="1"/>
    <xf numFmtId="164" fontId="6" fillId="0" borderId="1" xfId="1" applyNumberFormat="1" applyFont="1" applyBorder="1"/>
    <xf numFmtId="0" fontId="6" fillId="0" borderId="1" xfId="0" applyFont="1" applyFill="1" applyBorder="1"/>
    <xf numFmtId="0" fontId="6" fillId="3" borderId="1" xfId="0" applyFont="1" applyFill="1" applyBorder="1" applyAlignment="1">
      <alignment horizontal="center"/>
    </xf>
    <xf numFmtId="0" fontId="6" fillId="3" borderId="1" xfId="0" applyFont="1" applyFill="1" applyBorder="1" applyAlignment="1">
      <alignment horizontal="center"/>
    </xf>
    <xf numFmtId="0" fontId="6" fillId="3" borderId="6" xfId="0" applyFont="1" applyFill="1" applyBorder="1" applyAlignment="1">
      <alignment horizontal="center" vertical="center"/>
    </xf>
    <xf numFmtId="0" fontId="5" fillId="0" borderId="6" xfId="0" applyFont="1" applyBorder="1"/>
    <xf numFmtId="0" fontId="6" fillId="0" borderId="15" xfId="0" applyFont="1" applyBorder="1"/>
    <xf numFmtId="0" fontId="6" fillId="0" borderId="7" xfId="0" applyFont="1" applyBorder="1"/>
    <xf numFmtId="164" fontId="6" fillId="0" borderId="11" xfId="0" applyNumberFormat="1" applyFont="1" applyBorder="1"/>
    <xf numFmtId="43" fontId="6" fillId="0" borderId="11" xfId="0" applyNumberFormat="1" applyFont="1" applyBorder="1"/>
    <xf numFmtId="0" fontId="6" fillId="0" borderId="0" xfId="0" applyFont="1" applyFill="1" applyBorder="1"/>
    <xf numFmtId="164" fontId="6" fillId="0" borderId="11" xfId="1" applyNumberFormat="1" applyFont="1" applyBorder="1"/>
    <xf numFmtId="164" fontId="6" fillId="0" borderId="9" xfId="0" applyNumberFormat="1" applyFont="1" applyBorder="1"/>
    <xf numFmtId="0" fontId="5" fillId="0" borderId="0" xfId="0" applyFont="1" applyBorder="1"/>
    <xf numFmtId="164" fontId="6" fillId="0" borderId="9" xfId="1" applyNumberFormat="1" applyFont="1" applyBorder="1"/>
    <xf numFmtId="164" fontId="6" fillId="0" borderId="8" xfId="0" applyNumberFormat="1" applyFont="1" applyFill="1" applyBorder="1"/>
    <xf numFmtId="0" fontId="6" fillId="0" borderId="13" xfId="0" applyFont="1" applyBorder="1"/>
    <xf numFmtId="0" fontId="6" fillId="0" borderId="14" xfId="0" applyFont="1" applyBorder="1"/>
    <xf numFmtId="0" fontId="6" fillId="0" borderId="12" xfId="0" applyFont="1" applyBorder="1"/>
    <xf numFmtId="0" fontId="6" fillId="0" borderId="10" xfId="0" applyFont="1" applyBorder="1"/>
    <xf numFmtId="0" fontId="6" fillId="3" borderId="1" xfId="0" applyFont="1" applyFill="1" applyBorder="1" applyAlignment="1">
      <alignment horizontal="center" vertical="center"/>
    </xf>
    <xf numFmtId="0" fontId="6" fillId="3" borderId="8" xfId="0" applyFont="1" applyFill="1" applyBorder="1"/>
    <xf numFmtId="0" fontId="6" fillId="3" borderId="0" xfId="0" applyFont="1" applyFill="1" applyBorder="1"/>
    <xf numFmtId="0" fontId="6" fillId="3" borderId="11" xfId="0" applyFont="1" applyFill="1" applyBorder="1"/>
    <xf numFmtId="0" fontId="6" fillId="3" borderId="9" xfId="0" applyFont="1" applyFill="1" applyBorder="1"/>
    <xf numFmtId="164" fontId="6" fillId="3" borderId="9" xfId="0" applyNumberFormat="1" applyFont="1" applyFill="1" applyBorder="1"/>
    <xf numFmtId="0" fontId="7" fillId="0" borderId="0" xfId="0" applyFont="1"/>
    <xf numFmtId="164" fontId="6" fillId="0" borderId="1" xfId="0" applyNumberFormat="1" applyFont="1" applyBorder="1"/>
    <xf numFmtId="0" fontId="6" fillId="0" borderId="6" xfId="0" applyFont="1" applyBorder="1"/>
    <xf numFmtId="164" fontId="6" fillId="0" borderId="10" xfId="0" applyNumberFormat="1" applyFont="1" applyBorder="1"/>
    <xf numFmtId="164" fontId="6" fillId="0" borderId="4" xfId="0" applyNumberFormat="1" applyFont="1" applyBorder="1"/>
    <xf numFmtId="9" fontId="6" fillId="0" borderId="0" xfId="0" applyNumberFormat="1" applyFont="1"/>
    <xf numFmtId="2" fontId="6" fillId="0" borderId="1" xfId="0" applyNumberFormat="1" applyFont="1" applyBorder="1"/>
    <xf numFmtId="2" fontId="6" fillId="0" borderId="1" xfId="1" applyNumberFormat="1" applyFont="1" applyBorder="1"/>
    <xf numFmtId="0" fontId="6" fillId="0" borderId="1" xfId="0" applyFont="1" applyBorder="1" applyAlignment="1">
      <alignment horizontal="right"/>
    </xf>
    <xf numFmtId="0" fontId="6" fillId="0" borderId="1" xfId="0" applyFont="1" applyBorder="1" applyAlignment="1">
      <alignment horizontal="left"/>
    </xf>
    <xf numFmtId="43" fontId="6" fillId="0" borderId="1" xfId="0" applyNumberFormat="1" applyFont="1" applyBorder="1"/>
    <xf numFmtId="0" fontId="6" fillId="0" borderId="0" xfId="0" applyFont="1" applyAlignment="1">
      <alignment horizontal="right"/>
    </xf>
    <xf numFmtId="43" fontId="6" fillId="0" borderId="1" xfId="1" applyFont="1" applyBorder="1"/>
    <xf numFmtId="0" fontId="6" fillId="3" borderId="0" xfId="0" applyFont="1" applyFill="1"/>
    <xf numFmtId="0" fontId="7" fillId="3" borderId="0" xfId="0" applyFont="1" applyFill="1"/>
    <xf numFmtId="164" fontId="6" fillId="0" borderId="0" xfId="1" applyNumberFormat="1" applyFont="1"/>
    <xf numFmtId="0" fontId="6" fillId="0" borderId="0" xfId="0" quotePrefix="1" applyFont="1"/>
    <xf numFmtId="10" fontId="6" fillId="0" borderId="1" xfId="2" applyNumberFormat="1" applyFont="1" applyBorder="1"/>
    <xf numFmtId="9" fontId="6" fillId="0" borderId="1" xfId="0" applyNumberFormat="1" applyFont="1" applyBorder="1" applyAlignment="1">
      <alignment horizontal="center"/>
    </xf>
    <xf numFmtId="164" fontId="6" fillId="0" borderId="1" xfId="1" applyNumberFormat="1" applyFont="1" applyBorder="1" applyAlignment="1">
      <alignment horizontal="right"/>
    </xf>
    <xf numFmtId="164" fontId="6" fillId="0" borderId="0" xfId="1" applyNumberFormat="1" applyFont="1" applyFill="1"/>
    <xf numFmtId="0" fontId="6" fillId="0" borderId="0" xfId="0" applyFont="1" applyFill="1"/>
    <xf numFmtId="16" fontId="6" fillId="0" borderId="0" xfId="0" applyNumberFormat="1" applyFont="1"/>
    <xf numFmtId="164" fontId="6" fillId="0" borderId="0" xfId="1" applyNumberFormat="1" applyFont="1" applyAlignment="1">
      <alignment horizontal="right"/>
    </xf>
    <xf numFmtId="0" fontId="6" fillId="0" borderId="1" xfId="0" applyFont="1" applyBorder="1" applyAlignment="1">
      <alignment vertical="top"/>
    </xf>
    <xf numFmtId="0" fontId="6" fillId="0" borderId="1" xfId="0" applyFont="1" applyBorder="1" applyAlignment="1">
      <alignment vertical="top" wrapText="1"/>
    </xf>
    <xf numFmtId="0" fontId="6" fillId="0" borderId="2" xfId="0" applyFont="1" applyBorder="1" applyAlignment="1">
      <alignment vertical="top" wrapText="1"/>
    </xf>
    <xf numFmtId="0" fontId="6" fillId="0" borderId="0" xfId="0" applyFont="1" applyAlignment="1">
      <alignment vertical="top"/>
    </xf>
    <xf numFmtId="164" fontId="6" fillId="0" borderId="1" xfId="0" applyNumberFormat="1" applyFont="1" applyBorder="1" applyAlignment="1">
      <alignment vertical="top"/>
    </xf>
    <xf numFmtId="165" fontId="6" fillId="0" borderId="2" xfId="0" applyNumberFormat="1" applyFont="1" applyBorder="1" applyAlignment="1">
      <alignment vertical="top" wrapText="1"/>
    </xf>
    <xf numFmtId="165" fontId="6" fillId="0" borderId="1" xfId="0" applyNumberFormat="1" applyFont="1" applyBorder="1" applyAlignment="1">
      <alignment vertical="top" wrapText="1"/>
    </xf>
    <xf numFmtId="0" fontId="6" fillId="0" borderId="0" xfId="0" applyFont="1" applyBorder="1" applyAlignment="1">
      <alignment vertical="top"/>
    </xf>
    <xf numFmtId="164" fontId="6" fillId="0" borderId="0" xfId="0" applyNumberFormat="1" applyFont="1" applyBorder="1" applyAlignment="1">
      <alignment vertical="top"/>
    </xf>
    <xf numFmtId="165" fontId="6" fillId="0" borderId="0" xfId="0" applyNumberFormat="1" applyFont="1" applyBorder="1" applyAlignment="1">
      <alignment vertical="top" wrapText="1"/>
    </xf>
    <xf numFmtId="164" fontId="9" fillId="0" borderId="0" xfId="1" applyNumberFormat="1" applyFont="1"/>
    <xf numFmtId="10" fontId="9" fillId="0" borderId="0" xfId="1" applyNumberFormat="1" applyFont="1"/>
    <xf numFmtId="0" fontId="9" fillId="0" borderId="0" xfId="0" applyFont="1"/>
    <xf numFmtId="166" fontId="9" fillId="0" borderId="0" xfId="1" applyNumberFormat="1" applyFont="1"/>
    <xf numFmtId="167" fontId="6" fillId="0" borderId="0" xfId="0" applyNumberFormat="1" applyFont="1"/>
    <xf numFmtId="10" fontId="6" fillId="2" borderId="0" xfId="0" applyNumberFormat="1" applyFont="1" applyFill="1"/>
    <xf numFmtId="0" fontId="6" fillId="2" borderId="0" xfId="0" applyFont="1" applyFill="1" applyAlignment="1">
      <alignment horizontal="right"/>
    </xf>
    <xf numFmtId="0" fontId="10" fillId="0" borderId="0" xfId="0" applyFont="1"/>
    <xf numFmtId="167" fontId="6" fillId="0" borderId="1" xfId="0" applyNumberFormat="1" applyFont="1" applyBorder="1"/>
    <xf numFmtId="43" fontId="6" fillId="0" borderId="11" xfId="1" applyNumberFormat="1" applyFont="1" applyBorder="1"/>
    <xf numFmtId="0" fontId="5" fillId="3" borderId="1" xfId="0" applyFont="1" applyFill="1" applyBorder="1"/>
    <xf numFmtId="0" fontId="5" fillId="0" borderId="1" xfId="0" applyFont="1" applyBorder="1"/>
    <xf numFmtId="9" fontId="5" fillId="0" borderId="1" xfId="0" applyNumberFormat="1" applyFont="1" applyBorder="1"/>
    <xf numFmtId="43" fontId="5" fillId="0" borderId="4" xfId="0" applyNumberFormat="1" applyFont="1" applyBorder="1"/>
    <xf numFmtId="0" fontId="5" fillId="3" borderId="2" xfId="0" applyFont="1" applyFill="1" applyBorder="1"/>
    <xf numFmtId="0" fontId="5" fillId="3" borderId="3" xfId="0" applyFont="1" applyFill="1" applyBorder="1"/>
    <xf numFmtId="0" fontId="5" fillId="3" borderId="4" xfId="0" applyFont="1" applyFill="1" applyBorder="1"/>
    <xf numFmtId="168" fontId="6" fillId="0" borderId="0" xfId="0" applyNumberFormat="1" applyFont="1"/>
    <xf numFmtId="169" fontId="6" fillId="0" borderId="9" xfId="0" applyNumberFormat="1" applyFont="1" applyBorder="1"/>
    <xf numFmtId="169" fontId="6" fillId="0" borderId="9" xfId="1" applyNumberFormat="1" applyFont="1" applyBorder="1"/>
    <xf numFmtId="0" fontId="6" fillId="3" borderId="3" xfId="0" applyFont="1" applyFill="1" applyBorder="1" applyAlignment="1">
      <alignment horizontal="center"/>
    </xf>
    <xf numFmtId="0" fontId="6" fillId="3" borderId="15" xfId="0" applyFont="1" applyFill="1" applyBorder="1" applyAlignment="1">
      <alignment horizontal="center" vertical="center"/>
    </xf>
    <xf numFmtId="0" fontId="6" fillId="3" borderId="12"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10" xfId="0" applyFont="1" applyFill="1" applyBorder="1" applyAlignment="1">
      <alignment horizontal="center" vertical="center"/>
    </xf>
    <xf numFmtId="0" fontId="6" fillId="3" borderId="1" xfId="0" applyFont="1" applyFill="1" applyBorder="1" applyAlignment="1">
      <alignment horizontal="center" vertical="center"/>
    </xf>
    <xf numFmtId="0" fontId="6" fillId="3" borderId="1" xfId="0" applyFont="1" applyFill="1" applyBorder="1" applyAlignment="1">
      <alignment horizontal="center"/>
    </xf>
    <xf numFmtId="0" fontId="6" fillId="0" borderId="1" xfId="0" applyFont="1" applyBorder="1" applyAlignment="1">
      <alignment horizontal="left"/>
    </xf>
    <xf numFmtId="0" fontId="6" fillId="0" borderId="0" xfId="0" applyFont="1" applyAlignment="1">
      <alignment horizontal="left" wrapText="1"/>
    </xf>
    <xf numFmtId="0" fontId="0" fillId="0" borderId="0" xfId="0" applyAlignment="1">
      <alignment horizontal="center"/>
    </xf>
    <xf numFmtId="0" fontId="6" fillId="0" borderId="1" xfId="0" applyFont="1" applyBorder="1" applyAlignment="1">
      <alignment horizontal="center" vertical="center"/>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0Assignments/6.%20Ashiwini%20Mittal%20uncle's%20bid%20for%20work/1.%20F&amp;V%20Processing%20unit/F&amp;V%20Processing%20Unit%20Annexures%20-%20With%20Subsid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Ann 1"/>
      <sheetName val="Ann 2"/>
      <sheetName val="Ann 3"/>
      <sheetName val="Ann 4"/>
      <sheetName val="Ann 5"/>
      <sheetName val="Ann 6"/>
      <sheetName val="Ann 7"/>
      <sheetName val="Ann 8"/>
      <sheetName val="Ann 9"/>
      <sheetName val="Ann 10"/>
      <sheetName val="Ann 11"/>
      <sheetName val="Ann 12"/>
      <sheetName val="Ann 13"/>
      <sheetName val="Budgets"/>
      <sheetName val="Assumptions"/>
      <sheetName val="For word file"/>
      <sheetName val="Sheet1"/>
    </sheetNames>
    <sheetDataSet>
      <sheetData sheetId="0"/>
      <sheetData sheetId="1">
        <row r="3">
          <cell r="A3" t="str">
            <v>Annexure 1 - Estimated cost of the project</v>
          </cell>
        </row>
      </sheetData>
      <sheetData sheetId="2">
        <row r="1">
          <cell r="A1" t="str">
            <v>Annexure 2 - Means of Finance</v>
          </cell>
        </row>
      </sheetData>
      <sheetData sheetId="3"/>
      <sheetData sheetId="4">
        <row r="1">
          <cell r="A1" t="str">
            <v>Annexure 4 - Estimated Cost of Production</v>
          </cell>
        </row>
      </sheetData>
      <sheetData sheetId="5">
        <row r="1">
          <cell r="A1" t="str">
            <v>Annexure 5- Projected balance sheet</v>
          </cell>
        </row>
      </sheetData>
      <sheetData sheetId="6"/>
      <sheetData sheetId="7"/>
      <sheetData sheetId="8"/>
      <sheetData sheetId="9"/>
      <sheetData sheetId="10"/>
      <sheetData sheetId="11">
        <row r="1">
          <cell r="A1" t="str">
            <v>Annexure 11- Break even analysis (At maximum capacity utilization)</v>
          </cell>
        </row>
      </sheetData>
      <sheetData sheetId="12"/>
      <sheetData sheetId="13"/>
      <sheetData sheetId="14">
        <row r="1">
          <cell r="A1" t="str">
            <v>Sales Budget</v>
          </cell>
        </row>
      </sheetData>
      <sheetData sheetId="15">
        <row r="1">
          <cell r="B1" t="str">
            <v>Assumptions</v>
          </cell>
        </row>
      </sheetData>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AC8BE-60EA-43EA-96F6-72E97A57CA2D}">
  <dimension ref="A1:B16"/>
  <sheetViews>
    <sheetView tabSelected="1" workbookViewId="0">
      <selection activeCell="B4" sqref="B4"/>
    </sheetView>
  </sheetViews>
  <sheetFormatPr defaultRowHeight="17" x14ac:dyDescent="0.6"/>
  <cols>
    <col min="1" max="1" width="57.90625" style="6" bestFit="1" customWidth="1"/>
    <col min="2" max="2" width="14.453125" style="6" bestFit="1" customWidth="1"/>
    <col min="3" max="16384" width="8.7265625" style="6"/>
  </cols>
  <sheetData>
    <row r="1" spans="1:2" x14ac:dyDescent="0.6">
      <c r="A1" s="5" t="s">
        <v>194</v>
      </c>
    </row>
    <row r="3" spans="1:2" x14ac:dyDescent="0.6">
      <c r="A3" s="127" t="s">
        <v>195</v>
      </c>
      <c r="B3" s="127" t="s">
        <v>196</v>
      </c>
    </row>
    <row r="4" spans="1:2" x14ac:dyDescent="0.6">
      <c r="A4" s="34" t="str">
        <f>'[1]Ann 1'!A3</f>
        <v>Annexure 1 - Estimated cost of the project</v>
      </c>
      <c r="B4" s="35" t="s">
        <v>197</v>
      </c>
    </row>
    <row r="5" spans="1:2" x14ac:dyDescent="0.6">
      <c r="A5" s="34" t="str">
        <f>'[1]Ann 2'!A1</f>
        <v>Annexure 2 - Means of Finance</v>
      </c>
      <c r="B5" s="35" t="s">
        <v>198</v>
      </c>
    </row>
    <row r="6" spans="1:2" x14ac:dyDescent="0.6">
      <c r="A6" s="34" t="str">
        <f>'Ann 3'!A1</f>
        <v>Annexure 3 - Complete Estimate of Civil and Plant and Machinery</v>
      </c>
      <c r="B6" s="35" t="s">
        <v>213</v>
      </c>
    </row>
    <row r="7" spans="1:2" x14ac:dyDescent="0.6">
      <c r="A7" s="34" t="str">
        <f>'[1]Ann 4'!A1</f>
        <v>Annexure 4 - Estimated Cost of Production</v>
      </c>
      <c r="B7" s="35" t="s">
        <v>199</v>
      </c>
    </row>
    <row r="8" spans="1:2" x14ac:dyDescent="0.6">
      <c r="A8" s="34" t="str">
        <f>'[1]Ann 5'!A1</f>
        <v>Annexure 5- Projected balance sheet</v>
      </c>
      <c r="B8" s="35" t="s">
        <v>200</v>
      </c>
    </row>
    <row r="9" spans="1:2" x14ac:dyDescent="0.6">
      <c r="A9" s="34" t="str">
        <f>'Ann 8'!A1</f>
        <v>Annexure 8 - Details of Manpower</v>
      </c>
      <c r="B9" s="35" t="s">
        <v>201</v>
      </c>
    </row>
    <row r="10" spans="1:2" x14ac:dyDescent="0.6">
      <c r="A10" s="34" t="str">
        <f>'Ann 9'!A1</f>
        <v>Annexure 9 - Computation of Depreciation</v>
      </c>
      <c r="B10" s="35" t="s">
        <v>202</v>
      </c>
    </row>
    <row r="11" spans="1:2" x14ac:dyDescent="0.6">
      <c r="A11" s="34" t="str">
        <f>'Ann 10'!A1</f>
        <v>Annexure 10 - Calculation of Income tax</v>
      </c>
      <c r="B11" s="35" t="s">
        <v>203</v>
      </c>
    </row>
    <row r="12" spans="1:2" x14ac:dyDescent="0.6">
      <c r="A12" s="34" t="str">
        <f>'[1]Ann 11'!A1</f>
        <v>Annexure 11- Break even analysis (At maximum capacity utilization)</v>
      </c>
      <c r="B12" s="35" t="s">
        <v>204</v>
      </c>
    </row>
    <row r="13" spans="1:2" x14ac:dyDescent="0.6">
      <c r="A13" s="34" t="str">
        <f>'Ann 13'!A1</f>
        <v>Annexure 13 - Repayment schedule</v>
      </c>
      <c r="B13" s="35" t="s">
        <v>205</v>
      </c>
    </row>
    <row r="14" spans="1:2" x14ac:dyDescent="0.6">
      <c r="A14" s="34" t="str">
        <f>'Ann 14'!A1</f>
        <v>Annexure 14 - Cash flow statement</v>
      </c>
      <c r="B14" s="35" t="s">
        <v>293</v>
      </c>
    </row>
    <row r="15" spans="1:2" x14ac:dyDescent="0.6">
      <c r="A15" s="34" t="str">
        <f>[1]Budgets!A1</f>
        <v>Sales Budget</v>
      </c>
      <c r="B15" s="36" t="s">
        <v>207</v>
      </c>
    </row>
    <row r="16" spans="1:2" x14ac:dyDescent="0.6">
      <c r="A16" s="34" t="str">
        <f>[1]Assumptions!B1</f>
        <v>Assumptions</v>
      </c>
      <c r="B16" s="36" t="s">
        <v>206</v>
      </c>
    </row>
  </sheetData>
  <hyperlinks>
    <hyperlink ref="B4" location="'Ann 1'!A1" display="'Ann 1'!A1" xr:uid="{129A53AE-42B4-406F-AE43-98A73E9596B6}"/>
    <hyperlink ref="B5" location="'Ann 2'!A1" display="'Ann 2'!A1" xr:uid="{D366D2B7-8C33-4BB9-8360-E73E9FF6CF6A}"/>
    <hyperlink ref="B6" location="'Ann 3'!A1" display="'Ann 3'!A1" xr:uid="{1B8772B9-E43D-4AB5-8F5A-638223AF500E}"/>
    <hyperlink ref="B7" location="'Ann 4'!A1" display="'Ann 4'!A1" xr:uid="{FAAB8839-5519-4D9B-A59A-73365143B4B9}"/>
    <hyperlink ref="B8" location="'Ann 5'!A1" display="'Ann 5'!A1" xr:uid="{345DF3FB-1320-4EE4-BE1D-865969EAB7BC}"/>
    <hyperlink ref="B9" location="'Ann 8'!A1" display="'Ann 8'!A1" xr:uid="{42615D31-7A7C-4734-A1CE-F2C2E3B3162A}"/>
    <hyperlink ref="B10" location="'Ann 9'!A1" display="'Ann 9'!A1" xr:uid="{B7119FF1-2125-4BB1-8092-9AB11A831D0F}"/>
    <hyperlink ref="B11" location="'Ann 10'!A1" display="'Ann 10'!A1" xr:uid="{DFB51339-4F19-4C93-8A40-F6B91391A5EC}"/>
    <hyperlink ref="B12" location="'Ann 11'!A1" display="'Ann 11'!A1" xr:uid="{45AE67DC-B5E2-4285-BEE7-A02BF94C1CBE}"/>
    <hyperlink ref="B13" location="'Ann 13'!A1" display="'Ann 13'!A1" xr:uid="{C975FC4B-1ADE-4A0F-BED9-979C1D3964AD}"/>
    <hyperlink ref="B14" location="'Ann 14'!A1" display="'Ann 14'!A1" xr:uid="{1EB42EDC-9E72-40D8-932F-98050E53BF90}"/>
    <hyperlink ref="B15" location="Budgets!A1" display="Budgets!A1" xr:uid="{93337CD4-EB49-450F-A248-E7178008DA35}"/>
    <hyperlink ref="B16" location="Assumptions!A1" display="Assumptions!A1" xr:uid="{AED17B9E-3962-416C-9671-559494842589}"/>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6521A-756D-4D90-8C99-73BDFD6A7811}">
  <sheetPr>
    <pageSetUpPr fitToPage="1"/>
  </sheetPr>
  <dimension ref="A1:J14"/>
  <sheetViews>
    <sheetView workbookViewId="0">
      <selection activeCell="D9" sqref="D9"/>
    </sheetView>
  </sheetViews>
  <sheetFormatPr defaultRowHeight="17" x14ac:dyDescent="0.6"/>
  <cols>
    <col min="1" max="1" width="20.90625" style="6" customWidth="1"/>
    <col min="2" max="10" width="13.6328125" style="6" bestFit="1" customWidth="1"/>
    <col min="11" max="16384" width="8.7265625" style="6"/>
  </cols>
  <sheetData>
    <row r="1" spans="1:10" x14ac:dyDescent="0.6">
      <c r="A1" s="5" t="s">
        <v>102</v>
      </c>
    </row>
    <row r="3" spans="1:10" x14ac:dyDescent="0.6">
      <c r="A3" s="83" t="s">
        <v>103</v>
      </c>
    </row>
    <row r="5" spans="1:10" x14ac:dyDescent="0.6">
      <c r="A5" s="142" t="s">
        <v>3</v>
      </c>
      <c r="B5" s="142" t="s">
        <v>47</v>
      </c>
      <c r="C5" s="142"/>
      <c r="D5" s="142"/>
      <c r="E5" s="142"/>
      <c r="F5" s="142"/>
      <c r="G5" s="142"/>
      <c r="H5" s="142"/>
      <c r="I5" s="142"/>
      <c r="J5" s="142"/>
    </row>
    <row r="6" spans="1:10" x14ac:dyDescent="0.6">
      <c r="A6" s="142"/>
      <c r="B6" s="77" t="s">
        <v>38</v>
      </c>
      <c r="C6" s="77" t="s">
        <v>39</v>
      </c>
      <c r="D6" s="77" t="s">
        <v>40</v>
      </c>
      <c r="E6" s="77" t="s">
        <v>41</v>
      </c>
      <c r="F6" s="77" t="s">
        <v>42</v>
      </c>
      <c r="G6" s="77" t="s">
        <v>43</v>
      </c>
      <c r="H6" s="77" t="s">
        <v>44</v>
      </c>
      <c r="I6" s="77" t="s">
        <v>45</v>
      </c>
      <c r="J6" s="77" t="s">
        <v>46</v>
      </c>
    </row>
    <row r="7" spans="1:10" x14ac:dyDescent="0.6">
      <c r="A7" s="34" t="s">
        <v>104</v>
      </c>
      <c r="B7" s="57">
        <f>'Ann 4'!C31</f>
        <v>1257712.596153846</v>
      </c>
      <c r="C7" s="57">
        <f>'Ann 4'!D31</f>
        <v>2262469.3461538758</v>
      </c>
      <c r="D7" s="57">
        <f>'Ann 4'!E31</f>
        <v>2579636.894615375</v>
      </c>
      <c r="E7" s="57">
        <f>'Ann 4'!F31</f>
        <v>2881842.398776914</v>
      </c>
      <c r="F7" s="57">
        <f>'Ann 4'!G31</f>
        <v>3168098.927287457</v>
      </c>
      <c r="G7" s="57">
        <f>'Ann 4'!H31</f>
        <v>3985093.4841889143</v>
      </c>
      <c r="H7" s="57">
        <f>'Ann 4'!I31</f>
        <v>4268442.5354230721</v>
      </c>
      <c r="I7" s="57">
        <f>'Ann 4'!J31</f>
        <v>4516611.6528221369</v>
      </c>
      <c r="J7" s="57">
        <f>'Ann 4'!K31</f>
        <v>4653311.1776466966</v>
      </c>
    </row>
    <row r="8" spans="1:10" x14ac:dyDescent="0.6">
      <c r="A8" s="34" t="s">
        <v>105</v>
      </c>
      <c r="B8" s="57">
        <v>0</v>
      </c>
      <c r="C8" s="57">
        <v>0</v>
      </c>
      <c r="D8" s="57">
        <v>0</v>
      </c>
      <c r="E8" s="57">
        <v>0</v>
      </c>
      <c r="F8" s="57">
        <v>0</v>
      </c>
      <c r="G8" s="57">
        <v>0</v>
      </c>
      <c r="H8" s="57">
        <v>0</v>
      </c>
      <c r="I8" s="57">
        <v>0</v>
      </c>
      <c r="J8" s="57">
        <v>0</v>
      </c>
    </row>
    <row r="9" spans="1:10" x14ac:dyDescent="0.6">
      <c r="A9" s="34" t="s">
        <v>106</v>
      </c>
      <c r="B9" s="57">
        <f>B7+B8</f>
        <v>1257712.596153846</v>
      </c>
      <c r="C9" s="57">
        <f t="shared" ref="C9:J9" si="0">C7+C8</f>
        <v>2262469.3461538758</v>
      </c>
      <c r="D9" s="57">
        <f t="shared" si="0"/>
        <v>2579636.894615375</v>
      </c>
      <c r="E9" s="57">
        <f t="shared" si="0"/>
        <v>2881842.398776914</v>
      </c>
      <c r="F9" s="57">
        <f t="shared" si="0"/>
        <v>3168098.927287457</v>
      </c>
      <c r="G9" s="57">
        <f t="shared" si="0"/>
        <v>3985093.4841889143</v>
      </c>
      <c r="H9" s="57">
        <f t="shared" si="0"/>
        <v>4268442.5354230721</v>
      </c>
      <c r="I9" s="57">
        <f t="shared" si="0"/>
        <v>4516611.6528221369</v>
      </c>
      <c r="J9" s="57">
        <f t="shared" si="0"/>
        <v>4653311.1776466966</v>
      </c>
    </row>
    <row r="10" spans="1:10" x14ac:dyDescent="0.6">
      <c r="A10" s="34" t="s">
        <v>107</v>
      </c>
      <c r="B10" s="57">
        <f>SUM('Ann 9'!C12:E12)</f>
        <v>680250</v>
      </c>
      <c r="C10" s="57">
        <f>SUM('Ann 9'!C13:E13)</f>
        <v>585712.5</v>
      </c>
      <c r="D10" s="57">
        <f>SUM('Ann 9'!C14:E14)</f>
        <v>504605.625</v>
      </c>
      <c r="E10" s="57">
        <f>SUM('Ann 9'!C15:E15)</f>
        <v>434989.78125</v>
      </c>
      <c r="F10" s="57">
        <f>SUM('Ann 9'!C16:E16)</f>
        <v>375208.81406249997</v>
      </c>
      <c r="G10" s="57">
        <f>SUM('Ann 9'!C17:E17)</f>
        <v>323848.24195312505</v>
      </c>
      <c r="H10" s="57">
        <f>SUM('Ann 9'!C18:E18)</f>
        <v>279699.68066015624</v>
      </c>
      <c r="I10" s="57">
        <f>SUM('Ann 9'!C19:E19)</f>
        <v>241730.53606113285</v>
      </c>
      <c r="J10" s="57">
        <f>SUM('Ann 9'!C20:E20)</f>
        <v>209058.18240196287</v>
      </c>
    </row>
    <row r="11" spans="1:10" x14ac:dyDescent="0.6">
      <c r="A11" s="34" t="s">
        <v>106</v>
      </c>
      <c r="B11" s="57">
        <f>B9-B10</f>
        <v>577462.59615384601</v>
      </c>
      <c r="C11" s="57">
        <f t="shared" ref="C11:J11" si="1">C9-C10</f>
        <v>1676756.8461538758</v>
      </c>
      <c r="D11" s="57">
        <f t="shared" si="1"/>
        <v>2075031.269615375</v>
      </c>
      <c r="E11" s="57">
        <f t="shared" si="1"/>
        <v>2446852.617526914</v>
      </c>
      <c r="F11" s="57">
        <f t="shared" si="1"/>
        <v>2792890.1132249571</v>
      </c>
      <c r="G11" s="57">
        <f t="shared" si="1"/>
        <v>3661245.2422357891</v>
      </c>
      <c r="H11" s="57">
        <f t="shared" si="1"/>
        <v>3988742.854762916</v>
      </c>
      <c r="I11" s="57">
        <f t="shared" si="1"/>
        <v>4274881.1167610036</v>
      </c>
      <c r="J11" s="57">
        <f t="shared" si="1"/>
        <v>4444252.995244734</v>
      </c>
    </row>
    <row r="12" spans="1:10" x14ac:dyDescent="0.6">
      <c r="A12" s="34" t="s">
        <v>108</v>
      </c>
      <c r="B12" s="95">
        <v>0</v>
      </c>
      <c r="C12" s="95">
        <v>0</v>
      </c>
      <c r="D12" s="95">
        <v>0</v>
      </c>
      <c r="E12" s="95">
        <v>0</v>
      </c>
      <c r="F12" s="95">
        <v>0</v>
      </c>
      <c r="G12" s="95">
        <v>0</v>
      </c>
      <c r="H12" s="95">
        <v>0</v>
      </c>
      <c r="I12" s="95">
        <v>0</v>
      </c>
      <c r="J12" s="95">
        <v>0</v>
      </c>
    </row>
    <row r="13" spans="1:10" x14ac:dyDescent="0.6">
      <c r="A13" s="34" t="s">
        <v>109</v>
      </c>
      <c r="B13" s="84">
        <f>B11</f>
        <v>577462.59615384601</v>
      </c>
      <c r="C13" s="84">
        <f t="shared" ref="C13:J13" si="2">C11</f>
        <v>1676756.8461538758</v>
      </c>
      <c r="D13" s="84">
        <f t="shared" si="2"/>
        <v>2075031.269615375</v>
      </c>
      <c r="E13" s="84">
        <f t="shared" si="2"/>
        <v>2446852.617526914</v>
      </c>
      <c r="F13" s="84">
        <f t="shared" si="2"/>
        <v>2792890.1132249571</v>
      </c>
      <c r="G13" s="84">
        <f t="shared" si="2"/>
        <v>3661245.2422357891</v>
      </c>
      <c r="H13" s="84">
        <f t="shared" si="2"/>
        <v>3988742.854762916</v>
      </c>
      <c r="I13" s="84">
        <f t="shared" si="2"/>
        <v>4274881.1167610036</v>
      </c>
      <c r="J13" s="84">
        <f t="shared" si="2"/>
        <v>4444252.995244734</v>
      </c>
    </row>
    <row r="14" spans="1:10" x14ac:dyDescent="0.6">
      <c r="A14" s="34" t="s">
        <v>110</v>
      </c>
      <c r="B14" s="84">
        <f>B13*30%</f>
        <v>173238.77884615379</v>
      </c>
      <c r="C14" s="84">
        <f t="shared" ref="C14:J14" si="3">C13*30%</f>
        <v>503027.05384616274</v>
      </c>
      <c r="D14" s="84">
        <f t="shared" si="3"/>
        <v>622509.38088461244</v>
      </c>
      <c r="E14" s="84">
        <f t="shared" si="3"/>
        <v>734055.78525807417</v>
      </c>
      <c r="F14" s="84">
        <f t="shared" si="3"/>
        <v>837867.03396748716</v>
      </c>
      <c r="G14" s="84">
        <f t="shared" si="3"/>
        <v>1098373.5726707366</v>
      </c>
      <c r="H14" s="84">
        <f t="shared" si="3"/>
        <v>1196622.8564288747</v>
      </c>
      <c r="I14" s="84">
        <f t="shared" si="3"/>
        <v>1282464.335028301</v>
      </c>
      <c r="J14" s="84">
        <f t="shared" si="3"/>
        <v>1333275.8985734202</v>
      </c>
    </row>
  </sheetData>
  <mergeCells count="2">
    <mergeCell ref="B5:J5"/>
    <mergeCell ref="A5:A6"/>
  </mergeCells>
  <pageMargins left="0.7" right="0.7" top="0.75" bottom="0.75" header="0.3" footer="0.3"/>
  <pageSetup scale="85"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B239D-A793-4055-957C-367EF6B7112E}">
  <sheetPr>
    <pageSetUpPr fitToPage="1"/>
  </sheetPr>
  <dimension ref="A1:G34"/>
  <sheetViews>
    <sheetView topLeftCell="A23" workbookViewId="0">
      <selection activeCell="A35" sqref="A35"/>
    </sheetView>
  </sheetViews>
  <sheetFormatPr defaultRowHeight="17" x14ac:dyDescent="0.6"/>
  <cols>
    <col min="1" max="1" width="8.7265625" style="6"/>
    <col min="2" max="2" width="26.7265625" style="6" bestFit="1" customWidth="1"/>
    <col min="3" max="3" width="14.6328125" style="6" bestFit="1" customWidth="1"/>
    <col min="4" max="4" width="13.54296875" style="6" bestFit="1" customWidth="1"/>
    <col min="5" max="5" width="13.6328125" style="6" bestFit="1" customWidth="1"/>
    <col min="6" max="14" width="8.7265625" style="6"/>
    <col min="15" max="15" width="13.6328125" style="6" bestFit="1" customWidth="1"/>
    <col min="16" max="16" width="12.54296875" style="6" bestFit="1" customWidth="1"/>
    <col min="17" max="16384" width="8.7265625" style="6"/>
  </cols>
  <sheetData>
    <row r="1" spans="1:7" x14ac:dyDescent="0.6">
      <c r="A1" s="5" t="s">
        <v>68</v>
      </c>
    </row>
    <row r="3" spans="1:7" x14ac:dyDescent="0.6">
      <c r="A3" s="97" t="s">
        <v>291</v>
      </c>
      <c r="B3" s="96"/>
      <c r="C3" s="96"/>
      <c r="D3" s="96"/>
      <c r="E3" s="96"/>
    </row>
    <row r="5" spans="1:7" x14ac:dyDescent="0.6">
      <c r="B5" s="6" t="s">
        <v>49</v>
      </c>
      <c r="E5" s="98">
        <f>'Ann 4'!C23/70%</f>
        <v>258135428.5714286</v>
      </c>
    </row>
    <row r="6" spans="1:7" x14ac:dyDescent="0.6">
      <c r="B6" s="6" t="s">
        <v>69</v>
      </c>
    </row>
    <row r="7" spans="1:7" x14ac:dyDescent="0.6">
      <c r="B7" s="99" t="s">
        <v>70</v>
      </c>
      <c r="D7" s="55">
        <f>E5*15%</f>
        <v>38720314.285714291</v>
      </c>
    </row>
    <row r="8" spans="1:7" x14ac:dyDescent="0.6">
      <c r="B8" s="99" t="s">
        <v>71</v>
      </c>
      <c r="D8" s="55">
        <f>'Ann 2'!C7*100000*10%</f>
        <v>41000</v>
      </c>
      <c r="E8" s="55"/>
    </row>
    <row r="9" spans="1:7" x14ac:dyDescent="0.6">
      <c r="B9" s="99" t="s">
        <v>74</v>
      </c>
      <c r="D9" s="55">
        <f>'Ann 4'!K43</f>
        <v>1551328.2159785158</v>
      </c>
      <c r="E9" s="55">
        <f>SUM(D7:D9)</f>
        <v>40312642.501692809</v>
      </c>
      <c r="G9" s="54"/>
    </row>
    <row r="10" spans="1:7" x14ac:dyDescent="0.6">
      <c r="B10" s="6" t="s">
        <v>72</v>
      </c>
      <c r="E10" s="55">
        <f>E5-E9</f>
        <v>217822786.0697358</v>
      </c>
    </row>
    <row r="11" spans="1:7" x14ac:dyDescent="0.6">
      <c r="B11" s="6" t="s">
        <v>239</v>
      </c>
    </row>
    <row r="12" spans="1:7" x14ac:dyDescent="0.6">
      <c r="B12" s="6" t="s">
        <v>73</v>
      </c>
      <c r="E12" s="55">
        <f>'Ann 8'!E14</f>
        <v>2277600</v>
      </c>
    </row>
    <row r="13" spans="1:7" x14ac:dyDescent="0.6">
      <c r="B13" s="6" t="s">
        <v>75</v>
      </c>
      <c r="E13" s="55">
        <f>'Ann 9'!F12</f>
        <v>680250</v>
      </c>
    </row>
    <row r="14" spans="1:7" x14ac:dyDescent="0.6">
      <c r="B14" s="6" t="s">
        <v>268</v>
      </c>
      <c r="E14" s="55">
        <v>240000</v>
      </c>
    </row>
    <row r="15" spans="1:7" x14ac:dyDescent="0.6">
      <c r="B15" s="6" t="s">
        <v>237</v>
      </c>
      <c r="E15" s="55">
        <v>150000</v>
      </c>
    </row>
    <row r="16" spans="1:7" x14ac:dyDescent="0.6">
      <c r="B16" s="6" t="s">
        <v>284</v>
      </c>
      <c r="E16" s="55">
        <f>'Ann 4'!C9</f>
        <v>100700</v>
      </c>
    </row>
    <row r="17" spans="2:5" x14ac:dyDescent="0.6">
      <c r="B17" s="6" t="s">
        <v>190</v>
      </c>
      <c r="E17" s="55">
        <f>SUM('Ann 13'!E9:E12)*100000</f>
        <v>272187.40384615387</v>
      </c>
    </row>
    <row r="18" spans="2:5" x14ac:dyDescent="0.6">
      <c r="B18" s="6" t="s">
        <v>76</v>
      </c>
      <c r="E18" s="55">
        <f>SUM(E12:E17)</f>
        <v>3720737.403846154</v>
      </c>
    </row>
    <row r="20" spans="2:5" x14ac:dyDescent="0.6">
      <c r="B20" s="10" t="s">
        <v>3</v>
      </c>
      <c r="C20" s="10" t="s">
        <v>240</v>
      </c>
    </row>
    <row r="21" spans="2:5" x14ac:dyDescent="0.6">
      <c r="B21" s="34" t="s">
        <v>77</v>
      </c>
      <c r="C21" s="34">
        <f>Budgets!C16</f>
        <v>169</v>
      </c>
    </row>
    <row r="22" spans="2:5" x14ac:dyDescent="0.6">
      <c r="B22" s="34" t="s">
        <v>263</v>
      </c>
      <c r="C22" s="34"/>
    </row>
    <row r="23" spans="2:5" x14ac:dyDescent="0.6">
      <c r="B23" s="34" t="s">
        <v>281</v>
      </c>
      <c r="C23" s="34">
        <f>Budgets!D16*1.05*1000/600</f>
        <v>140</v>
      </c>
    </row>
    <row r="24" spans="2:5" x14ac:dyDescent="0.6">
      <c r="B24" s="34" t="s">
        <v>264</v>
      </c>
      <c r="C24" s="93">
        <f>('Ann 4'!C43/70%)/Budgets!B16</f>
        <v>0.83333333333333337</v>
      </c>
    </row>
    <row r="25" spans="2:5" x14ac:dyDescent="0.6">
      <c r="B25" s="34" t="s">
        <v>265</v>
      </c>
      <c r="C25" s="34">
        <f>C23*15%</f>
        <v>21</v>
      </c>
    </row>
    <row r="26" spans="2:5" x14ac:dyDescent="0.6">
      <c r="B26" s="34" t="s">
        <v>297</v>
      </c>
      <c r="C26" s="34">
        <v>2</v>
      </c>
    </row>
    <row r="27" spans="2:5" x14ac:dyDescent="0.6">
      <c r="B27" s="34" t="s">
        <v>298</v>
      </c>
      <c r="C27" s="34">
        <v>1</v>
      </c>
    </row>
    <row r="28" spans="2:5" x14ac:dyDescent="0.6">
      <c r="B28" s="34" t="s">
        <v>266</v>
      </c>
      <c r="C28" s="93">
        <f>D8/Budgets!B12</f>
        <v>2.2777777777777779E-2</v>
      </c>
    </row>
    <row r="29" spans="2:5" x14ac:dyDescent="0.6">
      <c r="B29" s="34" t="s">
        <v>267</v>
      </c>
      <c r="C29" s="34">
        <f>C21-SUM(C23:C28)</f>
        <v>4.1438888888888812</v>
      </c>
    </row>
    <row r="30" spans="2:5" x14ac:dyDescent="0.6">
      <c r="B30" s="34" t="s">
        <v>238</v>
      </c>
      <c r="C30" s="95">
        <f>E18/C29</f>
        <v>897885.41720379272</v>
      </c>
    </row>
    <row r="31" spans="2:5" x14ac:dyDescent="0.6">
      <c r="B31" s="34" t="s">
        <v>189</v>
      </c>
      <c r="C31" s="100">
        <f>C30/Budgets!B16</f>
        <v>0.49882523177988486</v>
      </c>
    </row>
    <row r="32" spans="2:5" x14ac:dyDescent="0.6">
      <c r="C32" s="29"/>
    </row>
    <row r="33" spans="1:5" ht="49" customHeight="1" x14ac:dyDescent="0.6">
      <c r="A33" s="145" t="s">
        <v>214</v>
      </c>
      <c r="B33" s="145"/>
      <c r="C33" s="145"/>
      <c r="D33" s="145"/>
      <c r="E33" s="145"/>
    </row>
    <row r="34" spans="1:5" ht="86.5" customHeight="1" x14ac:dyDescent="0.6">
      <c r="A34" s="145" t="s">
        <v>321</v>
      </c>
      <c r="B34" s="145"/>
      <c r="C34" s="145"/>
      <c r="D34" s="145"/>
      <c r="E34" s="145"/>
    </row>
  </sheetData>
  <mergeCells count="2">
    <mergeCell ref="A33:E33"/>
    <mergeCell ref="A34:E3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8098D-FBA0-4F7E-BF3C-624224F47C27}">
  <dimension ref="A1:K7"/>
  <sheetViews>
    <sheetView workbookViewId="0">
      <selection activeCell="A8" sqref="A8"/>
    </sheetView>
  </sheetViews>
  <sheetFormatPr defaultRowHeight="14.5" x14ac:dyDescent="0.35"/>
  <sheetData>
    <row r="1" spans="1:11" x14ac:dyDescent="0.35">
      <c r="A1" t="s">
        <v>78</v>
      </c>
    </row>
    <row r="3" spans="1:11" x14ac:dyDescent="0.35">
      <c r="C3" s="146" t="s">
        <v>79</v>
      </c>
      <c r="D3" s="146"/>
      <c r="E3" s="146"/>
      <c r="F3" s="146"/>
      <c r="G3" s="146"/>
      <c r="H3" s="146"/>
      <c r="I3" s="146"/>
      <c r="J3" s="146"/>
      <c r="K3" s="146"/>
    </row>
    <row r="4" spans="1:11" x14ac:dyDescent="0.35">
      <c r="C4">
        <v>1</v>
      </c>
      <c r="D4">
        <v>2</v>
      </c>
      <c r="E4">
        <v>3</v>
      </c>
      <c r="F4">
        <v>4</v>
      </c>
      <c r="G4">
        <v>5</v>
      </c>
      <c r="H4">
        <v>6</v>
      </c>
      <c r="I4">
        <v>7</v>
      </c>
      <c r="J4">
        <v>8</v>
      </c>
      <c r="K4">
        <v>9</v>
      </c>
    </row>
    <row r="5" spans="1:11" x14ac:dyDescent="0.35">
      <c r="A5" t="s">
        <v>80</v>
      </c>
      <c r="C5" t="e">
        <f>'Ann 4'!#REF!</f>
        <v>#REF!</v>
      </c>
      <c r="D5" t="e">
        <f>'Ann 4'!#REF!</f>
        <v>#REF!</v>
      </c>
      <c r="E5" t="e">
        <f>'Ann 4'!#REF!</f>
        <v>#REF!</v>
      </c>
      <c r="F5" t="e">
        <f>'Ann 4'!#REF!</f>
        <v>#REF!</v>
      </c>
      <c r="G5" t="e">
        <f>'Ann 4'!#REF!</f>
        <v>#REF!</v>
      </c>
      <c r="H5" t="e">
        <f>'Ann 4'!#REF!</f>
        <v>#REF!</v>
      </c>
      <c r="I5" t="e">
        <f>'Ann 4'!#REF!</f>
        <v>#REF!</v>
      </c>
      <c r="J5" t="e">
        <f>'Ann 4'!#REF!</f>
        <v>#REF!</v>
      </c>
      <c r="K5" t="e">
        <f>'Ann 4'!#REF!</f>
        <v>#REF!</v>
      </c>
    </row>
    <row r="6" spans="1:11" x14ac:dyDescent="0.35">
      <c r="A6" t="s">
        <v>81</v>
      </c>
      <c r="C6" t="e">
        <f>'Ann 4'!#REF!</f>
        <v>#REF!</v>
      </c>
      <c r="D6" t="e">
        <f>'Ann 4'!#REF!</f>
        <v>#REF!</v>
      </c>
      <c r="E6" t="e">
        <f>'Ann 4'!#REF!</f>
        <v>#REF!</v>
      </c>
      <c r="F6" t="e">
        <f>'Ann 4'!#REF!</f>
        <v>#REF!</v>
      </c>
      <c r="G6" t="e">
        <f>'Ann 4'!#REF!</f>
        <v>#REF!</v>
      </c>
      <c r="H6" t="e">
        <f>'Ann 4'!#REF!</f>
        <v>#REF!</v>
      </c>
      <c r="I6" t="e">
        <f>'Ann 4'!#REF!</f>
        <v>#REF!</v>
      </c>
      <c r="J6" t="e">
        <f>'Ann 4'!#REF!</f>
        <v>#REF!</v>
      </c>
      <c r="K6" t="e">
        <f>'Ann 4'!#REF!</f>
        <v>#REF!</v>
      </c>
    </row>
    <row r="7" spans="1:11" x14ac:dyDescent="0.35">
      <c r="A7" t="s">
        <v>82</v>
      </c>
    </row>
  </sheetData>
  <mergeCells count="1">
    <mergeCell ref="C3:K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5F0C2-594D-4936-9810-7D289B91BEE1}">
  <dimension ref="A1:G36"/>
  <sheetViews>
    <sheetView workbookViewId="0">
      <selection activeCell="D4" sqref="D4"/>
    </sheetView>
  </sheetViews>
  <sheetFormatPr defaultRowHeight="17" x14ac:dyDescent="0.6"/>
  <cols>
    <col min="1" max="1" width="4.54296875" style="6" bestFit="1" customWidth="1"/>
    <col min="2" max="2" width="7.36328125" style="6" bestFit="1" customWidth="1"/>
    <col min="3" max="3" width="17.81640625" style="6" bestFit="1" customWidth="1"/>
    <col min="4" max="4" width="17.36328125" style="6" bestFit="1" customWidth="1"/>
    <col min="5" max="5" width="7.26953125" style="6" bestFit="1" customWidth="1"/>
    <col min="6" max="16384" width="8.7265625" style="6"/>
  </cols>
  <sheetData>
    <row r="1" spans="1:7" x14ac:dyDescent="0.6">
      <c r="A1" s="5" t="s">
        <v>88</v>
      </c>
    </row>
    <row r="3" spans="1:7" x14ac:dyDescent="0.6">
      <c r="A3" s="83" t="s">
        <v>89</v>
      </c>
    </row>
    <row r="4" spans="1:7" x14ac:dyDescent="0.6">
      <c r="A4" s="6" t="s">
        <v>90</v>
      </c>
      <c r="D4" s="134">
        <f>'Ann 2'!C6</f>
        <v>45.805</v>
      </c>
    </row>
    <row r="5" spans="1:7" x14ac:dyDescent="0.6">
      <c r="A5" s="6" t="s">
        <v>91</v>
      </c>
      <c r="D5" s="122">
        <v>0.06</v>
      </c>
    </row>
    <row r="6" spans="1:7" x14ac:dyDescent="0.6">
      <c r="A6" s="6" t="s">
        <v>92</v>
      </c>
      <c r="D6" s="123" t="s">
        <v>148</v>
      </c>
    </row>
    <row r="8" spans="1:7" x14ac:dyDescent="0.6">
      <c r="A8" s="10" t="s">
        <v>67</v>
      </c>
      <c r="B8" s="10" t="s">
        <v>93</v>
      </c>
      <c r="C8" s="10" t="s">
        <v>94</v>
      </c>
      <c r="D8" s="10" t="s">
        <v>96</v>
      </c>
      <c r="E8" s="10" t="s">
        <v>95</v>
      </c>
    </row>
    <row r="9" spans="1:7" x14ac:dyDescent="0.6">
      <c r="A9" s="147">
        <v>1</v>
      </c>
      <c r="B9" s="34">
        <v>1</v>
      </c>
      <c r="C9" s="89">
        <f>$D$4</f>
        <v>45.805</v>
      </c>
      <c r="D9" s="34">
        <v>0</v>
      </c>
      <c r="E9" s="34">
        <f>C9*$D$5/4</f>
        <v>0.68707499999999999</v>
      </c>
    </row>
    <row r="10" spans="1:7" x14ac:dyDescent="0.6">
      <c r="A10" s="147"/>
      <c r="B10" s="34">
        <v>2</v>
      </c>
      <c r="C10" s="89">
        <f>$D$4</f>
        <v>45.805</v>
      </c>
      <c r="D10" s="34">
        <v>0</v>
      </c>
      <c r="E10" s="34">
        <f t="shared" ref="E10:E36" si="0">C10*$D$5/4</f>
        <v>0.68707499999999999</v>
      </c>
      <c r="G10" s="124"/>
    </row>
    <row r="11" spans="1:7" x14ac:dyDescent="0.6">
      <c r="A11" s="147"/>
      <c r="B11" s="34">
        <v>3</v>
      </c>
      <c r="C11" s="89">
        <f>$D$4</f>
        <v>45.805</v>
      </c>
      <c r="D11" s="34">
        <f>D4/26</f>
        <v>1.7617307692307693</v>
      </c>
      <c r="E11" s="34">
        <f t="shared" si="0"/>
        <v>0.68707499999999999</v>
      </c>
    </row>
    <row r="12" spans="1:7" x14ac:dyDescent="0.6">
      <c r="A12" s="147"/>
      <c r="B12" s="34">
        <v>4</v>
      </c>
      <c r="C12" s="34">
        <f t="shared" ref="C12:C17" si="1">C11-D11</f>
        <v>44.043269230769234</v>
      </c>
      <c r="D12" s="34">
        <f>D11</f>
        <v>1.7617307692307693</v>
      </c>
      <c r="E12" s="34">
        <f t="shared" si="0"/>
        <v>0.66064903846153844</v>
      </c>
    </row>
    <row r="13" spans="1:7" x14ac:dyDescent="0.6">
      <c r="A13" s="147">
        <v>2</v>
      </c>
      <c r="B13" s="34">
        <v>1</v>
      </c>
      <c r="C13" s="34">
        <f t="shared" si="1"/>
        <v>42.281538461538467</v>
      </c>
      <c r="D13" s="34">
        <f t="shared" ref="D13:D35" si="2">D12</f>
        <v>1.7617307692307693</v>
      </c>
      <c r="E13" s="34">
        <f t="shared" si="0"/>
        <v>0.634223076923077</v>
      </c>
    </row>
    <row r="14" spans="1:7" x14ac:dyDescent="0.6">
      <c r="A14" s="147"/>
      <c r="B14" s="34">
        <v>2</v>
      </c>
      <c r="C14" s="34">
        <f t="shared" si="1"/>
        <v>40.519807692307701</v>
      </c>
      <c r="D14" s="34">
        <f t="shared" si="2"/>
        <v>1.7617307692307693</v>
      </c>
      <c r="E14" s="34">
        <f t="shared" si="0"/>
        <v>0.60779711538461545</v>
      </c>
    </row>
    <row r="15" spans="1:7" x14ac:dyDescent="0.6">
      <c r="A15" s="147"/>
      <c r="B15" s="34">
        <v>3</v>
      </c>
      <c r="C15" s="34">
        <f t="shared" si="1"/>
        <v>38.758076923076935</v>
      </c>
      <c r="D15" s="34">
        <f t="shared" si="2"/>
        <v>1.7617307692307693</v>
      </c>
      <c r="E15" s="34">
        <f t="shared" si="0"/>
        <v>0.58137115384615401</v>
      </c>
    </row>
    <row r="16" spans="1:7" x14ac:dyDescent="0.6">
      <c r="A16" s="147"/>
      <c r="B16" s="34">
        <v>4</v>
      </c>
      <c r="C16" s="34">
        <f t="shared" si="1"/>
        <v>36.996346153846169</v>
      </c>
      <c r="D16" s="34">
        <f t="shared" si="2"/>
        <v>1.7617307692307693</v>
      </c>
      <c r="E16" s="34">
        <f t="shared" si="0"/>
        <v>0.55494519230769246</v>
      </c>
    </row>
    <row r="17" spans="1:5" x14ac:dyDescent="0.6">
      <c r="A17" s="147">
        <v>3</v>
      </c>
      <c r="B17" s="34">
        <v>1</v>
      </c>
      <c r="C17" s="34">
        <f t="shared" si="1"/>
        <v>35.234615384615402</v>
      </c>
      <c r="D17" s="34">
        <f t="shared" si="2"/>
        <v>1.7617307692307693</v>
      </c>
      <c r="E17" s="34">
        <f t="shared" si="0"/>
        <v>0.52851923076923102</v>
      </c>
    </row>
    <row r="18" spans="1:5" x14ac:dyDescent="0.6">
      <c r="A18" s="147"/>
      <c r="B18" s="34">
        <v>2</v>
      </c>
      <c r="C18" s="34">
        <f t="shared" ref="C18:C36" si="3">C17-D17</f>
        <v>33.472884615384636</v>
      </c>
      <c r="D18" s="34">
        <f t="shared" si="2"/>
        <v>1.7617307692307693</v>
      </c>
      <c r="E18" s="34">
        <f t="shared" si="0"/>
        <v>0.50209326923076958</v>
      </c>
    </row>
    <row r="19" spans="1:5" x14ac:dyDescent="0.6">
      <c r="A19" s="147"/>
      <c r="B19" s="34">
        <v>3</v>
      </c>
      <c r="C19" s="34">
        <f t="shared" si="3"/>
        <v>31.711153846153866</v>
      </c>
      <c r="D19" s="34">
        <f t="shared" si="2"/>
        <v>1.7617307692307693</v>
      </c>
      <c r="E19" s="34">
        <f t="shared" si="0"/>
        <v>0.47566730769230797</v>
      </c>
    </row>
    <row r="20" spans="1:5" x14ac:dyDescent="0.6">
      <c r="A20" s="147"/>
      <c r="B20" s="34">
        <v>4</v>
      </c>
      <c r="C20" s="34">
        <f t="shared" si="3"/>
        <v>29.949423076923097</v>
      </c>
      <c r="D20" s="34">
        <f t="shared" si="2"/>
        <v>1.7617307692307693</v>
      </c>
      <c r="E20" s="34">
        <f t="shared" si="0"/>
        <v>0.44924134615384642</v>
      </c>
    </row>
    <row r="21" spans="1:5" x14ac:dyDescent="0.6">
      <c r="A21" s="147">
        <v>4</v>
      </c>
      <c r="B21" s="34">
        <v>1</v>
      </c>
      <c r="C21" s="34">
        <f t="shared" si="3"/>
        <v>28.187692307692327</v>
      </c>
      <c r="D21" s="34">
        <f t="shared" si="2"/>
        <v>1.7617307692307693</v>
      </c>
      <c r="E21" s="34">
        <f t="shared" si="0"/>
        <v>0.42281538461538487</v>
      </c>
    </row>
    <row r="22" spans="1:5" x14ac:dyDescent="0.6">
      <c r="A22" s="147"/>
      <c r="B22" s="34">
        <v>2</v>
      </c>
      <c r="C22" s="34">
        <f t="shared" si="3"/>
        <v>26.425961538461557</v>
      </c>
      <c r="D22" s="34">
        <f t="shared" si="2"/>
        <v>1.7617307692307693</v>
      </c>
      <c r="E22" s="34">
        <f t="shared" si="0"/>
        <v>0.39638942307692332</v>
      </c>
    </row>
    <row r="23" spans="1:5" x14ac:dyDescent="0.6">
      <c r="A23" s="147"/>
      <c r="B23" s="34">
        <v>3</v>
      </c>
      <c r="C23" s="34">
        <f t="shared" si="3"/>
        <v>24.664230769230787</v>
      </c>
      <c r="D23" s="34">
        <f t="shared" si="2"/>
        <v>1.7617307692307693</v>
      </c>
      <c r="E23" s="34">
        <f t="shared" si="0"/>
        <v>0.36996346153846182</v>
      </c>
    </row>
    <row r="24" spans="1:5" x14ac:dyDescent="0.6">
      <c r="A24" s="147"/>
      <c r="B24" s="34">
        <v>4</v>
      </c>
      <c r="C24" s="34">
        <f t="shared" si="3"/>
        <v>22.902500000000018</v>
      </c>
      <c r="D24" s="34">
        <f t="shared" si="2"/>
        <v>1.7617307692307693</v>
      </c>
      <c r="E24" s="34">
        <f t="shared" si="0"/>
        <v>0.34353750000000027</v>
      </c>
    </row>
    <row r="25" spans="1:5" x14ac:dyDescent="0.6">
      <c r="A25" s="147">
        <v>5</v>
      </c>
      <c r="B25" s="34">
        <v>1</v>
      </c>
      <c r="C25" s="34">
        <f t="shared" si="3"/>
        <v>21.140769230769248</v>
      </c>
      <c r="D25" s="34">
        <f t="shared" si="2"/>
        <v>1.7617307692307693</v>
      </c>
      <c r="E25" s="34">
        <f t="shared" si="0"/>
        <v>0.31711153846153872</v>
      </c>
    </row>
    <row r="26" spans="1:5" x14ac:dyDescent="0.6">
      <c r="A26" s="147"/>
      <c r="B26" s="34">
        <v>2</v>
      </c>
      <c r="C26" s="34">
        <f t="shared" si="3"/>
        <v>19.379038461538478</v>
      </c>
      <c r="D26" s="34">
        <f t="shared" si="2"/>
        <v>1.7617307692307693</v>
      </c>
      <c r="E26" s="34">
        <f t="shared" si="0"/>
        <v>0.29068557692307717</v>
      </c>
    </row>
    <row r="27" spans="1:5" x14ac:dyDescent="0.6">
      <c r="A27" s="147"/>
      <c r="B27" s="34">
        <v>3</v>
      </c>
      <c r="C27" s="34">
        <f t="shared" si="3"/>
        <v>17.617307692307708</v>
      </c>
      <c r="D27" s="34">
        <f t="shared" si="2"/>
        <v>1.7617307692307693</v>
      </c>
      <c r="E27" s="34">
        <f t="shared" si="0"/>
        <v>0.26425961538461562</v>
      </c>
    </row>
    <row r="28" spans="1:5" x14ac:dyDescent="0.6">
      <c r="A28" s="147"/>
      <c r="B28" s="34">
        <v>4</v>
      </c>
      <c r="C28" s="34">
        <f t="shared" si="3"/>
        <v>15.855576923076939</v>
      </c>
      <c r="D28" s="34">
        <f t="shared" si="2"/>
        <v>1.7617307692307693</v>
      </c>
      <c r="E28" s="34">
        <f t="shared" si="0"/>
        <v>0.23783365384615407</v>
      </c>
    </row>
    <row r="29" spans="1:5" x14ac:dyDescent="0.6">
      <c r="A29" s="147">
        <v>6</v>
      </c>
      <c r="B29" s="34">
        <v>1</v>
      </c>
      <c r="C29" s="34">
        <f t="shared" si="3"/>
        <v>14.093846153846169</v>
      </c>
      <c r="D29" s="34">
        <f t="shared" si="2"/>
        <v>1.7617307692307693</v>
      </c>
      <c r="E29" s="34">
        <f t="shared" si="0"/>
        <v>0.21140769230769252</v>
      </c>
    </row>
    <row r="30" spans="1:5" x14ac:dyDescent="0.6">
      <c r="A30" s="147"/>
      <c r="B30" s="34">
        <v>2</v>
      </c>
      <c r="C30" s="34">
        <f t="shared" si="3"/>
        <v>12.332115384615399</v>
      </c>
      <c r="D30" s="34">
        <f t="shared" si="2"/>
        <v>1.7617307692307693</v>
      </c>
      <c r="E30" s="34">
        <f t="shared" si="0"/>
        <v>0.18498173076923097</v>
      </c>
    </row>
    <row r="31" spans="1:5" x14ac:dyDescent="0.6">
      <c r="A31" s="147"/>
      <c r="B31" s="34">
        <v>3</v>
      </c>
      <c r="C31" s="34">
        <f t="shared" si="3"/>
        <v>10.570384615384629</v>
      </c>
      <c r="D31" s="34">
        <f t="shared" si="2"/>
        <v>1.7617307692307693</v>
      </c>
      <c r="E31" s="34">
        <f t="shared" si="0"/>
        <v>0.15855576923076944</v>
      </c>
    </row>
    <row r="32" spans="1:5" x14ac:dyDescent="0.6">
      <c r="A32" s="147"/>
      <c r="B32" s="34">
        <v>4</v>
      </c>
      <c r="C32" s="34">
        <f t="shared" si="3"/>
        <v>8.8086538461538595</v>
      </c>
      <c r="D32" s="34">
        <f t="shared" si="2"/>
        <v>1.7617307692307693</v>
      </c>
      <c r="E32" s="34">
        <f t="shared" si="0"/>
        <v>0.13212980769230789</v>
      </c>
    </row>
    <row r="33" spans="1:5" x14ac:dyDescent="0.6">
      <c r="A33" s="147">
        <v>7</v>
      </c>
      <c r="B33" s="34">
        <v>1</v>
      </c>
      <c r="C33" s="34">
        <f t="shared" si="3"/>
        <v>7.0469230769230897</v>
      </c>
      <c r="D33" s="34">
        <f t="shared" si="2"/>
        <v>1.7617307692307693</v>
      </c>
      <c r="E33" s="34">
        <f t="shared" si="0"/>
        <v>0.10570384615384634</v>
      </c>
    </row>
    <row r="34" spans="1:5" x14ac:dyDescent="0.6">
      <c r="A34" s="147"/>
      <c r="B34" s="34">
        <v>2</v>
      </c>
      <c r="C34" s="34">
        <f t="shared" si="3"/>
        <v>5.28519230769232</v>
      </c>
      <c r="D34" s="34">
        <f t="shared" si="2"/>
        <v>1.7617307692307693</v>
      </c>
      <c r="E34" s="34">
        <f t="shared" si="0"/>
        <v>7.9277884615384792E-2</v>
      </c>
    </row>
    <row r="35" spans="1:5" x14ac:dyDescent="0.6">
      <c r="A35" s="147"/>
      <c r="B35" s="34">
        <v>3</v>
      </c>
      <c r="C35" s="34">
        <f t="shared" si="3"/>
        <v>3.5234615384615506</v>
      </c>
      <c r="D35" s="34">
        <f t="shared" si="2"/>
        <v>1.7617307692307693</v>
      </c>
      <c r="E35" s="34">
        <f t="shared" si="0"/>
        <v>5.2851923076923255E-2</v>
      </c>
    </row>
    <row r="36" spans="1:5" x14ac:dyDescent="0.6">
      <c r="A36" s="147"/>
      <c r="B36" s="34">
        <v>4</v>
      </c>
      <c r="C36" s="34">
        <f t="shared" si="3"/>
        <v>1.7617307692307813</v>
      </c>
      <c r="D36" s="125">
        <f>D4-SUM(D9:D35)</f>
        <v>1.7617307692307804</v>
      </c>
      <c r="E36" s="34">
        <f t="shared" si="0"/>
        <v>2.6425961538461717E-2</v>
      </c>
    </row>
  </sheetData>
  <mergeCells count="7">
    <mergeCell ref="A33:A36"/>
    <mergeCell ref="A9:A12"/>
    <mergeCell ref="A13:A16"/>
    <mergeCell ref="A17:A20"/>
    <mergeCell ref="A21:A24"/>
    <mergeCell ref="A25:A28"/>
    <mergeCell ref="A29:A32"/>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D1C3B-78D2-43F9-ABE8-F6A84BAA4AE1}">
  <sheetPr>
    <pageSetUpPr fitToPage="1"/>
  </sheetPr>
  <dimension ref="A1:L32"/>
  <sheetViews>
    <sheetView workbookViewId="0">
      <selection activeCell="B21" sqref="B21"/>
    </sheetView>
  </sheetViews>
  <sheetFormatPr defaultRowHeight="17" x14ac:dyDescent="0.6"/>
  <cols>
    <col min="1" max="1" width="41.1796875" style="6" bestFit="1" customWidth="1"/>
    <col min="2" max="2" width="14.7265625" style="6" customWidth="1"/>
    <col min="3" max="11" width="14.7265625" style="6" bestFit="1" customWidth="1"/>
    <col min="12" max="12" width="13.6328125" style="6" bestFit="1" customWidth="1"/>
    <col min="13" max="16384" width="8.7265625" style="6"/>
  </cols>
  <sheetData>
    <row r="1" spans="1:11" x14ac:dyDescent="0.6">
      <c r="A1" s="5" t="s">
        <v>288</v>
      </c>
      <c r="B1" s="5"/>
    </row>
    <row r="2" spans="1:11" x14ac:dyDescent="0.6">
      <c r="A2" s="5"/>
      <c r="B2" s="5"/>
    </row>
    <row r="3" spans="1:11" x14ac:dyDescent="0.6">
      <c r="A3" s="77" t="s">
        <v>3</v>
      </c>
      <c r="B3" s="77">
        <v>0</v>
      </c>
      <c r="C3" s="77" t="s">
        <v>38</v>
      </c>
      <c r="D3" s="77" t="s">
        <v>39</v>
      </c>
      <c r="E3" s="77" t="s">
        <v>40</v>
      </c>
      <c r="F3" s="77" t="s">
        <v>41</v>
      </c>
      <c r="G3" s="77" t="s">
        <v>42</v>
      </c>
      <c r="H3" s="77" t="s">
        <v>43</v>
      </c>
      <c r="I3" s="77" t="s">
        <v>44</v>
      </c>
      <c r="J3" s="77" t="s">
        <v>45</v>
      </c>
      <c r="K3" s="77" t="s">
        <v>46</v>
      </c>
    </row>
    <row r="4" spans="1:11" x14ac:dyDescent="0.6">
      <c r="A4" s="34" t="s">
        <v>152</v>
      </c>
      <c r="B4" s="57">
        <f>'Ann 2'!C7*100000</f>
        <v>409999.99999999994</v>
      </c>
      <c r="C4" s="57">
        <f>B21</f>
        <v>410000</v>
      </c>
      <c r="D4" s="57">
        <f>C21</f>
        <v>15141788.609615384</v>
      </c>
      <c r="E4" s="57">
        <f t="shared" ref="E4:K4" si="0">D21</f>
        <v>16398520.760384623</v>
      </c>
      <c r="F4" s="57">
        <f t="shared" si="0"/>
        <v>15878900.455438491</v>
      </c>
      <c r="G4" s="57">
        <f t="shared" si="0"/>
        <v>15193219.295449927</v>
      </c>
      <c r="H4" s="57">
        <f t="shared" si="0"/>
        <v>14347702.417671626</v>
      </c>
      <c r="I4" s="57">
        <f t="shared" si="0"/>
        <v>17335186.68584545</v>
      </c>
      <c r="J4" s="57">
        <f t="shared" si="0"/>
        <v>21543656.058480095</v>
      </c>
      <c r="K4" s="57">
        <f t="shared" si="0"/>
        <v>26607407.950887758</v>
      </c>
    </row>
    <row r="5" spans="1:11" x14ac:dyDescent="0.6">
      <c r="A5" s="34" t="s">
        <v>191</v>
      </c>
      <c r="B5" s="57">
        <f>'Ann 2'!C4*100000</f>
        <v>554500.00000000012</v>
      </c>
      <c r="C5" s="57">
        <v>0</v>
      </c>
      <c r="D5" s="57">
        <v>0</v>
      </c>
      <c r="E5" s="57">
        <v>0</v>
      </c>
      <c r="F5" s="57">
        <v>0</v>
      </c>
      <c r="G5" s="57">
        <v>0</v>
      </c>
      <c r="H5" s="57">
        <v>0</v>
      </c>
      <c r="I5" s="57">
        <v>0</v>
      </c>
      <c r="J5" s="57">
        <v>0</v>
      </c>
      <c r="K5" s="57">
        <v>0</v>
      </c>
    </row>
    <row r="6" spans="1:11" x14ac:dyDescent="0.6">
      <c r="A6" s="34" t="s">
        <v>192</v>
      </c>
      <c r="B6" s="57">
        <f>'Ann 2'!C6*100000</f>
        <v>4580500</v>
      </c>
      <c r="C6" s="57">
        <v>0</v>
      </c>
      <c r="D6" s="57">
        <v>0</v>
      </c>
      <c r="E6" s="57">
        <v>0</v>
      </c>
      <c r="F6" s="57">
        <v>0</v>
      </c>
      <c r="G6" s="57">
        <v>0</v>
      </c>
      <c r="H6" s="57">
        <v>0</v>
      </c>
      <c r="I6" s="57">
        <v>0</v>
      </c>
      <c r="J6" s="57">
        <v>0</v>
      </c>
      <c r="K6" s="57">
        <v>0</v>
      </c>
    </row>
    <row r="7" spans="1:11" x14ac:dyDescent="0.6">
      <c r="A7" s="34" t="s">
        <v>193</v>
      </c>
      <c r="B7" s="57">
        <f>'Ann 9'!F9*100000</f>
        <v>5035000</v>
      </c>
      <c r="C7" s="57">
        <v>0</v>
      </c>
      <c r="D7" s="57">
        <v>0</v>
      </c>
      <c r="E7" s="57">
        <v>0</v>
      </c>
      <c r="F7" s="57">
        <v>0</v>
      </c>
      <c r="G7" s="57">
        <v>0</v>
      </c>
      <c r="H7" s="57">
        <v>0</v>
      </c>
      <c r="I7" s="57">
        <v>0</v>
      </c>
      <c r="J7" s="57">
        <v>0</v>
      </c>
      <c r="K7" s="57">
        <v>0</v>
      </c>
    </row>
    <row r="8" spans="1:11" x14ac:dyDescent="0.6">
      <c r="A8" s="34" t="s">
        <v>257</v>
      </c>
      <c r="B8" s="57">
        <f>'Ann 1'!C8*100000</f>
        <v>0</v>
      </c>
      <c r="C8" s="57"/>
      <c r="D8" s="57"/>
      <c r="E8" s="57"/>
      <c r="F8" s="57"/>
      <c r="G8" s="57"/>
      <c r="H8" s="57"/>
      <c r="I8" s="57"/>
      <c r="J8" s="57"/>
      <c r="K8" s="57"/>
    </row>
    <row r="9" spans="1:11" x14ac:dyDescent="0.6">
      <c r="A9" s="34" t="s">
        <v>153</v>
      </c>
      <c r="B9" s="57"/>
      <c r="C9" s="57">
        <f>'Ann 4'!C23-'Ann 5'!C12</f>
        <v>144555840</v>
      </c>
      <c r="D9" s="57">
        <f>'Ann 4'!D23-'Ann 5'!D12</f>
        <v>172262376.00000003</v>
      </c>
      <c r="E9" s="57">
        <f>'Ann 4'!E23-'Ann 5'!E12</f>
        <v>185513328.00000003</v>
      </c>
      <c r="F9" s="57">
        <f>'Ann 4'!F23-'Ann 5'!F12</f>
        <v>198764280.00000003</v>
      </c>
      <c r="G9" s="57">
        <f>'Ann 4'!G23-'Ann 5'!G12</f>
        <v>212015232.00000003</v>
      </c>
      <c r="H9" s="57">
        <f>'Ann 4'!H23-'Ann 5'!H12</f>
        <v>229817016</v>
      </c>
      <c r="I9" s="57">
        <f>'Ann 4'!I23-'Ann 5'!I12</f>
        <v>243335664</v>
      </c>
      <c r="J9" s="57">
        <f>'Ann 4'!J23-'Ann 5'!J12</f>
        <v>256854312</v>
      </c>
      <c r="K9" s="57">
        <f>'Ann 4'!K23-'Ann 5'!K12</f>
        <v>269837568</v>
      </c>
    </row>
    <row r="10" spans="1:11" x14ac:dyDescent="0.6">
      <c r="A10" s="34" t="s">
        <v>168</v>
      </c>
      <c r="B10" s="57">
        <v>0</v>
      </c>
      <c r="C10" s="57">
        <v>0</v>
      </c>
      <c r="D10" s="57">
        <f>'Ann 5'!C24</f>
        <v>52164000</v>
      </c>
      <c r="E10" s="57">
        <f>'Ann 5'!D24</f>
        <v>62162100</v>
      </c>
      <c r="F10" s="57">
        <f>'Ann 5'!E24</f>
        <v>66943800.000000015</v>
      </c>
      <c r="G10" s="57">
        <f>'Ann 5'!F24</f>
        <v>71725500.000000015</v>
      </c>
      <c r="H10" s="57">
        <f>'Ann 5'!G24</f>
        <v>76507200.000000015</v>
      </c>
      <c r="I10" s="57">
        <f>'Ann 5'!H24</f>
        <v>81288900</v>
      </c>
      <c r="J10" s="57">
        <f>'Ann 5'!I24</f>
        <v>86070600</v>
      </c>
      <c r="K10" s="57">
        <f>'Ann 5'!J24</f>
        <v>90852300</v>
      </c>
    </row>
    <row r="11" spans="1:11" x14ac:dyDescent="0.6">
      <c r="A11" s="34" t="s">
        <v>169</v>
      </c>
      <c r="B11" s="57">
        <v>0</v>
      </c>
      <c r="C11" s="57">
        <v>0</v>
      </c>
      <c r="D11" s="57">
        <f>'Ann 5'!C12</f>
        <v>36138960</v>
      </c>
      <c r="E11" s="57">
        <f>'Ann 5'!D12</f>
        <v>43065594.000000007</v>
      </c>
      <c r="F11" s="57">
        <f>'Ann 5'!E12</f>
        <v>46378332.000000007</v>
      </c>
      <c r="G11" s="57">
        <f>'Ann 5'!F12</f>
        <v>49691070.000000007</v>
      </c>
      <c r="H11" s="57">
        <f>'Ann 5'!G12</f>
        <v>53003808.000000007</v>
      </c>
      <c r="I11" s="57">
        <f>'Ann 5'!H12</f>
        <v>57454254</v>
      </c>
      <c r="J11" s="57">
        <f>'Ann 5'!I12</f>
        <v>60833916</v>
      </c>
      <c r="K11" s="57">
        <f>'Ann 5'!J12</f>
        <v>64213578</v>
      </c>
    </row>
    <row r="12" spans="1:11" x14ac:dyDescent="0.6">
      <c r="A12" s="34" t="s">
        <v>170</v>
      </c>
      <c r="B12" s="57">
        <v>0</v>
      </c>
      <c r="C12" s="57">
        <f>'Ann 4'!C11+'Ann 4'!C20-'Ann 5'!C24</f>
        <v>128741900</v>
      </c>
      <c r="D12" s="57">
        <f>'Ann 4'!D11+'Ann 4'!D20-'Ann 5'!D24</f>
        <v>152555067</v>
      </c>
      <c r="E12" s="57">
        <f>'Ann 4'!E11+'Ann 4'!E20-'Ann 5'!E24</f>
        <v>164210670.99000001</v>
      </c>
      <c r="F12" s="57">
        <f>'Ann 4'!F11+'Ann 4'!F20-'Ann 5'!F24</f>
        <v>175881237.02430004</v>
      </c>
      <c r="G12" s="57">
        <f>'Ann 4'!G11+'Ann 4'!G20-'Ann 5'!G24</f>
        <v>187567752.03425103</v>
      </c>
      <c r="H12" s="57">
        <f>'Ann 4'!H11+'Ann 4'!H20-'Ann 5'!H24</f>
        <v>199363069.01581109</v>
      </c>
      <c r="I12" s="57">
        <f>'Ann 4'!I11+'Ann 4'!I20-'Ann 5'!I24</f>
        <v>211090111.50303847</v>
      </c>
      <c r="J12" s="57">
        <f>'Ann 4'!J11+'Ann 4'!J20-'Ann 5'!J24</f>
        <v>222836478.34717786</v>
      </c>
      <c r="K12" s="57">
        <f>'Ann 4'!K11+'Ann 4'!K20-'Ann 5'!K24</f>
        <v>234592648.8223533</v>
      </c>
    </row>
    <row r="13" spans="1:11" x14ac:dyDescent="0.6">
      <c r="A13" s="34" t="s">
        <v>236</v>
      </c>
      <c r="B13" s="57">
        <f>'Ann 4'!C32</f>
        <v>100000</v>
      </c>
      <c r="C13" s="57">
        <v>0</v>
      </c>
      <c r="D13" s="57">
        <v>0</v>
      </c>
      <c r="E13" s="57">
        <v>0</v>
      </c>
      <c r="F13" s="57">
        <v>0</v>
      </c>
      <c r="G13" s="57">
        <v>0</v>
      </c>
      <c r="H13" s="57">
        <v>0</v>
      </c>
      <c r="I13" s="57">
        <v>0</v>
      </c>
      <c r="J13" s="57">
        <v>0</v>
      </c>
      <c r="K13" s="57">
        <v>0</v>
      </c>
    </row>
    <row r="14" spans="1:11" x14ac:dyDescent="0.6">
      <c r="A14" s="34" t="s">
        <v>154</v>
      </c>
      <c r="B14" s="57">
        <v>0</v>
      </c>
      <c r="C14" s="57">
        <f>'Ann 4'!C29</f>
        <v>313187.40384615387</v>
      </c>
      <c r="D14" s="57">
        <f>'Ann 4'!D29</f>
        <v>278833.65384615387</v>
      </c>
      <c r="E14" s="57">
        <f>'Ann 4'!E29</f>
        <v>236552.11538461549</v>
      </c>
      <c r="F14" s="57">
        <f>'Ann 4'!F29</f>
        <v>194270.57692307705</v>
      </c>
      <c r="G14" s="57">
        <f>'Ann 4'!G29</f>
        <v>151989.03846153856</v>
      </c>
      <c r="H14" s="57">
        <f>'Ann 4'!H29</f>
        <v>109707.50000000007</v>
      </c>
      <c r="I14" s="57">
        <f>'Ann 4'!I29</f>
        <v>67425.961538461619</v>
      </c>
      <c r="J14" s="57">
        <f>'Ann 4'!J29</f>
        <v>41000</v>
      </c>
      <c r="K14" s="57">
        <f>'Ann 4'!K29</f>
        <v>41000</v>
      </c>
    </row>
    <row r="15" spans="1:11" x14ac:dyDescent="0.6">
      <c r="A15" s="34"/>
      <c r="B15" s="57">
        <f>B4+B5+B6-B7-B8-B13</f>
        <v>410000</v>
      </c>
      <c r="C15" s="57">
        <f>C4+C9-C10+C11-C12-C14+C5+C6-C7</f>
        <v>15910752.596153846</v>
      </c>
      <c r="D15" s="57">
        <f>D4+D9-D10+D11-D12-D14+D5+D6-D7</f>
        <v>18545223.955769263</v>
      </c>
      <c r="E15" s="57">
        <f>E4+E9-E10+E11-E12-E14+E5+E6-E7</f>
        <v>18368119.655000024</v>
      </c>
      <c r="F15" s="57">
        <f t="shared" ref="F15:K15" si="1">F4+F9-F10+F11-F12-F14+F5+F6-F7</f>
        <v>18002204.85421538</v>
      </c>
      <c r="G15" s="57">
        <f t="shared" si="1"/>
        <v>17454280.222737398</v>
      </c>
      <c r="H15" s="57">
        <f t="shared" si="1"/>
        <v>21188549.901860535</v>
      </c>
      <c r="I15" s="57">
        <f t="shared" si="1"/>
        <v>25678667.221268509</v>
      </c>
      <c r="J15" s="57">
        <f t="shared" si="1"/>
        <v>30283805.711302221</v>
      </c>
      <c r="K15" s="57">
        <f t="shared" si="1"/>
        <v>35172605.128534436</v>
      </c>
    </row>
    <row r="16" spans="1:11" x14ac:dyDescent="0.6">
      <c r="A16" s="34" t="s">
        <v>172</v>
      </c>
      <c r="B16" s="57">
        <v>0</v>
      </c>
      <c r="C16" s="57">
        <f>'Ann 4'!C35</f>
        <v>173238.77884615379</v>
      </c>
      <c r="D16" s="57">
        <f>'Ann 4'!D35</f>
        <v>503027.05384616274</v>
      </c>
      <c r="E16" s="57">
        <f>'Ann 4'!E35</f>
        <v>622509.38088461244</v>
      </c>
      <c r="F16" s="57">
        <f>'Ann 4'!F35</f>
        <v>734055.78525807417</v>
      </c>
      <c r="G16" s="57">
        <f>'Ann 4'!G35</f>
        <v>837867.03396748716</v>
      </c>
      <c r="H16" s="57">
        <f>'Ann 4'!H35</f>
        <v>1098373.5726707366</v>
      </c>
      <c r="I16" s="57">
        <f>'Ann 4'!I35</f>
        <v>1196622.8564288747</v>
      </c>
      <c r="J16" s="57">
        <f>'Ann 4'!J35</f>
        <v>1282464.335028301</v>
      </c>
      <c r="K16" s="57">
        <f>'Ann 4'!K35</f>
        <v>1333275.8985734202</v>
      </c>
    </row>
    <row r="17" spans="1:12" x14ac:dyDescent="0.6">
      <c r="A17" s="34"/>
      <c r="B17" s="57">
        <v>0</v>
      </c>
      <c r="C17" s="57">
        <f>C15-C16</f>
        <v>15737513.817307692</v>
      </c>
      <c r="D17" s="57">
        <f t="shared" ref="D17:K17" si="2">D15-D16</f>
        <v>18042196.901923101</v>
      </c>
      <c r="E17" s="57">
        <f t="shared" si="2"/>
        <v>17745610.27411541</v>
      </c>
      <c r="F17" s="57">
        <f t="shared" si="2"/>
        <v>17268149.068957306</v>
      </c>
      <c r="G17" s="57">
        <f t="shared" si="2"/>
        <v>16616413.18876991</v>
      </c>
      <c r="H17" s="57">
        <f t="shared" si="2"/>
        <v>20090176.3291898</v>
      </c>
      <c r="I17" s="57">
        <f t="shared" si="2"/>
        <v>24482044.364839636</v>
      </c>
      <c r="J17" s="57">
        <f t="shared" si="2"/>
        <v>29001341.376273919</v>
      </c>
      <c r="K17" s="57">
        <f t="shared" si="2"/>
        <v>33839329.229961015</v>
      </c>
    </row>
    <row r="18" spans="1:12" x14ac:dyDescent="0.6">
      <c r="A18" s="34" t="s">
        <v>171</v>
      </c>
      <c r="B18" s="57">
        <v>0</v>
      </c>
      <c r="C18" s="57">
        <f>'Ann 4'!C37</f>
        <v>243379.05384615381</v>
      </c>
      <c r="D18" s="57">
        <f>'Ann 4'!D37</f>
        <v>938983.83384617046</v>
      </c>
      <c r="E18" s="57">
        <f>'Ann 4'!E37</f>
        <v>1162017.5109846101</v>
      </c>
      <c r="F18" s="57">
        <f>'Ann 4'!F37</f>
        <v>1370237.4658150719</v>
      </c>
      <c r="G18" s="57">
        <f>'Ann 4'!G37</f>
        <v>1564018.4634059761</v>
      </c>
      <c r="H18" s="57">
        <f>'Ann 4'!H37</f>
        <v>2050297.3356520422</v>
      </c>
      <c r="I18" s="57">
        <f>'Ann 4'!I37</f>
        <v>2233695.9986672332</v>
      </c>
      <c r="J18" s="57">
        <f>'Ann 4'!J37</f>
        <v>2393933.425386162</v>
      </c>
      <c r="K18" s="57">
        <f>'Ann 4'!K37</f>
        <v>2488781.6773370514</v>
      </c>
    </row>
    <row r="19" spans="1:12" x14ac:dyDescent="0.6">
      <c r="A19" s="34"/>
      <c r="B19" s="57">
        <v>0</v>
      </c>
      <c r="C19" s="57">
        <f>C17-C18</f>
        <v>15494134.763461538</v>
      </c>
      <c r="D19" s="57">
        <f t="shared" ref="D19:K19" si="3">D17-D18</f>
        <v>17103213.068076931</v>
      </c>
      <c r="E19" s="57">
        <f t="shared" si="3"/>
        <v>16583592.763130799</v>
      </c>
      <c r="F19" s="57">
        <f t="shared" si="3"/>
        <v>15897911.603142235</v>
      </c>
      <c r="G19" s="57">
        <f t="shared" si="3"/>
        <v>15052394.725363934</v>
      </c>
      <c r="H19" s="57">
        <f t="shared" si="3"/>
        <v>18039878.993537758</v>
      </c>
      <c r="I19" s="57">
        <f t="shared" si="3"/>
        <v>22248348.366172403</v>
      </c>
      <c r="J19" s="57">
        <f t="shared" si="3"/>
        <v>26607407.950887758</v>
      </c>
      <c r="K19" s="57">
        <f t="shared" si="3"/>
        <v>31350547.552623965</v>
      </c>
    </row>
    <row r="20" spans="1:12" x14ac:dyDescent="0.6">
      <c r="A20" s="34" t="s">
        <v>173</v>
      </c>
      <c r="B20" s="57">
        <v>0</v>
      </c>
      <c r="C20" s="57">
        <f>SUM('Ann 13'!D9:D12)*100000</f>
        <v>352346.15384615387</v>
      </c>
      <c r="D20" s="57">
        <f>SUM('Ann 13'!D13:D16)*100000</f>
        <v>704692.30769230775</v>
      </c>
      <c r="E20" s="57">
        <f>SUM('Ann 13'!D17:D20)*100000</f>
        <v>704692.30769230775</v>
      </c>
      <c r="F20" s="57">
        <f>SUM('Ann 13'!D21:D24)*100000</f>
        <v>704692.30769230775</v>
      </c>
      <c r="G20" s="57">
        <f>SUM('Ann 13'!D25:D28)*100000</f>
        <v>704692.30769230775</v>
      </c>
      <c r="H20" s="57">
        <f>SUM('Ann 13'!D29:D32)*100000</f>
        <v>704692.30769230775</v>
      </c>
      <c r="I20" s="57">
        <f>SUM('Ann 13'!D33:D36)*100000</f>
        <v>704692.30769230879</v>
      </c>
      <c r="J20" s="57">
        <v>0</v>
      </c>
      <c r="K20" s="57">
        <v>0</v>
      </c>
    </row>
    <row r="21" spans="1:12" x14ac:dyDescent="0.6">
      <c r="A21" s="34" t="s">
        <v>174</v>
      </c>
      <c r="B21" s="57">
        <f>B4+B5+B6-B7-B13-B8</f>
        <v>410000</v>
      </c>
      <c r="C21" s="57">
        <f>C19-C20</f>
        <v>15141788.609615384</v>
      </c>
      <c r="D21" s="57">
        <f>D19-D20</f>
        <v>16398520.760384623</v>
      </c>
      <c r="E21" s="57">
        <f>E19-E20</f>
        <v>15878900.455438491</v>
      </c>
      <c r="F21" s="57">
        <f t="shared" ref="F21:K21" si="4">F19-F20</f>
        <v>15193219.295449927</v>
      </c>
      <c r="G21" s="57">
        <f t="shared" si="4"/>
        <v>14347702.417671626</v>
      </c>
      <c r="H21" s="57">
        <f t="shared" si="4"/>
        <v>17335186.68584545</v>
      </c>
      <c r="I21" s="57">
        <f t="shared" si="4"/>
        <v>21543656.058480095</v>
      </c>
      <c r="J21" s="57">
        <f t="shared" si="4"/>
        <v>26607407.950887758</v>
      </c>
      <c r="K21" s="57">
        <f t="shared" si="4"/>
        <v>31350547.552623965</v>
      </c>
    </row>
    <row r="22" spans="1:12" x14ac:dyDescent="0.6">
      <c r="B22" s="55"/>
    </row>
    <row r="23" spans="1:12" x14ac:dyDescent="0.6">
      <c r="A23" s="117" t="s">
        <v>175</v>
      </c>
      <c r="B23" s="118">
        <v>0.06</v>
      </c>
      <c r="C23" s="119"/>
      <c r="D23" s="117"/>
      <c r="E23" s="117"/>
      <c r="F23" s="117"/>
      <c r="G23" s="117"/>
      <c r="H23" s="117"/>
      <c r="I23" s="117"/>
      <c r="J23" s="117"/>
      <c r="K23" s="117"/>
      <c r="L23" s="117"/>
    </row>
    <row r="24" spans="1:12" x14ac:dyDescent="0.6">
      <c r="A24" s="117" t="s">
        <v>176</v>
      </c>
      <c r="B24" s="117">
        <v>1</v>
      </c>
      <c r="C24" s="120">
        <f>1/(1+$B$23)</f>
        <v>0.94339622641509424</v>
      </c>
      <c r="D24" s="120">
        <f>1/((1+$B$23)*(1+$B$23))</f>
        <v>0.88999644001423983</v>
      </c>
      <c r="E24" s="120">
        <f>1/((1+$B$23)*(1+$B$23)*(1+$B$23))</f>
        <v>0.8396192830323016</v>
      </c>
      <c r="F24" s="120">
        <f>1/((1+$B$23)*(1+$B$23)*(1+$B$23)*(1+$B$23))</f>
        <v>0.79209366323802044</v>
      </c>
      <c r="G24" s="120">
        <f>1/((1+$B$23)*(1+$B$23)*(1+$B$23)*(1+$B$23)*(1+$B$23))</f>
        <v>0.74725817286605689</v>
      </c>
      <c r="H24" s="120">
        <f>1/((1+$B$23)*(1+$B$23)*(1+$B$23)*(1+$B$23)*(1+$B$23)*(1+$B$23))</f>
        <v>0.70496054043967626</v>
      </c>
      <c r="I24" s="120">
        <f>1/((1+$B$23)*(1+$B$23)*(1+$B$23)*(1+$B$23)*(1+$B$23)*(1+$B$23)*(1+$B$23))</f>
        <v>0.6650571136223361</v>
      </c>
      <c r="J24" s="120">
        <f>1/((1+$B$23)*(1+$B$23)*(1+$B$23)*(1+$B$23)*(1+$B$23)*(1+$B$23)*(1+$B$23)*(1+$B$23))</f>
        <v>0.62741237134182648</v>
      </c>
      <c r="K24" s="120">
        <f>1/((1+$B$23)*(1+$B$23)*(1+$B$23)*(1+$B$23)*(1+$B$23)*(1+$B$23)*(1+$B$23)*(1+$B$23)*(1+$B$23))</f>
        <v>0.59189846353002495</v>
      </c>
      <c r="L24" s="117"/>
    </row>
    <row r="25" spans="1:12" x14ac:dyDescent="0.6">
      <c r="A25" s="117" t="s">
        <v>177</v>
      </c>
      <c r="B25" s="117">
        <f>B4+B9+B11+B5+B6</f>
        <v>5545000</v>
      </c>
      <c r="C25" s="117">
        <f>C4+C9+C11+C5+C6</f>
        <v>144965840</v>
      </c>
      <c r="D25" s="117">
        <f t="shared" ref="D25:K25" si="5">D4+D9+D11</f>
        <v>223543124.60961542</v>
      </c>
      <c r="E25" s="117">
        <f t="shared" si="5"/>
        <v>244977442.76038465</v>
      </c>
      <c r="F25" s="117">
        <f t="shared" si="5"/>
        <v>261021512.45543852</v>
      </c>
      <c r="G25" s="117">
        <f t="shared" si="5"/>
        <v>276899521.29544997</v>
      </c>
      <c r="H25" s="117">
        <f t="shared" si="5"/>
        <v>297168526.41767162</v>
      </c>
      <c r="I25" s="117">
        <f t="shared" si="5"/>
        <v>318125104.68584543</v>
      </c>
      <c r="J25" s="117">
        <f t="shared" si="5"/>
        <v>339231884.05848008</v>
      </c>
      <c r="K25" s="117">
        <f t="shared" si="5"/>
        <v>360658553.95088774</v>
      </c>
      <c r="L25" s="117"/>
    </row>
    <row r="26" spans="1:12" x14ac:dyDescent="0.6">
      <c r="A26" s="117" t="s">
        <v>178</v>
      </c>
      <c r="B26" s="117">
        <f>B25*B24</f>
        <v>5545000</v>
      </c>
      <c r="C26" s="117">
        <f>C25*C24</f>
        <v>136760226.41509432</v>
      </c>
      <c r="D26" s="117">
        <f t="shared" ref="D26:K26" si="6">D25*D24</f>
        <v>198952585.09221733</v>
      </c>
      <c r="E26" s="117">
        <f t="shared" si="6"/>
        <v>205687784.84956086</v>
      </c>
      <c r="F26" s="117">
        <f t="shared" si="6"/>
        <v>206753485.98475689</v>
      </c>
      <c r="G26" s="117">
        <f t="shared" si="6"/>
        <v>206915430.35072374</v>
      </c>
      <c r="H26" s="117">
        <f t="shared" si="6"/>
        <v>209492084.985064</v>
      </c>
      <c r="I26" s="117">
        <f t="shared" si="6"/>
        <v>211571363.89317188</v>
      </c>
      <c r="J26" s="117">
        <f t="shared" si="6"/>
        <v>212838280.81188652</v>
      </c>
      <c r="K26" s="117">
        <f t="shared" si="6"/>
        <v>213473243.94249105</v>
      </c>
      <c r="L26" s="117"/>
    </row>
    <row r="27" spans="1:12" x14ac:dyDescent="0.6">
      <c r="A27" s="117" t="s">
        <v>179</v>
      </c>
      <c r="B27" s="117">
        <f>B10+B12+B14+B16+B18+B20+B7+B13+B8</f>
        <v>5135000</v>
      </c>
      <c r="C27" s="117">
        <f t="shared" ref="C27:K27" si="7">C10+C12+C14+C16+C18+C20+C7+C13</f>
        <v>129824051.39038463</v>
      </c>
      <c r="D27" s="117">
        <f t="shared" si="7"/>
        <v>207144603.8492308</v>
      </c>
      <c r="E27" s="117">
        <f t="shared" si="7"/>
        <v>229098542.30494615</v>
      </c>
      <c r="F27" s="117">
        <f t="shared" si="7"/>
        <v>245828293.15998858</v>
      </c>
      <c r="G27" s="117">
        <f t="shared" si="7"/>
        <v>262551818.87777835</v>
      </c>
      <c r="H27" s="117">
        <f t="shared" si="7"/>
        <v>279833339.73182619</v>
      </c>
      <c r="I27" s="117">
        <f t="shared" si="7"/>
        <v>296581448.62736529</v>
      </c>
      <c r="J27" s="117">
        <f t="shared" si="7"/>
        <v>312624476.10759234</v>
      </c>
      <c r="K27" s="117">
        <f t="shared" si="7"/>
        <v>329308006.39826375</v>
      </c>
      <c r="L27" s="117"/>
    </row>
    <row r="28" spans="1:12" x14ac:dyDescent="0.6">
      <c r="A28" s="117" t="s">
        <v>180</v>
      </c>
      <c r="B28" s="117">
        <f>B27*B24</f>
        <v>5135000</v>
      </c>
      <c r="C28" s="117">
        <f>C27*C24</f>
        <v>122475520.17960812</v>
      </c>
      <c r="D28" s="117">
        <f t="shared" ref="D28:K28" si="8">D27*D24</f>
        <v>184357959.9939754</v>
      </c>
      <c r="E28" s="117">
        <f t="shared" si="8"/>
        <v>192355553.83382431</v>
      </c>
      <c r="F28" s="117">
        <f t="shared" si="8"/>
        <v>194719033.25664535</v>
      </c>
      <c r="G28" s="117">
        <f t="shared" si="8"/>
        <v>196193992.45726857</v>
      </c>
      <c r="H28" s="117">
        <f t="shared" si="8"/>
        <v>197271462.41038772</v>
      </c>
      <c r="I28" s="117">
        <f t="shared" si="8"/>
        <v>197243602.1780467</v>
      </c>
      <c r="J28" s="117">
        <f t="shared" si="8"/>
        <v>196144463.89416069</v>
      </c>
      <c r="K28" s="117">
        <f t="shared" si="8"/>
        <v>194916903.01526794</v>
      </c>
      <c r="L28" s="117"/>
    </row>
    <row r="29" spans="1:12" x14ac:dyDescent="0.6">
      <c r="A29" s="117"/>
      <c r="B29" s="117"/>
      <c r="C29" s="117"/>
      <c r="D29" s="117"/>
      <c r="E29" s="117"/>
      <c r="F29" s="117"/>
      <c r="G29" s="117"/>
      <c r="H29" s="117"/>
      <c r="I29" s="117"/>
      <c r="J29" s="117"/>
      <c r="K29" s="117"/>
      <c r="L29" s="117"/>
    </row>
    <row r="30" spans="1:12" x14ac:dyDescent="0.6">
      <c r="A30" s="117" t="s">
        <v>181</v>
      </c>
      <c r="B30" s="117">
        <f>B25-B27</f>
        <v>410000</v>
      </c>
      <c r="C30" s="117">
        <f>C25-C27</f>
        <v>15141788.609615371</v>
      </c>
      <c r="D30" s="117">
        <f>D25-D27</f>
        <v>16398520.760384619</v>
      </c>
      <c r="E30" s="117">
        <f t="shared" ref="E30:K30" si="9">E25-E27</f>
        <v>15878900.455438495</v>
      </c>
      <c r="F30" s="117">
        <f t="shared" si="9"/>
        <v>15193219.295449942</v>
      </c>
      <c r="G30" s="117">
        <f t="shared" si="9"/>
        <v>14347702.417671621</v>
      </c>
      <c r="H30" s="117">
        <f t="shared" si="9"/>
        <v>17335186.685845435</v>
      </c>
      <c r="I30" s="117">
        <f t="shared" si="9"/>
        <v>21543656.058480144</v>
      </c>
      <c r="J30" s="117">
        <f t="shared" si="9"/>
        <v>26607407.95088774</v>
      </c>
      <c r="K30" s="117">
        <f t="shared" si="9"/>
        <v>31350547.552623987</v>
      </c>
      <c r="L30" s="117"/>
    </row>
    <row r="31" spans="1:12" x14ac:dyDescent="0.6">
      <c r="A31" s="117" t="s">
        <v>182</v>
      </c>
      <c r="B31" s="117">
        <f>B26-B28</f>
        <v>410000</v>
      </c>
      <c r="C31" s="117">
        <f>C30*C24</f>
        <v>14284706.235486196</v>
      </c>
      <c r="D31" s="117">
        <f t="shared" ref="D31:K31" si="10">D30*D24</f>
        <v>14594625.098241916</v>
      </c>
      <c r="E31" s="117">
        <f t="shared" si="10"/>
        <v>13332231.015736556</v>
      </c>
      <c r="F31" s="117">
        <f t="shared" si="10"/>
        <v>12034452.72811152</v>
      </c>
      <c r="G31" s="117">
        <f t="shared" si="10"/>
        <v>10721437.893455202</v>
      </c>
      <c r="H31" s="117">
        <f t="shared" si="10"/>
        <v>12220622.574676279</v>
      </c>
      <c r="I31" s="117">
        <f t="shared" si="10"/>
        <v>14327761.715125158</v>
      </c>
      <c r="J31" s="117">
        <f t="shared" si="10"/>
        <v>16693816.917725844</v>
      </c>
      <c r="K31" s="117">
        <f t="shared" si="10"/>
        <v>18556340.927223124</v>
      </c>
      <c r="L31" s="117">
        <f>SUM(C31:K31)</f>
        <v>126765995.10578179</v>
      </c>
    </row>
    <row r="32" spans="1:12" x14ac:dyDescent="0.6">
      <c r="C32" s="55"/>
      <c r="D32" s="55"/>
      <c r="E32" s="55"/>
      <c r="F32" s="55"/>
      <c r="G32" s="55"/>
    </row>
  </sheetData>
  <pageMargins left="0.7" right="0.7" top="0.75" bottom="0.75" header="0.3" footer="0.3"/>
  <pageSetup scale="6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AADB1-212F-431E-A926-791FC9CE0F57}">
  <sheetPr>
    <pageSetUpPr fitToPage="1"/>
  </sheetPr>
  <dimension ref="A1:J27"/>
  <sheetViews>
    <sheetView topLeftCell="B8" workbookViewId="0">
      <selection activeCell="I24" sqref="I24"/>
    </sheetView>
  </sheetViews>
  <sheetFormatPr defaultRowHeight="17" x14ac:dyDescent="0.6"/>
  <cols>
    <col min="1" max="1" width="40.36328125" style="6" bestFit="1" customWidth="1"/>
    <col min="2" max="10" width="16.08984375" style="6" bestFit="1" customWidth="1"/>
    <col min="11" max="11" width="12.54296875" style="6" bestFit="1" customWidth="1"/>
    <col min="12" max="16384" width="8.7265625" style="6"/>
  </cols>
  <sheetData>
    <row r="1" spans="1:10" x14ac:dyDescent="0.6">
      <c r="A1" s="5" t="s">
        <v>158</v>
      </c>
    </row>
    <row r="2" spans="1:10" x14ac:dyDescent="0.6">
      <c r="A2" s="142" t="s">
        <v>3</v>
      </c>
      <c r="B2" s="143" t="s">
        <v>47</v>
      </c>
      <c r="C2" s="143"/>
      <c r="D2" s="143"/>
      <c r="E2" s="143"/>
      <c r="F2" s="143"/>
      <c r="G2" s="143"/>
      <c r="H2" s="143"/>
      <c r="I2" s="143"/>
      <c r="J2" s="143"/>
    </row>
    <row r="3" spans="1:10" x14ac:dyDescent="0.6">
      <c r="A3" s="142"/>
      <c r="B3" s="60" t="s">
        <v>38</v>
      </c>
      <c r="C3" s="60" t="s">
        <v>39</v>
      </c>
      <c r="D3" s="60" t="s">
        <v>40</v>
      </c>
      <c r="E3" s="60" t="s">
        <v>41</v>
      </c>
      <c r="F3" s="60" t="s">
        <v>42</v>
      </c>
      <c r="G3" s="60" t="s">
        <v>43</v>
      </c>
      <c r="H3" s="60" t="s">
        <v>44</v>
      </c>
      <c r="I3" s="60" t="s">
        <v>45</v>
      </c>
      <c r="J3" s="60" t="s">
        <v>46</v>
      </c>
    </row>
    <row r="4" spans="1:10" x14ac:dyDescent="0.6">
      <c r="A4" s="34" t="s">
        <v>235</v>
      </c>
      <c r="B4" s="101">
        <v>0.6</v>
      </c>
      <c r="C4" s="101">
        <v>0.65</v>
      </c>
      <c r="D4" s="101">
        <v>0.7</v>
      </c>
      <c r="E4" s="101">
        <v>0.75</v>
      </c>
      <c r="F4" s="101">
        <v>0.8</v>
      </c>
      <c r="G4" s="101">
        <v>0.85</v>
      </c>
      <c r="H4" s="101">
        <v>0.9</v>
      </c>
      <c r="I4" s="101">
        <v>0.95</v>
      </c>
      <c r="J4" s="101">
        <v>1</v>
      </c>
    </row>
    <row r="5" spans="1:10" x14ac:dyDescent="0.6">
      <c r="A5" s="34" t="s">
        <v>261</v>
      </c>
      <c r="B5" s="102">
        <f>$B$12*B4</f>
        <v>1080000</v>
      </c>
      <c r="C5" s="102">
        <f t="shared" ref="C5:J5" si="0">$B$12*C4</f>
        <v>1170000</v>
      </c>
      <c r="D5" s="102">
        <f t="shared" si="0"/>
        <v>1260000</v>
      </c>
      <c r="E5" s="102">
        <f t="shared" si="0"/>
        <v>1350000</v>
      </c>
      <c r="F5" s="102">
        <f t="shared" si="0"/>
        <v>1440000</v>
      </c>
      <c r="G5" s="102">
        <f t="shared" si="0"/>
        <v>1530000</v>
      </c>
      <c r="H5" s="102">
        <f t="shared" si="0"/>
        <v>1620000</v>
      </c>
      <c r="I5" s="102">
        <f t="shared" si="0"/>
        <v>1710000</v>
      </c>
      <c r="J5" s="102">
        <f t="shared" si="0"/>
        <v>1800000</v>
      </c>
    </row>
    <row r="6" spans="1:10" x14ac:dyDescent="0.6">
      <c r="A6" s="34" t="s">
        <v>278</v>
      </c>
      <c r="B6" s="102">
        <f>B5*1000/600</f>
        <v>1800000</v>
      </c>
      <c r="C6" s="102">
        <f t="shared" ref="C6:J6" si="1">C5*1000/600</f>
        <v>1950000</v>
      </c>
      <c r="D6" s="102">
        <f t="shared" si="1"/>
        <v>2100000</v>
      </c>
      <c r="E6" s="102">
        <f t="shared" si="1"/>
        <v>2250000</v>
      </c>
      <c r="F6" s="102">
        <f t="shared" si="1"/>
        <v>2400000</v>
      </c>
      <c r="G6" s="102">
        <f t="shared" si="1"/>
        <v>2550000</v>
      </c>
      <c r="H6" s="102">
        <f t="shared" si="1"/>
        <v>2700000</v>
      </c>
      <c r="I6" s="102">
        <f t="shared" si="1"/>
        <v>2850000</v>
      </c>
      <c r="J6" s="102">
        <f t="shared" si="1"/>
        <v>3000000</v>
      </c>
    </row>
    <row r="7" spans="1:10" x14ac:dyDescent="0.6">
      <c r="A7" s="34" t="s">
        <v>276</v>
      </c>
      <c r="B7" s="57">
        <f>B5*99%</f>
        <v>1069200</v>
      </c>
      <c r="C7" s="57">
        <f t="shared" ref="C7:F7" si="2">C5*99%</f>
        <v>1158300</v>
      </c>
      <c r="D7" s="57">
        <f t="shared" si="2"/>
        <v>1247400</v>
      </c>
      <c r="E7" s="57">
        <f t="shared" si="2"/>
        <v>1336500</v>
      </c>
      <c r="F7" s="57">
        <f t="shared" si="2"/>
        <v>1425600</v>
      </c>
      <c r="G7" s="57">
        <f>G5*101%</f>
        <v>1545300</v>
      </c>
      <c r="H7" s="57">
        <f t="shared" ref="H7:I7" si="3">H5*101%</f>
        <v>1636200</v>
      </c>
      <c r="I7" s="57">
        <f t="shared" si="3"/>
        <v>1727100</v>
      </c>
      <c r="J7" s="57">
        <f>MIN(J5*101%,J22+J21)</f>
        <v>1814400</v>
      </c>
    </row>
    <row r="8" spans="1:10" x14ac:dyDescent="0.6">
      <c r="A8" s="34" t="s">
        <v>277</v>
      </c>
      <c r="B8" s="57">
        <f>B7*$C$16</f>
        <v>180694800</v>
      </c>
      <c r="C8" s="57">
        <f>C7*$C$16*1.1</f>
        <v>215327970.00000003</v>
      </c>
      <c r="D8" s="57">
        <f t="shared" ref="D8:J8" si="4">D7*$C$16*1.1</f>
        <v>231891660.00000003</v>
      </c>
      <c r="E8" s="57">
        <f t="shared" si="4"/>
        <v>248455350.00000003</v>
      </c>
      <c r="F8" s="57">
        <f t="shared" si="4"/>
        <v>265019040.00000003</v>
      </c>
      <c r="G8" s="57">
        <f t="shared" si="4"/>
        <v>287271270</v>
      </c>
      <c r="H8" s="57">
        <f t="shared" si="4"/>
        <v>304169580</v>
      </c>
      <c r="I8" s="57">
        <f t="shared" si="4"/>
        <v>321067890</v>
      </c>
      <c r="J8" s="57">
        <f t="shared" si="4"/>
        <v>337296960</v>
      </c>
    </row>
    <row r="9" spans="1:10" x14ac:dyDescent="0.6">
      <c r="B9" s="30"/>
      <c r="C9" s="30"/>
      <c r="D9" s="30"/>
      <c r="E9" s="30"/>
      <c r="F9" s="30"/>
      <c r="G9" s="30"/>
      <c r="H9" s="30"/>
      <c r="I9" s="30"/>
      <c r="J9" s="30"/>
    </row>
    <row r="10" spans="1:10" x14ac:dyDescent="0.6">
      <c r="A10" s="5" t="s">
        <v>252</v>
      </c>
    </row>
    <row r="12" spans="1:10" x14ac:dyDescent="0.6">
      <c r="A12" s="6" t="s">
        <v>234</v>
      </c>
      <c r="B12" s="103">
        <f>1000*8*225</f>
        <v>1800000</v>
      </c>
      <c r="C12" s="104" t="s">
        <v>310</v>
      </c>
      <c r="E12" s="105"/>
      <c r="G12" s="55"/>
    </row>
    <row r="13" spans="1:10" x14ac:dyDescent="0.6">
      <c r="A13" s="6" t="s">
        <v>250</v>
      </c>
      <c r="B13" s="106" t="s">
        <v>314</v>
      </c>
    </row>
    <row r="15" spans="1:10" s="110" customFormat="1" ht="58" customHeight="1" x14ac:dyDescent="0.35">
      <c r="A15" s="107" t="s">
        <v>159</v>
      </c>
      <c r="B15" s="108" t="s">
        <v>160</v>
      </c>
      <c r="C15" s="109" t="s">
        <v>282</v>
      </c>
      <c r="D15" s="108" t="s">
        <v>283</v>
      </c>
    </row>
    <row r="16" spans="1:10" s="110" customFormat="1" x14ac:dyDescent="0.35">
      <c r="A16" s="107" t="s">
        <v>161</v>
      </c>
      <c r="B16" s="111">
        <f>B12</f>
        <v>1800000</v>
      </c>
      <c r="C16" s="112">
        <v>169</v>
      </c>
      <c r="D16" s="113">
        <v>80</v>
      </c>
    </row>
    <row r="17" spans="1:10" s="110" customFormat="1" x14ac:dyDescent="0.35">
      <c r="A17" s="114"/>
      <c r="B17" s="115"/>
      <c r="C17" s="116"/>
      <c r="D17" s="116"/>
    </row>
    <row r="18" spans="1:10" x14ac:dyDescent="0.6">
      <c r="A18" s="5" t="s">
        <v>251</v>
      </c>
    </row>
    <row r="19" spans="1:10" x14ac:dyDescent="0.6">
      <c r="A19" s="142" t="s">
        <v>3</v>
      </c>
      <c r="B19" s="143" t="s">
        <v>47</v>
      </c>
      <c r="C19" s="143"/>
      <c r="D19" s="143"/>
      <c r="E19" s="143"/>
      <c r="F19" s="143"/>
      <c r="G19" s="143"/>
      <c r="H19" s="143"/>
      <c r="I19" s="143"/>
      <c r="J19" s="143"/>
    </row>
    <row r="20" spans="1:10" x14ac:dyDescent="0.6">
      <c r="A20" s="142"/>
      <c r="B20" s="60" t="s">
        <v>38</v>
      </c>
      <c r="C20" s="60" t="s">
        <v>39</v>
      </c>
      <c r="D20" s="60" t="s">
        <v>40</v>
      </c>
      <c r="E20" s="60" t="s">
        <v>41</v>
      </c>
      <c r="F20" s="60" t="s">
        <v>42</v>
      </c>
      <c r="G20" s="60" t="s">
        <v>43</v>
      </c>
      <c r="H20" s="60" t="s">
        <v>44</v>
      </c>
      <c r="I20" s="60" t="s">
        <v>45</v>
      </c>
      <c r="J20" s="60" t="s">
        <v>46</v>
      </c>
    </row>
    <row r="21" spans="1:10" x14ac:dyDescent="0.6">
      <c r="A21" s="34" t="s">
        <v>253</v>
      </c>
      <c r="B21" s="95">
        <v>0</v>
      </c>
      <c r="C21" s="84">
        <f>B24</f>
        <v>10800</v>
      </c>
      <c r="D21" s="84">
        <f t="shared" ref="D21:J21" si="5">C24</f>
        <v>22500</v>
      </c>
      <c r="E21" s="84">
        <f t="shared" si="5"/>
        <v>35100</v>
      </c>
      <c r="F21" s="84">
        <f t="shared" si="5"/>
        <v>48600</v>
      </c>
      <c r="G21" s="84">
        <f t="shared" si="5"/>
        <v>63000</v>
      </c>
      <c r="H21" s="84">
        <f t="shared" si="5"/>
        <v>47700</v>
      </c>
      <c r="I21" s="84">
        <f t="shared" si="5"/>
        <v>31500</v>
      </c>
      <c r="J21" s="84">
        <f t="shared" si="5"/>
        <v>14400</v>
      </c>
    </row>
    <row r="22" spans="1:10" x14ac:dyDescent="0.6">
      <c r="A22" s="34" t="s">
        <v>254</v>
      </c>
      <c r="B22" s="84">
        <f>B5</f>
        <v>1080000</v>
      </c>
      <c r="C22" s="84">
        <f t="shared" ref="C22:J22" si="6">C5</f>
        <v>1170000</v>
      </c>
      <c r="D22" s="84">
        <f t="shared" si="6"/>
        <v>1260000</v>
      </c>
      <c r="E22" s="84">
        <f t="shared" si="6"/>
        <v>1350000</v>
      </c>
      <c r="F22" s="84">
        <f t="shared" si="6"/>
        <v>1440000</v>
      </c>
      <c r="G22" s="84">
        <f t="shared" si="6"/>
        <v>1530000</v>
      </c>
      <c r="H22" s="84">
        <f t="shared" si="6"/>
        <v>1620000</v>
      </c>
      <c r="I22" s="84">
        <f t="shared" si="6"/>
        <v>1710000</v>
      </c>
      <c r="J22" s="84">
        <f t="shared" si="6"/>
        <v>1800000</v>
      </c>
    </row>
    <row r="23" spans="1:10" x14ac:dyDescent="0.6">
      <c r="A23" s="34" t="s">
        <v>49</v>
      </c>
      <c r="B23" s="84">
        <f>B7</f>
        <v>1069200</v>
      </c>
      <c r="C23" s="84">
        <f t="shared" ref="C23:J23" si="7">C7</f>
        <v>1158300</v>
      </c>
      <c r="D23" s="84">
        <f t="shared" si="7"/>
        <v>1247400</v>
      </c>
      <c r="E23" s="84">
        <f t="shared" si="7"/>
        <v>1336500</v>
      </c>
      <c r="F23" s="84">
        <f t="shared" si="7"/>
        <v>1425600</v>
      </c>
      <c r="G23" s="84">
        <f t="shared" si="7"/>
        <v>1545300</v>
      </c>
      <c r="H23" s="84">
        <f t="shared" si="7"/>
        <v>1636200</v>
      </c>
      <c r="I23" s="84">
        <f t="shared" si="7"/>
        <v>1727100</v>
      </c>
      <c r="J23" s="84">
        <f t="shared" si="7"/>
        <v>1814400</v>
      </c>
    </row>
    <row r="24" spans="1:10" x14ac:dyDescent="0.6">
      <c r="A24" s="34" t="s">
        <v>255</v>
      </c>
      <c r="B24" s="84">
        <f>B21+B22-B23</f>
        <v>10800</v>
      </c>
      <c r="C24" s="84">
        <f t="shared" ref="C24:J24" si="8">C21+C22-C23</f>
        <v>22500</v>
      </c>
      <c r="D24" s="84">
        <f t="shared" si="8"/>
        <v>35100</v>
      </c>
      <c r="E24" s="84">
        <f t="shared" si="8"/>
        <v>48600</v>
      </c>
      <c r="F24" s="84">
        <f t="shared" si="8"/>
        <v>63000</v>
      </c>
      <c r="G24" s="84">
        <f t="shared" si="8"/>
        <v>47700</v>
      </c>
      <c r="H24" s="84">
        <f t="shared" si="8"/>
        <v>31500</v>
      </c>
      <c r="I24" s="84">
        <f t="shared" si="8"/>
        <v>14400</v>
      </c>
      <c r="J24" s="84">
        <f t="shared" si="8"/>
        <v>0</v>
      </c>
    </row>
    <row r="26" spans="1:10" x14ac:dyDescent="0.6">
      <c r="A26" s="145" t="s">
        <v>292</v>
      </c>
      <c r="B26" s="145"/>
      <c r="C26" s="145"/>
      <c r="D26" s="145"/>
      <c r="E26" s="145"/>
      <c r="F26" s="145"/>
      <c r="G26" s="145"/>
      <c r="H26" s="145"/>
      <c r="I26" s="145"/>
      <c r="J26" s="145"/>
    </row>
    <row r="27" spans="1:10" x14ac:dyDescent="0.6">
      <c r="A27" s="6" t="s">
        <v>316</v>
      </c>
    </row>
  </sheetData>
  <mergeCells count="5">
    <mergeCell ref="B2:J2"/>
    <mergeCell ref="B19:J19"/>
    <mergeCell ref="A26:J26"/>
    <mergeCell ref="A19:A20"/>
    <mergeCell ref="A2:A3"/>
  </mergeCells>
  <pageMargins left="0.7" right="0.7" top="0.75" bottom="0.75" header="0.3" footer="0.3"/>
  <pageSetup scale="66"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0B69F-8F0D-45BD-B703-60FCEF10A70F}">
  <dimension ref="A2:J8"/>
  <sheetViews>
    <sheetView workbookViewId="0">
      <selection activeCell="C3" sqref="B3:F8"/>
    </sheetView>
  </sheetViews>
  <sheetFormatPr defaultRowHeight="17" x14ac:dyDescent="0.6"/>
  <cols>
    <col min="1" max="1" width="16.453125" style="6" bestFit="1" customWidth="1"/>
    <col min="2" max="16384" width="8.7265625" style="6"/>
  </cols>
  <sheetData>
    <row r="2" spans="1:10" x14ac:dyDescent="0.6">
      <c r="B2" s="6" t="s">
        <v>38</v>
      </c>
      <c r="C2" s="6" t="s">
        <v>39</v>
      </c>
      <c r="D2" s="6" t="s">
        <v>40</v>
      </c>
      <c r="E2" s="6" t="s">
        <v>41</v>
      </c>
      <c r="F2" s="6" t="s">
        <v>42</v>
      </c>
      <c r="G2" s="6" t="s">
        <v>43</v>
      </c>
      <c r="H2" s="6" t="s">
        <v>44</v>
      </c>
      <c r="I2" s="6" t="s">
        <v>45</v>
      </c>
      <c r="J2" s="6" t="s">
        <v>46</v>
      </c>
    </row>
    <row r="3" spans="1:10" x14ac:dyDescent="0.6">
      <c r="A3" s="6" t="s">
        <v>183</v>
      </c>
      <c r="B3" s="30">
        <f>'Ann 4'!C23/100000</f>
        <v>1806.9480000000001</v>
      </c>
      <c r="C3" s="30">
        <f>'Ann 4'!D23/100000</f>
        <v>2153.2797000000005</v>
      </c>
      <c r="D3" s="30">
        <f>'Ann 4'!E23/100000</f>
        <v>2318.9166000000005</v>
      </c>
      <c r="E3" s="30">
        <f>'Ann 4'!F23/100000</f>
        <v>2484.5535000000004</v>
      </c>
      <c r="F3" s="30">
        <f>'Ann 4'!G23/100000</f>
        <v>2650.1904000000004</v>
      </c>
      <c r="G3" s="30">
        <f>'Ann 4'!H23/100000</f>
        <v>2872.7127</v>
      </c>
      <c r="H3" s="30">
        <f>'Ann 4'!I23/100000</f>
        <v>3041.6958</v>
      </c>
      <c r="I3" s="30">
        <f>'Ann 4'!J23/100000</f>
        <v>3210.6788999999999</v>
      </c>
      <c r="J3" s="30">
        <f>'Ann 4'!K23/100000</f>
        <v>3372.9695999999999</v>
      </c>
    </row>
    <row r="4" spans="1:10" x14ac:dyDescent="0.6">
      <c r="A4" s="6" t="s">
        <v>184</v>
      </c>
      <c r="B4" s="30">
        <f>'Ann 4'!C22/100000</f>
        <v>1791.239</v>
      </c>
      <c r="C4" s="30">
        <f>'Ann 4'!D22/100000</f>
        <v>2127.8666699999999</v>
      </c>
      <c r="D4" s="30">
        <f>'Ann 4'!E22/100000</f>
        <v>2290.7547099000003</v>
      </c>
      <c r="E4" s="30">
        <f>'Ann 4'!F22/100000</f>
        <v>2453.7923702430003</v>
      </c>
      <c r="F4" s="30">
        <f>'Ann 4'!G22/100000</f>
        <v>2616.9895203425103</v>
      </c>
      <c r="G4" s="30">
        <f>'Ann 4'!H22/100000</f>
        <v>2831.7646901581111</v>
      </c>
      <c r="H4" s="30">
        <f>'Ann 4'!I22/100000</f>
        <v>2998.3371150303847</v>
      </c>
      <c r="I4" s="30">
        <f>'Ann 4'!J22/100000</f>
        <v>3165.1027834717788</v>
      </c>
      <c r="J4" s="30">
        <f>'Ann 4'!K22/100000</f>
        <v>3326.0264882235329</v>
      </c>
    </row>
    <row r="5" spans="1:10" x14ac:dyDescent="0.6">
      <c r="A5" s="6" t="s">
        <v>185</v>
      </c>
      <c r="B5" s="30">
        <f>B3-B4</f>
        <v>15.70900000000006</v>
      </c>
      <c r="C5" s="30">
        <f t="shared" ref="C5:J5" si="0">C3-C4</f>
        <v>25.413030000000617</v>
      </c>
      <c r="D5" s="30">
        <f t="shared" si="0"/>
        <v>28.161890100000164</v>
      </c>
      <c r="E5" s="30">
        <f t="shared" si="0"/>
        <v>30.761129757000162</v>
      </c>
      <c r="F5" s="30">
        <f t="shared" si="0"/>
        <v>33.200879657490077</v>
      </c>
      <c r="G5" s="30">
        <f t="shared" si="0"/>
        <v>40.948009841888961</v>
      </c>
      <c r="H5" s="30">
        <f t="shared" si="0"/>
        <v>43.358684969615297</v>
      </c>
      <c r="I5" s="30">
        <f t="shared" si="0"/>
        <v>45.576116528221064</v>
      </c>
      <c r="J5" s="30">
        <f t="shared" si="0"/>
        <v>46.943111776467049</v>
      </c>
    </row>
    <row r="6" spans="1:10" x14ac:dyDescent="0.6">
      <c r="A6" s="6" t="s">
        <v>186</v>
      </c>
      <c r="B6" s="30">
        <f>B5</f>
        <v>15.70900000000006</v>
      </c>
      <c r="C6" s="30">
        <f t="shared" ref="C6:J6" si="1">C5</f>
        <v>25.413030000000617</v>
      </c>
      <c r="D6" s="30">
        <f t="shared" si="1"/>
        <v>28.161890100000164</v>
      </c>
      <c r="E6" s="30">
        <f t="shared" si="1"/>
        <v>30.761129757000162</v>
      </c>
      <c r="F6" s="30">
        <f t="shared" si="1"/>
        <v>33.200879657490077</v>
      </c>
      <c r="G6" s="30">
        <f t="shared" si="1"/>
        <v>40.948009841888961</v>
      </c>
      <c r="H6" s="30">
        <f t="shared" si="1"/>
        <v>43.358684969615297</v>
      </c>
      <c r="I6" s="30">
        <f t="shared" si="1"/>
        <v>45.576116528221064</v>
      </c>
      <c r="J6" s="30">
        <f t="shared" si="1"/>
        <v>46.943111776467049</v>
      </c>
    </row>
    <row r="7" spans="1:10" x14ac:dyDescent="0.6">
      <c r="A7" s="6" t="s">
        <v>187</v>
      </c>
      <c r="B7" s="121">
        <f>'Ann 4'!C34/100000</f>
        <v>4.7746259615384599</v>
      </c>
      <c r="C7" s="121">
        <f>'Ann 4'!D34/100000</f>
        <v>16.767568461538758</v>
      </c>
      <c r="D7" s="121">
        <f>'Ann 4'!E34/100000</f>
        <v>20.750312696153749</v>
      </c>
      <c r="E7" s="121">
        <f>'Ann 4'!F34/100000</f>
        <v>24.46852617526914</v>
      </c>
      <c r="F7" s="121">
        <f>'Ann 4'!G34/100000</f>
        <v>27.928901132249571</v>
      </c>
      <c r="G7" s="121">
        <f>'Ann 4'!H34/100000</f>
        <v>36.61245242235789</v>
      </c>
      <c r="H7" s="121">
        <f>'Ann 4'!I34/100000</f>
        <v>39.887428547629163</v>
      </c>
      <c r="I7" s="121">
        <f>'Ann 4'!J34/100000</f>
        <v>42.748811167610036</v>
      </c>
      <c r="J7" s="121">
        <f>'Ann 4'!K34/100000</f>
        <v>44.442529952447337</v>
      </c>
    </row>
    <row r="8" spans="1:10" x14ac:dyDescent="0.6">
      <c r="A8" s="6" t="s">
        <v>188</v>
      </c>
      <c r="B8" s="121">
        <f>'Ann 4'!C36/100000</f>
        <v>3.0422381730769223</v>
      </c>
      <c r="C8" s="121">
        <f>'Ann 4'!D36/100000</f>
        <v>11.737297923077131</v>
      </c>
      <c r="D8" s="121">
        <f>'Ann 4'!E36/100000</f>
        <v>14.525218887307625</v>
      </c>
      <c r="E8" s="121">
        <f>'Ann 4'!F36/100000</f>
        <v>17.127968322688396</v>
      </c>
      <c r="F8" s="121">
        <f>'Ann 4'!G36/100000</f>
        <v>19.550230792574702</v>
      </c>
      <c r="G8" s="121">
        <f>'Ann 4'!H36/100000</f>
        <v>25.628716695650528</v>
      </c>
      <c r="H8" s="121">
        <f>'Ann 4'!I36/100000</f>
        <v>27.921199983340415</v>
      </c>
      <c r="I8" s="121">
        <f>'Ann 4'!J36/100000</f>
        <v>29.924167817327028</v>
      </c>
      <c r="J8" s="121">
        <f>'Ann 4'!K36/100000</f>
        <v>31.109770966713139</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35DA7-00E0-4D15-8196-E2CB4C255341}">
  <sheetPr>
    <pageSetUpPr fitToPage="1"/>
  </sheetPr>
  <dimension ref="A1:L9"/>
  <sheetViews>
    <sheetView workbookViewId="0"/>
  </sheetViews>
  <sheetFormatPr defaultRowHeight="17" x14ac:dyDescent="0.6"/>
  <cols>
    <col min="1" max="1" width="8.7265625" style="6"/>
    <col min="2" max="2" width="84" style="6" bestFit="1" customWidth="1"/>
    <col min="3" max="3" width="12.36328125" style="6" bestFit="1" customWidth="1"/>
    <col min="4" max="12" width="12.54296875" style="6" bestFit="1" customWidth="1"/>
    <col min="13" max="16384" width="8.7265625" style="6"/>
  </cols>
  <sheetData>
    <row r="1" spans="1:12" x14ac:dyDescent="0.6">
      <c r="A1" s="5" t="s">
        <v>208</v>
      </c>
      <c r="B1" s="5" t="s">
        <v>209</v>
      </c>
    </row>
    <row r="2" spans="1:12" x14ac:dyDescent="0.6">
      <c r="A2" s="6">
        <v>1</v>
      </c>
      <c r="B2" s="6" t="s">
        <v>300</v>
      </c>
    </row>
    <row r="3" spans="1:12" x14ac:dyDescent="0.6">
      <c r="A3" s="6">
        <v>2</v>
      </c>
      <c r="B3" s="6" t="s">
        <v>210</v>
      </c>
    </row>
    <row r="4" spans="1:12" x14ac:dyDescent="0.6">
      <c r="C4" s="6" t="s">
        <v>163</v>
      </c>
      <c r="D4" s="6">
        <v>75000</v>
      </c>
      <c r="E4" s="6">
        <f>D4*1.05</f>
        <v>78750</v>
      </c>
      <c r="F4" s="6">
        <f t="shared" ref="F4:J4" si="0">E4*1.05</f>
        <v>82687.5</v>
      </c>
      <c r="G4" s="6">
        <f t="shared" si="0"/>
        <v>86821.875</v>
      </c>
      <c r="H4" s="6">
        <f t="shared" si="0"/>
        <v>91162.96875</v>
      </c>
      <c r="I4" s="6">
        <f t="shared" si="0"/>
        <v>95721.1171875</v>
      </c>
      <c r="J4" s="6">
        <f t="shared" si="0"/>
        <v>100507.173046875</v>
      </c>
      <c r="K4" s="6">
        <f>J4</f>
        <v>100507.173046875</v>
      </c>
      <c r="L4" s="6">
        <f>K4</f>
        <v>100507.173046875</v>
      </c>
    </row>
    <row r="5" spans="1:12" x14ac:dyDescent="0.6">
      <c r="C5" s="6" t="s">
        <v>69</v>
      </c>
      <c r="D5" s="6">
        <f>D4*14</f>
        <v>1050000</v>
      </c>
      <c r="E5" s="6">
        <f t="shared" ref="E5:L5" si="1">E4*14</f>
        <v>1102500</v>
      </c>
      <c r="F5" s="6">
        <f t="shared" si="1"/>
        <v>1157625</v>
      </c>
      <c r="G5" s="6">
        <f t="shared" si="1"/>
        <v>1215506.25</v>
      </c>
      <c r="H5" s="6">
        <f t="shared" si="1"/>
        <v>1276281.5625</v>
      </c>
      <c r="I5" s="6">
        <f t="shared" si="1"/>
        <v>1340095.640625</v>
      </c>
      <c r="J5" s="6">
        <f t="shared" si="1"/>
        <v>1407100.42265625</v>
      </c>
      <c r="K5" s="6">
        <f t="shared" si="1"/>
        <v>1407100.42265625</v>
      </c>
      <c r="L5" s="6">
        <f t="shared" si="1"/>
        <v>1407100.42265625</v>
      </c>
    </row>
    <row r="6" spans="1:12" x14ac:dyDescent="0.6">
      <c r="A6" s="6">
        <v>3</v>
      </c>
      <c r="B6" s="6" t="s">
        <v>260</v>
      </c>
    </row>
    <row r="7" spans="1:12" x14ac:dyDescent="0.6">
      <c r="A7" s="6">
        <v>4</v>
      </c>
      <c r="B7" s="6" t="s">
        <v>271</v>
      </c>
    </row>
    <row r="8" spans="1:12" x14ac:dyDescent="0.6">
      <c r="A8" s="6">
        <v>5</v>
      </c>
      <c r="B8" s="6" t="s">
        <v>247</v>
      </c>
    </row>
    <row r="9" spans="1:12" x14ac:dyDescent="0.6">
      <c r="A9" s="6">
        <v>6</v>
      </c>
      <c r="B9" s="6" t="s">
        <v>299</v>
      </c>
    </row>
  </sheetData>
  <pageMargins left="0.7" right="0.7" top="0.75" bottom="0.75" header="0.3" footer="0.3"/>
  <pageSetup scale="56"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78DE0-72C3-4C7B-BCE1-80ED309267B8}">
  <dimension ref="A1:K7"/>
  <sheetViews>
    <sheetView workbookViewId="0">
      <selection activeCell="C5" sqref="C5"/>
    </sheetView>
  </sheetViews>
  <sheetFormatPr defaultRowHeight="14.5" x14ac:dyDescent="0.35"/>
  <cols>
    <col min="3" max="3" width="8.81640625" bestFit="1" customWidth="1"/>
    <col min="4" max="5" width="11.81640625" bestFit="1" customWidth="1"/>
    <col min="6" max="6" width="9.81640625" bestFit="1" customWidth="1"/>
    <col min="7" max="11" width="11.81640625" bestFit="1" customWidth="1"/>
  </cols>
  <sheetData>
    <row r="1" spans="1:11" x14ac:dyDescent="0.35">
      <c r="A1" t="s">
        <v>133</v>
      </c>
    </row>
    <row r="2" spans="1:11" x14ac:dyDescent="0.35">
      <c r="C2" t="s">
        <v>38</v>
      </c>
      <c r="D2" t="s">
        <v>39</v>
      </c>
      <c r="E2" t="s">
        <v>40</v>
      </c>
      <c r="F2" t="s">
        <v>41</v>
      </c>
      <c r="G2" t="s">
        <v>42</v>
      </c>
      <c r="H2" t="s">
        <v>43</v>
      </c>
      <c r="I2" t="s">
        <v>44</v>
      </c>
      <c r="J2" t="s">
        <v>45</v>
      </c>
      <c r="K2" t="s">
        <v>46</v>
      </c>
    </row>
    <row r="3" spans="1:11" x14ac:dyDescent="0.35">
      <c r="A3" t="s">
        <v>134</v>
      </c>
      <c r="C3">
        <f>'Ann 4'!C23/300*270</f>
        <v>162625320</v>
      </c>
      <c r="D3">
        <f>'Ann 4'!D23/300*270</f>
        <v>193795173.00000003</v>
      </c>
      <c r="E3">
        <f>'Ann 4'!E23/300*270</f>
        <v>208702494.00000003</v>
      </c>
      <c r="F3">
        <f>'Ann 4'!F23/300*270</f>
        <v>223609815.00000003</v>
      </c>
      <c r="G3">
        <f>'Ann 4'!G23/300*270</f>
        <v>238517136</v>
      </c>
      <c r="H3">
        <f>'Ann 4'!H23/300*270</f>
        <v>258544143</v>
      </c>
      <c r="I3">
        <f>'Ann 4'!I23/300*270</f>
        <v>273752622</v>
      </c>
      <c r="J3">
        <f>'Ann 4'!J23/300*270</f>
        <v>288961101</v>
      </c>
      <c r="K3">
        <f>'Ann 4'!K23/300*270</f>
        <v>303567264</v>
      </c>
    </row>
    <row r="4" spans="1:11" x14ac:dyDescent="0.35">
      <c r="A4" t="s">
        <v>135</v>
      </c>
      <c r="C4">
        <v>5000000</v>
      </c>
    </row>
    <row r="5" spans="1:11" x14ac:dyDescent="0.35">
      <c r="A5" t="s">
        <v>136</v>
      </c>
      <c r="C5">
        <v>21492978</v>
      </c>
    </row>
    <row r="7" spans="1:11" x14ac:dyDescent="0.35">
      <c r="A7" t="s">
        <v>137</v>
      </c>
      <c r="C7">
        <f>'Ann 3'!E22</f>
        <v>5035000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3A738-A431-4FFB-9E48-2908CC4F126C}">
  <dimension ref="A1:C40"/>
  <sheetViews>
    <sheetView topLeftCell="A27" workbookViewId="0">
      <selection activeCell="C38" sqref="C38"/>
    </sheetView>
  </sheetViews>
  <sheetFormatPr defaultRowHeight="17" x14ac:dyDescent="0.6"/>
  <cols>
    <col min="1" max="1" width="8.7265625" style="6"/>
    <col min="2" max="2" width="44.90625" style="6" customWidth="1"/>
    <col min="3" max="3" width="13.26953125" style="6" customWidth="1"/>
    <col min="4" max="16384" width="8.7265625" style="6"/>
  </cols>
  <sheetData>
    <row r="1" spans="1:3" x14ac:dyDescent="0.6">
      <c r="A1" s="5" t="s">
        <v>211</v>
      </c>
    </row>
    <row r="3" spans="1:3" x14ac:dyDescent="0.6">
      <c r="A3" s="5" t="s">
        <v>0</v>
      </c>
    </row>
    <row r="5" spans="1:3" x14ac:dyDescent="0.6">
      <c r="A5" s="7" t="s">
        <v>1</v>
      </c>
      <c r="B5" s="8"/>
      <c r="C5" s="9"/>
    </row>
    <row r="6" spans="1:3" ht="34" x14ac:dyDescent="0.6">
      <c r="A6" s="10" t="s">
        <v>2</v>
      </c>
      <c r="B6" s="10" t="s">
        <v>3</v>
      </c>
      <c r="C6" s="11" t="s">
        <v>4</v>
      </c>
    </row>
    <row r="7" spans="1:3" x14ac:dyDescent="0.6">
      <c r="A7" s="12">
        <v>1</v>
      </c>
      <c r="B7" s="13" t="s">
        <v>6</v>
      </c>
      <c r="C7" s="14"/>
    </row>
    <row r="8" spans="1:3" x14ac:dyDescent="0.6">
      <c r="A8" s="12" t="s">
        <v>5</v>
      </c>
      <c r="B8" s="13" t="s">
        <v>7</v>
      </c>
      <c r="C8" s="15">
        <v>0</v>
      </c>
    </row>
    <row r="9" spans="1:3" x14ac:dyDescent="0.6">
      <c r="A9" s="12"/>
      <c r="B9" s="16" t="s">
        <v>8</v>
      </c>
      <c r="C9" s="17">
        <f>SUM(C8)</f>
        <v>0</v>
      </c>
    </row>
    <row r="10" spans="1:3" x14ac:dyDescent="0.6">
      <c r="A10" s="12"/>
      <c r="B10" s="13"/>
      <c r="C10" s="14"/>
    </row>
    <row r="11" spans="1:3" x14ac:dyDescent="0.6">
      <c r="A11" s="12">
        <v>2</v>
      </c>
      <c r="B11" s="13" t="s">
        <v>157</v>
      </c>
      <c r="C11" s="15">
        <v>0</v>
      </c>
    </row>
    <row r="12" spans="1:3" x14ac:dyDescent="0.6">
      <c r="A12" s="12" t="s">
        <v>5</v>
      </c>
      <c r="B12" s="16" t="s">
        <v>8</v>
      </c>
      <c r="C12" s="17">
        <f>C11</f>
        <v>0</v>
      </c>
    </row>
    <row r="13" spans="1:3" x14ac:dyDescent="0.6">
      <c r="A13" s="12"/>
      <c r="B13" s="13"/>
      <c r="C13" s="14"/>
    </row>
    <row r="14" spans="1:3" x14ac:dyDescent="0.6">
      <c r="A14" s="12">
        <v>3</v>
      </c>
      <c r="B14" s="13" t="s">
        <v>9</v>
      </c>
      <c r="C14" s="14"/>
    </row>
    <row r="15" spans="1:3" x14ac:dyDescent="0.6">
      <c r="A15" s="12" t="s">
        <v>5</v>
      </c>
      <c r="B15" s="13" t="s">
        <v>9</v>
      </c>
      <c r="C15" s="15">
        <f>(3000*400)/100000</f>
        <v>12</v>
      </c>
    </row>
    <row r="16" spans="1:3" x14ac:dyDescent="0.6">
      <c r="A16" s="12"/>
      <c r="B16" s="16" t="s">
        <v>8</v>
      </c>
      <c r="C16" s="18">
        <f>C15</f>
        <v>12</v>
      </c>
    </row>
    <row r="17" spans="1:3" x14ac:dyDescent="0.6">
      <c r="A17" s="12"/>
      <c r="B17" s="13"/>
      <c r="C17" s="14"/>
    </row>
    <row r="18" spans="1:3" x14ac:dyDescent="0.6">
      <c r="A18" s="12">
        <v>4</v>
      </c>
      <c r="B18" s="13" t="s">
        <v>10</v>
      </c>
      <c r="C18" s="14"/>
    </row>
    <row r="19" spans="1:3" x14ac:dyDescent="0.6">
      <c r="A19" s="12" t="s">
        <v>5</v>
      </c>
      <c r="B19" s="13" t="s">
        <v>11</v>
      </c>
      <c r="C19" s="19">
        <f>'Ann 3'!E18/100000</f>
        <v>35.35</v>
      </c>
    </row>
    <row r="20" spans="1:3" x14ac:dyDescent="0.6">
      <c r="A20" s="12"/>
      <c r="B20" s="16" t="s">
        <v>8</v>
      </c>
      <c r="C20" s="20">
        <f>C19</f>
        <v>35.35</v>
      </c>
    </row>
    <row r="21" spans="1:3" x14ac:dyDescent="0.6">
      <c r="A21" s="12"/>
      <c r="B21" s="13"/>
      <c r="C21" s="14"/>
    </row>
    <row r="22" spans="1:3" x14ac:dyDescent="0.6">
      <c r="A22" s="12">
        <v>5</v>
      </c>
      <c r="B22" s="13" t="s">
        <v>12</v>
      </c>
      <c r="C22" s="14"/>
    </row>
    <row r="23" spans="1:3" x14ac:dyDescent="0.6">
      <c r="A23" s="12" t="s">
        <v>5</v>
      </c>
      <c r="B23" s="13" t="s">
        <v>13</v>
      </c>
      <c r="C23" s="15">
        <f>'Ann 3'!E20/100000</f>
        <v>3</v>
      </c>
    </row>
    <row r="24" spans="1:3" x14ac:dyDescent="0.6">
      <c r="A24" s="12"/>
      <c r="B24" s="13"/>
      <c r="C24" s="15"/>
    </row>
    <row r="25" spans="1:3" x14ac:dyDescent="0.6">
      <c r="A25" s="12">
        <v>6</v>
      </c>
      <c r="B25" s="13" t="s">
        <v>14</v>
      </c>
      <c r="C25" s="15">
        <v>4.0999999999999996</v>
      </c>
    </row>
    <row r="26" spans="1:3" x14ac:dyDescent="0.6">
      <c r="A26" s="12"/>
      <c r="B26" s="13"/>
      <c r="C26" s="15"/>
    </row>
    <row r="27" spans="1:3" x14ac:dyDescent="0.6">
      <c r="A27" s="12">
        <v>7</v>
      </c>
      <c r="B27" s="13" t="s">
        <v>15</v>
      </c>
      <c r="C27" s="15">
        <v>0</v>
      </c>
    </row>
    <row r="28" spans="1:3" x14ac:dyDescent="0.6">
      <c r="A28" s="12" t="s">
        <v>5</v>
      </c>
      <c r="B28" s="13" t="s">
        <v>16</v>
      </c>
      <c r="C28" s="15">
        <v>0</v>
      </c>
    </row>
    <row r="29" spans="1:3" x14ac:dyDescent="0.6">
      <c r="A29" s="12"/>
      <c r="B29" s="16" t="s">
        <v>8</v>
      </c>
      <c r="C29" s="17">
        <f>SUM(C27:C28)</f>
        <v>0</v>
      </c>
    </row>
    <row r="30" spans="1:3" x14ac:dyDescent="0.6">
      <c r="A30" s="12"/>
      <c r="B30" s="13"/>
      <c r="C30" s="15"/>
    </row>
    <row r="31" spans="1:3" x14ac:dyDescent="0.6">
      <c r="A31" s="12">
        <v>8</v>
      </c>
      <c r="B31" s="13" t="s">
        <v>17</v>
      </c>
      <c r="C31" s="14"/>
    </row>
    <row r="32" spans="1:3" ht="34" x14ac:dyDescent="0.6">
      <c r="A32" s="12"/>
      <c r="B32" s="21" t="s">
        <v>18</v>
      </c>
      <c r="C32" s="14"/>
    </row>
    <row r="33" spans="1:3" x14ac:dyDescent="0.6">
      <c r="A33" s="12" t="s">
        <v>5</v>
      </c>
      <c r="B33" s="13" t="s">
        <v>19</v>
      </c>
      <c r="C33" s="15"/>
    </row>
    <row r="34" spans="1:3" x14ac:dyDescent="0.6">
      <c r="A34" s="12" t="s">
        <v>20</v>
      </c>
      <c r="B34" s="13" t="s">
        <v>21</v>
      </c>
      <c r="C34" s="15">
        <v>1</v>
      </c>
    </row>
    <row r="35" spans="1:3" x14ac:dyDescent="0.6">
      <c r="A35" s="12"/>
      <c r="B35" s="16" t="s">
        <v>8</v>
      </c>
      <c r="C35" s="17">
        <f>C34</f>
        <v>1</v>
      </c>
    </row>
    <row r="36" spans="1:3" x14ac:dyDescent="0.6">
      <c r="A36" s="12"/>
      <c r="B36" s="13"/>
      <c r="C36" s="15"/>
    </row>
    <row r="37" spans="1:3" s="5" customFormat="1" x14ac:dyDescent="0.6">
      <c r="A37" s="22"/>
      <c r="B37" s="23" t="s">
        <v>22</v>
      </c>
      <c r="C37" s="24">
        <f>C35+C29+C25+C20+C16+C23+C12+C9</f>
        <v>55.45</v>
      </c>
    </row>
    <row r="38" spans="1:3" x14ac:dyDescent="0.6">
      <c r="A38" s="25"/>
    </row>
    <row r="39" spans="1:3" x14ac:dyDescent="0.6">
      <c r="A39" s="25"/>
    </row>
    <row r="40" spans="1:3" x14ac:dyDescent="0.6">
      <c r="A40" s="2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D81CD-D127-4212-A91B-7CC6FC2C782F}">
  <dimension ref="A1:D8"/>
  <sheetViews>
    <sheetView workbookViewId="0">
      <selection activeCell="C7" sqref="C7"/>
    </sheetView>
  </sheetViews>
  <sheetFormatPr defaultRowHeight="17" x14ac:dyDescent="0.6"/>
  <cols>
    <col min="1" max="1" width="6.36328125" style="6" bestFit="1" customWidth="1"/>
    <col min="2" max="2" width="22.08984375" style="6" customWidth="1"/>
    <col min="3" max="3" width="18.81640625" style="6" bestFit="1" customWidth="1"/>
    <col min="4" max="16384" width="8.7265625" style="6"/>
  </cols>
  <sheetData>
    <row r="1" spans="1:4" x14ac:dyDescent="0.6">
      <c r="A1" s="5" t="s">
        <v>23</v>
      </c>
    </row>
    <row r="3" spans="1:4" s="5" customFormat="1" x14ac:dyDescent="0.6">
      <c r="A3" s="131" t="s">
        <v>24</v>
      </c>
      <c r="B3" s="132" t="s">
        <v>25</v>
      </c>
      <c r="C3" s="133" t="s">
        <v>4</v>
      </c>
    </row>
    <row r="4" spans="1:4" x14ac:dyDescent="0.6">
      <c r="A4" s="26">
        <v>1</v>
      </c>
      <c r="B4" s="27" t="s">
        <v>26</v>
      </c>
      <c r="C4" s="135">
        <f>C8*10%</f>
        <v>5.5450000000000008</v>
      </c>
      <c r="D4" s="29"/>
    </row>
    <row r="5" spans="1:4" x14ac:dyDescent="0.6">
      <c r="A5" s="26">
        <v>2</v>
      </c>
      <c r="B5" s="27" t="s">
        <v>27</v>
      </c>
      <c r="C5" s="28">
        <v>0</v>
      </c>
      <c r="D5" s="30"/>
    </row>
    <row r="6" spans="1:4" x14ac:dyDescent="0.6">
      <c r="A6" s="26">
        <v>3</v>
      </c>
      <c r="B6" s="27" t="s">
        <v>28</v>
      </c>
      <c r="C6" s="136">
        <f>C8-C4-C7</f>
        <v>45.805</v>
      </c>
      <c r="D6" s="29"/>
    </row>
    <row r="7" spans="1:4" x14ac:dyDescent="0.6">
      <c r="A7" s="26">
        <v>4</v>
      </c>
      <c r="B7" s="27" t="s">
        <v>29</v>
      </c>
      <c r="C7" s="19">
        <f>'Ann 1'!C25</f>
        <v>4.0999999999999996</v>
      </c>
      <c r="D7" s="29"/>
    </row>
    <row r="8" spans="1:4" s="5" customFormat="1" x14ac:dyDescent="0.6">
      <c r="A8" s="50"/>
      <c r="B8" s="51" t="s">
        <v>8</v>
      </c>
      <c r="C8" s="130">
        <f>'Ann 1'!C37</f>
        <v>55.45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B2858-CA67-4C56-BFC5-E2781F80B181}">
  <sheetPr>
    <pageSetUpPr fitToPage="1"/>
  </sheetPr>
  <dimension ref="A1:F24"/>
  <sheetViews>
    <sheetView topLeftCell="A6" workbookViewId="0">
      <selection activeCell="B15" sqref="B15"/>
    </sheetView>
  </sheetViews>
  <sheetFormatPr defaultRowHeight="17" x14ac:dyDescent="0.6"/>
  <cols>
    <col min="1" max="1" width="2.81640625" style="6" bestFit="1" customWidth="1"/>
    <col min="2" max="2" width="90.1796875" style="6" bestFit="1" customWidth="1"/>
    <col min="3" max="3" width="8.7265625" style="6"/>
    <col min="4" max="4" width="10.54296875" style="6" customWidth="1"/>
    <col min="5" max="5" width="12.1796875" style="6" bestFit="1" customWidth="1"/>
    <col min="6" max="6" width="8.7265625" style="6"/>
    <col min="7" max="7" width="9.1796875" style="6" bestFit="1" customWidth="1"/>
    <col min="8" max="16384" width="8.7265625" style="6"/>
  </cols>
  <sheetData>
    <row r="1" spans="1:5" x14ac:dyDescent="0.6">
      <c r="A1" s="5" t="s">
        <v>30</v>
      </c>
    </row>
    <row r="3" spans="1:5" x14ac:dyDescent="0.6">
      <c r="A3" s="33" t="s">
        <v>232</v>
      </c>
      <c r="B3" s="8"/>
      <c r="C3" s="8" t="s">
        <v>31</v>
      </c>
      <c r="D3" s="8"/>
      <c r="E3" s="9" t="s">
        <v>32</v>
      </c>
    </row>
    <row r="4" spans="1:5" x14ac:dyDescent="0.6">
      <c r="A4" s="37">
        <v>1</v>
      </c>
      <c r="B4" s="38" t="s">
        <v>242</v>
      </c>
      <c r="C4" s="39">
        <v>1</v>
      </c>
      <c r="D4" s="40"/>
      <c r="E4" s="41">
        <f>'Ann 1'!C15*100000</f>
        <v>1200000</v>
      </c>
    </row>
    <row r="5" spans="1:5" x14ac:dyDescent="0.6">
      <c r="A5" s="42" t="s">
        <v>233</v>
      </c>
      <c r="B5" s="43"/>
      <c r="C5" s="43"/>
      <c r="D5" s="43"/>
      <c r="E5" s="44">
        <f>SUM(E4:E4)</f>
        <v>1200000</v>
      </c>
    </row>
    <row r="6" spans="1:5" x14ac:dyDescent="0.6">
      <c r="A6" s="31"/>
      <c r="B6" s="32"/>
      <c r="C6" s="32"/>
      <c r="D6" s="32"/>
      <c r="E6" s="45"/>
    </row>
    <row r="7" spans="1:5" x14ac:dyDescent="0.6">
      <c r="A7" s="33" t="s">
        <v>311</v>
      </c>
      <c r="B7" s="8"/>
      <c r="C7" s="8" t="s">
        <v>31</v>
      </c>
      <c r="D7" s="8"/>
      <c r="E7" s="9" t="s">
        <v>32</v>
      </c>
    </row>
    <row r="8" spans="1:5" x14ac:dyDescent="0.6">
      <c r="A8" s="6">
        <v>1</v>
      </c>
      <c r="B8" s="25" t="s">
        <v>307</v>
      </c>
      <c r="C8" s="39">
        <v>1</v>
      </c>
      <c r="D8" s="40"/>
      <c r="E8" s="49">
        <v>100000</v>
      </c>
    </row>
    <row r="9" spans="1:5" x14ac:dyDescent="0.6">
      <c r="A9" s="6">
        <v>2</v>
      </c>
      <c r="B9" s="25" t="s">
        <v>306</v>
      </c>
      <c r="C9" s="46">
        <v>1</v>
      </c>
      <c r="D9" s="47"/>
      <c r="E9" s="48">
        <v>250000</v>
      </c>
    </row>
    <row r="10" spans="1:5" x14ac:dyDescent="0.6">
      <c r="A10" s="6">
        <v>3</v>
      </c>
      <c r="B10" s="25" t="s">
        <v>305</v>
      </c>
      <c r="C10" s="46">
        <v>1</v>
      </c>
      <c r="D10" s="47"/>
      <c r="E10" s="49">
        <v>200000</v>
      </c>
    </row>
    <row r="11" spans="1:5" x14ac:dyDescent="0.6">
      <c r="A11" s="6">
        <v>4</v>
      </c>
      <c r="B11" s="25" t="s">
        <v>302</v>
      </c>
      <c r="C11" s="46">
        <v>1</v>
      </c>
      <c r="D11" s="47"/>
      <c r="E11" s="49">
        <v>600000</v>
      </c>
    </row>
    <row r="12" spans="1:5" x14ac:dyDescent="0.6">
      <c r="A12" s="6">
        <v>5</v>
      </c>
      <c r="B12" s="25" t="s">
        <v>274</v>
      </c>
      <c r="C12" s="46">
        <v>1</v>
      </c>
      <c r="D12" s="47"/>
      <c r="E12" s="49">
        <v>200000</v>
      </c>
    </row>
    <row r="13" spans="1:5" x14ac:dyDescent="0.6">
      <c r="A13" s="6">
        <v>6</v>
      </c>
      <c r="B13" s="25" t="s">
        <v>303</v>
      </c>
      <c r="C13" s="46">
        <v>1</v>
      </c>
      <c r="D13" s="47"/>
      <c r="E13" s="49">
        <v>1600000</v>
      </c>
    </row>
    <row r="14" spans="1:5" x14ac:dyDescent="0.6">
      <c r="A14" s="6">
        <v>7</v>
      </c>
      <c r="B14" s="25" t="s">
        <v>304</v>
      </c>
      <c r="C14" s="46">
        <v>1</v>
      </c>
      <c r="D14" s="47"/>
      <c r="E14" s="49">
        <v>150000</v>
      </c>
    </row>
    <row r="15" spans="1:5" x14ac:dyDescent="0.6">
      <c r="A15" s="6">
        <v>8</v>
      </c>
      <c r="B15" s="25" t="s">
        <v>308</v>
      </c>
      <c r="C15" s="46">
        <v>1</v>
      </c>
      <c r="D15" s="47"/>
      <c r="E15" s="49">
        <v>85000</v>
      </c>
    </row>
    <row r="16" spans="1:5" x14ac:dyDescent="0.6">
      <c r="A16" s="6">
        <v>9</v>
      </c>
      <c r="B16" s="25" t="s">
        <v>309</v>
      </c>
      <c r="C16" s="46">
        <v>1</v>
      </c>
      <c r="D16" s="47"/>
      <c r="E16" s="49">
        <v>50000</v>
      </c>
    </row>
    <row r="17" spans="1:6" x14ac:dyDescent="0.6">
      <c r="A17" s="6">
        <v>10</v>
      </c>
      <c r="B17" s="25" t="s">
        <v>313</v>
      </c>
      <c r="C17" s="46">
        <v>1</v>
      </c>
      <c r="D17" s="47"/>
      <c r="E17" s="49">
        <v>300000</v>
      </c>
    </row>
    <row r="18" spans="1:6" s="5" customFormat="1" x14ac:dyDescent="0.6">
      <c r="A18" s="50" t="s">
        <v>33</v>
      </c>
      <c r="B18" s="51"/>
      <c r="C18" s="51"/>
      <c r="D18" s="51"/>
      <c r="E18" s="52">
        <f>SUM(E8:E17)</f>
        <v>3535000</v>
      </c>
      <c r="F18" s="53"/>
    </row>
    <row r="19" spans="1:6" x14ac:dyDescent="0.6">
      <c r="A19" s="26"/>
      <c r="B19" s="27"/>
      <c r="C19" s="27"/>
      <c r="D19" s="27"/>
      <c r="E19" s="14"/>
    </row>
    <row r="20" spans="1:6" x14ac:dyDescent="0.6">
      <c r="A20" s="33" t="s">
        <v>241</v>
      </c>
      <c r="B20" s="8"/>
      <c r="C20" s="8"/>
      <c r="D20" s="8"/>
      <c r="E20" s="56">
        <v>300000</v>
      </c>
    </row>
    <row r="21" spans="1:6" x14ac:dyDescent="0.6">
      <c r="A21" s="26"/>
      <c r="B21" s="27"/>
      <c r="C21" s="27"/>
      <c r="D21" s="27"/>
      <c r="E21" s="14"/>
    </row>
    <row r="22" spans="1:6" s="5" customFormat="1" x14ac:dyDescent="0.6">
      <c r="A22" s="50" t="s">
        <v>34</v>
      </c>
      <c r="B22" s="51"/>
      <c r="C22" s="51"/>
      <c r="D22" s="51"/>
      <c r="E22" s="52">
        <f>E18+E5+E20</f>
        <v>5035000</v>
      </c>
    </row>
    <row r="23" spans="1:6" x14ac:dyDescent="0.6">
      <c r="E23" s="54"/>
    </row>
    <row r="24" spans="1:6" x14ac:dyDescent="0.6">
      <c r="A24" s="6" t="s">
        <v>312</v>
      </c>
      <c r="E24" s="55"/>
    </row>
  </sheetData>
  <pageMargins left="0.7" right="0.7" top="0.75" bottom="0.75" header="0.3" footer="0.3"/>
  <pageSetup scale="98"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B6FA6-76E6-4673-8AD3-A2A7C9EA52B0}">
  <sheetPr>
    <pageSetUpPr fitToPage="1"/>
  </sheetPr>
  <dimension ref="A1:K46"/>
  <sheetViews>
    <sheetView topLeftCell="A17" workbookViewId="0">
      <selection activeCell="D36" sqref="D36"/>
    </sheetView>
  </sheetViews>
  <sheetFormatPr defaultRowHeight="17" x14ac:dyDescent="0.6"/>
  <cols>
    <col min="1" max="1" width="8.7265625" style="6"/>
    <col min="2" max="2" width="55.7265625" style="6" bestFit="1" customWidth="1"/>
    <col min="3" max="3" width="19.08984375" style="6" bestFit="1" customWidth="1"/>
    <col min="4" max="11" width="15.6328125" style="6" bestFit="1" customWidth="1"/>
    <col min="12" max="16384" width="8.7265625" style="6"/>
  </cols>
  <sheetData>
    <row r="1" spans="1:11" x14ac:dyDescent="0.6">
      <c r="A1" s="5" t="s">
        <v>35</v>
      </c>
    </row>
    <row r="3" spans="1:11" x14ac:dyDescent="0.6">
      <c r="A3" s="140" t="s">
        <v>36</v>
      </c>
      <c r="B3" s="138" t="s">
        <v>37</v>
      </c>
      <c r="C3" s="137" t="s">
        <v>47</v>
      </c>
      <c r="D3" s="137"/>
      <c r="E3" s="137"/>
      <c r="F3" s="137"/>
      <c r="G3" s="137"/>
      <c r="H3" s="137"/>
      <c r="I3" s="137"/>
      <c r="J3" s="137"/>
      <c r="K3" s="137"/>
    </row>
    <row r="4" spans="1:11" x14ac:dyDescent="0.6">
      <c r="A4" s="141"/>
      <c r="B4" s="139"/>
      <c r="C4" s="61" t="s">
        <v>38</v>
      </c>
      <c r="D4" s="61" t="s">
        <v>39</v>
      </c>
      <c r="E4" s="61" t="s">
        <v>40</v>
      </c>
      <c r="F4" s="61" t="s">
        <v>41</v>
      </c>
      <c r="G4" s="61" t="s">
        <v>42</v>
      </c>
      <c r="H4" s="61" t="s">
        <v>43</v>
      </c>
      <c r="I4" s="61" t="s">
        <v>44</v>
      </c>
      <c r="J4" s="61" t="s">
        <v>45</v>
      </c>
      <c r="K4" s="61" t="s">
        <v>46</v>
      </c>
    </row>
    <row r="5" spans="1:11" x14ac:dyDescent="0.6">
      <c r="A5" s="34"/>
      <c r="B5" s="34" t="s">
        <v>48</v>
      </c>
      <c r="C5" s="34">
        <v>12</v>
      </c>
      <c r="D5" s="34">
        <v>12</v>
      </c>
      <c r="E5" s="34">
        <v>12</v>
      </c>
      <c r="F5" s="34">
        <v>12</v>
      </c>
      <c r="G5" s="34">
        <v>12</v>
      </c>
      <c r="H5" s="34">
        <v>12</v>
      </c>
      <c r="I5" s="34">
        <v>12</v>
      </c>
      <c r="J5" s="34">
        <v>12</v>
      </c>
      <c r="K5" s="34">
        <v>12</v>
      </c>
    </row>
    <row r="6" spans="1:11" x14ac:dyDescent="0.6">
      <c r="A6" s="34"/>
      <c r="B6" s="34"/>
      <c r="C6" s="34"/>
      <c r="D6" s="34"/>
      <c r="E6" s="34"/>
      <c r="F6" s="34"/>
      <c r="G6" s="34"/>
      <c r="H6" s="34"/>
      <c r="I6" s="34"/>
      <c r="J6" s="34"/>
      <c r="K6" s="34"/>
    </row>
    <row r="7" spans="1:11" x14ac:dyDescent="0.6">
      <c r="A7" s="34"/>
      <c r="B7" s="34" t="s">
        <v>275</v>
      </c>
      <c r="C7" s="57">
        <f>Budgets!B6*Budgets!$D$16*1.05</f>
        <v>151200000</v>
      </c>
      <c r="D7" s="57">
        <f>Budgets!C6*Budgets!$D$16*1.1*1.05</f>
        <v>180180000</v>
      </c>
      <c r="E7" s="57">
        <f>Budgets!D6*Budgets!$D$16*1.1*1.05</f>
        <v>194040000.00000003</v>
      </c>
      <c r="F7" s="57">
        <f>Budgets!E6*Budgets!$D$16*1.1*1.05</f>
        <v>207900000.00000003</v>
      </c>
      <c r="G7" s="57">
        <f>Budgets!F6*Budgets!$D$16*1.1*1.05</f>
        <v>221760000.00000003</v>
      </c>
      <c r="H7" s="57">
        <f>Budgets!G6*Budgets!$D$16*1.1*1.05</f>
        <v>235620000.00000003</v>
      </c>
      <c r="I7" s="57">
        <f>Budgets!H6*Budgets!$D$16*1.1*1.05</f>
        <v>249480000.00000003</v>
      </c>
      <c r="J7" s="57">
        <f>Budgets!I6*Budgets!$D$16*1.1*1.05</f>
        <v>263340000.00000003</v>
      </c>
      <c r="K7" s="57">
        <f>Budgets!J6*Budgets!$D$16*1.1*1.05</f>
        <v>277200000.00000006</v>
      </c>
    </row>
    <row r="8" spans="1:11" x14ac:dyDescent="0.6">
      <c r="A8" s="34"/>
      <c r="B8" s="34" t="s">
        <v>162</v>
      </c>
      <c r="C8" s="57">
        <f>150000+C43</f>
        <v>1200000</v>
      </c>
      <c r="D8" s="57">
        <f t="shared" ref="D8:K8" si="0">150000+D43</f>
        <v>1252500</v>
      </c>
      <c r="E8" s="57">
        <f t="shared" si="0"/>
        <v>1307625</v>
      </c>
      <c r="F8" s="57">
        <f t="shared" si="0"/>
        <v>1365506.25</v>
      </c>
      <c r="G8" s="57">
        <f t="shared" si="0"/>
        <v>1426281.5625</v>
      </c>
      <c r="H8" s="57">
        <f t="shared" si="0"/>
        <v>1490095.640625</v>
      </c>
      <c r="I8" s="57">
        <f t="shared" si="0"/>
        <v>1557100.42265625</v>
      </c>
      <c r="J8" s="57">
        <f t="shared" si="0"/>
        <v>1627455.4437890626</v>
      </c>
      <c r="K8" s="57">
        <f t="shared" si="0"/>
        <v>1701328.2159785158</v>
      </c>
    </row>
    <row r="9" spans="1:11" x14ac:dyDescent="0.6">
      <c r="A9" s="34"/>
      <c r="B9" s="34" t="s">
        <v>246</v>
      </c>
      <c r="C9" s="57">
        <f>2%*'Ann 3'!E22</f>
        <v>100700</v>
      </c>
      <c r="D9" s="57">
        <f>C9*1.05</f>
        <v>105735</v>
      </c>
      <c r="E9" s="57">
        <f t="shared" ref="E9:K9" si="1">D9*1.05</f>
        <v>111021.75</v>
      </c>
      <c r="F9" s="57">
        <f t="shared" si="1"/>
        <v>116572.83750000001</v>
      </c>
      <c r="G9" s="57">
        <f t="shared" si="1"/>
        <v>122401.47937500001</v>
      </c>
      <c r="H9" s="57">
        <f t="shared" si="1"/>
        <v>128521.55334375001</v>
      </c>
      <c r="I9" s="57">
        <f t="shared" si="1"/>
        <v>134947.6310109375</v>
      </c>
      <c r="J9" s="57">
        <f t="shared" si="1"/>
        <v>141695.01256148439</v>
      </c>
      <c r="K9" s="57">
        <f t="shared" si="1"/>
        <v>148779.76318955861</v>
      </c>
    </row>
    <row r="10" spans="1:11" x14ac:dyDescent="0.6">
      <c r="A10" s="34"/>
      <c r="B10" s="34" t="s">
        <v>317</v>
      </c>
      <c r="C10" s="57">
        <f>C7*15%</f>
        <v>22680000</v>
      </c>
      <c r="D10" s="57">
        <f t="shared" ref="D10:K10" si="2">D7*15%</f>
        <v>27027000</v>
      </c>
      <c r="E10" s="57">
        <f t="shared" si="2"/>
        <v>29106000.000000004</v>
      </c>
      <c r="F10" s="57">
        <f t="shared" si="2"/>
        <v>31185000.000000004</v>
      </c>
      <c r="G10" s="57">
        <f t="shared" si="2"/>
        <v>33264000.000000004</v>
      </c>
      <c r="H10" s="57">
        <f t="shared" si="2"/>
        <v>35343000</v>
      </c>
      <c r="I10" s="57">
        <f t="shared" si="2"/>
        <v>37422000</v>
      </c>
      <c r="J10" s="57">
        <f t="shared" si="2"/>
        <v>39501000</v>
      </c>
      <c r="K10" s="57">
        <f t="shared" si="2"/>
        <v>41580000.000000007</v>
      </c>
    </row>
    <row r="11" spans="1:11" x14ac:dyDescent="0.6">
      <c r="A11" s="34"/>
      <c r="B11" s="34" t="s">
        <v>164</v>
      </c>
      <c r="C11" s="57">
        <f>SUM(C7:C10)</f>
        <v>175180700</v>
      </c>
      <c r="D11" s="57">
        <f t="shared" ref="D11:K11" si="3">SUM(D7:D10)</f>
        <v>208565235</v>
      </c>
      <c r="E11" s="57">
        <f t="shared" si="3"/>
        <v>224564646.75000003</v>
      </c>
      <c r="F11" s="57">
        <f t="shared" si="3"/>
        <v>240567079.08750004</v>
      </c>
      <c r="G11" s="57">
        <f t="shared" si="3"/>
        <v>256572683.04187503</v>
      </c>
      <c r="H11" s="57">
        <f t="shared" si="3"/>
        <v>272581617.19396877</v>
      </c>
      <c r="I11" s="57">
        <f t="shared" si="3"/>
        <v>288594048.05366719</v>
      </c>
      <c r="J11" s="57">
        <f t="shared" si="3"/>
        <v>304610150.45635056</v>
      </c>
      <c r="K11" s="57">
        <f t="shared" si="3"/>
        <v>320630107.97916812</v>
      </c>
    </row>
    <row r="12" spans="1:11" x14ac:dyDescent="0.6">
      <c r="A12" s="34"/>
      <c r="B12" s="34" t="s">
        <v>248</v>
      </c>
      <c r="C12" s="57">
        <v>0</v>
      </c>
      <c r="D12" s="57">
        <f>C13</f>
        <v>1782000</v>
      </c>
      <c r="E12" s="57">
        <f t="shared" ref="E12:K12" si="4">D13</f>
        <v>3712500</v>
      </c>
      <c r="F12" s="57">
        <f t="shared" si="4"/>
        <v>5791500</v>
      </c>
      <c r="G12" s="57">
        <f t="shared" si="4"/>
        <v>8019000</v>
      </c>
      <c r="H12" s="57">
        <f t="shared" si="4"/>
        <v>10395000</v>
      </c>
      <c r="I12" s="57">
        <f t="shared" si="4"/>
        <v>7870500</v>
      </c>
      <c r="J12" s="57">
        <f t="shared" si="4"/>
        <v>5197500</v>
      </c>
      <c r="K12" s="57">
        <f t="shared" si="4"/>
        <v>2376000</v>
      </c>
    </row>
    <row r="13" spans="1:11" x14ac:dyDescent="0.6">
      <c r="A13" s="34"/>
      <c r="B13" s="34" t="s">
        <v>249</v>
      </c>
      <c r="C13" s="57">
        <f>Budgets!B24*165</f>
        <v>1782000</v>
      </c>
      <c r="D13" s="57">
        <f>Budgets!C24*165</f>
        <v>3712500</v>
      </c>
      <c r="E13" s="57">
        <f>Budgets!D24*165</f>
        <v>5791500</v>
      </c>
      <c r="F13" s="57">
        <f>Budgets!E24*165</f>
        <v>8019000</v>
      </c>
      <c r="G13" s="57">
        <f>Budgets!F24*165</f>
        <v>10395000</v>
      </c>
      <c r="H13" s="57">
        <f>Budgets!G24*165</f>
        <v>7870500</v>
      </c>
      <c r="I13" s="57">
        <f>Budgets!H24*165</f>
        <v>5197500</v>
      </c>
      <c r="J13" s="57">
        <f>Budgets!I24*165</f>
        <v>2376000</v>
      </c>
      <c r="K13" s="57">
        <f>Budgets!J24*165</f>
        <v>0</v>
      </c>
    </row>
    <row r="14" spans="1:11" x14ac:dyDescent="0.6">
      <c r="A14" s="34"/>
      <c r="B14" s="34" t="s">
        <v>165</v>
      </c>
      <c r="C14" s="57">
        <f>C11+C12-C13</f>
        <v>173398700</v>
      </c>
      <c r="D14" s="57">
        <f t="shared" ref="D14:K14" si="5">D11+D12-D13</f>
        <v>206634735</v>
      </c>
      <c r="E14" s="57">
        <f t="shared" si="5"/>
        <v>222485646.75000003</v>
      </c>
      <c r="F14" s="57">
        <f t="shared" si="5"/>
        <v>238339579.08750004</v>
      </c>
      <c r="G14" s="57">
        <f t="shared" si="5"/>
        <v>254196683.04187503</v>
      </c>
      <c r="H14" s="57">
        <f t="shared" si="5"/>
        <v>275106117.19396877</v>
      </c>
      <c r="I14" s="57">
        <f t="shared" si="5"/>
        <v>291267048.05366719</v>
      </c>
      <c r="J14" s="57">
        <f t="shared" si="5"/>
        <v>307431650.45635056</v>
      </c>
      <c r="K14" s="57">
        <f t="shared" si="5"/>
        <v>323006107.97916812</v>
      </c>
    </row>
    <row r="15" spans="1:11" x14ac:dyDescent="0.6">
      <c r="A15" s="34"/>
      <c r="B15" s="34"/>
      <c r="C15" s="57"/>
      <c r="D15" s="57"/>
      <c r="E15" s="57"/>
      <c r="F15" s="57"/>
      <c r="G15" s="57"/>
      <c r="H15" s="57"/>
      <c r="I15" s="57"/>
      <c r="J15" s="57"/>
      <c r="K15" s="57"/>
    </row>
    <row r="16" spans="1:11" x14ac:dyDescent="0.6">
      <c r="A16" s="34"/>
      <c r="B16" s="34" t="s">
        <v>50</v>
      </c>
      <c r="C16" s="57">
        <f>'Ann 8'!E14</f>
        <v>2277600</v>
      </c>
      <c r="D16" s="57">
        <f>1.07*C16</f>
        <v>2437032</v>
      </c>
      <c r="E16" s="57">
        <f t="shared" ref="E16:K16" si="6">1.07*D16</f>
        <v>2607624.2400000002</v>
      </c>
      <c r="F16" s="57">
        <f t="shared" si="6"/>
        <v>2790157.9368000003</v>
      </c>
      <c r="G16" s="57">
        <f t="shared" si="6"/>
        <v>2985468.9923760006</v>
      </c>
      <c r="H16" s="57">
        <f t="shared" si="6"/>
        <v>3194451.8218423207</v>
      </c>
      <c r="I16" s="57">
        <f t="shared" si="6"/>
        <v>3418063.4493712834</v>
      </c>
      <c r="J16" s="57">
        <f t="shared" si="6"/>
        <v>3657327.8908272735</v>
      </c>
      <c r="K16" s="57">
        <f t="shared" si="6"/>
        <v>3913340.8431851827</v>
      </c>
    </row>
    <row r="17" spans="1:11" x14ac:dyDescent="0.6">
      <c r="A17" s="34"/>
      <c r="B17" s="34" t="s">
        <v>318</v>
      </c>
      <c r="C17" s="57">
        <f>Budgets!B7*2</f>
        <v>2138400</v>
      </c>
      <c r="D17" s="57">
        <f>Budgets!C7*2</f>
        <v>2316600</v>
      </c>
      <c r="E17" s="57">
        <f>Budgets!D7*2</f>
        <v>2494800</v>
      </c>
      <c r="F17" s="57">
        <f>Budgets!E7*2</f>
        <v>2673000</v>
      </c>
      <c r="G17" s="57">
        <f>Budgets!F7*2</f>
        <v>2851200</v>
      </c>
      <c r="H17" s="57">
        <f>Budgets!G7*2</f>
        <v>3090600</v>
      </c>
      <c r="I17" s="57">
        <f>Budgets!H7*2</f>
        <v>3272400</v>
      </c>
      <c r="J17" s="57">
        <f>Budgets!I7*2</f>
        <v>3454200</v>
      </c>
      <c r="K17" s="57">
        <f>Budgets!J7*2</f>
        <v>3628800</v>
      </c>
    </row>
    <row r="18" spans="1:11" x14ac:dyDescent="0.6">
      <c r="A18" s="34"/>
      <c r="B18" s="34" t="s">
        <v>319</v>
      </c>
      <c r="C18" s="57">
        <f>Budgets!B7*1</f>
        <v>1069200</v>
      </c>
      <c r="D18" s="57">
        <f>Budgets!C7*1</f>
        <v>1158300</v>
      </c>
      <c r="E18" s="57">
        <f>Budgets!D7*1</f>
        <v>1247400</v>
      </c>
      <c r="F18" s="57">
        <f>Budgets!E7*1</f>
        <v>1336500</v>
      </c>
      <c r="G18" s="57">
        <f>Budgets!F7*1</f>
        <v>1425600</v>
      </c>
      <c r="H18" s="57">
        <f>Budgets!G7*1</f>
        <v>1545300</v>
      </c>
      <c r="I18" s="57">
        <f>Budgets!H7*1</f>
        <v>1636200</v>
      </c>
      <c r="J18" s="57">
        <f>Budgets!I7*1</f>
        <v>1727100</v>
      </c>
      <c r="K18" s="57">
        <f>Budgets!J7*1</f>
        <v>1814400</v>
      </c>
    </row>
    <row r="19" spans="1:11" x14ac:dyDescent="0.6">
      <c r="A19" s="34"/>
      <c r="B19" s="34" t="s">
        <v>269</v>
      </c>
      <c r="C19" s="57">
        <v>240000</v>
      </c>
      <c r="D19" s="57">
        <v>240000</v>
      </c>
      <c r="E19" s="57">
        <v>240000</v>
      </c>
      <c r="F19" s="57">
        <v>240000</v>
      </c>
      <c r="G19" s="57">
        <v>240000</v>
      </c>
      <c r="H19" s="57">
        <v>240000</v>
      </c>
      <c r="I19" s="57">
        <v>240000</v>
      </c>
      <c r="J19" s="57">
        <v>240000</v>
      </c>
      <c r="K19" s="57">
        <v>240000</v>
      </c>
    </row>
    <row r="20" spans="1:11" x14ac:dyDescent="0.6">
      <c r="A20" s="34"/>
      <c r="B20" s="34" t="s">
        <v>8</v>
      </c>
      <c r="C20" s="57">
        <f>SUM(C16:C19)</f>
        <v>5725200</v>
      </c>
      <c r="D20" s="57">
        <f t="shared" ref="D20:K20" si="7">SUM(D16:D19)</f>
        <v>6151932</v>
      </c>
      <c r="E20" s="57">
        <f t="shared" si="7"/>
        <v>6589824.2400000002</v>
      </c>
      <c r="F20" s="57">
        <f t="shared" si="7"/>
        <v>7039657.9368000003</v>
      </c>
      <c r="G20" s="57">
        <f t="shared" si="7"/>
        <v>7502268.9923760006</v>
      </c>
      <c r="H20" s="57">
        <f t="shared" si="7"/>
        <v>8070351.8218423203</v>
      </c>
      <c r="I20" s="57">
        <f t="shared" si="7"/>
        <v>8566663.4493712839</v>
      </c>
      <c r="J20" s="57">
        <f t="shared" si="7"/>
        <v>9078627.8908272739</v>
      </c>
      <c r="K20" s="57">
        <f t="shared" si="7"/>
        <v>9596540.8431851827</v>
      </c>
    </row>
    <row r="21" spans="1:11" x14ac:dyDescent="0.6">
      <c r="A21" s="34"/>
      <c r="B21" s="34"/>
      <c r="C21" s="57"/>
      <c r="D21" s="57"/>
      <c r="E21" s="57"/>
      <c r="F21" s="57"/>
      <c r="G21" s="57"/>
      <c r="H21" s="57"/>
      <c r="I21" s="57"/>
      <c r="J21" s="57"/>
      <c r="K21" s="57"/>
    </row>
    <row r="22" spans="1:11" x14ac:dyDescent="0.6">
      <c r="A22" s="34"/>
      <c r="B22" s="34" t="s">
        <v>83</v>
      </c>
      <c r="C22" s="57">
        <f t="shared" ref="C22:K22" si="8">C20+C14</f>
        <v>179123900</v>
      </c>
      <c r="D22" s="57">
        <f t="shared" si="8"/>
        <v>212786667</v>
      </c>
      <c r="E22" s="57">
        <f t="shared" si="8"/>
        <v>229075470.99000004</v>
      </c>
      <c r="F22" s="57">
        <f t="shared" si="8"/>
        <v>245379237.02430004</v>
      </c>
      <c r="G22" s="57">
        <f t="shared" si="8"/>
        <v>261698952.03425103</v>
      </c>
      <c r="H22" s="57">
        <f t="shared" si="8"/>
        <v>283176469.01581109</v>
      </c>
      <c r="I22" s="57">
        <f t="shared" si="8"/>
        <v>299833711.50303847</v>
      </c>
      <c r="J22" s="57">
        <f t="shared" si="8"/>
        <v>316510278.34717786</v>
      </c>
      <c r="K22" s="57">
        <f t="shared" si="8"/>
        <v>332602648.8223533</v>
      </c>
    </row>
    <row r="23" spans="1:11" x14ac:dyDescent="0.6">
      <c r="A23" s="34"/>
      <c r="B23" s="34" t="s">
        <v>84</v>
      </c>
      <c r="C23" s="57">
        <f>Budgets!B8</f>
        <v>180694800</v>
      </c>
      <c r="D23" s="57">
        <f>Budgets!C8</f>
        <v>215327970.00000003</v>
      </c>
      <c r="E23" s="57">
        <f>Budgets!D8</f>
        <v>231891660.00000003</v>
      </c>
      <c r="F23" s="57">
        <f>Budgets!E8</f>
        <v>248455350.00000003</v>
      </c>
      <c r="G23" s="57">
        <f>Budgets!F8</f>
        <v>265019040.00000003</v>
      </c>
      <c r="H23" s="57">
        <f>Budgets!G8</f>
        <v>287271270</v>
      </c>
      <c r="I23" s="57">
        <f>Budgets!H8</f>
        <v>304169580</v>
      </c>
      <c r="J23" s="57">
        <f>Budgets!I8</f>
        <v>321067890</v>
      </c>
      <c r="K23" s="57">
        <f>Budgets!J8</f>
        <v>337296960</v>
      </c>
    </row>
    <row r="24" spans="1:11" x14ac:dyDescent="0.6">
      <c r="A24" s="34"/>
      <c r="B24" s="34" t="s">
        <v>85</v>
      </c>
      <c r="C24" s="57">
        <f>C23-C22</f>
        <v>1570900</v>
      </c>
      <c r="D24" s="57">
        <f t="shared" ref="D24:K24" si="9">D23-D22</f>
        <v>2541303.0000000298</v>
      </c>
      <c r="E24" s="57">
        <f t="shared" si="9"/>
        <v>2816189.0099999905</v>
      </c>
      <c r="F24" s="57">
        <f t="shared" si="9"/>
        <v>3076112.975699991</v>
      </c>
      <c r="G24" s="57">
        <f t="shared" si="9"/>
        <v>3320087.9657489955</v>
      </c>
      <c r="H24" s="57">
        <f t="shared" si="9"/>
        <v>4094800.9841889143</v>
      </c>
      <c r="I24" s="57">
        <f t="shared" si="9"/>
        <v>4335868.496961534</v>
      </c>
      <c r="J24" s="57">
        <f t="shared" si="9"/>
        <v>4557611.6528221369</v>
      </c>
      <c r="K24" s="57">
        <f t="shared" si="9"/>
        <v>4694311.1776466966</v>
      </c>
    </row>
    <row r="25" spans="1:11" x14ac:dyDescent="0.6">
      <c r="A25" s="34"/>
      <c r="B25" s="34"/>
      <c r="C25" s="57"/>
      <c r="D25" s="57"/>
      <c r="E25" s="57"/>
      <c r="F25" s="57"/>
      <c r="G25" s="57"/>
      <c r="H25" s="57"/>
      <c r="I25" s="57"/>
      <c r="J25" s="57"/>
      <c r="K25" s="57"/>
    </row>
    <row r="26" spans="1:11" x14ac:dyDescent="0.6">
      <c r="A26" s="34"/>
      <c r="B26" s="34" t="s">
        <v>86</v>
      </c>
      <c r="C26" s="57"/>
      <c r="D26" s="57"/>
      <c r="E26" s="57"/>
      <c r="F26" s="57"/>
      <c r="G26" s="57"/>
      <c r="H26" s="57"/>
      <c r="I26" s="57"/>
      <c r="J26" s="57"/>
      <c r="K26" s="57"/>
    </row>
    <row r="27" spans="1:11" x14ac:dyDescent="0.6">
      <c r="A27" s="34"/>
      <c r="B27" s="34" t="s">
        <v>87</v>
      </c>
      <c r="C27" s="57">
        <f>SUM('Ann 13'!E9:E12)*100000</f>
        <v>272187.40384615387</v>
      </c>
      <c r="D27" s="57">
        <f>SUM('Ann 13'!E13:E16)*100000</f>
        <v>237833.6538461539</v>
      </c>
      <c r="E27" s="57">
        <f>SUM('Ann 13'!E17:E20)*100000</f>
        <v>195552.11538461549</v>
      </c>
      <c r="F27" s="57">
        <f>SUM('Ann 13'!E21:E24)*100000</f>
        <v>153270.57692307705</v>
      </c>
      <c r="G27" s="57">
        <f>SUM('Ann 13'!E25:E28)*100000</f>
        <v>110989.03846153856</v>
      </c>
      <c r="H27" s="57">
        <f>SUM('Ann 13'!E29:E32)*100000</f>
        <v>68707.500000000073</v>
      </c>
      <c r="I27" s="57">
        <f>SUM('Ann 13'!E33:E36)*100000</f>
        <v>26425.961538461612</v>
      </c>
      <c r="J27" s="57">
        <v>0</v>
      </c>
      <c r="K27" s="57">
        <v>0</v>
      </c>
    </row>
    <row r="28" spans="1:11" x14ac:dyDescent="0.6">
      <c r="A28" s="34"/>
      <c r="B28" s="34" t="s">
        <v>156</v>
      </c>
      <c r="C28" s="57">
        <f>'Ann 1'!$C$25*100000*10%</f>
        <v>41000</v>
      </c>
      <c r="D28" s="57">
        <f>'Ann 1'!$C$25*100000*10%</f>
        <v>41000</v>
      </c>
      <c r="E28" s="57">
        <f>'Ann 1'!$C$25*100000*10%</f>
        <v>41000</v>
      </c>
      <c r="F28" s="57">
        <f>'Ann 1'!$C$25*100000*10%</f>
        <v>41000</v>
      </c>
      <c r="G28" s="57">
        <f>'Ann 1'!$C$25*100000*10%</f>
        <v>41000</v>
      </c>
      <c r="H28" s="57">
        <f>'Ann 1'!$C$25*100000*10%</f>
        <v>41000</v>
      </c>
      <c r="I28" s="57">
        <f>'Ann 1'!$C$25*100000*10%</f>
        <v>41000</v>
      </c>
      <c r="J28" s="57">
        <f>'Ann 1'!$C$25*100000*10%</f>
        <v>41000</v>
      </c>
      <c r="K28" s="57">
        <f>'Ann 1'!$C$25*100000*10%</f>
        <v>41000</v>
      </c>
    </row>
    <row r="29" spans="1:11" x14ac:dyDescent="0.6">
      <c r="A29" s="34"/>
      <c r="B29" s="58" t="s">
        <v>262</v>
      </c>
      <c r="C29" s="57">
        <f>SUM(C27:C28)</f>
        <v>313187.40384615387</v>
      </c>
      <c r="D29" s="57">
        <f t="shared" ref="D29:K29" si="10">SUM(D27:D28)</f>
        <v>278833.65384615387</v>
      </c>
      <c r="E29" s="57">
        <f t="shared" si="10"/>
        <v>236552.11538461549</v>
      </c>
      <c r="F29" s="57">
        <f t="shared" si="10"/>
        <v>194270.57692307705</v>
      </c>
      <c r="G29" s="57">
        <f t="shared" si="10"/>
        <v>151989.03846153856</v>
      </c>
      <c r="H29" s="57">
        <f t="shared" si="10"/>
        <v>109707.50000000007</v>
      </c>
      <c r="I29" s="57">
        <f t="shared" si="10"/>
        <v>67425.961538461619</v>
      </c>
      <c r="J29" s="57">
        <f t="shared" si="10"/>
        <v>41000</v>
      </c>
      <c r="K29" s="57">
        <f t="shared" si="10"/>
        <v>41000</v>
      </c>
    </row>
    <row r="30" spans="1:11" x14ac:dyDescent="0.6">
      <c r="A30" s="34"/>
      <c r="B30" s="34"/>
      <c r="C30" s="57"/>
      <c r="D30" s="57"/>
      <c r="E30" s="57"/>
      <c r="F30" s="57"/>
      <c r="G30" s="57"/>
      <c r="H30" s="57"/>
      <c r="I30" s="57"/>
      <c r="J30" s="57"/>
      <c r="K30" s="57"/>
    </row>
    <row r="31" spans="1:11" x14ac:dyDescent="0.6">
      <c r="A31" s="34"/>
      <c r="B31" s="34" t="s">
        <v>97</v>
      </c>
      <c r="C31" s="57">
        <f t="shared" ref="C31:K31" si="11">C24-C29</f>
        <v>1257712.596153846</v>
      </c>
      <c r="D31" s="57">
        <f t="shared" si="11"/>
        <v>2262469.3461538758</v>
      </c>
      <c r="E31" s="57">
        <f t="shared" si="11"/>
        <v>2579636.894615375</v>
      </c>
      <c r="F31" s="57">
        <f t="shared" si="11"/>
        <v>2881842.398776914</v>
      </c>
      <c r="G31" s="57">
        <f t="shared" si="11"/>
        <v>3168098.927287457</v>
      </c>
      <c r="H31" s="57">
        <f t="shared" si="11"/>
        <v>3985093.4841889143</v>
      </c>
      <c r="I31" s="57">
        <f t="shared" si="11"/>
        <v>4268442.5354230721</v>
      </c>
      <c r="J31" s="57">
        <f t="shared" si="11"/>
        <v>4516611.6528221369</v>
      </c>
      <c r="K31" s="57">
        <f t="shared" si="11"/>
        <v>4653311.1776466966</v>
      </c>
    </row>
    <row r="32" spans="1:11" x14ac:dyDescent="0.6">
      <c r="A32" s="34"/>
      <c r="B32" s="34" t="s">
        <v>167</v>
      </c>
      <c r="C32" s="57">
        <f>'Ann 1'!C34*100000</f>
        <v>100000</v>
      </c>
      <c r="D32" s="57">
        <v>0</v>
      </c>
      <c r="E32" s="57">
        <v>0</v>
      </c>
      <c r="F32" s="57">
        <v>0</v>
      </c>
      <c r="G32" s="57">
        <v>0</v>
      </c>
      <c r="H32" s="57">
        <v>0</v>
      </c>
      <c r="I32" s="57">
        <v>0</v>
      </c>
      <c r="J32" s="57">
        <v>0</v>
      </c>
      <c r="K32" s="57">
        <v>0</v>
      </c>
    </row>
    <row r="33" spans="1:11" x14ac:dyDescent="0.6">
      <c r="A33" s="34"/>
      <c r="B33" s="58" t="s">
        <v>98</v>
      </c>
      <c r="C33" s="57">
        <f>'Ann 9'!C12+'Ann 9'!D12+'Ann 9'!E12</f>
        <v>680250</v>
      </c>
      <c r="D33" s="57">
        <f>'Ann 9'!C13+'Ann 9'!D13+'Ann 9'!E13</f>
        <v>585712.5</v>
      </c>
      <c r="E33" s="57">
        <f>'Ann 9'!C14+'Ann 9'!D14+'Ann 9'!E14</f>
        <v>504605.625</v>
      </c>
      <c r="F33" s="57">
        <f>'Ann 9'!C15+'Ann 9'!D15+'Ann 9'!E15</f>
        <v>434989.78125</v>
      </c>
      <c r="G33" s="57">
        <f>'Ann 9'!C16+'Ann 9'!D16+'Ann 9'!E16</f>
        <v>375208.81406249997</v>
      </c>
      <c r="H33" s="57">
        <f>'Ann 9'!C17+'Ann 9'!D17+'Ann 9'!E17</f>
        <v>323848.24195312505</v>
      </c>
      <c r="I33" s="57">
        <f>'Ann 9'!C18+'Ann 9'!D18+'Ann 9'!E18</f>
        <v>279699.68066015624</v>
      </c>
      <c r="J33" s="57">
        <f>'Ann 9'!C19+'Ann 9'!D19+'Ann 9'!E19</f>
        <v>241730.53606113285</v>
      </c>
      <c r="K33" s="57">
        <f>'Ann 9'!C20+'Ann 9'!D20+'Ann 9'!E20</f>
        <v>209058.18240196287</v>
      </c>
    </row>
    <row r="34" spans="1:11" x14ac:dyDescent="0.6">
      <c r="A34" s="34"/>
      <c r="B34" s="58" t="s">
        <v>99</v>
      </c>
      <c r="C34" s="57">
        <f>C31-C32-C33</f>
        <v>477462.59615384601</v>
      </c>
      <c r="D34" s="57">
        <f t="shared" ref="D34:K34" si="12">D31-D32-D33</f>
        <v>1676756.8461538758</v>
      </c>
      <c r="E34" s="57">
        <f t="shared" si="12"/>
        <v>2075031.269615375</v>
      </c>
      <c r="F34" s="57">
        <f t="shared" si="12"/>
        <v>2446852.617526914</v>
      </c>
      <c r="G34" s="57">
        <f t="shared" si="12"/>
        <v>2792890.1132249571</v>
      </c>
      <c r="H34" s="57">
        <f t="shared" si="12"/>
        <v>3661245.2422357891</v>
      </c>
      <c r="I34" s="57">
        <f t="shared" si="12"/>
        <v>3988742.854762916</v>
      </c>
      <c r="J34" s="57">
        <f t="shared" si="12"/>
        <v>4274881.1167610036</v>
      </c>
      <c r="K34" s="57">
        <f t="shared" si="12"/>
        <v>4444252.995244734</v>
      </c>
    </row>
    <row r="35" spans="1:11" x14ac:dyDescent="0.6">
      <c r="A35" s="34"/>
      <c r="B35" s="58" t="s">
        <v>100</v>
      </c>
      <c r="C35" s="57">
        <f>'Ann 10'!B14</f>
        <v>173238.77884615379</v>
      </c>
      <c r="D35" s="57">
        <f>'Ann 10'!C14</f>
        <v>503027.05384616274</v>
      </c>
      <c r="E35" s="57">
        <f>'Ann 10'!D14</f>
        <v>622509.38088461244</v>
      </c>
      <c r="F35" s="57">
        <f>'Ann 10'!E14</f>
        <v>734055.78525807417</v>
      </c>
      <c r="G35" s="57">
        <f>'Ann 10'!F14</f>
        <v>837867.03396748716</v>
      </c>
      <c r="H35" s="57">
        <f>'Ann 10'!G14</f>
        <v>1098373.5726707366</v>
      </c>
      <c r="I35" s="57">
        <f>'Ann 10'!H14</f>
        <v>1196622.8564288747</v>
      </c>
      <c r="J35" s="57">
        <f>'Ann 10'!I14</f>
        <v>1282464.335028301</v>
      </c>
      <c r="K35" s="57">
        <f>'Ann 10'!J14</f>
        <v>1333275.8985734202</v>
      </c>
    </row>
    <row r="36" spans="1:11" x14ac:dyDescent="0.6">
      <c r="A36" s="34"/>
      <c r="B36" s="58" t="s">
        <v>101</v>
      </c>
      <c r="C36" s="57">
        <f>C34-C35</f>
        <v>304223.81730769225</v>
      </c>
      <c r="D36" s="57">
        <f>D34-D35</f>
        <v>1173729.7923077131</v>
      </c>
      <c r="E36" s="57">
        <f t="shared" ref="E36:K36" si="13">E34-E35</f>
        <v>1452521.8887307625</v>
      </c>
      <c r="F36" s="57">
        <f t="shared" si="13"/>
        <v>1712796.8322688397</v>
      </c>
      <c r="G36" s="57">
        <f t="shared" si="13"/>
        <v>1955023.0792574701</v>
      </c>
      <c r="H36" s="57">
        <f t="shared" si="13"/>
        <v>2562871.6695650527</v>
      </c>
      <c r="I36" s="57">
        <f t="shared" si="13"/>
        <v>2792119.9983340413</v>
      </c>
      <c r="J36" s="57">
        <f t="shared" si="13"/>
        <v>2992416.7817327026</v>
      </c>
      <c r="K36" s="57">
        <f t="shared" si="13"/>
        <v>3110977.096671314</v>
      </c>
    </row>
    <row r="37" spans="1:11" x14ac:dyDescent="0.6">
      <c r="A37" s="34"/>
      <c r="B37" s="58" t="s">
        <v>256</v>
      </c>
      <c r="C37" s="57">
        <f>C36*80%</f>
        <v>243379.05384615381</v>
      </c>
      <c r="D37" s="57">
        <f t="shared" ref="D37:K37" si="14">D36*80%</f>
        <v>938983.83384617046</v>
      </c>
      <c r="E37" s="57">
        <f t="shared" si="14"/>
        <v>1162017.5109846101</v>
      </c>
      <c r="F37" s="57">
        <f t="shared" si="14"/>
        <v>1370237.4658150719</v>
      </c>
      <c r="G37" s="57">
        <f t="shared" si="14"/>
        <v>1564018.4634059761</v>
      </c>
      <c r="H37" s="57">
        <f t="shared" si="14"/>
        <v>2050297.3356520422</v>
      </c>
      <c r="I37" s="57">
        <f t="shared" si="14"/>
        <v>2233695.9986672332</v>
      </c>
      <c r="J37" s="57">
        <f t="shared" si="14"/>
        <v>2393933.425386162</v>
      </c>
      <c r="K37" s="57">
        <f t="shared" si="14"/>
        <v>2488781.6773370514</v>
      </c>
    </row>
    <row r="38" spans="1:11" x14ac:dyDescent="0.6">
      <c r="A38" s="34"/>
      <c r="B38" s="58" t="s">
        <v>111</v>
      </c>
      <c r="C38" s="57">
        <f>C36-C37</f>
        <v>60844.763461538445</v>
      </c>
      <c r="D38" s="57">
        <f t="shared" ref="D38:K38" si="15">D36-D37</f>
        <v>234745.95846154261</v>
      </c>
      <c r="E38" s="57">
        <f t="shared" si="15"/>
        <v>290504.37774615246</v>
      </c>
      <c r="F38" s="57">
        <f t="shared" si="15"/>
        <v>342559.36645376775</v>
      </c>
      <c r="G38" s="57">
        <f t="shared" si="15"/>
        <v>391004.61585149402</v>
      </c>
      <c r="H38" s="57">
        <f t="shared" si="15"/>
        <v>512574.33391301055</v>
      </c>
      <c r="I38" s="57">
        <f t="shared" si="15"/>
        <v>558423.99966680817</v>
      </c>
      <c r="J38" s="57">
        <f t="shared" si="15"/>
        <v>598483.35634654062</v>
      </c>
      <c r="K38" s="57">
        <f t="shared" si="15"/>
        <v>622195.41933426261</v>
      </c>
    </row>
    <row r="40" spans="1:11" x14ac:dyDescent="0.6">
      <c r="A40" s="6" t="s">
        <v>301</v>
      </c>
    </row>
    <row r="41" spans="1:11" x14ac:dyDescent="0.6">
      <c r="A41" s="6" t="s">
        <v>272</v>
      </c>
    </row>
    <row r="42" spans="1:11" x14ac:dyDescent="0.6">
      <c r="B42" s="6" t="s">
        <v>163</v>
      </c>
      <c r="C42" s="6">
        <v>75000</v>
      </c>
      <c r="D42" s="6">
        <f>C42*1.05</f>
        <v>78750</v>
      </c>
      <c r="E42" s="6">
        <f t="shared" ref="E42:K42" si="16">D42*1.05</f>
        <v>82687.5</v>
      </c>
      <c r="F42" s="6">
        <f t="shared" si="16"/>
        <v>86821.875</v>
      </c>
      <c r="G42" s="6">
        <f t="shared" si="16"/>
        <v>91162.96875</v>
      </c>
      <c r="H42" s="6">
        <f t="shared" si="16"/>
        <v>95721.1171875</v>
      </c>
      <c r="I42" s="6">
        <f t="shared" si="16"/>
        <v>100507.173046875</v>
      </c>
      <c r="J42" s="6">
        <f t="shared" si="16"/>
        <v>105532.53169921876</v>
      </c>
      <c r="K42" s="6">
        <f t="shared" si="16"/>
        <v>110809.15828417971</v>
      </c>
    </row>
    <row r="43" spans="1:11" x14ac:dyDescent="0.6">
      <c r="B43" s="6" t="s">
        <v>69</v>
      </c>
      <c r="C43" s="6">
        <f>C42*14</f>
        <v>1050000</v>
      </c>
      <c r="D43" s="6">
        <f t="shared" ref="D43:K43" si="17">D42*14</f>
        <v>1102500</v>
      </c>
      <c r="E43" s="6">
        <f t="shared" si="17"/>
        <v>1157625</v>
      </c>
      <c r="F43" s="6">
        <f t="shared" si="17"/>
        <v>1215506.25</v>
      </c>
      <c r="G43" s="6">
        <f t="shared" si="17"/>
        <v>1276281.5625</v>
      </c>
      <c r="H43" s="6">
        <f t="shared" si="17"/>
        <v>1340095.640625</v>
      </c>
      <c r="I43" s="6">
        <f t="shared" si="17"/>
        <v>1407100.42265625</v>
      </c>
      <c r="J43" s="6">
        <f t="shared" si="17"/>
        <v>1477455.4437890626</v>
      </c>
      <c r="K43" s="6">
        <f t="shared" si="17"/>
        <v>1551328.2159785158</v>
      </c>
    </row>
    <row r="44" spans="1:11" x14ac:dyDescent="0.6">
      <c r="A44" s="6" t="s">
        <v>273</v>
      </c>
    </row>
    <row r="45" spans="1:11" x14ac:dyDescent="0.6">
      <c r="A45" s="6" t="s">
        <v>315</v>
      </c>
    </row>
    <row r="46" spans="1:11" x14ac:dyDescent="0.6">
      <c r="A46" s="6" t="s">
        <v>320</v>
      </c>
    </row>
  </sheetData>
  <mergeCells count="3">
    <mergeCell ref="C3:K3"/>
    <mergeCell ref="B3:B4"/>
    <mergeCell ref="A3:A4"/>
  </mergeCells>
  <pageMargins left="0.7" right="0.7" top="0.75" bottom="0.75" header="0.3" footer="0.3"/>
  <pageSetup scale="58" fitToHeight="0" orientation="landscape" r:id="rId1"/>
  <ignoredErrors>
    <ignoredError sqref="D27"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4C10C-E414-4E29-98C1-5FAEC5C52CAE}">
  <sheetPr>
    <pageSetUpPr fitToPage="1"/>
  </sheetPr>
  <dimension ref="A1:M55"/>
  <sheetViews>
    <sheetView topLeftCell="A33" workbookViewId="0">
      <selection activeCell="C34" sqref="C34"/>
    </sheetView>
  </sheetViews>
  <sheetFormatPr defaultRowHeight="17" x14ac:dyDescent="0.6"/>
  <cols>
    <col min="1" max="1" width="8.7265625" style="6"/>
    <col min="2" max="2" width="28.26953125" style="6" customWidth="1"/>
    <col min="3" max="3" width="15.6328125" style="6" bestFit="1" customWidth="1"/>
    <col min="4" max="10" width="13.7265625" style="6" bestFit="1" customWidth="1"/>
    <col min="11" max="11" width="13.6328125" style="6" bestFit="1" customWidth="1"/>
    <col min="12" max="12" width="10" style="6" bestFit="1" customWidth="1"/>
    <col min="13" max="16384" width="8.7265625" style="6"/>
  </cols>
  <sheetData>
    <row r="1" spans="1:11" x14ac:dyDescent="0.6">
      <c r="A1" s="5" t="s">
        <v>112</v>
      </c>
    </row>
    <row r="3" spans="1:11" x14ac:dyDescent="0.6">
      <c r="A3" s="6" t="s">
        <v>286</v>
      </c>
    </row>
    <row r="5" spans="1:11" x14ac:dyDescent="0.6">
      <c r="A5" s="142" t="s">
        <v>36</v>
      </c>
      <c r="B5" s="142" t="s">
        <v>37</v>
      </c>
      <c r="C5" s="143" t="s">
        <v>47</v>
      </c>
      <c r="D5" s="143"/>
      <c r="E5" s="143"/>
      <c r="F5" s="143"/>
      <c r="G5" s="143"/>
      <c r="H5" s="143"/>
      <c r="I5" s="143"/>
      <c r="J5" s="143"/>
      <c r="K5" s="143"/>
    </row>
    <row r="6" spans="1:11" x14ac:dyDescent="0.6">
      <c r="A6" s="142"/>
      <c r="B6" s="142"/>
      <c r="C6" s="59" t="s">
        <v>38</v>
      </c>
      <c r="D6" s="59" t="s">
        <v>39</v>
      </c>
      <c r="E6" s="59" t="s">
        <v>40</v>
      </c>
      <c r="F6" s="59" t="s">
        <v>41</v>
      </c>
      <c r="G6" s="59" t="s">
        <v>42</v>
      </c>
      <c r="H6" s="59" t="s">
        <v>43</v>
      </c>
      <c r="I6" s="59" t="s">
        <v>44</v>
      </c>
      <c r="J6" s="59" t="s">
        <v>45</v>
      </c>
      <c r="K6" s="59" t="s">
        <v>46</v>
      </c>
    </row>
    <row r="7" spans="1:11" x14ac:dyDescent="0.6">
      <c r="A7" s="37" t="s">
        <v>143</v>
      </c>
      <c r="B7" s="62" t="s">
        <v>113</v>
      </c>
      <c r="C7" s="63"/>
      <c r="D7" s="63"/>
      <c r="E7" s="64"/>
      <c r="F7" s="64"/>
      <c r="G7" s="64"/>
      <c r="H7" s="64"/>
      <c r="I7" s="64"/>
      <c r="J7" s="64"/>
      <c r="K7" s="64"/>
    </row>
    <row r="8" spans="1:11" x14ac:dyDescent="0.6">
      <c r="A8" s="26">
        <v>1</v>
      </c>
      <c r="B8" s="27" t="s">
        <v>114</v>
      </c>
      <c r="C8" s="13"/>
      <c r="D8" s="13"/>
      <c r="E8" s="14"/>
      <c r="F8" s="14"/>
      <c r="G8" s="14"/>
      <c r="H8" s="14"/>
      <c r="I8" s="14"/>
      <c r="J8" s="14"/>
      <c r="K8" s="14"/>
    </row>
    <row r="9" spans="1:11" x14ac:dyDescent="0.6">
      <c r="A9" s="26"/>
      <c r="B9" s="27" t="s">
        <v>115</v>
      </c>
      <c r="C9" s="66">
        <f>('Ann 9'!F9*100000)+('Ann 1'!C8*100000)</f>
        <v>5035000</v>
      </c>
      <c r="D9" s="66">
        <f>C11</f>
        <v>4354750</v>
      </c>
      <c r="E9" s="28">
        <f t="shared" ref="E9:K9" si="0">D11</f>
        <v>3769037.5</v>
      </c>
      <c r="F9" s="28">
        <f t="shared" si="0"/>
        <v>3264431.875</v>
      </c>
      <c r="G9" s="28">
        <f t="shared" si="0"/>
        <v>2829442.09375</v>
      </c>
      <c r="H9" s="28">
        <f t="shared" si="0"/>
        <v>2454233.2796875001</v>
      </c>
      <c r="I9" s="28">
        <f t="shared" si="0"/>
        <v>2130385.0377343749</v>
      </c>
      <c r="J9" s="28">
        <f t="shared" si="0"/>
        <v>1850685.3570742186</v>
      </c>
      <c r="K9" s="28">
        <f t="shared" si="0"/>
        <v>1608954.8210130858</v>
      </c>
    </row>
    <row r="10" spans="1:11" x14ac:dyDescent="0.6">
      <c r="A10" s="26"/>
      <c r="B10" s="27" t="s">
        <v>116</v>
      </c>
      <c r="C10" s="66">
        <f>'Ann 9'!C12+'Ann 9'!D12+'Ann 9'!E12</f>
        <v>680250</v>
      </c>
      <c r="D10" s="66">
        <f>'Ann 9'!C13+'Ann 9'!D13+'Ann 9'!E13</f>
        <v>585712.5</v>
      </c>
      <c r="E10" s="28">
        <f>'Ann 9'!C14+'Ann 9'!D14+'Ann 9'!E14</f>
        <v>504605.625</v>
      </c>
      <c r="F10" s="28">
        <f>'Ann 9'!C15+'Ann 9'!D15+'Ann 9'!E15</f>
        <v>434989.78125</v>
      </c>
      <c r="G10" s="28">
        <f>'Ann 9'!C16+'Ann 9'!D16+'Ann 9'!E16</f>
        <v>375208.81406249997</v>
      </c>
      <c r="H10" s="28">
        <f>'Ann 9'!C17+'Ann 9'!D17+'Ann 9'!E17</f>
        <v>323848.24195312505</v>
      </c>
      <c r="I10" s="28">
        <f>+'Ann 9'!C18+'Ann 9'!D18+'Ann 9'!E18</f>
        <v>279699.68066015624</v>
      </c>
      <c r="J10" s="28">
        <f>'Ann 9'!C19+'Ann 9'!D19+'Ann 9'!E19</f>
        <v>241730.53606113285</v>
      </c>
      <c r="K10" s="28">
        <f>+'Ann 9'!C20+'Ann 9'!D20+'Ann 9'!E20</f>
        <v>209058.18240196287</v>
      </c>
    </row>
    <row r="11" spans="1:11" collapsed="1" x14ac:dyDescent="0.6">
      <c r="A11" s="26"/>
      <c r="B11" s="27" t="s">
        <v>289</v>
      </c>
      <c r="C11" s="66">
        <f>C9-C10</f>
        <v>4354750</v>
      </c>
      <c r="D11" s="66">
        <f>D9-D10</f>
        <v>3769037.5</v>
      </c>
      <c r="E11" s="28">
        <f t="shared" ref="E11:K11" si="1">E9-E10</f>
        <v>3264431.875</v>
      </c>
      <c r="F11" s="28">
        <f t="shared" si="1"/>
        <v>2829442.09375</v>
      </c>
      <c r="G11" s="28">
        <f t="shared" si="1"/>
        <v>2454233.2796875001</v>
      </c>
      <c r="H11" s="28">
        <f t="shared" si="1"/>
        <v>2130385.0377343749</v>
      </c>
      <c r="I11" s="28">
        <f t="shared" si="1"/>
        <v>1850685.3570742186</v>
      </c>
      <c r="J11" s="28">
        <f t="shared" si="1"/>
        <v>1608954.8210130858</v>
      </c>
      <c r="K11" s="28">
        <f t="shared" si="1"/>
        <v>1399896.638611123</v>
      </c>
    </row>
    <row r="12" spans="1:11" x14ac:dyDescent="0.6">
      <c r="A12" s="26">
        <v>2</v>
      </c>
      <c r="B12" s="27" t="s">
        <v>117</v>
      </c>
      <c r="C12" s="66">
        <f>'Ann 4'!C23*60/300</f>
        <v>36138960</v>
      </c>
      <c r="D12" s="65">
        <f>'Ann 4'!D23*60/300</f>
        <v>43065594.000000007</v>
      </c>
      <c r="E12" s="65">
        <f>'Ann 4'!E23*60/300</f>
        <v>46378332.000000007</v>
      </c>
      <c r="F12" s="65">
        <f>'Ann 4'!F23*60/300</f>
        <v>49691070.000000007</v>
      </c>
      <c r="G12" s="65">
        <f>'Ann 4'!G23*60/300</f>
        <v>53003808.000000007</v>
      </c>
      <c r="H12" s="65">
        <f>'Ann 4'!H23*60/300</f>
        <v>57454254</v>
      </c>
      <c r="I12" s="65">
        <f>'Ann 4'!I23*60/300</f>
        <v>60833916</v>
      </c>
      <c r="J12" s="65">
        <f>'Ann 4'!J23*60/300</f>
        <v>64213578</v>
      </c>
      <c r="K12" s="65">
        <f>'Ann 4'!K23*60/300</f>
        <v>67459392</v>
      </c>
    </row>
    <row r="13" spans="1:11" x14ac:dyDescent="0.6">
      <c r="A13" s="26">
        <v>3</v>
      </c>
      <c r="B13" s="67" t="s">
        <v>258</v>
      </c>
      <c r="C13" s="66">
        <f>'Ann 4'!C13</f>
        <v>1782000</v>
      </c>
      <c r="D13" s="65">
        <f>'Ann 4'!D13</f>
        <v>3712500</v>
      </c>
      <c r="E13" s="65">
        <f>'Ann 4'!E13</f>
        <v>5791500</v>
      </c>
      <c r="F13" s="65">
        <f>'Ann 4'!F13</f>
        <v>8019000</v>
      </c>
      <c r="G13" s="65">
        <f>'Ann 4'!G13</f>
        <v>10395000</v>
      </c>
      <c r="H13" s="65">
        <f>'Ann 4'!H13</f>
        <v>7870500</v>
      </c>
      <c r="I13" s="65">
        <f>'Ann 4'!I13</f>
        <v>5197500</v>
      </c>
      <c r="J13" s="65">
        <f>'Ann 4'!J13</f>
        <v>2376000</v>
      </c>
      <c r="K13" s="65">
        <f>'Ann 4'!K13</f>
        <v>0</v>
      </c>
    </row>
    <row r="14" spans="1:11" x14ac:dyDescent="0.6">
      <c r="A14" s="26">
        <v>4</v>
      </c>
      <c r="B14" s="27" t="s">
        <v>118</v>
      </c>
      <c r="C14" s="126">
        <f>'Ann 14'!C21</f>
        <v>15141788.609615384</v>
      </c>
      <c r="D14" s="68">
        <f>'Ann 14'!D21</f>
        <v>16398520.760384623</v>
      </c>
      <c r="E14" s="68">
        <f>'Ann 14'!E21</f>
        <v>15878900.455438491</v>
      </c>
      <c r="F14" s="68">
        <f>'Ann 14'!F21</f>
        <v>15193219.295449927</v>
      </c>
      <c r="G14" s="68">
        <f>'Ann 14'!G21</f>
        <v>14347702.417671626</v>
      </c>
      <c r="H14" s="68">
        <f>'Ann 14'!H21</f>
        <v>17335186.68584545</v>
      </c>
      <c r="I14" s="68">
        <f>'Ann 14'!I21</f>
        <v>21543656.058480095</v>
      </c>
      <c r="J14" s="68">
        <f>'Ann 14'!J21</f>
        <v>26607407.950887758</v>
      </c>
      <c r="K14" s="68">
        <f>'Ann 14'!K21</f>
        <v>31350547.552623965</v>
      </c>
    </row>
    <row r="15" spans="1:11" x14ac:dyDescent="0.6">
      <c r="A15" s="26"/>
      <c r="B15" s="27" t="s">
        <v>125</v>
      </c>
      <c r="C15" s="66">
        <f t="shared" ref="C15:K15" si="2">SUM(C11:C14)</f>
        <v>57417498.609615386</v>
      </c>
      <c r="D15" s="65">
        <f t="shared" si="2"/>
        <v>66945652.260384634</v>
      </c>
      <c r="E15" s="69">
        <f t="shared" si="2"/>
        <v>71313164.330438495</v>
      </c>
      <c r="F15" s="69">
        <f t="shared" si="2"/>
        <v>75732731.389199942</v>
      </c>
      <c r="G15" s="69">
        <f t="shared" si="2"/>
        <v>80200743.69735913</v>
      </c>
      <c r="H15" s="69">
        <f t="shared" si="2"/>
        <v>84790325.723579824</v>
      </c>
      <c r="I15" s="69">
        <f t="shared" si="2"/>
        <v>89425757.415554315</v>
      </c>
      <c r="J15" s="69">
        <f t="shared" si="2"/>
        <v>94805940.771900848</v>
      </c>
      <c r="K15" s="69">
        <f t="shared" si="2"/>
        <v>100209836.1912351</v>
      </c>
    </row>
    <row r="16" spans="1:11" x14ac:dyDescent="0.6">
      <c r="A16" s="26"/>
      <c r="B16" s="27"/>
      <c r="C16" s="66"/>
      <c r="D16" s="65"/>
      <c r="E16" s="69"/>
      <c r="F16" s="69"/>
      <c r="G16" s="69"/>
      <c r="H16" s="69"/>
      <c r="I16" s="69"/>
      <c r="J16" s="69"/>
      <c r="K16" s="69"/>
    </row>
    <row r="17" spans="1:13" x14ac:dyDescent="0.6">
      <c r="A17" s="26" t="s">
        <v>144</v>
      </c>
      <c r="B17" s="70" t="s">
        <v>119</v>
      </c>
      <c r="C17" s="66"/>
      <c r="D17" s="13"/>
      <c r="E17" s="14"/>
      <c r="F17" s="14"/>
      <c r="G17" s="14"/>
      <c r="H17" s="14"/>
      <c r="I17" s="14"/>
      <c r="J17" s="14"/>
      <c r="K17" s="14"/>
    </row>
    <row r="18" spans="1:13" x14ac:dyDescent="0.6">
      <c r="A18" s="26">
        <v>1</v>
      </c>
      <c r="B18" s="27" t="s">
        <v>120</v>
      </c>
      <c r="C18" s="126">
        <f>'Ann 2'!C4*100000</f>
        <v>554500.00000000012</v>
      </c>
      <c r="D18" s="68">
        <f>C21</f>
        <v>615344.76346153859</v>
      </c>
      <c r="E18" s="71">
        <f t="shared" ref="E18:K18" si="3">D21</f>
        <v>850090.7219230812</v>
      </c>
      <c r="F18" s="71">
        <f t="shared" si="3"/>
        <v>1140595.0996692337</v>
      </c>
      <c r="G18" s="71">
        <f t="shared" si="3"/>
        <v>1483154.4661230014</v>
      </c>
      <c r="H18" s="71">
        <f t="shared" si="3"/>
        <v>1874159.0819744954</v>
      </c>
      <c r="I18" s="71">
        <f t="shared" si="3"/>
        <v>2386733.4158875057</v>
      </c>
      <c r="J18" s="71">
        <f t="shared" si="3"/>
        <v>2945157.4155543139</v>
      </c>
      <c r="K18" s="71">
        <f t="shared" si="3"/>
        <v>3543640.7719008545</v>
      </c>
    </row>
    <row r="19" spans="1:13" x14ac:dyDescent="0.6">
      <c r="A19" s="26"/>
      <c r="B19" s="27" t="s">
        <v>121</v>
      </c>
      <c r="C19" s="126">
        <f>'Ann 4'!C38</f>
        <v>60844.763461538445</v>
      </c>
      <c r="D19" s="68">
        <f>'Ann 4'!D38</f>
        <v>234745.95846154261</v>
      </c>
      <c r="E19" s="71">
        <f>'Ann 4'!E38</f>
        <v>290504.37774615246</v>
      </c>
      <c r="F19" s="71">
        <f>'Ann 4'!F38</f>
        <v>342559.36645376775</v>
      </c>
      <c r="G19" s="71">
        <f>'Ann 4'!G38</f>
        <v>391004.61585149402</v>
      </c>
      <c r="H19" s="71">
        <f>'Ann 4'!H38</f>
        <v>512574.33391301055</v>
      </c>
      <c r="I19" s="71">
        <f>'Ann 4'!I38</f>
        <v>558423.99966680817</v>
      </c>
      <c r="J19" s="71">
        <f>'Ann 4'!J38</f>
        <v>598483.35634654062</v>
      </c>
      <c r="K19" s="71">
        <f>'Ann 4'!K38</f>
        <v>622195.41933426261</v>
      </c>
    </row>
    <row r="20" spans="1:13" x14ac:dyDescent="0.6">
      <c r="A20" s="26"/>
      <c r="B20" s="27" t="s">
        <v>122</v>
      </c>
      <c r="C20" s="126">
        <v>0</v>
      </c>
      <c r="D20" s="68">
        <v>0</v>
      </c>
      <c r="E20" s="71">
        <v>0</v>
      </c>
      <c r="F20" s="71">
        <v>0</v>
      </c>
      <c r="G20" s="71">
        <v>0</v>
      </c>
      <c r="H20" s="71">
        <v>0</v>
      </c>
      <c r="I20" s="71">
        <v>0</v>
      </c>
      <c r="J20" s="71">
        <v>0</v>
      </c>
      <c r="K20" s="71">
        <v>0</v>
      </c>
    </row>
    <row r="21" spans="1:13" x14ac:dyDescent="0.6">
      <c r="A21" s="26"/>
      <c r="B21" s="27" t="s">
        <v>123</v>
      </c>
      <c r="C21" s="126">
        <f>C18+C19</f>
        <v>615344.76346153859</v>
      </c>
      <c r="D21" s="68">
        <f t="shared" ref="D21:K21" si="4">D18+D19</f>
        <v>850090.7219230812</v>
      </c>
      <c r="E21" s="71">
        <f t="shared" si="4"/>
        <v>1140595.0996692337</v>
      </c>
      <c r="F21" s="71">
        <f t="shared" si="4"/>
        <v>1483154.4661230014</v>
      </c>
      <c r="G21" s="71">
        <f t="shared" si="4"/>
        <v>1874159.0819744954</v>
      </c>
      <c r="H21" s="71">
        <f t="shared" si="4"/>
        <v>2386733.4158875057</v>
      </c>
      <c r="I21" s="71">
        <f t="shared" si="4"/>
        <v>2945157.4155543139</v>
      </c>
      <c r="J21" s="71">
        <f t="shared" si="4"/>
        <v>3543640.7719008545</v>
      </c>
      <c r="K21" s="71">
        <f t="shared" si="4"/>
        <v>4165836.1912351171</v>
      </c>
    </row>
    <row r="22" spans="1:13" x14ac:dyDescent="0.6">
      <c r="A22" s="26">
        <v>2</v>
      </c>
      <c r="B22" s="27" t="s">
        <v>28</v>
      </c>
      <c r="C22" s="126">
        <f>'Ann 13'!C13*100000</f>
        <v>4228153.8461538469</v>
      </c>
      <c r="D22" s="68">
        <f>'Ann 13'!C17*100000</f>
        <v>3523461.5384615404</v>
      </c>
      <c r="E22" s="68">
        <f>'Ann 13'!C21*100000</f>
        <v>2818769.2307692328</v>
      </c>
      <c r="F22" s="68">
        <f>'Ann 13'!C25*100000</f>
        <v>2114076.9230769249</v>
      </c>
      <c r="G22" s="71">
        <f>('Ann 13'!C28-'Ann 13'!D28)*100000</f>
        <v>1409384.6153846169</v>
      </c>
      <c r="H22" s="71">
        <f>('Ann 13'!C32-'Ann 13'!D32)*100000</f>
        <v>704692.30769230903</v>
      </c>
      <c r="I22" s="71">
        <v>0</v>
      </c>
      <c r="J22" s="71">
        <v>0</v>
      </c>
      <c r="K22" s="71">
        <v>0</v>
      </c>
    </row>
    <row r="23" spans="1:13" x14ac:dyDescent="0.6">
      <c r="A23" s="26">
        <v>3</v>
      </c>
      <c r="B23" s="67" t="s">
        <v>155</v>
      </c>
      <c r="C23" s="126">
        <f>'Ann 2'!$C$7*100000</f>
        <v>409999.99999999994</v>
      </c>
      <c r="D23" s="68">
        <f>'Ann 2'!$C$7*100000</f>
        <v>409999.99999999994</v>
      </c>
      <c r="E23" s="68">
        <f>'Ann 2'!$C$7*100000</f>
        <v>409999.99999999994</v>
      </c>
      <c r="F23" s="68">
        <f>'Ann 2'!$C$7*100000</f>
        <v>409999.99999999994</v>
      </c>
      <c r="G23" s="68">
        <f>'Ann 2'!$C$7*100000</f>
        <v>409999.99999999994</v>
      </c>
      <c r="H23" s="68">
        <f>'Ann 2'!$C$7*100000</f>
        <v>409999.99999999994</v>
      </c>
      <c r="I23" s="68">
        <f>'Ann 2'!$C$7*100000</f>
        <v>409999.99999999994</v>
      </c>
      <c r="J23" s="68">
        <f>'Ann 2'!$C$7*100000</f>
        <v>409999.99999999994</v>
      </c>
      <c r="K23" s="68">
        <f>'Ann 2'!$C$7*100000</f>
        <v>409999.99999999994</v>
      </c>
    </row>
    <row r="24" spans="1:13" x14ac:dyDescent="0.6">
      <c r="A24" s="26">
        <v>4</v>
      </c>
      <c r="B24" s="67" t="s">
        <v>150</v>
      </c>
      <c r="C24" s="126">
        <f>('Ann 4'!C10+'Ann 4'!C7)*90/300</f>
        <v>52164000</v>
      </c>
      <c r="D24" s="68">
        <f>('Ann 4'!D10+'Ann 4'!D7)*90/300</f>
        <v>62162100</v>
      </c>
      <c r="E24" s="68">
        <f>('Ann 4'!E10+'Ann 4'!E7)*90/300</f>
        <v>66943800.000000015</v>
      </c>
      <c r="F24" s="68">
        <f>('Ann 4'!F10+'Ann 4'!F7)*90/300</f>
        <v>71725500.000000015</v>
      </c>
      <c r="G24" s="68">
        <f>('Ann 4'!G10+'Ann 4'!G7)*90/300</f>
        <v>76507200.000000015</v>
      </c>
      <c r="H24" s="68">
        <f>('Ann 4'!H10+'Ann 4'!H7)*90/300</f>
        <v>81288900</v>
      </c>
      <c r="I24" s="68">
        <f>('Ann 4'!I10+'Ann 4'!I7)*90/300</f>
        <v>86070600</v>
      </c>
      <c r="J24" s="68">
        <f>('Ann 4'!J10+'Ann 4'!J7)*90/300</f>
        <v>90852300</v>
      </c>
      <c r="K24" s="68">
        <f>('Ann 4'!K10+'Ann 4'!K7)*90/300</f>
        <v>95634000.000000015</v>
      </c>
    </row>
    <row r="25" spans="1:13" x14ac:dyDescent="0.6">
      <c r="A25" s="26"/>
      <c r="B25" s="27" t="s">
        <v>124</v>
      </c>
      <c r="C25" s="66">
        <f t="shared" ref="C25:K25" si="5">SUM(C21:C24)</f>
        <v>57417498.609615386</v>
      </c>
      <c r="D25" s="65">
        <f t="shared" si="5"/>
        <v>66945652.260384619</v>
      </c>
      <c r="E25" s="65">
        <f t="shared" si="5"/>
        <v>71313164.33043848</v>
      </c>
      <c r="F25" s="65">
        <f t="shared" si="5"/>
        <v>75732731.389199942</v>
      </c>
      <c r="G25" s="65">
        <f t="shared" si="5"/>
        <v>80200743.69735913</v>
      </c>
      <c r="H25" s="65">
        <f t="shared" si="5"/>
        <v>84790325.723579809</v>
      </c>
      <c r="I25" s="65">
        <f t="shared" si="5"/>
        <v>89425757.415554315</v>
      </c>
      <c r="J25" s="65">
        <f t="shared" si="5"/>
        <v>94805940.771900848</v>
      </c>
      <c r="K25" s="65">
        <f t="shared" si="5"/>
        <v>100209836.19123513</v>
      </c>
    </row>
    <row r="26" spans="1:13" x14ac:dyDescent="0.6">
      <c r="A26" s="26"/>
      <c r="B26" s="27"/>
      <c r="C26" s="66"/>
      <c r="D26" s="66"/>
      <c r="E26" s="66"/>
      <c r="F26" s="66"/>
      <c r="G26" s="66"/>
      <c r="H26" s="66"/>
      <c r="I26" s="66"/>
      <c r="J26" s="66"/>
      <c r="K26" s="66"/>
      <c r="L26" s="72"/>
      <c r="M26" s="27"/>
    </row>
    <row r="27" spans="1:13" x14ac:dyDescent="0.6">
      <c r="A27" s="78"/>
      <c r="B27" s="79" t="s">
        <v>126</v>
      </c>
      <c r="C27" s="80"/>
      <c r="D27" s="80"/>
      <c r="E27" s="81"/>
      <c r="F27" s="81"/>
      <c r="G27" s="81"/>
      <c r="H27" s="81"/>
      <c r="I27" s="81"/>
      <c r="J27" s="81"/>
      <c r="K27" s="81"/>
    </row>
    <row r="28" spans="1:13" x14ac:dyDescent="0.6">
      <c r="A28" s="26"/>
      <c r="B28" s="27" t="s">
        <v>127</v>
      </c>
      <c r="C28" s="65">
        <f t="shared" ref="C28:K28" si="6">SUM(C12:C14)</f>
        <v>53062748.609615386</v>
      </c>
      <c r="D28" s="65">
        <f t="shared" si="6"/>
        <v>63176614.760384634</v>
      </c>
      <c r="E28" s="69">
        <f t="shared" si="6"/>
        <v>68048732.455438495</v>
      </c>
      <c r="F28" s="69">
        <f t="shared" si="6"/>
        <v>72903289.295449942</v>
      </c>
      <c r="G28" s="69">
        <f t="shared" si="6"/>
        <v>77746510.417671636</v>
      </c>
      <c r="H28" s="69">
        <f t="shared" si="6"/>
        <v>82659940.68584545</v>
      </c>
      <c r="I28" s="69">
        <f t="shared" si="6"/>
        <v>87575072.058480099</v>
      </c>
      <c r="J28" s="69">
        <f t="shared" si="6"/>
        <v>93196985.950887755</v>
      </c>
      <c r="K28" s="69">
        <f t="shared" si="6"/>
        <v>98809939.552623957</v>
      </c>
    </row>
    <row r="29" spans="1:13" x14ac:dyDescent="0.6">
      <c r="A29" s="26"/>
      <c r="B29" s="27" t="s">
        <v>128</v>
      </c>
      <c r="C29" s="65">
        <f>C24+C23</f>
        <v>52574000</v>
      </c>
      <c r="D29" s="65">
        <f t="shared" ref="D29:K29" si="7">D24+D23</f>
        <v>62572100</v>
      </c>
      <c r="E29" s="65">
        <f t="shared" si="7"/>
        <v>67353800.000000015</v>
      </c>
      <c r="F29" s="65">
        <f t="shared" si="7"/>
        <v>72135500.000000015</v>
      </c>
      <c r="G29" s="65">
        <f t="shared" si="7"/>
        <v>76917200.000000015</v>
      </c>
      <c r="H29" s="65">
        <f t="shared" si="7"/>
        <v>81698900</v>
      </c>
      <c r="I29" s="65">
        <f t="shared" si="7"/>
        <v>86480600</v>
      </c>
      <c r="J29" s="65">
        <f t="shared" si="7"/>
        <v>91262300</v>
      </c>
      <c r="K29" s="65">
        <f t="shared" si="7"/>
        <v>96044000.000000015</v>
      </c>
    </row>
    <row r="30" spans="1:13" x14ac:dyDescent="0.6">
      <c r="A30" s="26"/>
      <c r="B30" s="27" t="s">
        <v>132</v>
      </c>
      <c r="C30" s="13">
        <f>C28/C29</f>
        <v>1.0092963938375505</v>
      </c>
      <c r="D30" s="13">
        <f>D28/D29</f>
        <v>1.009661091131425</v>
      </c>
      <c r="E30" s="14">
        <f t="shared" ref="E30:K30" si="8">E28/E29</f>
        <v>1.0103176428863476</v>
      </c>
      <c r="F30" s="14">
        <f t="shared" si="8"/>
        <v>1.0106437093449123</v>
      </c>
      <c r="G30" s="14">
        <f t="shared" si="8"/>
        <v>1.0107818591637712</v>
      </c>
      <c r="H30" s="14">
        <f t="shared" si="8"/>
        <v>1.0117632022688856</v>
      </c>
      <c r="I30" s="14">
        <f t="shared" si="8"/>
        <v>1.0126556945543868</v>
      </c>
      <c r="J30" s="14">
        <f t="shared" si="8"/>
        <v>1.0211991802846054</v>
      </c>
      <c r="K30" s="14">
        <f t="shared" si="8"/>
        <v>1.0287986709489811</v>
      </c>
    </row>
    <row r="31" spans="1:13" x14ac:dyDescent="0.6">
      <c r="A31" s="26"/>
      <c r="B31" s="67" t="s">
        <v>145</v>
      </c>
      <c r="C31" s="13"/>
      <c r="D31" s="13"/>
      <c r="E31" s="14"/>
      <c r="F31" s="14">
        <f>AVERAGE(C30:K30)</f>
        <v>1.0139019382689851</v>
      </c>
      <c r="G31" s="14"/>
      <c r="H31" s="14"/>
      <c r="I31" s="14"/>
      <c r="J31" s="14"/>
      <c r="K31" s="14"/>
    </row>
    <row r="32" spans="1:13" x14ac:dyDescent="0.6">
      <c r="A32" s="26"/>
      <c r="B32" s="27"/>
      <c r="C32" s="13"/>
      <c r="D32" s="13"/>
      <c r="E32" s="14"/>
      <c r="F32" s="14"/>
      <c r="G32" s="14"/>
      <c r="H32" s="14"/>
      <c r="I32" s="14"/>
      <c r="J32" s="14"/>
      <c r="K32" s="14"/>
    </row>
    <row r="33" spans="1:11" x14ac:dyDescent="0.6">
      <c r="A33" s="78"/>
      <c r="B33" s="79" t="s">
        <v>129</v>
      </c>
      <c r="C33" s="80"/>
      <c r="D33" s="80"/>
      <c r="E33" s="81"/>
      <c r="F33" s="81"/>
      <c r="G33" s="81"/>
      <c r="H33" s="81"/>
      <c r="I33" s="81"/>
      <c r="J33" s="81"/>
      <c r="K33" s="81"/>
    </row>
    <row r="34" spans="1:11" x14ac:dyDescent="0.6">
      <c r="A34" s="26"/>
      <c r="B34" s="27" t="s">
        <v>130</v>
      </c>
      <c r="C34" s="65">
        <f>C22+C23</f>
        <v>4638153.8461538469</v>
      </c>
      <c r="D34" s="65">
        <f t="shared" ref="D34:K34" si="9">D22+D23</f>
        <v>3933461.5384615404</v>
      </c>
      <c r="E34" s="65">
        <f t="shared" si="9"/>
        <v>3228769.2307692328</v>
      </c>
      <c r="F34" s="65">
        <f t="shared" si="9"/>
        <v>2524076.9230769249</v>
      </c>
      <c r="G34" s="65">
        <f t="shared" si="9"/>
        <v>1819384.6153846169</v>
      </c>
      <c r="H34" s="65">
        <f t="shared" si="9"/>
        <v>1114692.3076923089</v>
      </c>
      <c r="I34" s="65">
        <f t="shared" si="9"/>
        <v>409999.99999999994</v>
      </c>
      <c r="J34" s="65">
        <f t="shared" si="9"/>
        <v>409999.99999999994</v>
      </c>
      <c r="K34" s="65">
        <f t="shared" si="9"/>
        <v>409999.99999999994</v>
      </c>
    </row>
    <row r="35" spans="1:11" x14ac:dyDescent="0.6">
      <c r="A35" s="26"/>
      <c r="B35" s="27" t="s">
        <v>131</v>
      </c>
      <c r="C35" s="65">
        <f t="shared" ref="C35:K35" si="10">C21</f>
        <v>615344.76346153859</v>
      </c>
      <c r="D35" s="65">
        <f t="shared" si="10"/>
        <v>850090.7219230812</v>
      </c>
      <c r="E35" s="69">
        <f t="shared" si="10"/>
        <v>1140595.0996692337</v>
      </c>
      <c r="F35" s="69">
        <f t="shared" si="10"/>
        <v>1483154.4661230014</v>
      </c>
      <c r="G35" s="69">
        <f t="shared" si="10"/>
        <v>1874159.0819744954</v>
      </c>
      <c r="H35" s="69">
        <f t="shared" si="10"/>
        <v>2386733.4158875057</v>
      </c>
      <c r="I35" s="69">
        <f t="shared" si="10"/>
        <v>2945157.4155543139</v>
      </c>
      <c r="J35" s="69">
        <f t="shared" si="10"/>
        <v>3543640.7719008545</v>
      </c>
      <c r="K35" s="69">
        <f t="shared" si="10"/>
        <v>4165836.1912351171</v>
      </c>
    </row>
    <row r="36" spans="1:11" x14ac:dyDescent="0.6">
      <c r="A36" s="26"/>
      <c r="B36" s="27" t="s">
        <v>132</v>
      </c>
      <c r="C36" s="13">
        <f>C34/C35</f>
        <v>7.5374881230199167</v>
      </c>
      <c r="D36" s="13">
        <f t="shared" ref="D36:K36" si="11">D34/D35</f>
        <v>4.6271079509763808</v>
      </c>
      <c r="E36" s="14">
        <f t="shared" si="11"/>
        <v>2.830775997289098</v>
      </c>
      <c r="F36" s="14">
        <f t="shared" si="11"/>
        <v>1.7018301065262054</v>
      </c>
      <c r="G36" s="14">
        <f t="shared" si="11"/>
        <v>0.97077384352443996</v>
      </c>
      <c r="H36" s="14">
        <f t="shared" si="11"/>
        <v>0.46703678771674256</v>
      </c>
      <c r="I36" s="14">
        <f t="shared" si="11"/>
        <v>0.13921157417075888</v>
      </c>
      <c r="J36" s="14">
        <f t="shared" si="11"/>
        <v>0.11570021522810019</v>
      </c>
      <c r="K36" s="14">
        <f t="shared" si="11"/>
        <v>9.8419616417620148E-2</v>
      </c>
    </row>
    <row r="37" spans="1:11" x14ac:dyDescent="0.6">
      <c r="A37" s="26"/>
      <c r="B37" s="67" t="s">
        <v>145</v>
      </c>
      <c r="C37" s="13"/>
      <c r="D37" s="13"/>
      <c r="E37" s="14"/>
      <c r="F37" s="14">
        <f>AVERAGE(C36:K36)</f>
        <v>2.054260468318807</v>
      </c>
      <c r="G37" s="14"/>
      <c r="H37" s="14"/>
      <c r="I37" s="69"/>
      <c r="J37" s="69"/>
      <c r="K37" s="69"/>
    </row>
    <row r="38" spans="1:11" x14ac:dyDescent="0.6">
      <c r="A38" s="26"/>
      <c r="B38" s="27"/>
      <c r="C38" s="13"/>
      <c r="D38" s="13"/>
      <c r="E38" s="14"/>
      <c r="F38" s="14"/>
      <c r="G38" s="14"/>
      <c r="H38" s="14"/>
      <c r="I38" s="69"/>
      <c r="J38" s="69"/>
      <c r="K38" s="69"/>
    </row>
    <row r="39" spans="1:11" x14ac:dyDescent="0.6">
      <c r="A39" s="78"/>
      <c r="B39" s="79" t="s">
        <v>146</v>
      </c>
      <c r="C39" s="80"/>
      <c r="D39" s="80"/>
      <c r="E39" s="81"/>
      <c r="F39" s="81"/>
      <c r="G39" s="81"/>
      <c r="H39" s="81"/>
      <c r="I39" s="82"/>
      <c r="J39" s="82"/>
      <c r="K39" s="82"/>
    </row>
    <row r="40" spans="1:11" x14ac:dyDescent="0.6">
      <c r="A40" s="26"/>
      <c r="B40" s="67" t="s">
        <v>147</v>
      </c>
      <c r="C40" s="65">
        <f t="shared" ref="C40:K40" si="12">C11</f>
        <v>4354750</v>
      </c>
      <c r="D40" s="65">
        <f t="shared" si="12"/>
        <v>3769037.5</v>
      </c>
      <c r="E40" s="65">
        <f t="shared" si="12"/>
        <v>3264431.875</v>
      </c>
      <c r="F40" s="65">
        <f t="shared" si="12"/>
        <v>2829442.09375</v>
      </c>
      <c r="G40" s="65">
        <f t="shared" si="12"/>
        <v>2454233.2796875001</v>
      </c>
      <c r="H40" s="65">
        <f t="shared" si="12"/>
        <v>2130385.0377343749</v>
      </c>
      <c r="I40" s="65">
        <f t="shared" si="12"/>
        <v>1850685.3570742186</v>
      </c>
      <c r="J40" s="65">
        <f t="shared" si="12"/>
        <v>1608954.8210130858</v>
      </c>
      <c r="K40" s="65">
        <f t="shared" si="12"/>
        <v>1399896.638611123</v>
      </c>
    </row>
    <row r="41" spans="1:11" x14ac:dyDescent="0.6">
      <c r="A41" s="26"/>
      <c r="B41" s="67" t="s">
        <v>130</v>
      </c>
      <c r="C41" s="65">
        <f t="shared" ref="C41:K41" si="13">C22+C23</f>
        <v>4638153.8461538469</v>
      </c>
      <c r="D41" s="65">
        <f t="shared" si="13"/>
        <v>3933461.5384615404</v>
      </c>
      <c r="E41" s="65">
        <f t="shared" si="13"/>
        <v>3228769.2307692328</v>
      </c>
      <c r="F41" s="65">
        <f t="shared" si="13"/>
        <v>2524076.9230769249</v>
      </c>
      <c r="G41" s="65">
        <f t="shared" si="13"/>
        <v>1819384.6153846169</v>
      </c>
      <c r="H41" s="65">
        <f t="shared" si="13"/>
        <v>1114692.3076923089</v>
      </c>
      <c r="I41" s="65">
        <f t="shared" si="13"/>
        <v>409999.99999999994</v>
      </c>
      <c r="J41" s="65">
        <f t="shared" si="13"/>
        <v>409999.99999999994</v>
      </c>
      <c r="K41" s="65">
        <f t="shared" si="13"/>
        <v>409999.99999999994</v>
      </c>
    </row>
    <row r="42" spans="1:11" x14ac:dyDescent="0.6">
      <c r="A42" s="26"/>
      <c r="B42" s="67" t="s">
        <v>141</v>
      </c>
      <c r="C42" s="13">
        <f>C40/C41</f>
        <v>0.93889727345097507</v>
      </c>
      <c r="D42" s="13">
        <f t="shared" ref="D42:K42" si="14">D40/D41</f>
        <v>0.9581986408526445</v>
      </c>
      <c r="E42" s="13">
        <f t="shared" si="14"/>
        <v>1.0110452750512215</v>
      </c>
      <c r="F42" s="13">
        <f t="shared" si="14"/>
        <v>1.1209809288620356</v>
      </c>
      <c r="G42" s="13">
        <f t="shared" si="14"/>
        <v>1.3489359308277302</v>
      </c>
      <c r="H42" s="13">
        <f t="shared" si="14"/>
        <v>1.9111866324302562</v>
      </c>
      <c r="I42" s="13">
        <f t="shared" si="14"/>
        <v>4.5138667245712654</v>
      </c>
      <c r="J42" s="13">
        <f t="shared" si="14"/>
        <v>3.9242800512514293</v>
      </c>
      <c r="K42" s="13">
        <f t="shared" si="14"/>
        <v>3.4143820453929834</v>
      </c>
    </row>
    <row r="43" spans="1:11" x14ac:dyDescent="0.6">
      <c r="A43" s="26"/>
      <c r="B43" s="67"/>
      <c r="C43" s="13"/>
      <c r="D43" s="13"/>
      <c r="E43" s="14"/>
      <c r="F43" s="14">
        <f>AVERAGE(C42:K42)</f>
        <v>2.1268637225211711</v>
      </c>
      <c r="G43" s="14"/>
      <c r="H43" s="14"/>
      <c r="I43" s="14"/>
      <c r="J43" s="14"/>
      <c r="K43" s="14"/>
    </row>
    <row r="44" spans="1:11" x14ac:dyDescent="0.6">
      <c r="A44" s="26"/>
      <c r="B44" s="27"/>
      <c r="C44" s="13"/>
      <c r="D44" s="13"/>
      <c r="E44" s="14"/>
      <c r="F44" s="14"/>
      <c r="G44" s="14"/>
      <c r="H44" s="14"/>
      <c r="I44" s="69"/>
      <c r="J44" s="69"/>
      <c r="K44" s="69"/>
    </row>
    <row r="45" spans="1:11" x14ac:dyDescent="0.6">
      <c r="A45" s="78"/>
      <c r="B45" s="79" t="s">
        <v>138</v>
      </c>
      <c r="C45" s="80"/>
      <c r="D45" s="80"/>
      <c r="E45" s="81"/>
      <c r="F45" s="81"/>
      <c r="G45" s="81"/>
      <c r="H45" s="81"/>
      <c r="I45" s="82"/>
      <c r="J45" s="82"/>
      <c r="K45" s="82"/>
    </row>
    <row r="46" spans="1:11" x14ac:dyDescent="0.6">
      <c r="A46" s="26"/>
      <c r="B46" s="27" t="s">
        <v>139</v>
      </c>
      <c r="C46" s="68">
        <f>'Ann 4'!C29</f>
        <v>313187.40384615387</v>
      </c>
      <c r="D46" s="68">
        <f>'Ann 4'!D29</f>
        <v>278833.65384615387</v>
      </c>
      <c r="E46" s="68">
        <f>'Ann 4'!E29</f>
        <v>236552.11538461549</v>
      </c>
      <c r="F46" s="68">
        <f>'Ann 4'!F29</f>
        <v>194270.57692307705</v>
      </c>
      <c r="G46" s="68">
        <f>'Ann 4'!G29</f>
        <v>151989.03846153856</v>
      </c>
      <c r="H46" s="68">
        <f>'Ann 4'!H29</f>
        <v>109707.50000000007</v>
      </c>
      <c r="I46" s="68">
        <f>'Ann 4'!I29</f>
        <v>67425.961538461619</v>
      </c>
      <c r="J46" s="68">
        <f>'Ann 4'!J29</f>
        <v>41000</v>
      </c>
      <c r="K46" s="68">
        <f>'Ann 4'!K29</f>
        <v>41000</v>
      </c>
    </row>
    <row r="47" spans="1:11" x14ac:dyDescent="0.6">
      <c r="A47" s="26"/>
      <c r="B47" s="27" t="s">
        <v>142</v>
      </c>
      <c r="C47" s="68">
        <f>(SUM('Ann 13'!D9:D12)*100000)+('Ann 1'!$C$25*100000)</f>
        <v>762346.15384615376</v>
      </c>
      <c r="D47" s="68">
        <f>(SUM('Ann 13'!D13:D16)*100000)+('Ann 1'!$C$25*100000)</f>
        <v>1114692.3076923077</v>
      </c>
      <c r="E47" s="68">
        <f>(SUM('Ann 13'!D17:D20)*100000)+('Ann 1'!$C$25*100000)</f>
        <v>1114692.3076923077</v>
      </c>
      <c r="F47" s="68">
        <f>(SUM('Ann 13'!D21:D24)*100000)+('Ann 1'!$C$25*100000)</f>
        <v>1114692.3076923077</v>
      </c>
      <c r="G47" s="68">
        <f>(SUM('Ann 13'!D25:D28)*100000)+('Ann 1'!$C$25*100000)</f>
        <v>1114692.3076923077</v>
      </c>
      <c r="H47" s="68">
        <f>(SUM('Ann 13'!D29:D32)*100000)+('Ann 1'!$C$25*100000)</f>
        <v>1114692.3076923077</v>
      </c>
      <c r="I47" s="68">
        <f>(SUM('Ann 13'!D33:D36)*100000)+('Ann 1'!$C$25*100000)</f>
        <v>1114692.3076923087</v>
      </c>
      <c r="J47" s="68">
        <f>(SUM('Ann 13'!D37:D37)*100000)+('Ann 1'!$C$25*100000)</f>
        <v>409999.99999999994</v>
      </c>
      <c r="K47" s="68">
        <f>(SUM('Ann 13'!D38:D39)*100000)+('Ann 1'!$C$25*100000)</f>
        <v>409999.99999999994</v>
      </c>
    </row>
    <row r="48" spans="1:11" x14ac:dyDescent="0.6">
      <c r="A48" s="26"/>
      <c r="B48" s="27" t="s">
        <v>290</v>
      </c>
      <c r="C48" s="68">
        <f>SUM(C46:C47)</f>
        <v>1075533.5576923075</v>
      </c>
      <c r="D48" s="68">
        <f t="shared" ref="D48:K48" si="15">SUM(D46:D47)</f>
        <v>1393525.9615384615</v>
      </c>
      <c r="E48" s="71">
        <f t="shared" si="15"/>
        <v>1351244.4230769232</v>
      </c>
      <c r="F48" s="71">
        <f t="shared" si="15"/>
        <v>1308962.8846153847</v>
      </c>
      <c r="G48" s="71">
        <f t="shared" si="15"/>
        <v>1266681.3461538462</v>
      </c>
      <c r="H48" s="71">
        <f t="shared" si="15"/>
        <v>1224399.8076923077</v>
      </c>
      <c r="I48" s="71">
        <f t="shared" si="15"/>
        <v>1182118.2692307704</v>
      </c>
      <c r="J48" s="71">
        <f t="shared" si="15"/>
        <v>450999.99999999994</v>
      </c>
      <c r="K48" s="71">
        <f t="shared" si="15"/>
        <v>450999.99999999994</v>
      </c>
    </row>
    <row r="49" spans="1:11" x14ac:dyDescent="0.6">
      <c r="A49" s="26"/>
      <c r="B49" s="27" t="s">
        <v>140</v>
      </c>
      <c r="C49" s="68">
        <f>'Ann 4'!C24</f>
        <v>1570900</v>
      </c>
      <c r="D49" s="68">
        <f>'Ann 4'!D24</f>
        <v>2541303.0000000298</v>
      </c>
      <c r="E49" s="71">
        <f>'Ann 4'!E24</f>
        <v>2816189.0099999905</v>
      </c>
      <c r="F49" s="71">
        <f>'Ann 4'!F24</f>
        <v>3076112.975699991</v>
      </c>
      <c r="G49" s="71">
        <f>'Ann 4'!G24</f>
        <v>3320087.9657489955</v>
      </c>
      <c r="H49" s="71">
        <f>'Ann 4'!H24</f>
        <v>4094800.9841889143</v>
      </c>
      <c r="I49" s="71">
        <f>'Ann 4'!I24</f>
        <v>4335868.496961534</v>
      </c>
      <c r="J49" s="71">
        <f>'Ann 4'!J24</f>
        <v>4557611.6528221369</v>
      </c>
      <c r="K49" s="71">
        <f>'Ann 4'!K24</f>
        <v>4694311.1776466966</v>
      </c>
    </row>
    <row r="50" spans="1:11" x14ac:dyDescent="0.6">
      <c r="A50" s="73"/>
      <c r="B50" s="74" t="s">
        <v>132</v>
      </c>
      <c r="C50" s="75">
        <f>C49/C48</f>
        <v>1.4605773932061807</v>
      </c>
      <c r="D50" s="75">
        <f t="shared" ref="D50:K50" si="16">D49/D48</f>
        <v>1.8236495552579552</v>
      </c>
      <c r="E50" s="76">
        <f t="shared" si="16"/>
        <v>2.0841447793636307</v>
      </c>
      <c r="F50" s="76">
        <f t="shared" si="16"/>
        <v>2.350038348569258</v>
      </c>
      <c r="G50" s="76">
        <f t="shared" si="16"/>
        <v>2.6210917022107552</v>
      </c>
      <c r="H50" s="76">
        <f t="shared" si="16"/>
        <v>3.3443332467575329</v>
      </c>
      <c r="I50" s="76">
        <f t="shared" si="16"/>
        <v>3.6678804564817158</v>
      </c>
      <c r="J50" s="76">
        <f t="shared" si="16"/>
        <v>10.105569074993653</v>
      </c>
      <c r="K50" s="76">
        <f t="shared" si="16"/>
        <v>10.408672234249883</v>
      </c>
    </row>
    <row r="51" spans="1:11" x14ac:dyDescent="0.6">
      <c r="A51" s="67"/>
      <c r="B51" s="67" t="s">
        <v>145</v>
      </c>
      <c r="C51" s="67"/>
      <c r="D51" s="67"/>
      <c r="E51" s="67"/>
      <c r="F51" s="67">
        <f>AVERAGE(C50:K50)</f>
        <v>4.2073285323433955</v>
      </c>
      <c r="G51" s="67"/>
      <c r="H51" s="67"/>
      <c r="I51" s="67"/>
      <c r="J51" s="67"/>
      <c r="K51" s="67"/>
    </row>
    <row r="52" spans="1:11" x14ac:dyDescent="0.6">
      <c r="I52" s="55"/>
      <c r="J52" s="55"/>
      <c r="K52" s="55"/>
    </row>
    <row r="54" spans="1:11" x14ac:dyDescent="0.6">
      <c r="A54" s="6" t="s">
        <v>259</v>
      </c>
    </row>
    <row r="55" spans="1:11" x14ac:dyDescent="0.6">
      <c r="A55" s="6" t="s">
        <v>270</v>
      </c>
    </row>
  </sheetData>
  <mergeCells count="3">
    <mergeCell ref="A5:A6"/>
    <mergeCell ref="B5:B6"/>
    <mergeCell ref="C5:K5"/>
  </mergeCells>
  <pageMargins left="0.7" right="0.7" top="0.75" bottom="0.75" header="0.3" footer="0.3"/>
  <pageSetup scale="54"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AA480-223F-4A3F-891A-2F2B726FC76B}">
  <dimension ref="A1:C17"/>
  <sheetViews>
    <sheetView workbookViewId="0">
      <selection activeCell="B18" sqref="B18"/>
    </sheetView>
  </sheetViews>
  <sheetFormatPr defaultRowHeight="14.5" x14ac:dyDescent="0.35"/>
  <cols>
    <col min="1" max="1" width="53.453125" bestFit="1" customWidth="1"/>
    <col min="2" max="2" width="13.6328125" bestFit="1" customWidth="1"/>
    <col min="3" max="3" width="11.1796875" bestFit="1" customWidth="1"/>
    <col min="4" max="4" width="12.54296875" bestFit="1" customWidth="1"/>
  </cols>
  <sheetData>
    <row r="1" spans="1:3" x14ac:dyDescent="0.35">
      <c r="A1" s="2" t="s">
        <v>215</v>
      </c>
    </row>
    <row r="3" spans="1:3" x14ac:dyDescent="0.35">
      <c r="A3" s="1" t="s">
        <v>218</v>
      </c>
    </row>
    <row r="5" spans="1:3" x14ac:dyDescent="0.35">
      <c r="A5" s="2" t="s">
        <v>216</v>
      </c>
    </row>
    <row r="6" spans="1:3" x14ac:dyDescent="0.35">
      <c r="A6" s="3" t="s">
        <v>224</v>
      </c>
    </row>
    <row r="7" spans="1:3" x14ac:dyDescent="0.35">
      <c r="A7" t="s">
        <v>217</v>
      </c>
      <c r="B7">
        <v>5</v>
      </c>
      <c r="C7" t="s">
        <v>221</v>
      </c>
    </row>
    <row r="8" spans="1:3" x14ac:dyDescent="0.35">
      <c r="A8" t="s">
        <v>219</v>
      </c>
      <c r="B8">
        <v>30</v>
      </c>
      <c r="C8" t="s">
        <v>222</v>
      </c>
    </row>
    <row r="9" spans="1:3" x14ac:dyDescent="0.35">
      <c r="A9" t="s">
        <v>220</v>
      </c>
      <c r="B9">
        <f>B8*3000*20/B7</f>
        <v>360000</v>
      </c>
      <c r="C9" t="s">
        <v>223</v>
      </c>
    </row>
    <row r="11" spans="1:3" x14ac:dyDescent="0.35">
      <c r="A11" s="3" t="s">
        <v>225</v>
      </c>
    </row>
    <row r="12" spans="1:3" x14ac:dyDescent="0.35">
      <c r="A12" s="3" t="s">
        <v>217</v>
      </c>
      <c r="B12">
        <v>0.5</v>
      </c>
      <c r="C12" t="s">
        <v>226</v>
      </c>
    </row>
    <row r="13" spans="1:3" x14ac:dyDescent="0.35">
      <c r="A13" s="3" t="s">
        <v>227</v>
      </c>
      <c r="B13">
        <f>B12*3000*30</f>
        <v>45000</v>
      </c>
      <c r="C13" t="s">
        <v>228</v>
      </c>
    </row>
    <row r="15" spans="1:3" x14ac:dyDescent="0.35">
      <c r="A15" t="s">
        <v>229</v>
      </c>
      <c r="B15">
        <f>B13+B9</f>
        <v>405000</v>
      </c>
    </row>
    <row r="16" spans="1:3" x14ac:dyDescent="0.35">
      <c r="A16" t="s">
        <v>230</v>
      </c>
      <c r="B16">
        <v>75</v>
      </c>
    </row>
    <row r="17" spans="1:2" x14ac:dyDescent="0.35">
      <c r="A17" t="s">
        <v>231</v>
      </c>
      <c r="B17" s="4">
        <f>B15*B16</f>
        <v>30375000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F1FBF-6FFA-405B-9A95-302F8FAA33B6}">
  <dimension ref="A1:E18"/>
  <sheetViews>
    <sheetView workbookViewId="0">
      <selection activeCell="E13" sqref="E13"/>
    </sheetView>
  </sheetViews>
  <sheetFormatPr defaultRowHeight="17" x14ac:dyDescent="0.6"/>
  <cols>
    <col min="1" max="1" width="5.6328125" style="6" bestFit="1" customWidth="1"/>
    <col min="2" max="2" width="26.08984375" style="6" bestFit="1" customWidth="1"/>
    <col min="3" max="3" width="8.7265625" style="6"/>
    <col min="4" max="4" width="25" style="6" bestFit="1" customWidth="1"/>
    <col min="5" max="5" width="12.54296875" style="6" bestFit="1" customWidth="1"/>
    <col min="6" max="16384" width="8.7265625" style="6"/>
  </cols>
  <sheetData>
    <row r="1" spans="1:5" x14ac:dyDescent="0.6">
      <c r="A1" s="5" t="s">
        <v>287</v>
      </c>
    </row>
    <row r="3" spans="1:5" x14ac:dyDescent="0.6">
      <c r="A3" s="83" t="s">
        <v>149</v>
      </c>
    </row>
    <row r="5" spans="1:5" x14ac:dyDescent="0.6">
      <c r="A5" s="10" t="s">
        <v>51</v>
      </c>
      <c r="B5" s="10" t="s">
        <v>52</v>
      </c>
      <c r="C5" s="10" t="s">
        <v>53</v>
      </c>
      <c r="D5" s="10" t="s">
        <v>54</v>
      </c>
      <c r="E5" s="10" t="s">
        <v>212</v>
      </c>
    </row>
    <row r="6" spans="1:5" x14ac:dyDescent="0.6">
      <c r="A6" s="58" t="s">
        <v>55</v>
      </c>
      <c r="B6" s="34" t="s">
        <v>243</v>
      </c>
      <c r="C6" s="34">
        <v>1</v>
      </c>
      <c r="D6" s="57">
        <v>22000</v>
      </c>
      <c r="E6" s="57">
        <f>D6*C6*12</f>
        <v>264000</v>
      </c>
    </row>
    <row r="7" spans="1:5" x14ac:dyDescent="0.6">
      <c r="A7" s="34" t="s">
        <v>56</v>
      </c>
      <c r="B7" s="34" t="s">
        <v>244</v>
      </c>
      <c r="C7" s="34">
        <v>4</v>
      </c>
      <c r="D7" s="57">
        <v>10000</v>
      </c>
      <c r="E7" s="57">
        <f>D7*C7*12</f>
        <v>480000</v>
      </c>
    </row>
    <row r="8" spans="1:5" x14ac:dyDescent="0.6">
      <c r="A8" s="34" t="s">
        <v>59</v>
      </c>
      <c r="B8" s="34" t="s">
        <v>280</v>
      </c>
      <c r="C8" s="34">
        <v>1</v>
      </c>
      <c r="D8" s="57">
        <v>15000</v>
      </c>
      <c r="E8" s="57">
        <f>D8*C8*12</f>
        <v>180000</v>
      </c>
    </row>
    <row r="9" spans="1:5" x14ac:dyDescent="0.6">
      <c r="A9" s="34" t="s">
        <v>279</v>
      </c>
      <c r="B9" s="34" t="s">
        <v>245</v>
      </c>
      <c r="C9" s="34">
        <v>4</v>
      </c>
      <c r="D9" s="57">
        <v>12000</v>
      </c>
      <c r="E9" s="57">
        <f>D9*C9*12</f>
        <v>576000</v>
      </c>
    </row>
    <row r="10" spans="1:5" x14ac:dyDescent="0.6">
      <c r="A10" s="34" t="s">
        <v>295</v>
      </c>
      <c r="B10" s="34" t="s">
        <v>296</v>
      </c>
      <c r="C10" s="34">
        <v>2</v>
      </c>
      <c r="D10" s="57">
        <v>10500</v>
      </c>
      <c r="E10" s="57">
        <f>D10*C10*12</f>
        <v>252000</v>
      </c>
    </row>
    <row r="11" spans="1:5" x14ac:dyDescent="0.6">
      <c r="A11" s="144" t="s">
        <v>8</v>
      </c>
      <c r="B11" s="144"/>
      <c r="C11" s="144"/>
      <c r="D11" s="144"/>
      <c r="E11" s="84">
        <f>SUM(E6:E10)</f>
        <v>1752000</v>
      </c>
    </row>
    <row r="12" spans="1:5" x14ac:dyDescent="0.6">
      <c r="A12" s="37"/>
      <c r="B12" s="85"/>
      <c r="C12" s="85"/>
      <c r="D12" s="85"/>
      <c r="E12" s="64"/>
    </row>
    <row r="13" spans="1:5" x14ac:dyDescent="0.6">
      <c r="A13" s="73" t="s">
        <v>285</v>
      </c>
      <c r="B13" s="74"/>
      <c r="C13" s="74"/>
      <c r="D13" s="74"/>
      <c r="E13" s="86">
        <f>E11*30%</f>
        <v>525600</v>
      </c>
    </row>
    <row r="14" spans="1:5" x14ac:dyDescent="0.6">
      <c r="A14" s="31" t="s">
        <v>8</v>
      </c>
      <c r="B14" s="32"/>
      <c r="C14" s="32"/>
      <c r="D14" s="32"/>
      <c r="E14" s="87">
        <f>SUM(E11:E13)</f>
        <v>2277600</v>
      </c>
    </row>
    <row r="16" spans="1:5" x14ac:dyDescent="0.6">
      <c r="A16" s="6" t="s">
        <v>57</v>
      </c>
      <c r="E16" s="55">
        <f>E14</f>
        <v>2277600</v>
      </c>
    </row>
    <row r="17" spans="1:5" x14ac:dyDescent="0.6">
      <c r="A17" s="6" t="s">
        <v>58</v>
      </c>
      <c r="E17" s="88">
        <v>7.0000000000000007E-2</v>
      </c>
    </row>
    <row r="18" spans="1:5" x14ac:dyDescent="0.6">
      <c r="A18" s="6" t="s">
        <v>151</v>
      </c>
      <c r="E18" s="6">
        <f>SUM(C6:C10)</f>
        <v>12</v>
      </c>
    </row>
  </sheetData>
  <mergeCells count="1">
    <mergeCell ref="A11:D1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D6B57-BA66-499F-8B17-ED356988118B}">
  <dimension ref="A1:F22"/>
  <sheetViews>
    <sheetView workbookViewId="0">
      <selection activeCell="D12" sqref="D12"/>
    </sheetView>
  </sheetViews>
  <sheetFormatPr defaultRowHeight="17" x14ac:dyDescent="0.6"/>
  <cols>
    <col min="1" max="1" width="6.36328125" style="6" bestFit="1" customWidth="1"/>
    <col min="2" max="2" width="18.81640625" style="6" bestFit="1" customWidth="1"/>
    <col min="3" max="3" width="19.453125" style="6" bestFit="1" customWidth="1"/>
    <col min="4" max="4" width="18.08984375" style="6" bestFit="1" customWidth="1"/>
    <col min="5" max="5" width="14.453125" style="6" bestFit="1" customWidth="1"/>
    <col min="6" max="6" width="26.453125" style="6" bestFit="1" customWidth="1"/>
    <col min="7" max="16384" width="8.7265625" style="6"/>
  </cols>
  <sheetData>
    <row r="1" spans="1:6" x14ac:dyDescent="0.6">
      <c r="A1" s="5" t="s">
        <v>61</v>
      </c>
    </row>
    <row r="3" spans="1:6" x14ac:dyDescent="0.6">
      <c r="A3" s="83" t="s">
        <v>60</v>
      </c>
    </row>
    <row r="5" spans="1:6" x14ac:dyDescent="0.6">
      <c r="A5" s="10" t="s">
        <v>24</v>
      </c>
      <c r="B5" s="10" t="s">
        <v>3</v>
      </c>
      <c r="C5" s="10" t="s">
        <v>294</v>
      </c>
      <c r="D5" s="10" t="s">
        <v>11</v>
      </c>
      <c r="E5" s="10" t="s">
        <v>64</v>
      </c>
      <c r="F5" s="10" t="s">
        <v>65</v>
      </c>
    </row>
    <row r="6" spans="1:6" x14ac:dyDescent="0.6">
      <c r="A6" s="34" t="s">
        <v>55</v>
      </c>
      <c r="B6" s="34" t="s">
        <v>13</v>
      </c>
      <c r="C6" s="57">
        <f>'Ann 1'!C15*100000</f>
        <v>1200000</v>
      </c>
      <c r="D6" s="57">
        <f>('Ann 1'!C20)*100000</f>
        <v>3535000</v>
      </c>
      <c r="E6" s="57">
        <f>'Ann 3'!E20</f>
        <v>300000</v>
      </c>
      <c r="F6" s="89">
        <f>SUM(C6:E6)/100000</f>
        <v>50.35</v>
      </c>
    </row>
    <row r="7" spans="1:6" x14ac:dyDescent="0.6">
      <c r="A7" s="34" t="s">
        <v>56</v>
      </c>
      <c r="B7" s="34" t="s">
        <v>62</v>
      </c>
      <c r="C7" s="57">
        <v>0</v>
      </c>
      <c r="D7" s="57">
        <v>0</v>
      </c>
      <c r="E7" s="57">
        <v>0</v>
      </c>
      <c r="F7" s="90">
        <f>SUM(C7:E7)/100000</f>
        <v>0</v>
      </c>
    </row>
    <row r="8" spans="1:6" x14ac:dyDescent="0.6">
      <c r="A8" s="34" t="s">
        <v>59</v>
      </c>
      <c r="B8" s="34" t="s">
        <v>63</v>
      </c>
      <c r="C8" s="57">
        <v>0</v>
      </c>
      <c r="D8" s="57">
        <v>0</v>
      </c>
      <c r="E8" s="57">
        <v>0</v>
      </c>
      <c r="F8" s="90">
        <f>SUM(C8:E8)/100000</f>
        <v>0</v>
      </c>
    </row>
    <row r="9" spans="1:6" x14ac:dyDescent="0.6">
      <c r="A9" s="34"/>
      <c r="B9" s="144" t="s">
        <v>8</v>
      </c>
      <c r="C9" s="144"/>
      <c r="D9" s="144"/>
      <c r="E9" s="144"/>
      <c r="F9" s="89">
        <f>SUM(F6:F8)</f>
        <v>50.35</v>
      </c>
    </row>
    <row r="11" spans="1:6" s="5" customFormat="1" x14ac:dyDescent="0.6">
      <c r="A11" s="128"/>
      <c r="B11" s="128" t="s">
        <v>66</v>
      </c>
      <c r="C11" s="129">
        <v>0.1</v>
      </c>
      <c r="D11" s="129">
        <v>0.15</v>
      </c>
      <c r="E11" s="129">
        <v>0.1</v>
      </c>
      <c r="F11" s="128" t="s">
        <v>166</v>
      </c>
    </row>
    <row r="12" spans="1:6" x14ac:dyDescent="0.6">
      <c r="A12" s="91" t="s">
        <v>67</v>
      </c>
      <c r="B12" s="92">
        <v>1</v>
      </c>
      <c r="C12" s="93">
        <f>C11*C6</f>
        <v>120000</v>
      </c>
      <c r="D12" s="93">
        <f>D11*D6</f>
        <v>530250</v>
      </c>
      <c r="E12" s="93">
        <f>E11*(E6+E8)</f>
        <v>30000</v>
      </c>
      <c r="F12" s="93">
        <f>SUM(C12:E12)</f>
        <v>680250</v>
      </c>
    </row>
    <row r="13" spans="1:6" x14ac:dyDescent="0.6">
      <c r="A13" s="91" t="s">
        <v>67</v>
      </c>
      <c r="B13" s="92">
        <v>2</v>
      </c>
      <c r="C13" s="93">
        <f>(C6-C12)*C11</f>
        <v>108000</v>
      </c>
      <c r="D13" s="93">
        <f>(D6-D12)*D11</f>
        <v>450712.5</v>
      </c>
      <c r="E13" s="93">
        <f>(E6+E8-E12)*E11</f>
        <v>27000</v>
      </c>
      <c r="F13" s="93">
        <f>SUM(C13:E13)</f>
        <v>585712.5</v>
      </c>
    </row>
    <row r="14" spans="1:6" x14ac:dyDescent="0.6">
      <c r="A14" s="91" t="s">
        <v>67</v>
      </c>
      <c r="B14" s="92">
        <v>3</v>
      </c>
      <c r="C14" s="93">
        <f>(C6-C12-C13)*C11</f>
        <v>97200</v>
      </c>
      <c r="D14" s="93">
        <f>(D6-D12-D13)*D11</f>
        <v>383105.625</v>
      </c>
      <c r="E14" s="93">
        <f>(E6+E8-E12-E13)*E11</f>
        <v>24300</v>
      </c>
      <c r="F14" s="93">
        <f t="shared" ref="F14:F20" si="0">SUM(C14:E14)</f>
        <v>504605.625</v>
      </c>
    </row>
    <row r="15" spans="1:6" x14ac:dyDescent="0.6">
      <c r="A15" s="91" t="s">
        <v>67</v>
      </c>
      <c r="B15" s="92">
        <v>4</v>
      </c>
      <c r="C15" s="93">
        <f>(C6-C12-C13-C14)*C11</f>
        <v>87480</v>
      </c>
      <c r="D15" s="93">
        <f>(D6-D12-D13-D14)*D11</f>
        <v>325639.78125</v>
      </c>
      <c r="E15" s="93">
        <f>(E6+E8-E12-E13-E14)*E11</f>
        <v>21870</v>
      </c>
      <c r="F15" s="93">
        <f t="shared" si="0"/>
        <v>434989.78125</v>
      </c>
    </row>
    <row r="16" spans="1:6" x14ac:dyDescent="0.6">
      <c r="A16" s="91" t="s">
        <v>67</v>
      </c>
      <c r="B16" s="92">
        <v>5</v>
      </c>
      <c r="C16" s="93">
        <f>(C6-C12-C13-C14-C15)*C11</f>
        <v>78732</v>
      </c>
      <c r="D16" s="93">
        <f>(D6-D12-D13-D14-D15)*D11</f>
        <v>276793.81406249997</v>
      </c>
      <c r="E16" s="93">
        <f>(E6+E8-E12-E13-E14-E15)*E11</f>
        <v>19683</v>
      </c>
      <c r="F16" s="93">
        <f t="shared" si="0"/>
        <v>375208.81406249997</v>
      </c>
    </row>
    <row r="17" spans="1:6" x14ac:dyDescent="0.6">
      <c r="A17" s="91" t="s">
        <v>67</v>
      </c>
      <c r="B17" s="92">
        <v>6</v>
      </c>
      <c r="C17" s="93">
        <f>(C6-C12-C13-C14-C15-C16)*C11</f>
        <v>70858.8</v>
      </c>
      <c r="D17" s="93">
        <f>(D6-D12-D13-D14-D15-D16)*D11</f>
        <v>235274.74195312502</v>
      </c>
      <c r="E17" s="93">
        <f>(E6+E8-E12-E13-E14-E15-E16)*E11</f>
        <v>17714.7</v>
      </c>
      <c r="F17" s="93">
        <f t="shared" si="0"/>
        <v>323848.24195312505</v>
      </c>
    </row>
    <row r="18" spans="1:6" x14ac:dyDescent="0.6">
      <c r="A18" s="91" t="s">
        <v>67</v>
      </c>
      <c r="B18" s="92">
        <v>7</v>
      </c>
      <c r="C18" s="93">
        <f>(C6-C12-C13-C14-C15-C16-C17)*C11</f>
        <v>63772.92</v>
      </c>
      <c r="D18" s="93">
        <f>(D6-D12-D13-D14-D15-D16-D17)*D11</f>
        <v>199983.53066015625</v>
      </c>
      <c r="E18" s="93">
        <f>(E6+E8-E12-E13-E14-E15-E16-E17)*E11</f>
        <v>15943.23</v>
      </c>
      <c r="F18" s="93">
        <f t="shared" si="0"/>
        <v>279699.68066015624</v>
      </c>
    </row>
    <row r="19" spans="1:6" x14ac:dyDescent="0.6">
      <c r="A19" s="91" t="s">
        <v>67</v>
      </c>
      <c r="B19" s="92">
        <v>8</v>
      </c>
      <c r="C19" s="93">
        <f>(C6-C12-C13-C14-C15-C16-C17-C18)*C11</f>
        <v>57395.627999999997</v>
      </c>
      <c r="D19" s="93">
        <f>(D6-D12-D13-D14-D15-D16-D17-D18)*D11</f>
        <v>169986.00106113285</v>
      </c>
      <c r="E19" s="93">
        <f>(E6+E8-E12-E13-E14-E15-E16-E17-E18)*E11</f>
        <v>14348.906999999999</v>
      </c>
      <c r="F19" s="93">
        <f t="shared" si="0"/>
        <v>241730.53606113285</v>
      </c>
    </row>
    <row r="20" spans="1:6" x14ac:dyDescent="0.6">
      <c r="A20" s="91" t="s">
        <v>67</v>
      </c>
      <c r="B20" s="92">
        <v>9</v>
      </c>
      <c r="C20" s="93">
        <f>(C6-C12-C13-C14-C15-C16-C17-C18-C19)*C11</f>
        <v>51656.06519999999</v>
      </c>
      <c r="D20" s="93">
        <f>(D6-D12-D13-D14-D15-D16-D17-D18-D19)*D11</f>
        <v>144488.1009019629</v>
      </c>
      <c r="E20" s="93">
        <f>(E6+E8-E12-E13-E14-E15-E16-E17-E18-E19)*E11</f>
        <v>12914.016299999997</v>
      </c>
      <c r="F20" s="93">
        <f t="shared" si="0"/>
        <v>209058.18240196287</v>
      </c>
    </row>
    <row r="21" spans="1:6" x14ac:dyDescent="0.6">
      <c r="B21" s="25"/>
    </row>
    <row r="22" spans="1:6" x14ac:dyDescent="0.6">
      <c r="A22" s="94"/>
    </row>
  </sheetData>
  <mergeCells count="1">
    <mergeCell ref="B9:E9"/>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Contents</vt:lpstr>
      <vt:lpstr>Ann 1</vt:lpstr>
      <vt:lpstr>Ann 2</vt:lpstr>
      <vt:lpstr>Ann 3</vt:lpstr>
      <vt:lpstr>Ann 4</vt:lpstr>
      <vt:lpstr>Ann 5</vt:lpstr>
      <vt:lpstr>Ann 6</vt:lpstr>
      <vt:lpstr>Ann 8</vt:lpstr>
      <vt:lpstr>Ann 9</vt:lpstr>
      <vt:lpstr>Ann 10</vt:lpstr>
      <vt:lpstr>Ann 11</vt:lpstr>
      <vt:lpstr>Ann 12</vt:lpstr>
      <vt:lpstr>Ann 13</vt:lpstr>
      <vt:lpstr>Ann 14</vt:lpstr>
      <vt:lpstr>Budgets</vt:lpstr>
      <vt:lpstr>For word file</vt:lpstr>
      <vt:lpstr>Assumptions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Navodita Arya</dc:creator>
  <cp:lastModifiedBy>Navodita Arya</cp:lastModifiedBy>
  <cp:lastPrinted>2021-08-11T07:10:05Z</cp:lastPrinted>
  <dcterms:created xsi:type="dcterms:W3CDTF">2021-07-04T07:21:16Z</dcterms:created>
  <dcterms:modified xsi:type="dcterms:W3CDTF">2021-08-11T07:10:06Z</dcterms:modified>
</cp:coreProperties>
</file>