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ssignments\6. Ashiwini Mittal Sir- Nabcons\2. Warehouse\"/>
    </mc:Choice>
  </mc:AlternateContent>
  <xr:revisionPtr revIDLastSave="0" documentId="13_ncr:1_{739A6F97-F424-4F28-A157-340690CA3AC4}" xr6:coauthVersionLast="47" xr6:coauthVersionMax="47" xr10:uidLastSave="{00000000-0000-0000-0000-000000000000}"/>
  <bookViews>
    <workbookView xWindow="-110" yWindow="-110" windowWidth="19420" windowHeight="11020" activeTab="5" xr2:uid="{8B0049CE-B79C-4EF0-8FA8-FBBF9BECEBD1}"/>
  </bookViews>
  <sheets>
    <sheet name="Contents" sheetId="20" r:id="rId1"/>
    <sheet name="Ann 1" sheetId="1" r:id="rId2"/>
    <sheet name="Ann 2" sheetId="2" r:id="rId3"/>
    <sheet name="Ann 3" sheetId="3" state="hidden" r:id="rId4"/>
    <sheet name="Ann 4" sheetId="4" r:id="rId5"/>
    <sheet name="Ann 5" sheetId="7" r:id="rId6"/>
    <sheet name="Ann 8" sheetId="9" r:id="rId7"/>
    <sheet name="Ann 9" sheetId="10" r:id="rId8"/>
    <sheet name="Ann 10" sheetId="13" r:id="rId9"/>
    <sheet name="Ann 11" sheetId="11" r:id="rId10"/>
    <sheet name="Ann 12" sheetId="12" state="hidden" r:id="rId11"/>
    <sheet name="Ann 13" sheetId="14" r:id="rId12"/>
    <sheet name="For word file" sheetId="19" state="hidden" r:id="rId13"/>
    <sheet name="Cash flows" sheetId="18" r:id="rId14"/>
    <sheet name="Assumptions" sheetId="21" r:id="rId15"/>
    <sheet name="Sheet1" sheetId="15" state="hidden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4" l="1"/>
  <c r="D6" i="21"/>
  <c r="E5" i="21"/>
  <c r="E6" i="21" s="1"/>
  <c r="C13" i="4"/>
  <c r="D13" i="4" s="1"/>
  <c r="E13" i="4" s="1"/>
  <c r="F13" i="4" s="1"/>
  <c r="G13" i="4" s="1"/>
  <c r="H13" i="4" s="1"/>
  <c r="I13" i="4" s="1"/>
  <c r="J13" i="4" s="1"/>
  <c r="K13" i="4" s="1"/>
  <c r="D31" i="4"/>
  <c r="E31" i="4" s="1"/>
  <c r="F31" i="4" s="1"/>
  <c r="G31" i="4" s="1"/>
  <c r="H31" i="4" s="1"/>
  <c r="I31" i="4" s="1"/>
  <c r="J31" i="4" s="1"/>
  <c r="K31" i="4" s="1"/>
  <c r="D22" i="7"/>
  <c r="E22" i="7"/>
  <c r="F22" i="7"/>
  <c r="G22" i="7"/>
  <c r="H22" i="7"/>
  <c r="I22" i="7"/>
  <c r="J22" i="7"/>
  <c r="K22" i="7"/>
  <c r="C22" i="7"/>
  <c r="B4" i="18"/>
  <c r="D18" i="4"/>
  <c r="E18" i="4"/>
  <c r="F18" i="4"/>
  <c r="G18" i="4"/>
  <c r="H18" i="4"/>
  <c r="I18" i="4"/>
  <c r="J18" i="4"/>
  <c r="K18" i="4"/>
  <c r="C18" i="4"/>
  <c r="D12" i="14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A16" i="20"/>
  <c r="A17" i="20"/>
  <c r="A15" i="20"/>
  <c r="A14" i="20"/>
  <c r="A13" i="20"/>
  <c r="A12" i="20"/>
  <c r="A11" i="20"/>
  <c r="A10" i="20"/>
  <c r="A9" i="20"/>
  <c r="A8" i="20"/>
  <c r="A7" i="20"/>
  <c r="A6" i="20"/>
  <c r="A5" i="20"/>
  <c r="A4" i="20"/>
  <c r="D30" i="14" l="1"/>
  <c r="D31" i="14" s="1"/>
  <c r="D32" i="14" s="1"/>
  <c r="D33" i="14" s="1"/>
  <c r="D34" i="14" s="1"/>
  <c r="D35" i="14" s="1"/>
  <c r="F5" i="21"/>
  <c r="E5" i="11"/>
  <c r="J19" i="18"/>
  <c r="I19" i="18"/>
  <c r="H19" i="18"/>
  <c r="G19" i="18"/>
  <c r="F19" i="18"/>
  <c r="E19" i="18"/>
  <c r="D19" i="18"/>
  <c r="C19" i="18"/>
  <c r="B19" i="18"/>
  <c r="D32" i="4"/>
  <c r="C32" i="4"/>
  <c r="D7" i="11"/>
  <c r="C18" i="11" s="1"/>
  <c r="B3" i="19"/>
  <c r="I39" i="7"/>
  <c r="J39" i="7"/>
  <c r="K39" i="7"/>
  <c r="I32" i="7"/>
  <c r="J32" i="7"/>
  <c r="K32" i="7"/>
  <c r="F15" i="18"/>
  <c r="E15" i="18"/>
  <c r="D15" i="18"/>
  <c r="C15" i="18"/>
  <c r="J19" i="4"/>
  <c r="I9" i="18" s="1"/>
  <c r="K19" i="4"/>
  <c r="J9" i="18" s="1"/>
  <c r="B15" i="18"/>
  <c r="C45" i="7"/>
  <c r="C23" i="7"/>
  <c r="C6" i="18" s="1"/>
  <c r="G15" i="18" l="1"/>
  <c r="C28" i="7"/>
  <c r="F6" i="21"/>
  <c r="G5" i="21"/>
  <c r="J44" i="7"/>
  <c r="K44" i="7"/>
  <c r="D9" i="4"/>
  <c r="E9" i="4" s="1"/>
  <c r="F9" i="4" s="1"/>
  <c r="G9" i="4" s="1"/>
  <c r="H9" i="4" s="1"/>
  <c r="I9" i="4" s="1"/>
  <c r="J9" i="4" s="1"/>
  <c r="K9" i="4" s="1"/>
  <c r="E6" i="9"/>
  <c r="E16" i="9"/>
  <c r="G6" i="21" l="1"/>
  <c r="H5" i="21"/>
  <c r="D23" i="7"/>
  <c r="C8" i="4"/>
  <c r="D8" i="4"/>
  <c r="C6" i="10"/>
  <c r="D6" i="18" l="1"/>
  <c r="D28" i="7"/>
  <c r="H6" i="21"/>
  <c r="I5" i="21"/>
  <c r="C3" i="19"/>
  <c r="C12" i="7"/>
  <c r="E23" i="7"/>
  <c r="E32" i="4"/>
  <c r="E45" i="7"/>
  <c r="F45" i="7"/>
  <c r="H45" i="7"/>
  <c r="G10" i="14"/>
  <c r="C9" i="7"/>
  <c r="E12" i="10"/>
  <c r="G45" i="7"/>
  <c r="C7" i="15"/>
  <c r="J46" i="7"/>
  <c r="K46" i="7"/>
  <c r="D12" i="10"/>
  <c r="D13" i="10" s="1"/>
  <c r="C12" i="10"/>
  <c r="C17" i="1"/>
  <c r="C13" i="1"/>
  <c r="F8" i="10"/>
  <c r="F7" i="10"/>
  <c r="F6" i="10"/>
  <c r="E8" i="9"/>
  <c r="E7" i="9"/>
  <c r="G39" i="3"/>
  <c r="G37" i="3"/>
  <c r="G18" i="3"/>
  <c r="C9" i="1"/>
  <c r="F12" i="10" l="1"/>
  <c r="E6" i="18"/>
  <c r="E28" i="7"/>
  <c r="I6" i="21"/>
  <c r="J5" i="21"/>
  <c r="B5" i="18"/>
  <c r="B20" i="18" s="1"/>
  <c r="B21" i="18" s="1"/>
  <c r="C7" i="18"/>
  <c r="E9" i="9"/>
  <c r="F23" i="7"/>
  <c r="D12" i="7"/>
  <c r="D7" i="18" s="1"/>
  <c r="D3" i="19"/>
  <c r="F32" i="4"/>
  <c r="E8" i="4"/>
  <c r="C10" i="7"/>
  <c r="C11" i="7" s="1"/>
  <c r="C22" i="4"/>
  <c r="B10" i="13"/>
  <c r="C13" i="10"/>
  <c r="C3" i="15"/>
  <c r="C34" i="1"/>
  <c r="C8" i="2" s="1"/>
  <c r="C6" i="2" s="1"/>
  <c r="D4" i="14" s="1"/>
  <c r="C10" i="14" s="1"/>
  <c r="E10" i="14" s="1"/>
  <c r="D45" i="7"/>
  <c r="F9" i="10"/>
  <c r="E13" i="10"/>
  <c r="K6" i="12"/>
  <c r="E5" i="12"/>
  <c r="H6" i="12"/>
  <c r="E6" i="12"/>
  <c r="D6" i="12"/>
  <c r="F6" i="12"/>
  <c r="F5" i="12"/>
  <c r="G5" i="12"/>
  <c r="I6" i="12"/>
  <c r="D14" i="10"/>
  <c r="F13" i="10" l="1"/>
  <c r="F6" i="18"/>
  <c r="F28" i="7"/>
  <c r="K5" i="21"/>
  <c r="J6" i="21"/>
  <c r="C9" i="14"/>
  <c r="E9" i="14" s="1"/>
  <c r="D36" i="14"/>
  <c r="H15" i="18" s="1"/>
  <c r="C11" i="14"/>
  <c r="E11" i="14" s="1"/>
  <c r="C12" i="14"/>
  <c r="E12" i="14" s="1"/>
  <c r="I45" i="7"/>
  <c r="C7" i="4"/>
  <c r="D7" i="4" s="1"/>
  <c r="E7" i="4" s="1"/>
  <c r="F7" i="4" s="1"/>
  <c r="G7" i="4" s="1"/>
  <c r="H7" i="4" s="1"/>
  <c r="I7" i="4" s="1"/>
  <c r="J7" i="4" s="1"/>
  <c r="K7" i="4" s="1"/>
  <c r="E11" i="9"/>
  <c r="E12" i="9" s="1"/>
  <c r="C5" i="18"/>
  <c r="E12" i="7"/>
  <c r="E7" i="18" s="1"/>
  <c r="G23" i="7"/>
  <c r="G32" i="4"/>
  <c r="F8" i="4"/>
  <c r="C14" i="10"/>
  <c r="F14" i="10" s="1"/>
  <c r="C10" i="13"/>
  <c r="D22" i="4"/>
  <c r="D10" i="7"/>
  <c r="E3" i="15"/>
  <c r="D3" i="15"/>
  <c r="C17" i="7"/>
  <c r="E14" i="10"/>
  <c r="D9" i="7"/>
  <c r="C38" i="7"/>
  <c r="H5" i="12"/>
  <c r="J5" i="12"/>
  <c r="C6" i="12"/>
  <c r="J6" i="12"/>
  <c r="D5" i="12"/>
  <c r="I5" i="12"/>
  <c r="C5" i="12"/>
  <c r="G6" i="12"/>
  <c r="K5" i="12"/>
  <c r="D15" i="10"/>
  <c r="D16" i="10" s="1"/>
  <c r="D17" i="10" s="1"/>
  <c r="G6" i="18" l="1"/>
  <c r="G28" i="7"/>
  <c r="E14" i="9"/>
  <c r="E11" i="11"/>
  <c r="L5" i="21"/>
  <c r="L6" i="21" s="1"/>
  <c r="K6" i="21"/>
  <c r="C17" i="4"/>
  <c r="C19" i="4" s="1"/>
  <c r="C44" i="7" s="1"/>
  <c r="C46" i="7" s="1"/>
  <c r="C13" i="14"/>
  <c r="E13" i="14" s="1"/>
  <c r="F3" i="15"/>
  <c r="E3" i="19"/>
  <c r="D10" i="4"/>
  <c r="E10" i="4"/>
  <c r="C10" i="4"/>
  <c r="B8" i="18" s="1"/>
  <c r="D5" i="18"/>
  <c r="H23" i="7"/>
  <c r="F12" i="7"/>
  <c r="F7" i="18" s="1"/>
  <c r="F3" i="19"/>
  <c r="F10" i="4"/>
  <c r="H32" i="4"/>
  <c r="G8" i="4"/>
  <c r="G10" i="4" s="1"/>
  <c r="D11" i="7"/>
  <c r="D38" i="7" s="1"/>
  <c r="E22" i="4"/>
  <c r="E10" i="7"/>
  <c r="D10" i="13"/>
  <c r="C15" i="10"/>
  <c r="E15" i="10"/>
  <c r="D18" i="10"/>
  <c r="F15" i="10" l="1"/>
  <c r="H6" i="18"/>
  <c r="H28" i="7"/>
  <c r="C12" i="4"/>
  <c r="C14" i="4" s="1"/>
  <c r="C47" i="7" s="1"/>
  <c r="C48" i="7" s="1"/>
  <c r="B9" i="18"/>
  <c r="B10" i="18" s="1"/>
  <c r="C21" i="7"/>
  <c r="C14" i="14"/>
  <c r="E14" i="14" s="1"/>
  <c r="G12" i="4"/>
  <c r="F4" i="19" s="1"/>
  <c r="F5" i="19" s="1"/>
  <c r="F6" i="19" s="1"/>
  <c r="F8" i="18"/>
  <c r="E12" i="4"/>
  <c r="D4" i="19" s="1"/>
  <c r="D5" i="19" s="1"/>
  <c r="D6" i="19" s="1"/>
  <c r="D8" i="18"/>
  <c r="F12" i="4"/>
  <c r="E4" i="19" s="1"/>
  <c r="E5" i="19" s="1"/>
  <c r="E6" i="19" s="1"/>
  <c r="E8" i="18"/>
  <c r="D12" i="4"/>
  <c r="C4" i="19" s="1"/>
  <c r="C5" i="19" s="1"/>
  <c r="C6" i="19" s="1"/>
  <c r="C8" i="18"/>
  <c r="E5" i="18"/>
  <c r="G12" i="7"/>
  <c r="G7" i="18" s="1"/>
  <c r="G3" i="19"/>
  <c r="G3" i="15"/>
  <c r="I23" i="7"/>
  <c r="I32" i="4"/>
  <c r="H8" i="4"/>
  <c r="H10" i="4" s="1"/>
  <c r="E9" i="7"/>
  <c r="E11" i="7" s="1"/>
  <c r="E38" i="7" s="1"/>
  <c r="F10" i="7"/>
  <c r="E10" i="13"/>
  <c r="F22" i="4"/>
  <c r="C16" i="10"/>
  <c r="E16" i="10"/>
  <c r="D19" i="10"/>
  <c r="D20" i="10" s="1"/>
  <c r="C17" i="10" l="1"/>
  <c r="F16" i="10"/>
  <c r="I6" i="18"/>
  <c r="I28" i="7"/>
  <c r="B4" i="19"/>
  <c r="B5" i="19" s="1"/>
  <c r="B6" i="19" s="1"/>
  <c r="D14" i="4"/>
  <c r="D47" i="7" s="1"/>
  <c r="C21" i="4"/>
  <c r="B7" i="13" s="1"/>
  <c r="B9" i="13" s="1"/>
  <c r="B11" i="13" s="1"/>
  <c r="B13" i="13" s="1"/>
  <c r="B14" i="13" s="1"/>
  <c r="C24" i="4" s="1"/>
  <c r="B11" i="18" s="1"/>
  <c r="C15" i="14"/>
  <c r="E15" i="14" s="1"/>
  <c r="C39" i="7"/>
  <c r="C40" i="7" s="1"/>
  <c r="C32" i="7"/>
  <c r="H12" i="4"/>
  <c r="G4" i="19" s="1"/>
  <c r="G5" i="19" s="1"/>
  <c r="G6" i="19" s="1"/>
  <c r="G8" i="18"/>
  <c r="F5" i="18"/>
  <c r="K23" i="7"/>
  <c r="K28" i="7" s="1"/>
  <c r="J23" i="7"/>
  <c r="H12" i="7"/>
  <c r="H7" i="18" s="1"/>
  <c r="H3" i="19"/>
  <c r="H3" i="15"/>
  <c r="J32" i="4"/>
  <c r="I8" i="4"/>
  <c r="I10" i="4" s="1"/>
  <c r="F9" i="7"/>
  <c r="F11" i="7" s="1"/>
  <c r="F38" i="7" s="1"/>
  <c r="G10" i="7"/>
  <c r="F10" i="13"/>
  <c r="G22" i="4"/>
  <c r="C18" i="10"/>
  <c r="E17" i="10"/>
  <c r="H22" i="4" s="1"/>
  <c r="E14" i="4"/>
  <c r="E47" i="7" s="1"/>
  <c r="F17" i="10" l="1"/>
  <c r="J6" i="18"/>
  <c r="J28" i="7"/>
  <c r="C23" i="4"/>
  <c r="B7" i="19" s="1"/>
  <c r="C16" i="14"/>
  <c r="E16" i="14" s="1"/>
  <c r="B12" i="18"/>
  <c r="I12" i="4"/>
  <c r="H4" i="19" s="1"/>
  <c r="H5" i="19" s="1"/>
  <c r="H6" i="19" s="1"/>
  <c r="H8" i="18"/>
  <c r="G5" i="18"/>
  <c r="I3" i="19"/>
  <c r="I12" i="7"/>
  <c r="I7" i="18" s="1"/>
  <c r="I3" i="15"/>
  <c r="G9" i="7"/>
  <c r="G11" i="7" s="1"/>
  <c r="J8" i="4"/>
  <c r="H10" i="7"/>
  <c r="G10" i="13"/>
  <c r="C19" i="10"/>
  <c r="C20" i="10" s="1"/>
  <c r="E18" i="10"/>
  <c r="E19" i="10" s="1"/>
  <c r="F19" i="10" l="1"/>
  <c r="F18" i="10"/>
  <c r="C25" i="4"/>
  <c r="C26" i="4" s="1"/>
  <c r="B13" i="18" s="1"/>
  <c r="B22" i="18" s="1"/>
  <c r="K32" i="4"/>
  <c r="D8" i="11" s="1"/>
  <c r="C17" i="14"/>
  <c r="E17" i="14" s="1"/>
  <c r="D17" i="4"/>
  <c r="D19" i="4" s="1"/>
  <c r="H5" i="18"/>
  <c r="J12" i="7"/>
  <c r="J7" i="18" s="1"/>
  <c r="G38" i="7"/>
  <c r="H9" i="7"/>
  <c r="H11" i="7" s="1"/>
  <c r="I10" i="7"/>
  <c r="I22" i="4"/>
  <c r="H10" i="13"/>
  <c r="I10" i="13"/>
  <c r="J10" i="7"/>
  <c r="J22" i="4"/>
  <c r="E13" i="11"/>
  <c r="E14" i="11" s="1"/>
  <c r="C22" i="11" s="1"/>
  <c r="E20" i="10"/>
  <c r="J10" i="13" s="1"/>
  <c r="F14" i="4"/>
  <c r="F47" i="7" s="1"/>
  <c r="K22" i="4" l="1"/>
  <c r="F20" i="10"/>
  <c r="B8" i="19"/>
  <c r="C19" i="11"/>
  <c r="C20" i="11" s="1"/>
  <c r="C23" i="11" s="1"/>
  <c r="C25" i="11" s="1"/>
  <c r="E8" i="11"/>
  <c r="E9" i="11" s="1"/>
  <c r="K8" i="4"/>
  <c r="C27" i="4"/>
  <c r="C18" i="7" s="1"/>
  <c r="C20" i="7" s="1"/>
  <c r="C24" i="7" s="1"/>
  <c r="D21" i="4"/>
  <c r="D44" i="7"/>
  <c r="D46" i="7" s="1"/>
  <c r="D48" i="7" s="1"/>
  <c r="C9" i="18"/>
  <c r="D21" i="7"/>
  <c r="C18" i="14"/>
  <c r="E18" i="14" s="1"/>
  <c r="B25" i="18"/>
  <c r="B23" i="18"/>
  <c r="B26" i="18" s="1"/>
  <c r="K12" i="7"/>
  <c r="J5" i="18" s="1"/>
  <c r="J3" i="19"/>
  <c r="I5" i="18"/>
  <c r="B14" i="18"/>
  <c r="B16" i="18" s="1"/>
  <c r="H38" i="7"/>
  <c r="I9" i="7"/>
  <c r="I11" i="7" s="1"/>
  <c r="J9" i="7" s="1"/>
  <c r="J11" i="7" s="1"/>
  <c r="K10" i="7"/>
  <c r="D17" i="7" l="1"/>
  <c r="C33" i="7"/>
  <c r="C34" i="7" s="1"/>
  <c r="D39" i="7"/>
  <c r="D40" i="7" s="1"/>
  <c r="D32" i="7"/>
  <c r="C19" i="14"/>
  <c r="E19" i="14" s="1"/>
  <c r="D23" i="4"/>
  <c r="C7" i="13"/>
  <c r="C9" i="13" s="1"/>
  <c r="C11" i="13" s="1"/>
  <c r="C13" i="13" s="1"/>
  <c r="C14" i="13" s="1"/>
  <c r="D24" i="4" s="1"/>
  <c r="C11" i="18" s="1"/>
  <c r="C4" i="18"/>
  <c r="C13" i="7"/>
  <c r="I38" i="7"/>
  <c r="I40" i="7" s="1"/>
  <c r="J38" i="7"/>
  <c r="J40" i="7" s="1"/>
  <c r="K9" i="7"/>
  <c r="K11" i="7" s="1"/>
  <c r="K38" i="7" s="1"/>
  <c r="K40" i="7" s="1"/>
  <c r="G14" i="4"/>
  <c r="G47" i="7" s="1"/>
  <c r="C7" i="19" l="1"/>
  <c r="D25" i="4"/>
  <c r="C20" i="14"/>
  <c r="E20" i="14" s="1"/>
  <c r="C10" i="18"/>
  <c r="C12" i="18" s="1"/>
  <c r="C20" i="18"/>
  <c r="C14" i="7"/>
  <c r="C27" i="7"/>
  <c r="C29" i="7" s="1"/>
  <c r="C21" i="14" l="1"/>
  <c r="E21" i="14" s="1"/>
  <c r="E17" i="4"/>
  <c r="E19" i="4" s="1"/>
  <c r="C8" i="19"/>
  <c r="D26" i="4"/>
  <c r="C13" i="18" s="1"/>
  <c r="C22" i="18" s="1"/>
  <c r="C23" i="18" s="1"/>
  <c r="C21" i="18"/>
  <c r="H14" i="4"/>
  <c r="H47" i="7" s="1"/>
  <c r="C26" i="18" l="1"/>
  <c r="D27" i="4"/>
  <c r="D18" i="7" s="1"/>
  <c r="D20" i="7" s="1"/>
  <c r="D24" i="7" s="1"/>
  <c r="C25" i="18"/>
  <c r="C14" i="18"/>
  <c r="C16" i="18" s="1"/>
  <c r="D13" i="7" s="1"/>
  <c r="D27" i="7" s="1"/>
  <c r="D29" i="7" s="1"/>
  <c r="E21" i="7"/>
  <c r="C22" i="14"/>
  <c r="E22" i="14" s="1"/>
  <c r="D9" i="18"/>
  <c r="E21" i="4"/>
  <c r="E44" i="7"/>
  <c r="E46" i="7" s="1"/>
  <c r="E48" i="7" s="1"/>
  <c r="E17" i="7" l="1"/>
  <c r="D33" i="7"/>
  <c r="D34" i="7" s="1"/>
  <c r="D14" i="7"/>
  <c r="D4" i="18"/>
  <c r="D10" i="18" s="1"/>
  <c r="E39" i="7"/>
  <c r="E40" i="7" s="1"/>
  <c r="E32" i="7"/>
  <c r="C23" i="14"/>
  <c r="E23" i="14" s="1"/>
  <c r="E23" i="4"/>
  <c r="D7" i="13"/>
  <c r="D9" i="13" s="1"/>
  <c r="D11" i="13" s="1"/>
  <c r="D13" i="13" s="1"/>
  <c r="D14" i="13" s="1"/>
  <c r="E24" i="4" s="1"/>
  <c r="D11" i="18" s="1"/>
  <c r="I14" i="4"/>
  <c r="I47" i="7" s="1"/>
  <c r="D20" i="18" l="1"/>
  <c r="D21" i="18" s="1"/>
  <c r="D12" i="18"/>
  <c r="C24" i="14"/>
  <c r="E24" i="14" s="1"/>
  <c r="D7" i="19"/>
  <c r="E25" i="4"/>
  <c r="D8" i="19" l="1"/>
  <c r="E26" i="4"/>
  <c r="D13" i="18" s="1"/>
  <c r="F17" i="4"/>
  <c r="F19" i="4" s="1"/>
  <c r="C25" i="14"/>
  <c r="E25" i="14" s="1"/>
  <c r="J10" i="4"/>
  <c r="K10" i="4"/>
  <c r="E27" i="4" l="1"/>
  <c r="E18" i="7" s="1"/>
  <c r="E20" i="7" s="1"/>
  <c r="E33" i="7" s="1"/>
  <c r="E34" i="7" s="1"/>
  <c r="F21" i="7"/>
  <c r="C26" i="14"/>
  <c r="E26" i="14" s="1"/>
  <c r="E9" i="18"/>
  <c r="F44" i="7"/>
  <c r="F46" i="7" s="1"/>
  <c r="F48" i="7" s="1"/>
  <c r="F21" i="4"/>
  <c r="D22" i="18"/>
  <c r="D14" i="18"/>
  <c r="D16" i="18" s="1"/>
  <c r="J12" i="4"/>
  <c r="I4" i="19" s="1"/>
  <c r="I5" i="19" s="1"/>
  <c r="I6" i="19" s="1"/>
  <c r="I8" i="18"/>
  <c r="K12" i="4"/>
  <c r="J4" i="19" s="1"/>
  <c r="J5" i="19" s="1"/>
  <c r="J6" i="19" s="1"/>
  <c r="J8" i="18"/>
  <c r="J3" i="15"/>
  <c r="K3" i="15"/>
  <c r="J14" i="4" l="1"/>
  <c r="J21" i="4" s="1"/>
  <c r="E24" i="7"/>
  <c r="F17" i="7"/>
  <c r="F23" i="4"/>
  <c r="E7" i="13"/>
  <c r="E9" i="13" s="1"/>
  <c r="E11" i="13" s="1"/>
  <c r="E13" i="13" s="1"/>
  <c r="E14" i="13" s="1"/>
  <c r="F24" i="4" s="1"/>
  <c r="E11" i="18" s="1"/>
  <c r="E13" i="7"/>
  <c r="E4" i="18"/>
  <c r="D23" i="18"/>
  <c r="D26" i="18" s="1"/>
  <c r="D25" i="18"/>
  <c r="C27" i="14"/>
  <c r="E27" i="14" s="1"/>
  <c r="F39" i="7"/>
  <c r="F40" i="7" s="1"/>
  <c r="F32" i="7"/>
  <c r="K14" i="4"/>
  <c r="J47" i="7" l="1"/>
  <c r="J48" i="7" s="1"/>
  <c r="C28" i="14"/>
  <c r="E28" i="14" s="1"/>
  <c r="E10" i="18"/>
  <c r="E12" i="18" s="1"/>
  <c r="E20" i="18"/>
  <c r="E21" i="18" s="1"/>
  <c r="E14" i="7"/>
  <c r="E27" i="7"/>
  <c r="E29" i="7" s="1"/>
  <c r="E7" i="19"/>
  <c r="F25" i="4"/>
  <c r="I7" i="13"/>
  <c r="I9" i="13" s="1"/>
  <c r="I11" i="13" s="1"/>
  <c r="I13" i="13" s="1"/>
  <c r="I14" i="13" s="1"/>
  <c r="J24" i="4" s="1"/>
  <c r="I11" i="18" s="1"/>
  <c r="J23" i="4"/>
  <c r="I7" i="19" s="1"/>
  <c r="K21" i="4"/>
  <c r="K23" i="4" s="1"/>
  <c r="J7" i="19" s="1"/>
  <c r="K47" i="7"/>
  <c r="K48" i="7" s="1"/>
  <c r="G17" i="4" l="1"/>
  <c r="G19" i="4" s="1"/>
  <c r="G21" i="7"/>
  <c r="C29" i="14"/>
  <c r="E29" i="14" s="1"/>
  <c r="E8" i="19"/>
  <c r="F26" i="4"/>
  <c r="J25" i="4"/>
  <c r="J7" i="13"/>
  <c r="J9" i="13" s="1"/>
  <c r="J11" i="13" s="1"/>
  <c r="J13" i="13" s="1"/>
  <c r="J14" i="13" s="1"/>
  <c r="K24" i="4" s="1"/>
  <c r="F27" i="4" l="1"/>
  <c r="F18" i="7" s="1"/>
  <c r="F20" i="7" s="1"/>
  <c r="E13" i="18"/>
  <c r="G32" i="7"/>
  <c r="G39" i="7"/>
  <c r="G40" i="7" s="1"/>
  <c r="C30" i="14"/>
  <c r="E30" i="14" s="1"/>
  <c r="F9" i="18"/>
  <c r="G44" i="7"/>
  <c r="G46" i="7" s="1"/>
  <c r="G48" i="7" s="1"/>
  <c r="F49" i="7" s="1"/>
  <c r="G21" i="4"/>
  <c r="J26" i="4"/>
  <c r="J27" i="4" s="1"/>
  <c r="J18" i="7" s="1"/>
  <c r="I8" i="19"/>
  <c r="K25" i="4"/>
  <c r="J11" i="18"/>
  <c r="C31" i="14" l="1"/>
  <c r="E31" i="14" s="1"/>
  <c r="E22" i="18"/>
  <c r="E14" i="18"/>
  <c r="E16" i="18" s="1"/>
  <c r="G23" i="4"/>
  <c r="F7" i="13"/>
  <c r="F9" i="13" s="1"/>
  <c r="F11" i="13" s="1"/>
  <c r="F13" i="13" s="1"/>
  <c r="F14" i="13" s="1"/>
  <c r="G24" i="4" s="1"/>
  <c r="F11" i="18" s="1"/>
  <c r="F24" i="7"/>
  <c r="F33" i="7"/>
  <c r="F34" i="7" s="1"/>
  <c r="G17" i="7"/>
  <c r="I13" i="18"/>
  <c r="I22" i="18" s="1"/>
  <c r="I23" i="18" s="1"/>
  <c r="K26" i="4"/>
  <c r="J13" i="18" s="1"/>
  <c r="J22" i="18" s="1"/>
  <c r="J23" i="18" s="1"/>
  <c r="J8" i="19"/>
  <c r="F7" i="19" l="1"/>
  <c r="G25" i="4"/>
  <c r="F13" i="7"/>
  <c r="F4" i="18"/>
  <c r="E23" i="18"/>
  <c r="E26" i="18" s="1"/>
  <c r="E25" i="18"/>
  <c r="C32" i="14"/>
  <c r="E32" i="14" s="1"/>
  <c r="K27" i="4"/>
  <c r="K18" i="7" s="1"/>
  <c r="F20" i="18" l="1"/>
  <c r="F10" i="18"/>
  <c r="F12" i="18" s="1"/>
  <c r="F27" i="7"/>
  <c r="F29" i="7" s="1"/>
  <c r="F14" i="7"/>
  <c r="G26" i="4"/>
  <c r="F13" i="18" s="1"/>
  <c r="F22" i="18" s="1"/>
  <c r="F23" i="18" s="1"/>
  <c r="F8" i="19"/>
  <c r="H17" i="4"/>
  <c r="H19" i="4" s="1"/>
  <c r="H21" i="7"/>
  <c r="C33" i="14"/>
  <c r="E33" i="14" s="1"/>
  <c r="F14" i="18" l="1"/>
  <c r="F16" i="18" s="1"/>
  <c r="G13" i="7" s="1"/>
  <c r="G9" i="18"/>
  <c r="H21" i="4"/>
  <c r="H44" i="7"/>
  <c r="H46" i="7" s="1"/>
  <c r="H48" i="7" s="1"/>
  <c r="G27" i="4"/>
  <c r="G18" i="7" s="1"/>
  <c r="G20" i="7" s="1"/>
  <c r="C34" i="14"/>
  <c r="E34" i="14" s="1"/>
  <c r="H32" i="7"/>
  <c r="H39" i="7"/>
  <c r="H40" i="7" s="1"/>
  <c r="F41" i="7" s="1"/>
  <c r="F21" i="18"/>
  <c r="F26" i="18" s="1"/>
  <c r="F25" i="18"/>
  <c r="G4" i="18" l="1"/>
  <c r="G10" i="18" s="1"/>
  <c r="C35" i="14"/>
  <c r="E35" i="14" s="1"/>
  <c r="G14" i="7"/>
  <c r="G27" i="7"/>
  <c r="G29" i="7" s="1"/>
  <c r="G24" i="7"/>
  <c r="G33" i="7"/>
  <c r="G34" i="7" s="1"/>
  <c r="H17" i="7"/>
  <c r="H23" i="4"/>
  <c r="G7" i="13"/>
  <c r="G9" i="13" s="1"/>
  <c r="G11" i="13" s="1"/>
  <c r="G13" i="13" s="1"/>
  <c r="G14" i="13" s="1"/>
  <c r="H24" i="4" s="1"/>
  <c r="G11" i="18" s="1"/>
  <c r="G20" i="18" l="1"/>
  <c r="G21" i="18" s="1"/>
  <c r="G12" i="18"/>
  <c r="C36" i="14"/>
  <c r="E36" i="14" s="1"/>
  <c r="I17" i="4" s="1"/>
  <c r="I19" i="4" s="1"/>
  <c r="G7" i="19"/>
  <c r="H25" i="4"/>
  <c r="H26" i="4" l="1"/>
  <c r="G13" i="18" s="1"/>
  <c r="G8" i="19"/>
  <c r="I21" i="4"/>
  <c r="H9" i="18"/>
  <c r="I44" i="7"/>
  <c r="I46" i="7" s="1"/>
  <c r="I48" i="7" s="1"/>
  <c r="H27" i="4" l="1"/>
  <c r="H18" i="7" s="1"/>
  <c r="H20" i="7" s="1"/>
  <c r="H24" i="7" s="1"/>
  <c r="I23" i="4"/>
  <c r="H7" i="13"/>
  <c r="H9" i="13" s="1"/>
  <c r="H11" i="13" s="1"/>
  <c r="H13" i="13" s="1"/>
  <c r="H14" i="13" s="1"/>
  <c r="I24" i="4" s="1"/>
  <c r="H11" i="18" s="1"/>
  <c r="G14" i="18"/>
  <c r="G16" i="18" s="1"/>
  <c r="G22" i="18"/>
  <c r="H33" i="7" l="1"/>
  <c r="H34" i="7" s="1"/>
  <c r="I17" i="7"/>
  <c r="G23" i="18"/>
  <c r="G26" i="18" s="1"/>
  <c r="G25" i="18"/>
  <c r="H13" i="7"/>
  <c r="H4" i="18"/>
  <c r="H7" i="19"/>
  <c r="I25" i="4"/>
  <c r="I26" i="4" l="1"/>
  <c r="H13" i="18" s="1"/>
  <c r="H22" i="18" s="1"/>
  <c r="H23" i="18" s="1"/>
  <c r="H8" i="19"/>
  <c r="H20" i="18"/>
  <c r="H10" i="18"/>
  <c r="H12" i="18" s="1"/>
  <c r="H14" i="7"/>
  <c r="H27" i="7"/>
  <c r="H29" i="7" s="1"/>
  <c r="H14" i="18" l="1"/>
  <c r="H16" i="18" s="1"/>
  <c r="I4" i="18" s="1"/>
  <c r="I27" i="4"/>
  <c r="I18" i="7" s="1"/>
  <c r="I20" i="7" s="1"/>
  <c r="I24" i="7" s="1"/>
  <c r="H21" i="18"/>
  <c r="H26" i="18" s="1"/>
  <c r="H25" i="18"/>
  <c r="I33" i="7" l="1"/>
  <c r="I34" i="7" s="1"/>
  <c r="J17" i="7"/>
  <c r="J20" i="7" s="1"/>
  <c r="J24" i="7" s="1"/>
  <c r="I13" i="7"/>
  <c r="I14" i="7" s="1"/>
  <c r="I20" i="18"/>
  <c r="I10" i="18"/>
  <c r="I12" i="18" s="1"/>
  <c r="I14" i="18" s="1"/>
  <c r="I16" i="18" s="1"/>
  <c r="K17" i="7" l="1"/>
  <c r="K20" i="7" s="1"/>
  <c r="K33" i="7" s="1"/>
  <c r="K34" i="7" s="1"/>
  <c r="J33" i="7"/>
  <c r="J34" i="7" s="1"/>
  <c r="I27" i="7"/>
  <c r="I29" i="7" s="1"/>
  <c r="J4" i="18"/>
  <c r="J13" i="7"/>
  <c r="I21" i="18"/>
  <c r="I26" i="18" s="1"/>
  <c r="I25" i="18"/>
  <c r="K24" i="7" l="1"/>
  <c r="F35" i="7"/>
  <c r="J14" i="7"/>
  <c r="J27" i="7"/>
  <c r="J29" i="7" s="1"/>
  <c r="J10" i="18"/>
  <c r="J12" i="18" s="1"/>
  <c r="J14" i="18" s="1"/>
  <c r="J16" i="18" s="1"/>
  <c r="K13" i="7" s="1"/>
  <c r="J20" i="18"/>
  <c r="J25" i="18" l="1"/>
  <c r="J21" i="18"/>
  <c r="J26" i="18" s="1"/>
  <c r="K26" i="18" s="1"/>
  <c r="K14" i="7"/>
  <c r="K27" i="7"/>
  <c r="K29" i="7" s="1"/>
  <c r="F30" i="7" s="1"/>
</calcChain>
</file>

<file path=xl/sharedStrings.xml><?xml version="1.0" encoding="utf-8"?>
<sst xmlns="http://schemas.openxmlformats.org/spreadsheetml/2006/main" count="387" uniqueCount="281">
  <si>
    <t>Annexure 1 - Estimated cost of the project</t>
  </si>
  <si>
    <t>Estimated cost of project</t>
  </si>
  <si>
    <t xml:space="preserve">Sr. No. </t>
  </si>
  <si>
    <t>Particulars</t>
  </si>
  <si>
    <t>Grand Total (in lakhs)</t>
  </si>
  <si>
    <t>(a)</t>
  </si>
  <si>
    <t>Land and site development</t>
  </si>
  <si>
    <t>Land (Lease in name of company)</t>
  </si>
  <si>
    <t>Total</t>
  </si>
  <si>
    <t>Civil Work</t>
  </si>
  <si>
    <t>Plant and Machinery (indegenous)</t>
  </si>
  <si>
    <t>Plant and Machinery</t>
  </si>
  <si>
    <t>Miscellanoeus Fixed Assets</t>
  </si>
  <si>
    <t>Cost</t>
  </si>
  <si>
    <t>Working Capital Margin</t>
  </si>
  <si>
    <t>Preliminary Expenses</t>
  </si>
  <si>
    <t>Security Deposit</t>
  </si>
  <si>
    <t>Pre-Operative Expense</t>
  </si>
  <si>
    <t>(for 6 months upto the date od commencement of commercial production)</t>
  </si>
  <si>
    <t>Establisment and Travelling and Other Expenses</t>
  </si>
  <si>
    <t>(b)</t>
  </si>
  <si>
    <t>Legal and Misc Expense</t>
  </si>
  <si>
    <t>Total Cost of Project</t>
  </si>
  <si>
    <t>Annexure 2 - Means of Finance</t>
  </si>
  <si>
    <t>Sr. No.</t>
  </si>
  <si>
    <t>Item</t>
  </si>
  <si>
    <t>Promoter's equity</t>
  </si>
  <si>
    <t>Eligible Assistance</t>
  </si>
  <si>
    <t>Term Loan</t>
  </si>
  <si>
    <t>CC Limit</t>
  </si>
  <si>
    <t>Annexure 3 - Complete Estimate of Civil and Plant and Machinery</t>
  </si>
  <si>
    <t>Complete Estimate of Civil and plant and machinery</t>
  </si>
  <si>
    <t>1. Civil work and other</t>
  </si>
  <si>
    <t>Boundary</t>
  </si>
  <si>
    <t>Guard Room</t>
  </si>
  <si>
    <t>genset area</t>
  </si>
  <si>
    <t>Labour quarter</t>
  </si>
  <si>
    <t>Waste management</t>
  </si>
  <si>
    <t>Tube well</t>
  </si>
  <si>
    <t>Labour changing room with washroom</t>
  </si>
  <si>
    <t>office</t>
  </si>
  <si>
    <t>Visitor room</t>
  </si>
  <si>
    <t>Tool and technical staff room</t>
  </si>
  <si>
    <t>Store room</t>
  </si>
  <si>
    <t>Interlocking paver bock</t>
  </si>
  <si>
    <t>Sliding main gate</t>
  </si>
  <si>
    <t>Area/ capacity</t>
  </si>
  <si>
    <t>1 acre</t>
  </si>
  <si>
    <t>10 sq mtr</t>
  </si>
  <si>
    <t>15 sq mtr</t>
  </si>
  <si>
    <t>20 sq mtr</t>
  </si>
  <si>
    <t>Units</t>
  </si>
  <si>
    <t>120 RM</t>
  </si>
  <si>
    <t>Rate</t>
  </si>
  <si>
    <t>Amt</t>
  </si>
  <si>
    <t>Total (Civil work)</t>
  </si>
  <si>
    <t>Pack house building</t>
  </si>
  <si>
    <t>Sorting grading line</t>
  </si>
  <si>
    <t>Manual Fork lift</t>
  </si>
  <si>
    <t>Dock shelter Leveler</t>
  </si>
  <si>
    <t>Forklift for high rech</t>
  </si>
  <si>
    <t>Genset</t>
  </si>
  <si>
    <t>servo stablizers</t>
  </si>
  <si>
    <t>plastic crates</t>
  </si>
  <si>
    <t>pre cooling unit</t>
  </si>
  <si>
    <t>Staging Room and Cold room</t>
  </si>
  <si>
    <t>program logic controller</t>
  </si>
  <si>
    <t>Reefer vans</t>
  </si>
  <si>
    <t>solar system</t>
  </si>
  <si>
    <t>Fire fighting arrangement</t>
  </si>
  <si>
    <t>Floor cleaning machine</t>
  </si>
  <si>
    <t>Semi automatic stacker</t>
  </si>
  <si>
    <t>2. Plant and machinery</t>
  </si>
  <si>
    <t>800 sq mtr</t>
  </si>
  <si>
    <t>2MT</t>
  </si>
  <si>
    <t>200KVA</t>
  </si>
  <si>
    <t>20 KG</t>
  </si>
  <si>
    <t>6 MT</t>
  </si>
  <si>
    <t>54 MT</t>
  </si>
  <si>
    <t>9 MT</t>
  </si>
  <si>
    <t>Total Plant and Machinery</t>
  </si>
  <si>
    <t>Total fixed Assets</t>
  </si>
  <si>
    <t>Annexure 4 - Estimated Cost of Production</t>
  </si>
  <si>
    <t>Sr. No</t>
  </si>
  <si>
    <t>Description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</si>
  <si>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</si>
  <si>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</si>
  <si>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</si>
  <si>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</si>
  <si>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</si>
  <si>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</si>
  <si>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</si>
  <si>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</si>
  <si>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</si>
  <si>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Year ending March 31st</t>
  </si>
  <si>
    <t>No of Working months</t>
  </si>
  <si>
    <t>Sales</t>
  </si>
  <si>
    <t>Administrative salaries and wages</t>
  </si>
  <si>
    <t>S. No.</t>
  </si>
  <si>
    <t>Designation</t>
  </si>
  <si>
    <t>In no.</t>
  </si>
  <si>
    <t>Salary per person per month</t>
  </si>
  <si>
    <t>i.</t>
  </si>
  <si>
    <t>ii.</t>
  </si>
  <si>
    <t>Labour</t>
  </si>
  <si>
    <t>Total annual wages</t>
  </si>
  <si>
    <t>Annual increase in wages</t>
  </si>
  <si>
    <t>Accountant</t>
  </si>
  <si>
    <t>iii.</t>
  </si>
  <si>
    <t>Computation of Depreciation</t>
  </si>
  <si>
    <t>Annexure 9 - Computation of Depreciation</t>
  </si>
  <si>
    <t>Pre operatives</t>
  </si>
  <si>
    <t>Contingencies</t>
  </si>
  <si>
    <t>Building and civil work</t>
  </si>
  <si>
    <t>Misc Fixed Asset</t>
  </si>
  <si>
    <t>Amount in lakhs</t>
  </si>
  <si>
    <t>Rates of Depreciation</t>
  </si>
  <si>
    <t>Year</t>
  </si>
  <si>
    <t>Annexure 11- Break even analysis (At maximum capacity utilization)</t>
  </si>
  <si>
    <t>Variable cost</t>
  </si>
  <si>
    <t>- Interest on Working capital</t>
  </si>
  <si>
    <t>Contribution</t>
  </si>
  <si>
    <t>Less: fixed cost</t>
  </si>
  <si>
    <t>Wages and salaries</t>
  </si>
  <si>
    <t>- electricity expense</t>
  </si>
  <si>
    <t>Depreciation</t>
  </si>
  <si>
    <t>Office Electricity expense</t>
  </si>
  <si>
    <t>FC</t>
  </si>
  <si>
    <t>Fixed cost</t>
  </si>
  <si>
    <t>Contribution per unit</t>
  </si>
  <si>
    <t>Electricity charges</t>
  </si>
  <si>
    <t>Interest on Working capital</t>
  </si>
  <si>
    <t>Sales price per kg</t>
  </si>
  <si>
    <t>Annexure 12 - Profitability statement</t>
  </si>
  <si>
    <t>Years</t>
  </si>
  <si>
    <t>Vegetable procument expense</t>
  </si>
  <si>
    <t>Fruits procurement expense</t>
  </si>
  <si>
    <t>Direct Expenses</t>
  </si>
  <si>
    <t>Cost of Sales</t>
  </si>
  <si>
    <t>Expected sales revenue</t>
  </si>
  <si>
    <t>Gross Profit</t>
  </si>
  <si>
    <t>Financial expense</t>
  </si>
  <si>
    <t>Interest on Term Loan</t>
  </si>
  <si>
    <t>Annexure 13 - Repayment schedule</t>
  </si>
  <si>
    <t>Repayment schedule</t>
  </si>
  <si>
    <t>Amount of Loan (in lakhs)</t>
  </si>
  <si>
    <t>Rate of interest</t>
  </si>
  <si>
    <t>Moratorium period</t>
  </si>
  <si>
    <t>Quarter</t>
  </si>
  <si>
    <t>Balance outstanding</t>
  </si>
  <si>
    <t>Interest</t>
  </si>
  <si>
    <t>Principal instalment</t>
  </si>
  <si>
    <t>total</t>
  </si>
  <si>
    <t>Operating profits (PBT)</t>
  </si>
  <si>
    <t>depreciation</t>
  </si>
  <si>
    <t>Net Profit before Tax</t>
  </si>
  <si>
    <t>Income Tax</t>
  </si>
  <si>
    <t>Profits after Tax</t>
  </si>
  <si>
    <t>Distribution of profits (80%)</t>
  </si>
  <si>
    <t>Annexure 10 - Calculation of Income tax</t>
  </si>
  <si>
    <t>Calculation of Income Tax</t>
  </si>
  <si>
    <t>Net profit before tax</t>
  </si>
  <si>
    <t>Add- dep on SLM</t>
  </si>
  <si>
    <t>Sub total</t>
  </si>
  <si>
    <t>Less- Dep on WDV</t>
  </si>
  <si>
    <t>Less - Deductions</t>
  </si>
  <si>
    <t>Taxable profits</t>
  </si>
  <si>
    <t>Income tax @30%</t>
  </si>
  <si>
    <t>Profit transfer to balance sheet</t>
  </si>
  <si>
    <t>Annexure 5- Projected balance sheet</t>
  </si>
  <si>
    <t>Projected Baalance sheet</t>
  </si>
  <si>
    <t>Asset</t>
  </si>
  <si>
    <t>Fixed Capital expenditure</t>
  </si>
  <si>
    <t>Gross Block</t>
  </si>
  <si>
    <t>Less- Depreciation</t>
  </si>
  <si>
    <t>net Block</t>
  </si>
  <si>
    <t>Sundry debtors</t>
  </si>
  <si>
    <t>Cash/ bank balance</t>
  </si>
  <si>
    <t>Liabilities</t>
  </si>
  <si>
    <t>Capital</t>
  </si>
  <si>
    <t>Add- Profit</t>
  </si>
  <si>
    <t>Less- Drawings</t>
  </si>
  <si>
    <t>Closing capital</t>
  </si>
  <si>
    <t>term Loan</t>
  </si>
  <si>
    <t>Total liabilities</t>
  </si>
  <si>
    <t>Total assets</t>
  </si>
  <si>
    <t>Current Ratio</t>
  </si>
  <si>
    <t>Current Assets</t>
  </si>
  <si>
    <t>Current Liabilities</t>
  </si>
  <si>
    <t>1. asssumed that 90 days of purchases are average creditors maintained</t>
  </si>
  <si>
    <t>2. assumed that 30 days of sales are average debtors maintained by the business</t>
  </si>
  <si>
    <t>Debt Equity ratio</t>
  </si>
  <si>
    <t>Debt</t>
  </si>
  <si>
    <t>Equity</t>
  </si>
  <si>
    <t>Ratio</t>
  </si>
  <si>
    <t>cash flow statement</t>
  </si>
  <si>
    <t>Sales realized</t>
  </si>
  <si>
    <t>Term loan</t>
  </si>
  <si>
    <t>assisstance</t>
  </si>
  <si>
    <t>less- Purchase of assets</t>
  </si>
  <si>
    <t>Debt service coverage ratio</t>
  </si>
  <si>
    <t>Interest on loan (TL + WC)</t>
  </si>
  <si>
    <t>Net operating income</t>
  </si>
  <si>
    <t>ratio</t>
  </si>
  <si>
    <t>Instalment of loan</t>
  </si>
  <si>
    <t>A</t>
  </si>
  <si>
    <t>B</t>
  </si>
  <si>
    <t>Average</t>
  </si>
  <si>
    <t>Fixed asset coverage ratio</t>
  </si>
  <si>
    <t>Fixed assets</t>
  </si>
  <si>
    <t>6 months</t>
  </si>
  <si>
    <t>2. Electricity usage in units is given below</t>
  </si>
  <si>
    <t>Stationery expense</t>
  </si>
  <si>
    <t>Electricity Expense</t>
  </si>
  <si>
    <t>Details of Manpower</t>
  </si>
  <si>
    <t>Security</t>
  </si>
  <si>
    <t>3. Stationery expense is fixed at Rs. 2,00,000 with annual increase of 2%</t>
  </si>
  <si>
    <t>Creditors</t>
  </si>
  <si>
    <t>Total manpower</t>
  </si>
  <si>
    <t>Cash Flow operations</t>
  </si>
  <si>
    <t>Add: Sales realizations</t>
  </si>
  <si>
    <t>Less: Interest payments</t>
  </si>
  <si>
    <t>Add: benefits @ 20%</t>
  </si>
  <si>
    <t>Working capital</t>
  </si>
  <si>
    <t>Interest on WC Loan</t>
  </si>
  <si>
    <t>Less: Payment made to creditors of previos year</t>
  </si>
  <si>
    <t>Add: Receipts from debtors of previos year</t>
  </si>
  <si>
    <t>Less: Payments made for current year purchase</t>
  </si>
  <si>
    <t>Income tax</t>
  </si>
  <si>
    <t>Distrucutions made from profits</t>
  </si>
  <si>
    <t>Less: Principal repayment of loan</t>
  </si>
  <si>
    <t>Opening cash Balance</t>
  </si>
  <si>
    <t>Closing cash balance</t>
  </si>
  <si>
    <t>Turnover</t>
  </si>
  <si>
    <t>Cost Of operations</t>
  </si>
  <si>
    <t>Gross profit</t>
  </si>
  <si>
    <t>EBITDA</t>
  </si>
  <si>
    <t>Profit before tax</t>
  </si>
  <si>
    <t>Profit after tax</t>
  </si>
  <si>
    <t>1. Warehouse electricity are semi-fixed cost. Rs. 90,000 pa is fixed, balance is variable at Rs. 12 per unit usage</t>
  </si>
  <si>
    <t>Usage in units</t>
  </si>
  <si>
    <t>Inflows</t>
  </si>
  <si>
    <t>Outflows</t>
  </si>
  <si>
    <t>Net cash inflow</t>
  </si>
  <si>
    <t>PVF</t>
  </si>
  <si>
    <t>PV dicounting rate</t>
  </si>
  <si>
    <t>PV of Inflows</t>
  </si>
  <si>
    <t>PV of Outflows</t>
  </si>
  <si>
    <t>Net Present value</t>
  </si>
  <si>
    <t>BEP in kgs</t>
  </si>
  <si>
    <t>BEP %</t>
  </si>
  <si>
    <t>Contents Table</t>
  </si>
  <si>
    <t>Contents</t>
  </si>
  <si>
    <t>Link</t>
  </si>
  <si>
    <t>Ann 1'!A1</t>
  </si>
  <si>
    <t>Ann 2'!A1</t>
  </si>
  <si>
    <t>Ann 3'!A1</t>
  </si>
  <si>
    <t>Ann 4'!A1</t>
  </si>
  <si>
    <t>Ann 5'!A1</t>
  </si>
  <si>
    <t>Ann 6'!A1</t>
  </si>
  <si>
    <t>Ann 7'!A1</t>
  </si>
  <si>
    <t>Ann 8'!A1</t>
  </si>
  <si>
    <t>Ann 9'!A1</t>
  </si>
  <si>
    <t>Ann 10'!A1</t>
  </si>
  <si>
    <t>Ann 11'!A1</t>
  </si>
  <si>
    <t>Ann 13'!A1</t>
  </si>
  <si>
    <t>Assumptions!A1</t>
  </si>
  <si>
    <t>Assumptions</t>
  </si>
  <si>
    <t>In the process of processing vegetables and fruits, it is assumed that there is normal loss of 10% of output produced</t>
  </si>
  <si>
    <t>Warehouse electricity are semi-fixed cost. Rs. 90,000 pa is fixed, balance is variable at Rs. 12 per unit usage</t>
  </si>
  <si>
    <t>Electricity usage in units is given below</t>
  </si>
  <si>
    <t>Stationery expense is fixed at Rs. 2,00,000 with annual increase of 2%</t>
  </si>
  <si>
    <t>Cash flows'!A1</t>
  </si>
  <si>
    <t>DPR Without subsidy</t>
  </si>
  <si>
    <t>Capacity utilization in year I is 75% which will increase 5% annually</t>
  </si>
  <si>
    <t>4. Revenue is Rs. 8 per kg per day which increase at 5.5% per annum</t>
  </si>
  <si>
    <t>Revenue is Rs. 8 per kg per day which increase at 5.5% per annum</t>
  </si>
  <si>
    <t>Annual cost</t>
  </si>
  <si>
    <t>Break even capacity at maximum capacity utilization</t>
  </si>
  <si>
    <t>Warehouse Rs. per kg</t>
  </si>
  <si>
    <t>Annexure 8 - Details of 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</si>
</sst>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dobe Devanagari"/>
      <family val="1"/>
    </font>
    <font>
      <sz val="11"/>
      <color theme="1"/>
      <name val="Adobe Devanagari"/>
      <family val="1"/>
    </font>
    <font>
      <u/>
      <sz val="11"/>
      <color theme="10"/>
      <name val="Adobe Devanagari"/>
      <family val="1"/>
    </font>
    <font>
      <u/>
      <sz val="11"/>
      <color theme="1"/>
      <name val="Adobe Devanagari"/>
      <family val="1"/>
    </font>
    <font>
      <sz val="11"/>
      <color theme="0"/>
      <name val="Adobe Devanagari"/>
      <family val="1"/>
    </font>
    <font>
      <b/>
      <u/>
      <sz val="11"/>
      <color theme="1"/>
      <name val="Adobe Devanagari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8" xfId="0" applyBorder="1"/>
    <xf numFmtId="164" fontId="0" fillId="0" borderId="0" xfId="0" applyNumberFormat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2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1" xfId="3" quotePrefix="1" applyFont="1" applyBorder="1"/>
    <xf numFmtId="0" fontId="6" fillId="0" borderId="1" xfId="3" applyFont="1" applyBorder="1"/>
    <xf numFmtId="0" fontId="4" fillId="5" borderId="1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5" fillId="0" borderId="11" xfId="0" applyFont="1" applyBorder="1" applyAlignment="1">
      <alignment horizontal="left"/>
    </xf>
    <xf numFmtId="0" fontId="5" fillId="0" borderId="11" xfId="0" applyFont="1" applyBorder="1"/>
    <xf numFmtId="0" fontId="5" fillId="0" borderId="9" xfId="0" applyFont="1" applyBorder="1"/>
    <xf numFmtId="43" fontId="5" fillId="0" borderId="9" xfId="1" applyFont="1" applyBorder="1"/>
    <xf numFmtId="43" fontId="5" fillId="0" borderId="9" xfId="1" applyNumberFormat="1" applyFont="1" applyBorder="1"/>
    <xf numFmtId="43" fontId="5" fillId="0" borderId="9" xfId="0" applyNumberFormat="1" applyFont="1" applyBorder="1"/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12" xfId="0" applyFont="1" applyBorder="1"/>
    <xf numFmtId="43" fontId="5" fillId="0" borderId="10" xfId="0" applyNumberFormat="1" applyFont="1" applyBorder="1"/>
    <xf numFmtId="0" fontId="5" fillId="0" borderId="0" xfId="0" applyFont="1" applyAlignment="1">
      <alignment horizontal="left"/>
    </xf>
    <xf numFmtId="0" fontId="7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8" xfId="0" applyFont="1" applyBorder="1"/>
    <xf numFmtId="10" fontId="5" fillId="0" borderId="0" xfId="2" applyNumberFormat="1" applyFont="1"/>
    <xf numFmtId="2" fontId="5" fillId="0" borderId="0" xfId="0" applyNumberFormat="1" applyFont="1"/>
    <xf numFmtId="43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43" fontId="5" fillId="0" borderId="4" xfId="0" applyNumberFormat="1" applyFont="1" applyBorder="1"/>
    <xf numFmtId="0" fontId="5" fillId="5" borderId="2" xfId="0" applyFont="1" applyFill="1" applyBorder="1"/>
    <xf numFmtId="164" fontId="5" fillId="0" borderId="1" xfId="0" applyNumberFormat="1" applyFont="1" applyBorder="1"/>
    <xf numFmtId="0" fontId="5" fillId="0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0" borderId="5" xfId="0" applyFont="1" applyBorder="1"/>
    <xf numFmtId="0" fontId="4" fillId="0" borderId="6" xfId="0" applyFont="1" applyBorder="1"/>
    <xf numFmtId="0" fontId="5" fillId="0" borderId="15" xfId="0" applyFont="1" applyBorder="1"/>
    <xf numFmtId="0" fontId="5" fillId="0" borderId="7" xfId="0" applyFont="1" applyBorder="1"/>
    <xf numFmtId="164" fontId="5" fillId="0" borderId="11" xfId="0" applyNumberFormat="1" applyFont="1" applyBorder="1"/>
    <xf numFmtId="43" fontId="5" fillId="0" borderId="11" xfId="0" applyNumberFormat="1" applyFont="1" applyBorder="1"/>
    <xf numFmtId="164" fontId="5" fillId="0" borderId="11" xfId="1" applyNumberFormat="1" applyFont="1" applyBorder="1"/>
    <xf numFmtId="164" fontId="5" fillId="0" borderId="9" xfId="0" applyNumberFormat="1" applyFont="1" applyBorder="1"/>
    <xf numFmtId="164" fontId="5" fillId="0" borderId="9" xfId="1" applyNumberFormat="1" applyFont="1" applyBorder="1"/>
    <xf numFmtId="0" fontId="5" fillId="0" borderId="0" xfId="0" applyFont="1" applyFill="1" applyBorder="1"/>
    <xf numFmtId="164" fontId="5" fillId="0" borderId="8" xfId="0" applyNumberFormat="1" applyFont="1" applyFill="1" applyBorder="1"/>
    <xf numFmtId="0" fontId="5" fillId="0" borderId="13" xfId="0" applyFont="1" applyBorder="1"/>
    <xf numFmtId="0" fontId="5" fillId="0" borderId="14" xfId="0" applyFont="1" applyBorder="1"/>
    <xf numFmtId="164" fontId="5" fillId="0" borderId="0" xfId="0" applyNumberFormat="1" applyFont="1"/>
    <xf numFmtId="0" fontId="5" fillId="0" borderId="17" xfId="0" applyFont="1" applyBorder="1"/>
    <xf numFmtId="0" fontId="5" fillId="0" borderId="18" xfId="0" applyFont="1" applyBorder="1"/>
    <xf numFmtId="0" fontId="5" fillId="0" borderId="16" xfId="0" applyFont="1" applyBorder="1"/>
    <xf numFmtId="0" fontId="5" fillId="0" borderId="19" xfId="0" applyFont="1" applyBorder="1"/>
    <xf numFmtId="0" fontId="5" fillId="5" borderId="8" xfId="0" applyFont="1" applyFill="1" applyBorder="1"/>
    <xf numFmtId="0" fontId="5" fillId="5" borderId="0" xfId="0" applyFont="1" applyFill="1" applyBorder="1"/>
    <xf numFmtId="0" fontId="5" fillId="5" borderId="11" xfId="0" applyFont="1" applyFill="1" applyBorder="1"/>
    <xf numFmtId="0" fontId="5" fillId="5" borderId="9" xfId="0" applyFont="1" applyFill="1" applyBorder="1"/>
    <xf numFmtId="164" fontId="5" fillId="5" borderId="9" xfId="0" applyNumberFormat="1" applyFont="1" applyFill="1" applyBorder="1"/>
    <xf numFmtId="0" fontId="7" fillId="0" borderId="0" xfId="0" applyFont="1"/>
    <xf numFmtId="164" fontId="5" fillId="0" borderId="1" xfId="1" applyNumberFormat="1" applyFont="1" applyBorder="1"/>
    <xf numFmtId="0" fontId="5" fillId="0" borderId="6" xfId="0" applyFont="1" applyBorder="1"/>
    <xf numFmtId="164" fontId="5" fillId="0" borderId="10" xfId="0" applyNumberFormat="1" applyFont="1" applyBorder="1"/>
    <xf numFmtId="164" fontId="5" fillId="0" borderId="4" xfId="0" applyNumberFormat="1" applyFont="1" applyBorder="1"/>
    <xf numFmtId="9" fontId="5" fillId="0" borderId="0" xfId="0" applyNumberFormat="1" applyFont="1"/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3" fontId="5" fillId="0" borderId="1" xfId="0" applyNumberFormat="1" applyFont="1" applyBorder="1"/>
    <xf numFmtId="43" fontId="5" fillId="0" borderId="1" xfId="1" applyFont="1" applyBorder="1"/>
    <xf numFmtId="164" fontId="5" fillId="0" borderId="0" xfId="1" applyNumberFormat="1" applyFont="1"/>
    <xf numFmtId="0" fontId="5" fillId="0" borderId="0" xfId="0" quotePrefix="1" applyFont="1"/>
    <xf numFmtId="0" fontId="5" fillId="2" borderId="0" xfId="0" applyFont="1" applyFill="1"/>
    <xf numFmtId="10" fontId="5" fillId="4" borderId="0" xfId="0" applyNumberFormat="1" applyFont="1" applyFill="1"/>
    <xf numFmtId="0" fontId="5" fillId="4" borderId="0" xfId="0" applyFont="1" applyFill="1" applyAlignment="1">
      <alignment horizontal="right"/>
    </xf>
    <xf numFmtId="2" fontId="5" fillId="0" borderId="1" xfId="0" applyNumberFormat="1" applyFont="1" applyBorder="1"/>
    <xf numFmtId="0" fontId="8" fillId="0" borderId="0" xfId="0" applyFont="1"/>
    <xf numFmtId="10" fontId="8" fillId="0" borderId="0" xfId="2" applyNumberFormat="1" applyFont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0" xfId="0" applyFont="1" applyFill="1"/>
    <xf numFmtId="0" fontId="9" fillId="5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ssignments/6.%20Ashiwini%20Mittal%20uncle's%20bid%20for%20work/1.%20F&amp;V%20Processing%20unit/F&amp;V%20Processing%20Unit%20Annexures%20-%20With%20Subsi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nn 1"/>
      <sheetName val="Ann 2"/>
      <sheetName val="Ann 3"/>
      <sheetName val="Ann 4"/>
      <sheetName val="Ann 5"/>
      <sheetName val="Ann 6"/>
      <sheetName val="Ann 7"/>
      <sheetName val="Ann 8"/>
      <sheetName val="Ann 9"/>
      <sheetName val="Ann 10"/>
      <sheetName val="Ann 11"/>
      <sheetName val="Ann 12"/>
      <sheetName val="Ann 13"/>
      <sheetName val="For word file"/>
      <sheetName val="Assumptions"/>
      <sheetName val="Budgets"/>
      <sheetName val="Sheet1"/>
    </sheetNames>
    <sheetDataSet>
      <sheetData sheetId="0"/>
      <sheetData sheetId="1">
        <row r="3">
          <cell r="A3" t="str">
            <v>Annexure 1 - Estimated cost of the project</v>
          </cell>
        </row>
      </sheetData>
      <sheetData sheetId="2">
        <row r="1">
          <cell r="A1" t="str">
            <v>Annexure 2 - Means of Finance</v>
          </cell>
        </row>
      </sheetData>
      <sheetData sheetId="3">
        <row r="1">
          <cell r="A1" t="str">
            <v>Annexure 3 - Complete Estimate of Civil and Plant and Machinery</v>
          </cell>
        </row>
      </sheetData>
      <sheetData sheetId="4">
        <row r="1">
          <cell r="A1" t="str">
            <v>Annexure 4 - Estimated Cost of Production</v>
          </cell>
        </row>
      </sheetData>
      <sheetData sheetId="5">
        <row r="1">
          <cell r="A1" t="str">
            <v>Annexure 5- Projected balance sheet</v>
          </cell>
        </row>
      </sheetData>
      <sheetData sheetId="6">
        <row r="1">
          <cell r="A1" t="str">
            <v>Annexure 6 - requirement of Power and Fuel</v>
          </cell>
        </row>
      </sheetData>
      <sheetData sheetId="7">
        <row r="1">
          <cell r="A1" t="str">
            <v>Annexure 7 - Details of Mnpower (Technical)</v>
          </cell>
        </row>
      </sheetData>
      <sheetData sheetId="8">
        <row r="1">
          <cell r="A1" t="str">
            <v>Annexure 8 - Details of Mnpower (Administrative)</v>
          </cell>
        </row>
      </sheetData>
      <sheetData sheetId="9">
        <row r="1">
          <cell r="A1" t="str">
            <v>Annexure 9 - Computation of Depreciation</v>
          </cell>
        </row>
      </sheetData>
      <sheetData sheetId="10">
        <row r="1">
          <cell r="A1" t="str">
            <v>Annexure 10 - Calculation of Income tax</v>
          </cell>
        </row>
      </sheetData>
      <sheetData sheetId="11">
        <row r="1">
          <cell r="A1" t="str">
            <v>Annexure 11- Break even analysis (At maximum capacity utilization)</v>
          </cell>
        </row>
      </sheetData>
      <sheetData sheetId="12"/>
      <sheetData sheetId="13">
        <row r="1">
          <cell r="A1" t="str">
            <v>Annexure 13 - Repayment schedule</v>
          </cell>
        </row>
      </sheetData>
      <sheetData sheetId="14"/>
      <sheetData sheetId="15">
        <row r="1">
          <cell r="B1" t="str">
            <v>Assumptions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8DD-610E-4F46-9CF8-51AD6DB2DDE9}">
  <dimension ref="A1:B17"/>
  <sheetViews>
    <sheetView workbookViewId="0">
      <selection activeCell="B1" sqref="B1"/>
    </sheetView>
  </sheetViews>
  <sheetFormatPr defaultRowHeight="17" x14ac:dyDescent="0.6"/>
  <cols>
    <col min="1" max="1" width="57.90625" style="21" bestFit="1" customWidth="1"/>
    <col min="2" max="2" width="14.453125" style="21" bestFit="1" customWidth="1"/>
    <col min="3" max="16384" width="8.7265625" style="21"/>
  </cols>
  <sheetData>
    <row r="1" spans="1:2" x14ac:dyDescent="0.6">
      <c r="A1" s="20" t="s">
        <v>251</v>
      </c>
    </row>
    <row r="3" spans="1:2" x14ac:dyDescent="0.6">
      <c r="A3" s="25" t="s">
        <v>252</v>
      </c>
      <c r="B3" s="25" t="s">
        <v>253</v>
      </c>
    </row>
    <row r="4" spans="1:2" x14ac:dyDescent="0.6">
      <c r="A4" s="22" t="str">
        <f>'[1]Ann 1'!A3</f>
        <v>Annexure 1 - Estimated cost of the project</v>
      </c>
      <c r="B4" s="23" t="s">
        <v>254</v>
      </c>
    </row>
    <row r="5" spans="1:2" x14ac:dyDescent="0.6">
      <c r="A5" s="22" t="str">
        <f>'[1]Ann 2'!A1</f>
        <v>Annexure 2 - Means of Finance</v>
      </c>
      <c r="B5" s="23" t="s">
        <v>255</v>
      </c>
    </row>
    <row r="6" spans="1:2" x14ac:dyDescent="0.6">
      <c r="A6" s="22" t="str">
        <f>'[1]Ann 3'!A1</f>
        <v>Annexure 3 - Complete Estimate of Civil and Plant and Machinery</v>
      </c>
      <c r="B6" s="23" t="s">
        <v>256</v>
      </c>
    </row>
    <row r="7" spans="1:2" x14ac:dyDescent="0.6">
      <c r="A7" s="22" t="str">
        <f>'[1]Ann 4'!A1</f>
        <v>Annexure 4 - Estimated Cost of Production</v>
      </c>
      <c r="B7" s="23" t="s">
        <v>257</v>
      </c>
    </row>
    <row r="8" spans="1:2" x14ac:dyDescent="0.6">
      <c r="A8" s="22" t="str">
        <f>'[1]Ann 5'!A1</f>
        <v>Annexure 5- Projected balance sheet</v>
      </c>
      <c r="B8" s="23" t="s">
        <v>258</v>
      </c>
    </row>
    <row r="9" spans="1:2" x14ac:dyDescent="0.6">
      <c r="A9" s="22" t="str">
        <f>'[1]Ann 6'!A1</f>
        <v>Annexure 6 - requirement of Power and Fuel</v>
      </c>
      <c r="B9" s="23" t="s">
        <v>259</v>
      </c>
    </row>
    <row r="10" spans="1:2" x14ac:dyDescent="0.6">
      <c r="A10" s="22" t="str">
        <f>'[1]Ann 7'!A1</f>
        <v>Annexure 7 - Details of Mnpower (Technical)</v>
      </c>
      <c r="B10" s="23" t="s">
        <v>260</v>
      </c>
    </row>
    <row r="11" spans="1:2" x14ac:dyDescent="0.6">
      <c r="A11" s="22" t="str">
        <f>'[1]Ann 8'!A1</f>
        <v>Annexure 8 - Details of Mnpower (Administrative)</v>
      </c>
      <c r="B11" s="23" t="s">
        <v>261</v>
      </c>
    </row>
    <row r="12" spans="1:2" x14ac:dyDescent="0.6">
      <c r="A12" s="22" t="str">
        <f>'[1]Ann 9'!A1</f>
        <v>Annexure 9 - Computation of Depreciation</v>
      </c>
      <c r="B12" s="23" t="s">
        <v>262</v>
      </c>
    </row>
    <row r="13" spans="1:2" x14ac:dyDescent="0.6">
      <c r="A13" s="22" t="str">
        <f>'[1]Ann 10'!A1</f>
        <v>Annexure 10 - Calculation of Income tax</v>
      </c>
      <c r="B13" s="23" t="s">
        <v>263</v>
      </c>
    </row>
    <row r="14" spans="1:2" x14ac:dyDescent="0.6">
      <c r="A14" s="22" t="str">
        <f>'[1]Ann 11'!A1</f>
        <v>Annexure 11- Break even analysis (At maximum capacity utilization)</v>
      </c>
      <c r="B14" s="23" t="s">
        <v>264</v>
      </c>
    </row>
    <row r="15" spans="1:2" x14ac:dyDescent="0.6">
      <c r="A15" s="22" t="str">
        <f>'[1]Ann 13'!A1</f>
        <v>Annexure 13 - Repayment schedule</v>
      </c>
      <c r="B15" s="23" t="s">
        <v>265</v>
      </c>
    </row>
    <row r="16" spans="1:2" x14ac:dyDescent="0.6">
      <c r="A16" s="22" t="str">
        <f>'Cash flows'!A1</f>
        <v>Cash Flow operations</v>
      </c>
      <c r="B16" s="23" t="s">
        <v>272</v>
      </c>
    </row>
    <row r="17" spans="1:2" x14ac:dyDescent="0.6">
      <c r="A17" s="22" t="str">
        <f>[1]Assumptions!B1</f>
        <v>Assumptions</v>
      </c>
      <c r="B17" s="24" t="s">
        <v>266</v>
      </c>
    </row>
  </sheetData>
  <hyperlinks>
    <hyperlink ref="B4" location="'Ann 1'!A1" display="Ann 1'!A1" xr:uid="{A84F4632-62F4-44FA-AA6F-CC940A27671F}"/>
    <hyperlink ref="B5" location="'Ann 2'!A1" display="Ann 2'!A1" xr:uid="{27928AED-68B0-4D25-8E38-3F85494B7DB3}"/>
    <hyperlink ref="B6" location="'Ann 3'!A1" display="'Ann 3'!A1" xr:uid="{CAD1456A-56C0-4330-84F3-A8292268665D}"/>
    <hyperlink ref="B7" location="'Ann 5'!A1" display="Ann 4'!A1" xr:uid="{4AED46A8-0C1C-4565-8A5D-DEEB580C0AFF}"/>
    <hyperlink ref="B8" location="'Ann 6'!A1" display="Ann 5'!A1" xr:uid="{F96B6E55-0B7D-40AB-A61D-E9C1158E3446}"/>
    <hyperlink ref="B9" location="'Ann 6'!A1" display="'Ann 6'!A1" xr:uid="{734648D1-FEAD-4A95-A006-28EC939778D9}"/>
    <hyperlink ref="B10" location="'Ann 7'!A1" display="'Ann 7'!A1" xr:uid="{C5696190-331D-40B9-A5EA-B0CF8D6AC0F3}"/>
    <hyperlink ref="B11" location="'Ann 8'!A1" display="'Ann 8'!A1" xr:uid="{B60BCFCE-46ED-47E2-9E74-401C563B0E54}"/>
    <hyperlink ref="B12" location="'Ann 9'!A1" display="'Ann 9'!A1" xr:uid="{CD1141A8-DFA3-475F-8E6B-86510811D254}"/>
    <hyperlink ref="B13" location="'Ann 10'!A1" display="'Ann 10'!A1" xr:uid="{00667B26-90B1-4EFF-BA58-CA77F2080B37}"/>
    <hyperlink ref="B14" location="'Ann 11'!A1" display="'Ann 11'!A1" xr:uid="{0B065A31-3D4A-4333-8538-C2CC6B2154DC}"/>
    <hyperlink ref="B15" location="'Ann 13'!A1" display="'Ann 13'!A1" xr:uid="{D45C14E4-CB7D-4F1D-A0B5-5079B7F0CABE}"/>
    <hyperlink ref="B17" location="Assumptions!A1" display="Assumptions!A1" xr:uid="{0A712BA4-3452-478C-AA2D-BF5AB4DF35AB}"/>
    <hyperlink ref="B16" location="'Cash flows'!A1" display="'Cash flows'!A1" xr:uid="{25A4C310-E217-4438-8F72-04130C7065E6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239D-A793-4055-957C-367EF6B7112E}">
  <sheetPr>
    <pageSetUpPr fitToPage="1"/>
  </sheetPr>
  <dimension ref="A1:G26"/>
  <sheetViews>
    <sheetView topLeftCell="A7" workbookViewId="0">
      <selection activeCell="C25" sqref="C25"/>
    </sheetView>
  </sheetViews>
  <sheetFormatPr defaultRowHeight="17" x14ac:dyDescent="0.6"/>
  <cols>
    <col min="1" max="1" width="8.7265625" style="21"/>
    <col min="2" max="2" width="23.54296875" style="21" bestFit="1" customWidth="1"/>
    <col min="3" max="3" width="14.6328125" style="21" bestFit="1" customWidth="1"/>
    <col min="4" max="4" width="12.54296875" style="21" bestFit="1" customWidth="1"/>
    <col min="5" max="5" width="13.6328125" style="21" bestFit="1" customWidth="1"/>
    <col min="6" max="14" width="8.7265625" style="21"/>
    <col min="15" max="15" width="13.6328125" style="21" bestFit="1" customWidth="1"/>
    <col min="16" max="16" width="12.54296875" style="21" bestFit="1" customWidth="1"/>
    <col min="17" max="16384" width="8.7265625" style="21"/>
  </cols>
  <sheetData>
    <row r="1" spans="1:7" x14ac:dyDescent="0.6">
      <c r="A1" s="20" t="s">
        <v>118</v>
      </c>
    </row>
    <row r="3" spans="1:7" x14ac:dyDescent="0.6">
      <c r="A3" s="104" t="s">
        <v>278</v>
      </c>
      <c r="B3" s="103"/>
      <c r="C3" s="103"/>
      <c r="D3" s="103"/>
      <c r="E3" s="103"/>
    </row>
    <row r="5" spans="1:7" x14ac:dyDescent="0.6">
      <c r="B5" s="21" t="s">
        <v>96</v>
      </c>
      <c r="E5" s="90">
        <f>'Ann 4'!C13/60%</f>
        <v>50217800</v>
      </c>
    </row>
    <row r="6" spans="1:7" x14ac:dyDescent="0.6">
      <c r="B6" s="21" t="s">
        <v>119</v>
      </c>
    </row>
    <row r="7" spans="1:7" x14ac:dyDescent="0.6">
      <c r="B7" s="91" t="s">
        <v>120</v>
      </c>
      <c r="D7" s="68">
        <f>550000*10%</f>
        <v>55000</v>
      </c>
      <c r="E7" s="68"/>
    </row>
    <row r="8" spans="1:7" x14ac:dyDescent="0.6">
      <c r="B8" s="91" t="s">
        <v>124</v>
      </c>
      <c r="D8" s="68">
        <f>'Ann 4'!K32</f>
        <v>306307.57500000001</v>
      </c>
      <c r="E8" s="68">
        <f>SUM(D7:D8)</f>
        <v>361307.57500000001</v>
      </c>
      <c r="G8" s="47"/>
    </row>
    <row r="9" spans="1:7" x14ac:dyDescent="0.6">
      <c r="B9" s="21" t="s">
        <v>121</v>
      </c>
      <c r="E9" s="68">
        <f>E5-E8</f>
        <v>49856492.424999997</v>
      </c>
    </row>
    <row r="10" spans="1:7" x14ac:dyDescent="0.6">
      <c r="B10" s="21" t="s">
        <v>122</v>
      </c>
    </row>
    <row r="11" spans="1:7" x14ac:dyDescent="0.6">
      <c r="B11" s="21" t="s">
        <v>123</v>
      </c>
      <c r="E11" s="68">
        <f>'Ann 8'!E12*20%</f>
        <v>305280</v>
      </c>
    </row>
    <row r="12" spans="1:7" x14ac:dyDescent="0.6">
      <c r="B12" s="21" t="s">
        <v>126</v>
      </c>
      <c r="E12" s="68">
        <v>90000</v>
      </c>
    </row>
    <row r="13" spans="1:7" x14ac:dyDescent="0.6">
      <c r="B13" s="21" t="s">
        <v>125</v>
      </c>
      <c r="E13" s="68">
        <f>SUM('Ann 9'!C12:D20)</f>
        <v>9778606.7340929992</v>
      </c>
    </row>
    <row r="14" spans="1:7" x14ac:dyDescent="0.6">
      <c r="B14" s="21" t="s">
        <v>128</v>
      </c>
      <c r="E14" s="68">
        <f>SUM(E11:E13)</f>
        <v>10173886.734092999</v>
      </c>
    </row>
    <row r="16" spans="1:7" x14ac:dyDescent="0.6">
      <c r="C16" s="21" t="s">
        <v>279</v>
      </c>
    </row>
    <row r="17" spans="2:4" x14ac:dyDescent="0.6">
      <c r="B17" s="21" t="s">
        <v>132</v>
      </c>
      <c r="C17" s="21">
        <v>8</v>
      </c>
      <c r="D17" s="92"/>
    </row>
    <row r="18" spans="2:4" x14ac:dyDescent="0.6">
      <c r="B18" s="91" t="s">
        <v>131</v>
      </c>
      <c r="C18" s="47">
        <f>D7/(5021.78*1000)</f>
        <v>1.095229181684582E-2</v>
      </c>
      <c r="D18" s="92"/>
    </row>
    <row r="19" spans="2:4" x14ac:dyDescent="0.6">
      <c r="B19" s="21" t="s">
        <v>130</v>
      </c>
      <c r="C19" s="47">
        <f>(D8-90000)/(5021*360)</f>
        <v>0.11966826827325235</v>
      </c>
      <c r="D19" s="92"/>
    </row>
    <row r="20" spans="2:4" x14ac:dyDescent="0.6">
      <c r="B20" s="21" t="s">
        <v>129</v>
      </c>
      <c r="C20" s="47">
        <f>C17-C18-C19</f>
        <v>7.8693794399099017</v>
      </c>
      <c r="D20" s="92"/>
    </row>
    <row r="22" spans="2:4" x14ac:dyDescent="0.6">
      <c r="B22" s="21" t="s">
        <v>127</v>
      </c>
      <c r="C22" s="68">
        <f>E14</f>
        <v>10173886.734092999</v>
      </c>
    </row>
    <row r="23" spans="2:4" x14ac:dyDescent="0.6">
      <c r="B23" s="21" t="s">
        <v>249</v>
      </c>
      <c r="C23" s="47">
        <f>C22/C20</f>
        <v>1292844.8566726479</v>
      </c>
    </row>
    <row r="25" spans="2:4" x14ac:dyDescent="0.6">
      <c r="B25" s="21" t="s">
        <v>250</v>
      </c>
      <c r="C25" s="45">
        <f>C23/(5021.78*360)</f>
        <v>0.71513202748419435</v>
      </c>
    </row>
    <row r="26" spans="2:4" x14ac:dyDescent="0.6">
      <c r="C26" s="4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098D-FBA0-4F7E-BF3C-624224F47C27}">
  <dimension ref="A1:K7"/>
  <sheetViews>
    <sheetView workbookViewId="0">
      <selection activeCell="A8" sqref="A8"/>
    </sheetView>
  </sheetViews>
  <sheetFormatPr defaultRowHeight="14.5" x14ac:dyDescent="0.35"/>
  <sheetData>
    <row r="1" spans="1:11" x14ac:dyDescent="0.35">
      <c r="A1" t="s">
        <v>133</v>
      </c>
    </row>
    <row r="3" spans="1:11" x14ac:dyDescent="0.35">
      <c r="C3" s="101" t="s">
        <v>134</v>
      </c>
      <c r="D3" s="101"/>
      <c r="E3" s="101"/>
      <c r="F3" s="101"/>
      <c r="G3" s="101"/>
      <c r="H3" s="101"/>
      <c r="I3" s="101"/>
      <c r="J3" s="101"/>
      <c r="K3" s="101"/>
    </row>
    <row r="4" spans="1:11" x14ac:dyDescent="0.3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1:11" x14ac:dyDescent="0.35">
      <c r="A5" t="s">
        <v>135</v>
      </c>
      <c r="C5" t="e">
        <f>'Ann 4'!#REF!</f>
        <v>#REF!</v>
      </c>
      <c r="D5" t="e">
        <f>'Ann 4'!#REF!</f>
        <v>#REF!</v>
      </c>
      <c r="E5" t="e">
        <f>'Ann 4'!#REF!</f>
        <v>#REF!</v>
      </c>
      <c r="F5" t="e">
        <f>'Ann 4'!#REF!</f>
        <v>#REF!</v>
      </c>
      <c r="G5" t="e">
        <f>'Ann 4'!#REF!</f>
        <v>#REF!</v>
      </c>
      <c r="H5" t="e">
        <f>'Ann 4'!#REF!</f>
        <v>#REF!</v>
      </c>
      <c r="I5" t="e">
        <f>'Ann 4'!#REF!</f>
        <v>#REF!</v>
      </c>
      <c r="J5" t="e">
        <f>'Ann 4'!#REF!</f>
        <v>#REF!</v>
      </c>
      <c r="K5" t="e">
        <f>'Ann 4'!#REF!</f>
        <v>#REF!</v>
      </c>
    </row>
    <row r="6" spans="1:11" x14ac:dyDescent="0.35">
      <c r="A6" t="s">
        <v>136</v>
      </c>
      <c r="C6" t="e">
        <f>'Ann 4'!#REF!</f>
        <v>#REF!</v>
      </c>
      <c r="D6" t="e">
        <f>'Ann 4'!#REF!</f>
        <v>#REF!</v>
      </c>
      <c r="E6" t="e">
        <f>'Ann 4'!#REF!</f>
        <v>#REF!</v>
      </c>
      <c r="F6" t="e">
        <f>'Ann 4'!#REF!</f>
        <v>#REF!</v>
      </c>
      <c r="G6" t="e">
        <f>'Ann 4'!#REF!</f>
        <v>#REF!</v>
      </c>
      <c r="H6" t="e">
        <f>'Ann 4'!#REF!</f>
        <v>#REF!</v>
      </c>
      <c r="I6" t="e">
        <f>'Ann 4'!#REF!</f>
        <v>#REF!</v>
      </c>
      <c r="J6" t="e">
        <f>'Ann 4'!#REF!</f>
        <v>#REF!</v>
      </c>
      <c r="K6" t="e">
        <f>'Ann 4'!#REF!</f>
        <v>#REF!</v>
      </c>
    </row>
    <row r="7" spans="1:11" x14ac:dyDescent="0.35">
      <c r="A7" t="s">
        <v>137</v>
      </c>
    </row>
  </sheetData>
  <mergeCells count="1">
    <mergeCell ref="C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F0C2-594D-4936-9810-7D289B91BEE1}">
  <dimension ref="A1:G36"/>
  <sheetViews>
    <sheetView workbookViewId="0"/>
  </sheetViews>
  <sheetFormatPr defaultRowHeight="17" x14ac:dyDescent="0.6"/>
  <cols>
    <col min="1" max="1" width="4.54296875" style="21" bestFit="1" customWidth="1"/>
    <col min="2" max="2" width="7.36328125" style="21" bestFit="1" customWidth="1"/>
    <col min="3" max="3" width="17.81640625" style="21" bestFit="1" customWidth="1"/>
    <col min="4" max="4" width="17.36328125" style="21" bestFit="1" customWidth="1"/>
    <col min="5" max="5" width="7.26953125" style="21" bestFit="1" customWidth="1"/>
    <col min="6" max="16384" width="8.7265625" style="21"/>
  </cols>
  <sheetData>
    <row r="1" spans="1:7" x14ac:dyDescent="0.6">
      <c r="A1" s="20" t="s">
        <v>143</v>
      </c>
    </row>
    <row r="3" spans="1:7" x14ac:dyDescent="0.6">
      <c r="A3" s="78" t="s">
        <v>144</v>
      </c>
    </row>
    <row r="4" spans="1:7" x14ac:dyDescent="0.6">
      <c r="A4" s="21" t="s">
        <v>145</v>
      </c>
      <c r="D4" s="46">
        <f>'Ann 2'!C6</f>
        <v>143.13</v>
      </c>
    </row>
    <row r="5" spans="1:7" x14ac:dyDescent="0.6">
      <c r="A5" s="21" t="s">
        <v>146</v>
      </c>
      <c r="D5" s="93">
        <v>0.06</v>
      </c>
    </row>
    <row r="6" spans="1:7" x14ac:dyDescent="0.6">
      <c r="A6" s="21" t="s">
        <v>147</v>
      </c>
      <c r="D6" s="94" t="s">
        <v>210</v>
      </c>
    </row>
    <row r="8" spans="1:7" x14ac:dyDescent="0.6">
      <c r="A8" s="42" t="s">
        <v>117</v>
      </c>
      <c r="B8" s="42" t="s">
        <v>148</v>
      </c>
      <c r="C8" s="42" t="s">
        <v>149</v>
      </c>
      <c r="D8" s="42" t="s">
        <v>151</v>
      </c>
      <c r="E8" s="42" t="s">
        <v>150</v>
      </c>
    </row>
    <row r="9" spans="1:7" x14ac:dyDescent="0.6">
      <c r="A9" s="102">
        <v>1</v>
      </c>
      <c r="B9" s="22">
        <v>1</v>
      </c>
      <c r="C9" s="95">
        <f>$D$4</f>
        <v>143.13</v>
      </c>
      <c r="D9" s="22">
        <v>0</v>
      </c>
      <c r="E9" s="22">
        <f>C9*$D$5/4</f>
        <v>2.1469499999999999</v>
      </c>
    </row>
    <row r="10" spans="1:7" x14ac:dyDescent="0.6">
      <c r="A10" s="102"/>
      <c r="B10" s="22">
        <v>2</v>
      </c>
      <c r="C10" s="95">
        <f>$D$4</f>
        <v>143.13</v>
      </c>
      <c r="D10" s="22">
        <v>0</v>
      </c>
      <c r="E10" s="22">
        <f>C10*$D$5/4</f>
        <v>2.1469499999999999</v>
      </c>
      <c r="G10" s="96">
        <f>230/24</f>
        <v>9.5833333333333339</v>
      </c>
    </row>
    <row r="11" spans="1:7" x14ac:dyDescent="0.6">
      <c r="A11" s="102"/>
      <c r="B11" s="22">
        <v>3</v>
      </c>
      <c r="C11" s="95">
        <f>$D$4</f>
        <v>143.13</v>
      </c>
      <c r="D11" s="22">
        <f>D4/26</f>
        <v>5.5049999999999999</v>
      </c>
      <c r="E11" s="22">
        <f>C11*$D$5/4</f>
        <v>2.1469499999999999</v>
      </c>
    </row>
    <row r="12" spans="1:7" x14ac:dyDescent="0.6">
      <c r="A12" s="102"/>
      <c r="B12" s="22">
        <v>4</v>
      </c>
      <c r="C12" s="22">
        <f t="shared" ref="C12:C17" si="0">C11-D11</f>
        <v>137.625</v>
      </c>
      <c r="D12" s="22">
        <f>D11</f>
        <v>5.5049999999999999</v>
      </c>
      <c r="E12" s="22">
        <f>C12*$D$5/4</f>
        <v>2.0643750000000001</v>
      </c>
    </row>
    <row r="13" spans="1:7" x14ac:dyDescent="0.6">
      <c r="A13" s="102">
        <v>2</v>
      </c>
      <c r="B13" s="22">
        <v>1</v>
      </c>
      <c r="C13" s="22">
        <f t="shared" si="0"/>
        <v>132.12</v>
      </c>
      <c r="D13" s="22">
        <f t="shared" ref="D13:D35" si="1">D12</f>
        <v>5.5049999999999999</v>
      </c>
      <c r="E13" s="22">
        <f>C13*$D$5/4</f>
        <v>1.9818</v>
      </c>
    </row>
    <row r="14" spans="1:7" x14ac:dyDescent="0.6">
      <c r="A14" s="102"/>
      <c r="B14" s="22">
        <v>2</v>
      </c>
      <c r="C14" s="22">
        <f t="shared" si="0"/>
        <v>126.61500000000001</v>
      </c>
      <c r="D14" s="22">
        <f t="shared" si="1"/>
        <v>5.5049999999999999</v>
      </c>
      <c r="E14" s="22">
        <f t="shared" ref="E14:E36" si="2">C14*$D$5/4</f>
        <v>1.8992250000000002</v>
      </c>
    </row>
    <row r="15" spans="1:7" x14ac:dyDescent="0.6">
      <c r="A15" s="102"/>
      <c r="B15" s="22">
        <v>3</v>
      </c>
      <c r="C15" s="22">
        <f t="shared" si="0"/>
        <v>121.11000000000001</v>
      </c>
      <c r="D15" s="22">
        <f t="shared" si="1"/>
        <v>5.5049999999999999</v>
      </c>
      <c r="E15" s="22">
        <f t="shared" si="2"/>
        <v>1.8166500000000001</v>
      </c>
    </row>
    <row r="16" spans="1:7" x14ac:dyDescent="0.6">
      <c r="A16" s="102"/>
      <c r="B16" s="22">
        <v>4</v>
      </c>
      <c r="C16" s="22">
        <f t="shared" si="0"/>
        <v>115.60500000000002</v>
      </c>
      <c r="D16" s="22">
        <f t="shared" si="1"/>
        <v>5.5049999999999999</v>
      </c>
      <c r="E16" s="22">
        <f t="shared" si="2"/>
        <v>1.7340750000000003</v>
      </c>
    </row>
    <row r="17" spans="1:5" x14ac:dyDescent="0.6">
      <c r="A17" s="102">
        <v>3</v>
      </c>
      <c r="B17" s="22">
        <v>1</v>
      </c>
      <c r="C17" s="22">
        <f t="shared" si="0"/>
        <v>110.10000000000002</v>
      </c>
      <c r="D17" s="22">
        <f t="shared" si="1"/>
        <v>5.5049999999999999</v>
      </c>
      <c r="E17" s="22">
        <f t="shared" si="2"/>
        <v>1.6515000000000002</v>
      </c>
    </row>
    <row r="18" spans="1:5" x14ac:dyDescent="0.6">
      <c r="A18" s="102"/>
      <c r="B18" s="22">
        <v>2</v>
      </c>
      <c r="C18" s="22">
        <f t="shared" ref="C18:C36" si="3">C17-D17</f>
        <v>104.59500000000003</v>
      </c>
      <c r="D18" s="22">
        <f t="shared" si="1"/>
        <v>5.5049999999999999</v>
      </c>
      <c r="E18" s="22">
        <f t="shared" si="2"/>
        <v>1.5689250000000003</v>
      </c>
    </row>
    <row r="19" spans="1:5" x14ac:dyDescent="0.6">
      <c r="A19" s="102"/>
      <c r="B19" s="22">
        <v>3</v>
      </c>
      <c r="C19" s="22">
        <f t="shared" si="3"/>
        <v>99.090000000000032</v>
      </c>
      <c r="D19" s="22">
        <f t="shared" si="1"/>
        <v>5.5049999999999999</v>
      </c>
      <c r="E19" s="22">
        <f t="shared" si="2"/>
        <v>1.4863500000000005</v>
      </c>
    </row>
    <row r="20" spans="1:5" x14ac:dyDescent="0.6">
      <c r="A20" s="102"/>
      <c r="B20" s="22">
        <v>4</v>
      </c>
      <c r="C20" s="22">
        <f t="shared" si="3"/>
        <v>93.585000000000036</v>
      </c>
      <c r="D20" s="22">
        <f t="shared" si="1"/>
        <v>5.5049999999999999</v>
      </c>
      <c r="E20" s="22">
        <f t="shared" si="2"/>
        <v>1.4037750000000004</v>
      </c>
    </row>
    <row r="21" spans="1:5" x14ac:dyDescent="0.6">
      <c r="A21" s="102">
        <v>4</v>
      </c>
      <c r="B21" s="22">
        <v>1</v>
      </c>
      <c r="C21" s="22">
        <f t="shared" si="3"/>
        <v>88.080000000000041</v>
      </c>
      <c r="D21" s="22">
        <f t="shared" si="1"/>
        <v>5.5049999999999999</v>
      </c>
      <c r="E21" s="22">
        <f t="shared" si="2"/>
        <v>1.3212000000000006</v>
      </c>
    </row>
    <row r="22" spans="1:5" x14ac:dyDescent="0.6">
      <c r="A22" s="102"/>
      <c r="B22" s="22">
        <v>2</v>
      </c>
      <c r="C22" s="22">
        <f t="shared" si="3"/>
        <v>82.575000000000045</v>
      </c>
      <c r="D22" s="22">
        <f t="shared" si="1"/>
        <v>5.5049999999999999</v>
      </c>
      <c r="E22" s="22">
        <f t="shared" si="2"/>
        <v>1.2386250000000005</v>
      </c>
    </row>
    <row r="23" spans="1:5" x14ac:dyDescent="0.6">
      <c r="A23" s="102"/>
      <c r="B23" s="22">
        <v>3</v>
      </c>
      <c r="C23" s="22">
        <f t="shared" si="3"/>
        <v>77.07000000000005</v>
      </c>
      <c r="D23" s="22">
        <f t="shared" si="1"/>
        <v>5.5049999999999999</v>
      </c>
      <c r="E23" s="22">
        <f t="shared" si="2"/>
        <v>1.1560500000000007</v>
      </c>
    </row>
    <row r="24" spans="1:5" x14ac:dyDescent="0.6">
      <c r="A24" s="102"/>
      <c r="B24" s="22">
        <v>4</v>
      </c>
      <c r="C24" s="22">
        <f t="shared" si="3"/>
        <v>71.565000000000055</v>
      </c>
      <c r="D24" s="22">
        <f t="shared" si="1"/>
        <v>5.5049999999999999</v>
      </c>
      <c r="E24" s="22">
        <f t="shared" si="2"/>
        <v>1.0734750000000008</v>
      </c>
    </row>
    <row r="25" spans="1:5" x14ac:dyDescent="0.6">
      <c r="A25" s="102">
        <v>5</v>
      </c>
      <c r="B25" s="22">
        <v>1</v>
      </c>
      <c r="C25" s="22">
        <f t="shared" si="3"/>
        <v>66.060000000000059</v>
      </c>
      <c r="D25" s="22">
        <f t="shared" si="1"/>
        <v>5.5049999999999999</v>
      </c>
      <c r="E25" s="22">
        <f t="shared" si="2"/>
        <v>0.99090000000000089</v>
      </c>
    </row>
    <row r="26" spans="1:5" x14ac:dyDescent="0.6">
      <c r="A26" s="102"/>
      <c r="B26" s="22">
        <v>2</v>
      </c>
      <c r="C26" s="22">
        <f t="shared" si="3"/>
        <v>60.555000000000057</v>
      </c>
      <c r="D26" s="22">
        <f t="shared" si="1"/>
        <v>5.5049999999999999</v>
      </c>
      <c r="E26" s="22">
        <f t="shared" si="2"/>
        <v>0.90832500000000083</v>
      </c>
    </row>
    <row r="27" spans="1:5" x14ac:dyDescent="0.6">
      <c r="A27" s="102"/>
      <c r="B27" s="22">
        <v>3</v>
      </c>
      <c r="C27" s="22">
        <f t="shared" si="3"/>
        <v>55.050000000000054</v>
      </c>
      <c r="D27" s="22">
        <f t="shared" si="1"/>
        <v>5.5049999999999999</v>
      </c>
      <c r="E27" s="22">
        <f t="shared" si="2"/>
        <v>0.82575000000000076</v>
      </c>
    </row>
    <row r="28" spans="1:5" x14ac:dyDescent="0.6">
      <c r="A28" s="102"/>
      <c r="B28" s="22">
        <v>4</v>
      </c>
      <c r="C28" s="22">
        <f t="shared" si="3"/>
        <v>49.545000000000051</v>
      </c>
      <c r="D28" s="22">
        <f t="shared" si="1"/>
        <v>5.5049999999999999</v>
      </c>
      <c r="E28" s="22">
        <f t="shared" si="2"/>
        <v>0.7431750000000007</v>
      </c>
    </row>
    <row r="29" spans="1:5" x14ac:dyDescent="0.6">
      <c r="A29" s="102">
        <v>6</v>
      </c>
      <c r="B29" s="22">
        <v>1</v>
      </c>
      <c r="C29" s="22">
        <f t="shared" si="3"/>
        <v>44.040000000000049</v>
      </c>
      <c r="D29" s="22">
        <f t="shared" si="1"/>
        <v>5.5049999999999999</v>
      </c>
      <c r="E29" s="22">
        <f t="shared" si="2"/>
        <v>0.66060000000000074</v>
      </c>
    </row>
    <row r="30" spans="1:5" x14ac:dyDescent="0.6">
      <c r="A30" s="102"/>
      <c r="B30" s="22">
        <v>2</v>
      </c>
      <c r="C30" s="22">
        <f t="shared" si="3"/>
        <v>38.535000000000046</v>
      </c>
      <c r="D30" s="22">
        <f t="shared" si="1"/>
        <v>5.5049999999999999</v>
      </c>
      <c r="E30" s="22">
        <f t="shared" si="2"/>
        <v>0.57802500000000068</v>
      </c>
    </row>
    <row r="31" spans="1:5" x14ac:dyDescent="0.6">
      <c r="A31" s="102"/>
      <c r="B31" s="22">
        <v>3</v>
      </c>
      <c r="C31" s="22">
        <f t="shared" si="3"/>
        <v>33.030000000000044</v>
      </c>
      <c r="D31" s="22">
        <f t="shared" si="1"/>
        <v>5.5049999999999999</v>
      </c>
      <c r="E31" s="22">
        <f t="shared" si="2"/>
        <v>0.49545000000000061</v>
      </c>
    </row>
    <row r="32" spans="1:5" x14ac:dyDescent="0.6">
      <c r="A32" s="102"/>
      <c r="B32" s="22">
        <v>4</v>
      </c>
      <c r="C32" s="22">
        <f t="shared" si="3"/>
        <v>27.525000000000045</v>
      </c>
      <c r="D32" s="22">
        <f t="shared" si="1"/>
        <v>5.5049999999999999</v>
      </c>
      <c r="E32" s="22">
        <f t="shared" si="2"/>
        <v>0.41287500000000066</v>
      </c>
    </row>
    <row r="33" spans="1:5" x14ac:dyDescent="0.6">
      <c r="A33" s="102">
        <v>7</v>
      </c>
      <c r="B33" s="22">
        <v>1</v>
      </c>
      <c r="C33" s="22">
        <f t="shared" si="3"/>
        <v>22.020000000000046</v>
      </c>
      <c r="D33" s="22">
        <f t="shared" si="1"/>
        <v>5.5049999999999999</v>
      </c>
      <c r="E33" s="22">
        <f t="shared" si="2"/>
        <v>0.33030000000000065</v>
      </c>
    </row>
    <row r="34" spans="1:5" x14ac:dyDescent="0.6">
      <c r="A34" s="102"/>
      <c r="B34" s="22">
        <v>2</v>
      </c>
      <c r="C34" s="22">
        <f t="shared" si="3"/>
        <v>16.515000000000047</v>
      </c>
      <c r="D34" s="22">
        <f t="shared" si="1"/>
        <v>5.5049999999999999</v>
      </c>
      <c r="E34" s="22">
        <f t="shared" si="2"/>
        <v>0.24772500000000069</v>
      </c>
    </row>
    <row r="35" spans="1:5" x14ac:dyDescent="0.6">
      <c r="A35" s="102"/>
      <c r="B35" s="22">
        <v>3</v>
      </c>
      <c r="C35" s="22">
        <f t="shared" si="3"/>
        <v>11.010000000000048</v>
      </c>
      <c r="D35" s="22">
        <f t="shared" si="1"/>
        <v>5.5049999999999999</v>
      </c>
      <c r="E35" s="22">
        <f t="shared" si="2"/>
        <v>0.16515000000000071</v>
      </c>
    </row>
    <row r="36" spans="1:5" x14ac:dyDescent="0.6">
      <c r="A36" s="102"/>
      <c r="B36" s="22">
        <v>4</v>
      </c>
      <c r="C36" s="22">
        <f t="shared" si="3"/>
        <v>5.5050000000000479</v>
      </c>
      <c r="D36" s="95">
        <f>D4-SUM(D9:D35)</f>
        <v>5.5050000000000239</v>
      </c>
      <c r="E36" s="22">
        <f t="shared" si="2"/>
        <v>8.2575000000000717E-2</v>
      </c>
    </row>
  </sheetData>
  <mergeCells count="7">
    <mergeCell ref="A33:A36"/>
    <mergeCell ref="A9:A12"/>
    <mergeCell ref="A13:A16"/>
    <mergeCell ref="A17:A20"/>
    <mergeCell ref="A21:A24"/>
    <mergeCell ref="A25:A28"/>
    <mergeCell ref="A29:A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53A9-9792-4546-A721-77792F6E5EDB}">
  <dimension ref="A2:J8"/>
  <sheetViews>
    <sheetView workbookViewId="0">
      <selection activeCell="B3" sqref="B3:H8"/>
    </sheetView>
  </sheetViews>
  <sheetFormatPr defaultRowHeight="14.5" x14ac:dyDescent="0.35"/>
  <sheetData>
    <row r="2" spans="1:10" x14ac:dyDescent="0.35"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 x14ac:dyDescent="0.35">
      <c r="A3" t="s">
        <v>233</v>
      </c>
      <c r="B3" s="1">
        <f>'Ann 4'!C13/100000</f>
        <v>301.30680000000001</v>
      </c>
      <c r="C3" s="1">
        <f>'Ann 4'!D13/100000</f>
        <v>339.07058559999996</v>
      </c>
      <c r="D3" s="1">
        <f>'Ann 4'!E13/100000</f>
        <v>380.0769345459999</v>
      </c>
      <c r="E3" s="1">
        <f>'Ann 4'!F13/100000</f>
        <v>424.56829335461987</v>
      </c>
      <c r="F3" s="1">
        <f>'Ann 4'!G13/100000</f>
        <v>472.80396890518637</v>
      </c>
      <c r="G3" s="1">
        <f>'Ann 4'!H13/100000</f>
        <v>525.06124967891742</v>
      </c>
      <c r="H3" s="1">
        <f>'Ann 4'!I13/100000</f>
        <v>553.93961841125781</v>
      </c>
      <c r="I3" s="1">
        <f>'Ann 4'!J13/100000</f>
        <v>584.40629742387705</v>
      </c>
      <c r="J3" s="1">
        <f>'Ann 4'!K13/100000</f>
        <v>616.5486437821902</v>
      </c>
    </row>
    <row r="4" spans="1:10" x14ac:dyDescent="0.35">
      <c r="A4" t="s">
        <v>234</v>
      </c>
      <c r="B4" s="1">
        <f>'Ann 4'!C12/100000</f>
        <v>18.02</v>
      </c>
      <c r="C4" s="1">
        <f>'Ann 4'!D12/100000</f>
        <v>18.943200000000001</v>
      </c>
      <c r="D4" s="1">
        <f>'Ann 4'!E12/100000</f>
        <v>19.918992000000003</v>
      </c>
      <c r="E4" s="1">
        <f>'Ann 4'!F12/100000</f>
        <v>20.950439520000003</v>
      </c>
      <c r="F4" s="1">
        <f>'Ann 4'!G12/100000</f>
        <v>22.0407862512</v>
      </c>
      <c r="G4" s="1">
        <f>'Ann 4'!H12/100000</f>
        <v>23.193466703472001</v>
      </c>
      <c r="H4" s="1">
        <f>'Ann 4'!I12/100000</f>
        <v>24.258963696424328</v>
      </c>
      <c r="I4" s="1">
        <f>'Ann 4'!J12/100000</f>
        <v>25.386623979668663</v>
      </c>
      <c r="J4" s="1">
        <f>'Ann 4'!K12/100000</f>
        <v>26.580142020036849</v>
      </c>
    </row>
    <row r="5" spans="1:10" x14ac:dyDescent="0.35">
      <c r="A5" t="s">
        <v>235</v>
      </c>
      <c r="B5" s="1">
        <f>B3-B4</f>
        <v>283.28680000000003</v>
      </c>
      <c r="C5" s="1">
        <f t="shared" ref="C5:J5" si="0">C3-C4</f>
        <v>320.12738559999997</v>
      </c>
      <c r="D5" s="1">
        <f t="shared" si="0"/>
        <v>360.1579425459999</v>
      </c>
      <c r="E5" s="1">
        <f t="shared" si="0"/>
        <v>403.61785383461984</v>
      </c>
      <c r="F5" s="1">
        <f t="shared" si="0"/>
        <v>450.76318265398635</v>
      </c>
      <c r="G5" s="1">
        <f t="shared" si="0"/>
        <v>501.86778297544544</v>
      </c>
      <c r="H5" s="1">
        <f t="shared" si="0"/>
        <v>529.68065471483351</v>
      </c>
      <c r="I5" s="1">
        <f t="shared" si="0"/>
        <v>559.01967344420837</v>
      </c>
      <c r="J5" s="1">
        <f t="shared" si="0"/>
        <v>589.96850176215332</v>
      </c>
    </row>
    <row r="6" spans="1:10" x14ac:dyDescent="0.35">
      <c r="A6" t="s">
        <v>236</v>
      </c>
      <c r="B6" s="1">
        <f>B5</f>
        <v>283.28680000000003</v>
      </c>
      <c r="C6" s="1">
        <f t="shared" ref="C6:J6" si="1">C5</f>
        <v>320.12738559999997</v>
      </c>
      <c r="D6" s="1">
        <f t="shared" si="1"/>
        <v>360.1579425459999</v>
      </c>
      <c r="E6" s="1">
        <f t="shared" si="1"/>
        <v>403.61785383461984</v>
      </c>
      <c r="F6" s="1">
        <f t="shared" si="1"/>
        <v>450.76318265398635</v>
      </c>
      <c r="G6" s="1">
        <f t="shared" si="1"/>
        <v>501.86778297544544</v>
      </c>
      <c r="H6" s="1">
        <f t="shared" si="1"/>
        <v>529.68065471483351</v>
      </c>
      <c r="I6" s="1">
        <f t="shared" si="1"/>
        <v>559.01967344420837</v>
      </c>
      <c r="J6" s="1">
        <f t="shared" si="1"/>
        <v>589.96850176215332</v>
      </c>
    </row>
    <row r="7" spans="1:10" x14ac:dyDescent="0.35">
      <c r="A7" t="s">
        <v>237</v>
      </c>
      <c r="B7" s="19">
        <f>'Ann 4'!C23/100000</f>
        <v>258.28157499999998</v>
      </c>
      <c r="C7" s="19">
        <f>'Ann 4'!D23/100000</f>
        <v>297.79193559999993</v>
      </c>
      <c r="D7" s="19">
        <f>'Ann 4'!E23/100000</f>
        <v>340.58036254599989</v>
      </c>
      <c r="E7" s="19">
        <f>'Ann 4'!F23/100000</f>
        <v>386.65447683461986</v>
      </c>
      <c r="F7" s="19">
        <f>'Ann 4'!G23/100000</f>
        <v>436.28470835398639</v>
      </c>
      <c r="G7" s="19">
        <f>'Ann 4'!H23/100000</f>
        <v>489.75784110544549</v>
      </c>
      <c r="H7" s="19">
        <f>'Ann 4'!I23/100000</f>
        <v>519.83451203183358</v>
      </c>
      <c r="I7" s="19">
        <f>'Ann 4'!J23/100000</f>
        <v>550.84762002950833</v>
      </c>
      <c r="J7" s="19">
        <f>'Ann 4'!K23/100000</f>
        <v>582.55995368892331</v>
      </c>
    </row>
    <row r="8" spans="1:10" x14ac:dyDescent="0.35">
      <c r="A8" t="s">
        <v>238</v>
      </c>
      <c r="B8" s="19">
        <f>'Ann 4'!C25/100000</f>
        <v>180.79710249999999</v>
      </c>
      <c r="C8" s="19">
        <f>'Ann 4'!D25/100000</f>
        <v>208.45435491999999</v>
      </c>
      <c r="D8" s="19">
        <f>'Ann 4'!E25/100000</f>
        <v>238.40625378219991</v>
      </c>
      <c r="E8" s="19">
        <f>'Ann 4'!F25/100000</f>
        <v>270.65813378423394</v>
      </c>
      <c r="F8" s="19">
        <f>'Ann 4'!G25/100000</f>
        <v>305.39929584779048</v>
      </c>
      <c r="G8" s="19">
        <f>'Ann 4'!H25/100000</f>
        <v>342.83048877381185</v>
      </c>
      <c r="H8" s="19">
        <f>'Ann 4'!I25/100000</f>
        <v>363.88415842228346</v>
      </c>
      <c r="I8" s="19">
        <f>'Ann 4'!J25/100000</f>
        <v>385.59333402065585</v>
      </c>
      <c r="J8" s="19">
        <f>'Ann 4'!K25/100000</f>
        <v>407.79196758224634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1C3B-78D2-43F9-ABE8-F6A84BAA4AE1}">
  <sheetPr>
    <pageSetUpPr fitToPage="1"/>
  </sheetPr>
  <dimension ref="A1:K27"/>
  <sheetViews>
    <sheetView workbookViewId="0">
      <selection activeCell="A3" sqref="A3"/>
    </sheetView>
  </sheetViews>
  <sheetFormatPr defaultRowHeight="17" x14ac:dyDescent="0.6"/>
  <cols>
    <col min="1" max="1" width="41.1796875" style="21" bestFit="1" customWidth="1"/>
    <col min="2" max="10" width="11.90625" style="21" bestFit="1" customWidth="1"/>
    <col min="11" max="11" width="10.81640625" style="21" bestFit="1" customWidth="1"/>
    <col min="12" max="16384" width="8.7265625" style="21"/>
  </cols>
  <sheetData>
    <row r="1" spans="1:10" x14ac:dyDescent="0.6">
      <c r="A1" s="20" t="s">
        <v>219</v>
      </c>
    </row>
    <row r="2" spans="1:10" x14ac:dyDescent="0.6">
      <c r="A2" s="20"/>
    </row>
    <row r="3" spans="1:10" x14ac:dyDescent="0.6">
      <c r="A3" s="54" t="s">
        <v>3</v>
      </c>
      <c r="B3" s="54" t="s">
        <v>85</v>
      </c>
      <c r="C3" s="54" t="s">
        <v>86</v>
      </c>
      <c r="D3" s="54" t="s">
        <v>87</v>
      </c>
      <c r="E3" s="54" t="s">
        <v>88</v>
      </c>
      <c r="F3" s="54" t="s">
        <v>89</v>
      </c>
      <c r="G3" s="54" t="s">
        <v>90</v>
      </c>
      <c r="H3" s="54" t="s">
        <v>91</v>
      </c>
      <c r="I3" s="54" t="s">
        <v>92</v>
      </c>
      <c r="J3" s="54" t="s">
        <v>93</v>
      </c>
    </row>
    <row r="4" spans="1:10" x14ac:dyDescent="0.6">
      <c r="A4" s="22" t="s">
        <v>231</v>
      </c>
      <c r="B4" s="88">
        <f>'Ann 2'!C7*100000</f>
        <v>537000</v>
      </c>
      <c r="C4" s="22">
        <f>B16</f>
        <v>2170685.383333331</v>
      </c>
      <c r="D4" s="22">
        <f t="shared" ref="D4:J4" si="0">C16</f>
        <v>5260410.9350666646</v>
      </c>
      <c r="E4" s="22">
        <f t="shared" si="0"/>
        <v>8778499.4361606576</v>
      </c>
      <c r="F4" s="22">
        <f t="shared" si="0"/>
        <v>12783297.088440165</v>
      </c>
      <c r="G4" s="22">
        <f t="shared" si="0"/>
        <v>17335358.944474578</v>
      </c>
      <c r="H4" s="22">
        <f t="shared" si="0"/>
        <v>22497812.188609716</v>
      </c>
      <c r="I4" s="22">
        <f t="shared" si="0"/>
        <v>28181917.606454674</v>
      </c>
      <c r="J4" s="22">
        <f t="shared" si="0"/>
        <v>36404151.411512151</v>
      </c>
    </row>
    <row r="5" spans="1:10" x14ac:dyDescent="0.6">
      <c r="A5" s="22" t="s">
        <v>220</v>
      </c>
      <c r="B5" s="22">
        <f>'Ann 4'!C13-'Ann 5'!C12</f>
        <v>27619790</v>
      </c>
      <c r="C5" s="22">
        <f>'Ann 4'!D13-'Ann 5'!D12</f>
        <v>31081470.346666664</v>
      </c>
      <c r="D5" s="22">
        <f>'Ann 4'!E13-'Ann 5'!E12</f>
        <v>34840385.666716658</v>
      </c>
      <c r="E5" s="22">
        <f>'Ann 4'!F13-'Ann 5'!F12</f>
        <v>38918760.224173486</v>
      </c>
      <c r="F5" s="22">
        <f>'Ann 4'!G13-'Ann 5'!G12</f>
        <v>43340363.816308752</v>
      </c>
      <c r="G5" s="22">
        <f>'Ann 4'!H13-'Ann 5'!H12</f>
        <v>48130614.553900763</v>
      </c>
      <c r="H5" s="22">
        <f>'Ann 4'!I13-'Ann 5'!I12</f>
        <v>50777798.354365304</v>
      </c>
      <c r="I5" s="22">
        <f>'Ann 4'!J13-'Ann 5'!J12</f>
        <v>53570577.263855398</v>
      </c>
      <c r="J5" s="22">
        <f>'Ann 4'!K13-'Ann 5'!K12</f>
        <v>56516959.013367437</v>
      </c>
    </row>
    <row r="6" spans="1:10" x14ac:dyDescent="0.6">
      <c r="A6" s="22" t="s">
        <v>225</v>
      </c>
      <c r="B6" s="22">
        <v>0</v>
      </c>
      <c r="C6" s="22">
        <f>'Ann 5'!C23</f>
        <v>33333.333333333336</v>
      </c>
      <c r="D6" s="22">
        <f>'Ann 5'!D23</f>
        <v>34000</v>
      </c>
      <c r="E6" s="22">
        <f>'Ann 5'!E23</f>
        <v>34680</v>
      </c>
      <c r="F6" s="22">
        <f>'Ann 5'!F23</f>
        <v>35373.599999999999</v>
      </c>
      <c r="G6" s="22">
        <f>'Ann 5'!G23</f>
        <v>36081.072</v>
      </c>
      <c r="H6" s="22">
        <f>'Ann 5'!H23</f>
        <v>36802.693440000003</v>
      </c>
      <c r="I6" s="22">
        <f>'Ann 5'!I23</f>
        <v>37538.747308800004</v>
      </c>
      <c r="J6" s="22">
        <f>'Ann 5'!J23</f>
        <v>38289.522254976007</v>
      </c>
    </row>
    <row r="7" spans="1:10" x14ac:dyDescent="0.6">
      <c r="A7" s="22" t="s">
        <v>226</v>
      </c>
      <c r="B7" s="22">
        <v>0</v>
      </c>
      <c r="C7" s="22">
        <f>'Ann 5'!C12</f>
        <v>2510890</v>
      </c>
      <c r="D7" s="22">
        <f>'Ann 5'!D12</f>
        <v>2825588.2133333329</v>
      </c>
      <c r="E7" s="22">
        <f>'Ann 5'!E12</f>
        <v>3167307.7878833329</v>
      </c>
      <c r="F7" s="22">
        <f>'Ann 5'!F12</f>
        <v>3538069.1112884991</v>
      </c>
      <c r="G7" s="22">
        <f>'Ann 5'!G12</f>
        <v>3940033.0742098861</v>
      </c>
      <c r="H7" s="22">
        <f>'Ann 5'!H12</f>
        <v>4375510.4139909791</v>
      </c>
      <c r="I7" s="22">
        <f>'Ann 5'!I12</f>
        <v>4616163.4867604822</v>
      </c>
      <c r="J7" s="22">
        <f>'Ann 5'!J12</f>
        <v>4870052.4785323087</v>
      </c>
    </row>
    <row r="8" spans="1:10" x14ac:dyDescent="0.6">
      <c r="A8" s="22" t="s">
        <v>227</v>
      </c>
      <c r="B8" s="22">
        <f>'Ann 4'!C10-'Ann 5'!C23</f>
        <v>1768666.6666666667</v>
      </c>
      <c r="C8" s="22">
        <f>'Ann 4'!D10-'Ann 5'!D23</f>
        <v>1860320</v>
      </c>
      <c r="D8" s="22">
        <f>'Ann 4'!E10-'Ann 5'!E23</f>
        <v>1957219.2000000002</v>
      </c>
      <c r="E8" s="22">
        <f>'Ann 4'!F10-'Ann 5'!F23</f>
        <v>2059670.3520000002</v>
      </c>
      <c r="F8" s="22">
        <f>'Ann 4'!G10-'Ann 5'!G23</f>
        <v>2167997.5531199998</v>
      </c>
      <c r="G8" s="22">
        <f>'Ann 4'!H10-'Ann 5'!H23</f>
        <v>2282543.9769072002</v>
      </c>
      <c r="H8" s="22">
        <f>'Ann 4'!I10-'Ann 5'!I23</f>
        <v>2388357.6223336328</v>
      </c>
      <c r="I8" s="22">
        <f>'Ann 4'!J10-'Ann 5'!J23</f>
        <v>2500372.8757118904</v>
      </c>
      <c r="J8" s="22">
        <f>'Ann 4'!K10-'Ann 5'!K23</f>
        <v>2618958.8893036093</v>
      </c>
    </row>
    <row r="9" spans="1:10" x14ac:dyDescent="0.6">
      <c r="A9" s="22" t="s">
        <v>221</v>
      </c>
      <c r="B9" s="22">
        <f>'Ann 4'!C19</f>
        <v>904222.49999999988</v>
      </c>
      <c r="C9" s="22">
        <f>'Ann 4'!D19</f>
        <v>796875.00000000012</v>
      </c>
      <c r="D9" s="22">
        <f>'Ann 4'!E19</f>
        <v>664755.00000000012</v>
      </c>
      <c r="E9" s="22">
        <f>'Ann 4'!F19</f>
        <v>532635.00000000023</v>
      </c>
      <c r="F9" s="22">
        <f>'Ann 4'!G19</f>
        <v>400515.00000000029</v>
      </c>
      <c r="G9" s="22">
        <f>'Ann 4'!H19</f>
        <v>268395.00000000023</v>
      </c>
      <c r="H9" s="22">
        <f>'Ann 4'!I19</f>
        <v>136275.00000000029</v>
      </c>
      <c r="I9" s="22">
        <f>'Ann 4'!J19</f>
        <v>53700</v>
      </c>
      <c r="J9" s="22">
        <f>'Ann 4'!K19</f>
        <v>53700</v>
      </c>
    </row>
    <row r="10" spans="1:10" x14ac:dyDescent="0.6">
      <c r="A10" s="22"/>
      <c r="B10" s="22">
        <f>B4+B5-B8-B9</f>
        <v>25483900.833333332</v>
      </c>
      <c r="C10" s="22">
        <f>C4+C5-C6+C7-C8-C9</f>
        <v>33072517.396666661</v>
      </c>
      <c r="D10" s="22">
        <f t="shared" ref="D10:J10" si="1">D4+D5-D6+D7-D8-D9</f>
        <v>40270410.615116648</v>
      </c>
      <c r="E10" s="22">
        <f t="shared" si="1"/>
        <v>48237582.096217476</v>
      </c>
      <c r="F10" s="22">
        <f t="shared" si="1"/>
        <v>57057843.862917408</v>
      </c>
      <c r="G10" s="22">
        <f t="shared" si="1"/>
        <v>66818986.523678027</v>
      </c>
      <c r="H10" s="22">
        <f t="shared" si="1"/>
        <v>75089685.641192362</v>
      </c>
      <c r="I10" s="22">
        <f t="shared" si="1"/>
        <v>83777046.734049857</v>
      </c>
      <c r="J10" s="22">
        <f t="shared" si="1"/>
        <v>95080214.491853312</v>
      </c>
    </row>
    <row r="11" spans="1:10" x14ac:dyDescent="0.6">
      <c r="A11" s="22" t="s">
        <v>228</v>
      </c>
      <c r="B11" s="22">
        <f>'Ann 4'!C24</f>
        <v>7748447.25</v>
      </c>
      <c r="C11" s="22">
        <f>'Ann 4'!D24</f>
        <v>8933758.0679999981</v>
      </c>
      <c r="D11" s="22">
        <f>'Ann 4'!E24</f>
        <v>10217410.876379997</v>
      </c>
      <c r="E11" s="22">
        <f>'Ann 4'!F24</f>
        <v>11599634.305038596</v>
      </c>
      <c r="F11" s="22">
        <f>'Ann 4'!G24</f>
        <v>13088541.25061959</v>
      </c>
      <c r="G11" s="22">
        <f>'Ann 4'!H24</f>
        <v>14692735.233163364</v>
      </c>
      <c r="H11" s="22">
        <f>'Ann 4'!I24</f>
        <v>15595035.360955006</v>
      </c>
      <c r="I11" s="22">
        <f>'Ann 4'!J24</f>
        <v>16525428.60088525</v>
      </c>
      <c r="J11" s="22">
        <f>'Ann 4'!K24</f>
        <v>17476798.610667698</v>
      </c>
    </row>
    <row r="12" spans="1:10" x14ac:dyDescent="0.6">
      <c r="A12" s="22"/>
      <c r="B12" s="22">
        <f>B10-B11</f>
        <v>17735453.583333332</v>
      </c>
      <c r="C12" s="22">
        <f t="shared" ref="C12:J12" si="2">C10-C11</f>
        <v>24138759.328666665</v>
      </c>
      <c r="D12" s="22">
        <f t="shared" si="2"/>
        <v>30052999.738736652</v>
      </c>
      <c r="E12" s="22">
        <f t="shared" si="2"/>
        <v>36637947.791178882</v>
      </c>
      <c r="F12" s="22">
        <f t="shared" si="2"/>
        <v>43969302.612297818</v>
      </c>
      <c r="G12" s="22">
        <f t="shared" si="2"/>
        <v>52126251.290514663</v>
      </c>
      <c r="H12" s="22">
        <f t="shared" si="2"/>
        <v>59494650.280237354</v>
      </c>
      <c r="I12" s="22">
        <f t="shared" si="2"/>
        <v>67251618.133164614</v>
      </c>
      <c r="J12" s="22">
        <f t="shared" si="2"/>
        <v>77603415.881185621</v>
      </c>
    </row>
    <row r="13" spans="1:10" x14ac:dyDescent="0.6">
      <c r="A13" s="22" t="s">
        <v>229</v>
      </c>
      <c r="B13" s="22">
        <f>'Ann 4'!C26</f>
        <v>14463768.200000001</v>
      </c>
      <c r="C13" s="22">
        <f>'Ann 4'!D26</f>
        <v>16676348.3936</v>
      </c>
      <c r="D13" s="22">
        <f>'Ann 4'!E26</f>
        <v>19072500.302575994</v>
      </c>
      <c r="E13" s="22">
        <f>'Ann 4'!F26</f>
        <v>21652650.702738717</v>
      </c>
      <c r="F13" s="22">
        <f>'Ann 4'!G26</f>
        <v>24431943.66782324</v>
      </c>
      <c r="G13" s="22">
        <f>'Ann 4'!H26</f>
        <v>27426439.101904947</v>
      </c>
      <c r="H13" s="22">
        <f>'Ann 4'!I26</f>
        <v>29110732.673782676</v>
      </c>
      <c r="I13" s="22">
        <f>'Ann 4'!J26</f>
        <v>30847466.721652467</v>
      </c>
      <c r="J13" s="22">
        <f>'Ann 4'!K26</f>
        <v>32623357.406579711</v>
      </c>
    </row>
    <row r="14" spans="1:10" x14ac:dyDescent="0.6">
      <c r="A14" s="22"/>
      <c r="B14" s="22">
        <f>B12-B13</f>
        <v>3271685.383333331</v>
      </c>
      <c r="C14" s="22">
        <f t="shared" ref="C14:J14" si="3">C12-C13</f>
        <v>7462410.9350666646</v>
      </c>
      <c r="D14" s="22">
        <f t="shared" si="3"/>
        <v>10980499.436160658</v>
      </c>
      <c r="E14" s="22">
        <f t="shared" si="3"/>
        <v>14985297.088440165</v>
      </c>
      <c r="F14" s="22">
        <f t="shared" si="3"/>
        <v>19537358.944474578</v>
      </c>
      <c r="G14" s="22">
        <f t="shared" si="3"/>
        <v>24699812.188609716</v>
      </c>
      <c r="H14" s="22">
        <f t="shared" si="3"/>
        <v>30383917.606454678</v>
      </c>
      <c r="I14" s="22">
        <f t="shared" si="3"/>
        <v>36404151.411512151</v>
      </c>
      <c r="J14" s="22">
        <f t="shared" si="3"/>
        <v>44980058.47460591</v>
      </c>
    </row>
    <row r="15" spans="1:10" x14ac:dyDescent="0.6">
      <c r="A15" s="22" t="s">
        <v>230</v>
      </c>
      <c r="B15" s="22">
        <f>SUM('Ann 13'!D9:D12)*100000</f>
        <v>1101000</v>
      </c>
      <c r="C15" s="22">
        <f>SUM('Ann 13'!D13:D16)*100000</f>
        <v>2202000</v>
      </c>
      <c r="D15" s="22">
        <f>SUM('Ann 13'!D17:D20)*100000</f>
        <v>2202000</v>
      </c>
      <c r="E15" s="22">
        <f>SUM('Ann 13'!D21:D24)*100000</f>
        <v>2202000</v>
      </c>
      <c r="F15" s="22">
        <f>SUM('Ann 13'!D25:D28)*100000</f>
        <v>2202000</v>
      </c>
      <c r="G15" s="22">
        <f>SUM('Ann 13'!D29:D32)*100000</f>
        <v>2202000</v>
      </c>
      <c r="H15" s="22">
        <f>SUM('Ann 13'!D33:D36)*100000</f>
        <v>2202000.0000000023</v>
      </c>
      <c r="I15" s="22"/>
      <c r="J15" s="22"/>
    </row>
    <row r="16" spans="1:10" x14ac:dyDescent="0.6">
      <c r="A16" s="22" t="s">
        <v>232</v>
      </c>
      <c r="B16" s="22">
        <f>B14-B15</f>
        <v>2170685.383333331</v>
      </c>
      <c r="C16" s="22">
        <f>C14-C15</f>
        <v>5260410.9350666646</v>
      </c>
      <c r="D16" s="22">
        <f>D14-D15</f>
        <v>8778499.4361606576</v>
      </c>
      <c r="E16" s="22">
        <f t="shared" ref="E16:J16" si="4">E14-E15</f>
        <v>12783297.088440165</v>
      </c>
      <c r="F16" s="22">
        <f t="shared" si="4"/>
        <v>17335358.944474578</v>
      </c>
      <c r="G16" s="22">
        <f t="shared" si="4"/>
        <v>22497812.188609716</v>
      </c>
      <c r="H16" s="22">
        <f t="shared" si="4"/>
        <v>28181917.606454674</v>
      </c>
      <c r="I16" s="22">
        <f t="shared" si="4"/>
        <v>36404151.411512151</v>
      </c>
      <c r="J16" s="22">
        <f t="shared" si="4"/>
        <v>44980058.47460591</v>
      </c>
    </row>
    <row r="18" spans="1:11" x14ac:dyDescent="0.6">
      <c r="A18" s="96" t="s">
        <v>245</v>
      </c>
      <c r="B18" s="97">
        <v>0.06</v>
      </c>
      <c r="C18" s="96"/>
      <c r="D18" s="96"/>
      <c r="E18" s="96"/>
      <c r="F18" s="96"/>
      <c r="G18" s="96"/>
      <c r="H18" s="96"/>
      <c r="I18" s="96"/>
      <c r="J18" s="96"/>
      <c r="K18" s="96"/>
    </row>
    <row r="19" spans="1:11" x14ac:dyDescent="0.6">
      <c r="A19" s="96" t="s">
        <v>244</v>
      </c>
      <c r="B19" s="96">
        <f>1/(1+$B$18)</f>
        <v>0.94339622641509424</v>
      </c>
      <c r="C19" s="96">
        <f>1/((1+$B$18)*(1+$B$18))</f>
        <v>0.88999644001423983</v>
      </c>
      <c r="D19" s="96">
        <f>1/((1+$B$18)*(1+$B$18)*(1+$B$18))</f>
        <v>0.8396192830323016</v>
      </c>
      <c r="E19" s="96">
        <f>1/((1+$B$18)*(1+$B$18)*(1+$B$18)*(1+$B$18))</f>
        <v>0.79209366323802044</v>
      </c>
      <c r="F19" s="96">
        <f>1/((1+$B$18)*(1+$B$18)*(1+$B$18)*(1+$B$18)*(1+$B$18))</f>
        <v>0.74725817286605689</v>
      </c>
      <c r="G19" s="96">
        <f>1/((1+$B$18)*(1+$B$18)*(1+$B$18)*(1+$B$18)*(1+$B$18)*(1+$B$18))</f>
        <v>0.70496054043967626</v>
      </c>
      <c r="H19" s="96">
        <f>1/((1+$B$18)*(1+$B$18)*(1+$B$18)*(1+$B$18)*(1+$B$18)*(1+$B$18)*(1+$B$18))</f>
        <v>0.6650571136223361</v>
      </c>
      <c r="I19" s="96">
        <f>1/((1+$B$18)*(1+$B$18)*(1+$B$18)*(1+$B$18)*(1+$B$18)*(1+$B$18)*(1+$B$18)*(1+$B$18))</f>
        <v>0.62741237134182648</v>
      </c>
      <c r="J19" s="96">
        <f>1/((1+$B$18)*(1+$B$18)*(1+$B$18)*(1+$B$18)*(1+$B$18)*(1+$B$18)*(1+$B$18)*(1+$B$18)*(1+$B$18))</f>
        <v>0.59189846353002495</v>
      </c>
      <c r="K19" s="96"/>
    </row>
    <row r="20" spans="1:11" x14ac:dyDescent="0.6">
      <c r="A20" s="96" t="s">
        <v>241</v>
      </c>
      <c r="B20" s="96">
        <f>B4+B5+B7</f>
        <v>28156790</v>
      </c>
      <c r="C20" s="96">
        <f t="shared" ref="C20:J20" si="5">C4+C5+C7</f>
        <v>35763045.729999997</v>
      </c>
      <c r="D20" s="96">
        <f t="shared" si="5"/>
        <v>42926384.815116651</v>
      </c>
      <c r="E20" s="96">
        <f t="shared" si="5"/>
        <v>50864567.448217474</v>
      </c>
      <c r="F20" s="96">
        <f t="shared" si="5"/>
        <v>59661730.016037419</v>
      </c>
      <c r="G20" s="96">
        <f t="shared" si="5"/>
        <v>69406006.572585225</v>
      </c>
      <c r="H20" s="96">
        <f t="shared" si="5"/>
        <v>77651120.956965998</v>
      </c>
      <c r="I20" s="96">
        <f t="shared" si="5"/>
        <v>86368658.35707055</v>
      </c>
      <c r="J20" s="96">
        <f t="shared" si="5"/>
        <v>97791162.903411895</v>
      </c>
      <c r="K20" s="96"/>
    </row>
    <row r="21" spans="1:11" x14ac:dyDescent="0.6">
      <c r="A21" s="96" t="s">
        <v>246</v>
      </c>
      <c r="B21" s="96">
        <f>B19*B20</f>
        <v>26563009.433962263</v>
      </c>
      <c r="C21" s="96">
        <f t="shared" ref="C21:J21" si="6">C19*C20</f>
        <v>31828983.383766457</v>
      </c>
      <c r="D21" s="96">
        <f t="shared" si="6"/>
        <v>36041820.44163692</v>
      </c>
      <c r="E21" s="96">
        <f t="shared" si="6"/>
        <v>40289501.559075952</v>
      </c>
      <c r="F21" s="96">
        <f t="shared" si="6"/>
        <v>44582715.361812107</v>
      </c>
      <c r="G21" s="96">
        <f t="shared" si="6"/>
        <v>48928495.903169401</v>
      </c>
      <c r="H21" s="96">
        <f t="shared" si="6"/>
        <v>51642430.373178698</v>
      </c>
      <c r="I21" s="96">
        <f t="shared" si="6"/>
        <v>54188764.749421693</v>
      </c>
      <c r="J21" s="96">
        <f t="shared" si="6"/>
        <v>57882439.069343872</v>
      </c>
      <c r="K21" s="96"/>
    </row>
    <row r="22" spans="1:11" x14ac:dyDescent="0.6">
      <c r="A22" s="96" t="s">
        <v>242</v>
      </c>
      <c r="B22" s="96">
        <f t="shared" ref="B22:J22" si="7">B6+B8+B9+B11+B13+B15</f>
        <v>25986104.616666667</v>
      </c>
      <c r="C22" s="96">
        <f t="shared" si="7"/>
        <v>30502634.794933334</v>
      </c>
      <c r="D22" s="96">
        <f t="shared" si="7"/>
        <v>34147885.37895599</v>
      </c>
      <c r="E22" s="96">
        <f t="shared" si="7"/>
        <v>38081270.359777316</v>
      </c>
      <c r="F22" s="96">
        <f t="shared" si="7"/>
        <v>42326371.071562827</v>
      </c>
      <c r="G22" s="96">
        <f t="shared" si="7"/>
        <v>46908194.383975513</v>
      </c>
      <c r="H22" s="96">
        <f t="shared" si="7"/>
        <v>49469203.350511312</v>
      </c>
      <c r="I22" s="96">
        <f t="shared" si="7"/>
        <v>49964506.945558406</v>
      </c>
      <c r="J22" s="96">
        <f t="shared" si="7"/>
        <v>52811104.428805992</v>
      </c>
      <c r="K22" s="96"/>
    </row>
    <row r="23" spans="1:11" x14ac:dyDescent="0.6">
      <c r="A23" s="96" t="s">
        <v>247</v>
      </c>
      <c r="B23" s="96">
        <f>B22*B19</f>
        <v>24515193.034591194</v>
      </c>
      <c r="C23" s="96">
        <f t="shared" ref="C23:J23" si="8">C22*C19</f>
        <v>27147236.37854515</v>
      </c>
      <c r="D23" s="96">
        <f t="shared" si="8"/>
        <v>28671223.038948242</v>
      </c>
      <c r="E23" s="96">
        <f t="shared" si="8"/>
        <v>30163932.940033462</v>
      </c>
      <c r="F23" s="96">
        <f t="shared" si="8"/>
        <v>31628726.710986763</v>
      </c>
      <c r="G23" s="96">
        <f t="shared" si="8"/>
        <v>33068426.063976765</v>
      </c>
      <c r="H23" s="96">
        <f t="shared" si="8"/>
        <v>32899845.593487453</v>
      </c>
      <c r="I23" s="96">
        <f t="shared" si="8"/>
        <v>31348349.78563796</v>
      </c>
      <c r="J23" s="96">
        <f t="shared" si="8"/>
        <v>31258811.568733964</v>
      </c>
      <c r="K23" s="96"/>
    </row>
    <row r="24" spans="1:11" x14ac:dyDescent="0.6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1:11" x14ac:dyDescent="0.6">
      <c r="A25" s="96" t="s">
        <v>243</v>
      </c>
      <c r="B25" s="96">
        <f t="shared" ref="B25:J25" si="9">B20-B22</f>
        <v>2170685.3833333328</v>
      </c>
      <c r="C25" s="96">
        <f t="shared" si="9"/>
        <v>5260410.9350666627</v>
      </c>
      <c r="D25" s="96">
        <f t="shared" si="9"/>
        <v>8778499.4361606613</v>
      </c>
      <c r="E25" s="96">
        <f t="shared" si="9"/>
        <v>12783297.088440157</v>
      </c>
      <c r="F25" s="96">
        <f t="shared" si="9"/>
        <v>17335358.944474593</v>
      </c>
      <c r="G25" s="96">
        <f t="shared" si="9"/>
        <v>22497812.188609712</v>
      </c>
      <c r="H25" s="96">
        <f t="shared" si="9"/>
        <v>28181917.606454685</v>
      </c>
      <c r="I25" s="96">
        <f t="shared" si="9"/>
        <v>36404151.411512144</v>
      </c>
      <c r="J25" s="96">
        <f t="shared" si="9"/>
        <v>44980058.474605903</v>
      </c>
      <c r="K25" s="96"/>
    </row>
    <row r="26" spans="1:11" x14ac:dyDescent="0.6">
      <c r="A26" s="96" t="s">
        <v>248</v>
      </c>
      <c r="B26" s="96">
        <f>B21-B23</f>
        <v>2047816.3993710689</v>
      </c>
      <c r="C26" s="96">
        <f t="shared" ref="C26:J26" si="10">C21-C23</f>
        <v>4681747.0052213073</v>
      </c>
      <c r="D26" s="96">
        <f t="shared" si="10"/>
        <v>7370597.4026886784</v>
      </c>
      <c r="E26" s="96">
        <f t="shared" si="10"/>
        <v>10125568.61904249</v>
      </c>
      <c r="F26" s="96">
        <f t="shared" si="10"/>
        <v>12953988.650825344</v>
      </c>
      <c r="G26" s="96">
        <f t="shared" si="10"/>
        <v>15860069.839192636</v>
      </c>
      <c r="H26" s="96">
        <f t="shared" si="10"/>
        <v>18742584.779691245</v>
      </c>
      <c r="I26" s="96">
        <f t="shared" si="10"/>
        <v>22840414.963783734</v>
      </c>
      <c r="J26" s="96">
        <f t="shared" si="10"/>
        <v>26623627.500609908</v>
      </c>
      <c r="K26" s="96">
        <f>SUM(B26:J26)</f>
        <v>121246415.16042641</v>
      </c>
    </row>
    <row r="27" spans="1:11" x14ac:dyDescent="0.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</row>
  </sheetData>
  <pageMargins left="0.7" right="0.7" top="0.75" bottom="0.75" header="0.3" footer="0.3"/>
  <pageSetup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605E-C4D3-450C-BF59-4D3BDA863C69}">
  <sheetPr>
    <pageSetUpPr fitToPage="1"/>
  </sheetPr>
  <dimension ref="A1:L9"/>
  <sheetViews>
    <sheetView workbookViewId="0"/>
  </sheetViews>
  <sheetFormatPr defaultRowHeight="17" x14ac:dyDescent="0.6"/>
  <cols>
    <col min="1" max="1" width="5.453125" style="21" bestFit="1" customWidth="1"/>
    <col min="2" max="2" width="98.54296875" style="21" bestFit="1" customWidth="1"/>
    <col min="3" max="3" width="12.36328125" style="21" bestFit="1" customWidth="1"/>
    <col min="4" max="16384" width="8.7265625" style="21"/>
  </cols>
  <sheetData>
    <row r="1" spans="1:12" x14ac:dyDescent="0.6">
      <c r="A1" s="20" t="s">
        <v>98</v>
      </c>
      <c r="B1" s="20" t="s">
        <v>267</v>
      </c>
    </row>
    <row r="2" spans="1:12" x14ac:dyDescent="0.6">
      <c r="A2" s="21">
        <v>1</v>
      </c>
      <c r="B2" s="21" t="s">
        <v>268</v>
      </c>
    </row>
    <row r="3" spans="1:12" x14ac:dyDescent="0.6">
      <c r="A3" s="21">
        <v>2</v>
      </c>
      <c r="B3" s="21" t="s">
        <v>269</v>
      </c>
    </row>
    <row r="4" spans="1:12" x14ac:dyDescent="0.6">
      <c r="A4" s="21">
        <v>3</v>
      </c>
      <c r="B4" s="21" t="s">
        <v>270</v>
      </c>
    </row>
    <row r="5" spans="1:12" x14ac:dyDescent="0.6">
      <c r="C5" s="21" t="s">
        <v>240</v>
      </c>
      <c r="D5" s="21">
        <v>20000</v>
      </c>
      <c r="E5" s="21">
        <f>D5*1.05</f>
        <v>21000</v>
      </c>
      <c r="F5" s="21">
        <f>E5*1.05</f>
        <v>22050</v>
      </c>
      <c r="G5" s="21">
        <f>F5*1.05</f>
        <v>23152.5</v>
      </c>
      <c r="H5" s="21">
        <f>G5*1.05</f>
        <v>24310.125</v>
      </c>
      <c r="I5" s="21">
        <f t="shared" ref="I5" si="0">H5*1.05</f>
        <v>25525.631250000002</v>
      </c>
      <c r="J5" s="21">
        <f>I5</f>
        <v>25525.631250000002</v>
      </c>
      <c r="K5" s="21">
        <f t="shared" ref="K5:L5" si="1">J5</f>
        <v>25525.631250000002</v>
      </c>
      <c r="L5" s="21">
        <f t="shared" si="1"/>
        <v>25525.631250000002</v>
      </c>
    </row>
    <row r="6" spans="1:12" x14ac:dyDescent="0.6">
      <c r="C6" s="21" t="s">
        <v>119</v>
      </c>
      <c r="D6" s="21">
        <f>D5*12</f>
        <v>240000</v>
      </c>
      <c r="E6" s="21">
        <f t="shared" ref="E6:L6" si="2">E5*12</f>
        <v>252000</v>
      </c>
      <c r="F6" s="21">
        <f t="shared" si="2"/>
        <v>264600</v>
      </c>
      <c r="G6" s="21">
        <f t="shared" si="2"/>
        <v>277830</v>
      </c>
      <c r="H6" s="21">
        <f t="shared" si="2"/>
        <v>291721.5</v>
      </c>
      <c r="I6" s="21">
        <f t="shared" si="2"/>
        <v>306307.57500000001</v>
      </c>
      <c r="J6" s="21">
        <f t="shared" si="2"/>
        <v>306307.57500000001</v>
      </c>
      <c r="K6" s="21">
        <f t="shared" si="2"/>
        <v>306307.57500000001</v>
      </c>
      <c r="L6" s="21">
        <f t="shared" si="2"/>
        <v>306307.57500000001</v>
      </c>
    </row>
    <row r="7" spans="1:12" x14ac:dyDescent="0.6">
      <c r="A7" s="21">
        <v>4</v>
      </c>
      <c r="B7" s="21" t="s">
        <v>271</v>
      </c>
    </row>
    <row r="8" spans="1:12" x14ac:dyDescent="0.6">
      <c r="A8" s="21">
        <v>5</v>
      </c>
      <c r="B8" s="21" t="s">
        <v>276</v>
      </c>
    </row>
    <row r="9" spans="1:12" x14ac:dyDescent="0.6">
      <c r="B9" s="21" t="s">
        <v>274</v>
      </c>
    </row>
  </sheetData>
  <pageMargins left="0.7" right="0.7" top="0.75" bottom="0.75" header="0.3" footer="0.3"/>
  <pageSetup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8DE0-72C3-4C7B-BCE1-80ED309267B8}">
  <dimension ref="A1:K7"/>
  <sheetViews>
    <sheetView workbookViewId="0">
      <selection activeCell="C5" sqref="C5"/>
    </sheetView>
  </sheetViews>
  <sheetFormatPr defaultRowHeight="14.5" x14ac:dyDescent="0.35"/>
  <cols>
    <col min="3" max="3" width="8.81640625" bestFit="1" customWidth="1"/>
    <col min="4" max="5" width="11.81640625" bestFit="1" customWidth="1"/>
    <col min="6" max="6" width="9.81640625" bestFit="1" customWidth="1"/>
    <col min="7" max="11" width="11.81640625" bestFit="1" customWidth="1"/>
  </cols>
  <sheetData>
    <row r="1" spans="1:11" x14ac:dyDescent="0.35">
      <c r="A1" t="s">
        <v>195</v>
      </c>
    </row>
    <row r="2" spans="1:11" x14ac:dyDescent="0.35"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</row>
    <row r="3" spans="1:11" x14ac:dyDescent="0.35">
      <c r="A3" t="s">
        <v>196</v>
      </c>
      <c r="C3">
        <f>'Ann 4'!C13/300*270</f>
        <v>27117612</v>
      </c>
      <c r="D3">
        <f>'Ann 4'!D13/300*270</f>
        <v>30516352.703999996</v>
      </c>
      <c r="E3">
        <f>'Ann 4'!E13/300*270</f>
        <v>34206924.109139994</v>
      </c>
      <c r="F3">
        <f>'Ann 4'!F13/300*270</f>
        <v>38211146.401915789</v>
      </c>
      <c r="G3">
        <f>'Ann 4'!G13/300*270</f>
        <v>42552357.201466776</v>
      </c>
      <c r="H3">
        <f>'Ann 4'!H13/300*270</f>
        <v>47255512.471102573</v>
      </c>
      <c r="I3">
        <f>'Ann 4'!I13/300*270</f>
        <v>49854565.657013208</v>
      </c>
      <c r="J3">
        <f>'Ann 4'!J13/300*270</f>
        <v>52596566.768148936</v>
      </c>
      <c r="K3">
        <f>'Ann 4'!K13/300*270</f>
        <v>55489377.940397121</v>
      </c>
    </row>
    <row r="4" spans="1:11" x14ac:dyDescent="0.35">
      <c r="A4" t="s">
        <v>197</v>
      </c>
      <c r="C4">
        <v>5000000</v>
      </c>
    </row>
    <row r="5" spans="1:11" x14ac:dyDescent="0.35">
      <c r="A5" t="s">
        <v>198</v>
      </c>
      <c r="C5">
        <v>21492978</v>
      </c>
    </row>
    <row r="7" spans="1:11" x14ac:dyDescent="0.35">
      <c r="A7" t="s">
        <v>199</v>
      </c>
      <c r="C7">
        <f>'Ann 3'!G39</f>
        <v>25497978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A738-A431-4FFB-9E48-2908CC4F126C}">
  <dimension ref="A1:C37"/>
  <sheetViews>
    <sheetView workbookViewId="0">
      <selection activeCell="A34" sqref="A34"/>
    </sheetView>
  </sheetViews>
  <sheetFormatPr defaultRowHeight="17" x14ac:dyDescent="0.6"/>
  <cols>
    <col min="1" max="1" width="8.7265625" style="21"/>
    <col min="2" max="2" width="44.90625" style="21" customWidth="1"/>
    <col min="3" max="3" width="13.26953125" style="21" customWidth="1"/>
    <col min="4" max="16384" width="8.7265625" style="21"/>
  </cols>
  <sheetData>
    <row r="1" spans="1:3" x14ac:dyDescent="0.6">
      <c r="A1" s="20" t="s">
        <v>273</v>
      </c>
    </row>
    <row r="3" spans="1:3" s="27" customFormat="1" x14ac:dyDescent="0.6">
      <c r="A3" s="26" t="s">
        <v>0</v>
      </c>
    </row>
    <row r="5" spans="1:3" x14ac:dyDescent="0.6">
      <c r="A5" s="39" t="s">
        <v>1</v>
      </c>
      <c r="B5" s="40"/>
      <c r="C5" s="41"/>
    </row>
    <row r="6" spans="1:3" ht="34" x14ac:dyDescent="0.6">
      <c r="A6" s="42" t="s">
        <v>2</v>
      </c>
      <c r="B6" s="42" t="s">
        <v>3</v>
      </c>
      <c r="C6" s="43" t="s">
        <v>4</v>
      </c>
    </row>
    <row r="7" spans="1:3" x14ac:dyDescent="0.6">
      <c r="A7" s="28">
        <v>1</v>
      </c>
      <c r="B7" s="29" t="s">
        <v>6</v>
      </c>
      <c r="C7" s="30"/>
    </row>
    <row r="8" spans="1:3" x14ac:dyDescent="0.6">
      <c r="A8" s="28" t="s">
        <v>5</v>
      </c>
      <c r="B8" s="29" t="s">
        <v>7</v>
      </c>
      <c r="C8" s="31">
        <v>0</v>
      </c>
    </row>
    <row r="9" spans="1:3" x14ac:dyDescent="0.6">
      <c r="A9" s="28"/>
      <c r="B9" s="29" t="s">
        <v>8</v>
      </c>
      <c r="C9" s="31">
        <f>SUM(C8)</f>
        <v>0</v>
      </c>
    </row>
    <row r="10" spans="1:3" x14ac:dyDescent="0.6">
      <c r="A10" s="28"/>
      <c r="B10" s="29"/>
      <c r="C10" s="30"/>
    </row>
    <row r="11" spans="1:3" x14ac:dyDescent="0.6">
      <c r="A11" s="28">
        <v>2</v>
      </c>
      <c r="B11" s="29" t="s">
        <v>9</v>
      </c>
      <c r="C11" s="30"/>
    </row>
    <row r="12" spans="1:3" x14ac:dyDescent="0.6">
      <c r="A12" s="28" t="s">
        <v>5</v>
      </c>
      <c r="B12" s="29" t="s">
        <v>9</v>
      </c>
      <c r="C12" s="32">
        <v>159.63</v>
      </c>
    </row>
    <row r="13" spans="1:3" x14ac:dyDescent="0.6">
      <c r="A13" s="28"/>
      <c r="B13" s="29" t="s">
        <v>8</v>
      </c>
      <c r="C13" s="32">
        <f>C12</f>
        <v>159.63</v>
      </c>
    </row>
    <row r="14" spans="1:3" x14ac:dyDescent="0.6">
      <c r="A14" s="28"/>
      <c r="B14" s="29"/>
      <c r="C14" s="30"/>
    </row>
    <row r="15" spans="1:3" x14ac:dyDescent="0.6">
      <c r="A15" s="28">
        <v>3</v>
      </c>
      <c r="B15" s="29" t="s">
        <v>10</v>
      </c>
      <c r="C15" s="30"/>
    </row>
    <row r="16" spans="1:3" x14ac:dyDescent="0.6">
      <c r="A16" s="28" t="s">
        <v>5</v>
      </c>
      <c r="B16" s="29" t="s">
        <v>11</v>
      </c>
      <c r="C16" s="32">
        <v>0</v>
      </c>
    </row>
    <row r="17" spans="1:3" x14ac:dyDescent="0.6">
      <c r="A17" s="28"/>
      <c r="B17" s="29" t="s">
        <v>8</v>
      </c>
      <c r="C17" s="33">
        <f>C16</f>
        <v>0</v>
      </c>
    </row>
    <row r="18" spans="1:3" x14ac:dyDescent="0.6">
      <c r="A18" s="28"/>
      <c r="B18" s="29"/>
      <c r="C18" s="30"/>
    </row>
    <row r="19" spans="1:3" x14ac:dyDescent="0.6">
      <c r="A19" s="28">
        <v>4</v>
      </c>
      <c r="B19" s="29" t="s">
        <v>12</v>
      </c>
      <c r="C19" s="30"/>
    </row>
    <row r="20" spans="1:3" x14ac:dyDescent="0.6">
      <c r="A20" s="28" t="s">
        <v>5</v>
      </c>
      <c r="B20" s="29" t="s">
        <v>13</v>
      </c>
      <c r="C20" s="31">
        <v>0</v>
      </c>
    </row>
    <row r="21" spans="1:3" x14ac:dyDescent="0.6">
      <c r="A21" s="28"/>
      <c r="B21" s="29"/>
      <c r="C21" s="31"/>
    </row>
    <row r="22" spans="1:3" x14ac:dyDescent="0.6">
      <c r="A22" s="28">
        <v>5</v>
      </c>
      <c r="B22" s="29" t="s">
        <v>14</v>
      </c>
      <c r="C22" s="31">
        <v>5.37</v>
      </c>
    </row>
    <row r="23" spans="1:3" x14ac:dyDescent="0.6">
      <c r="A23" s="28"/>
      <c r="B23" s="29"/>
      <c r="C23" s="31"/>
    </row>
    <row r="24" spans="1:3" x14ac:dyDescent="0.6">
      <c r="A24" s="28">
        <v>6</v>
      </c>
      <c r="B24" s="29" t="s">
        <v>15</v>
      </c>
      <c r="C24" s="31"/>
    </row>
    <row r="25" spans="1:3" x14ac:dyDescent="0.6">
      <c r="A25" s="28" t="s">
        <v>5</v>
      </c>
      <c r="B25" s="29" t="s">
        <v>16</v>
      </c>
      <c r="C25" s="31">
        <v>0</v>
      </c>
    </row>
    <row r="26" spans="1:3" x14ac:dyDescent="0.6">
      <c r="A26" s="28"/>
      <c r="B26" s="29" t="s">
        <v>8</v>
      </c>
      <c r="C26" s="31"/>
    </row>
    <row r="27" spans="1:3" x14ac:dyDescent="0.6">
      <c r="A27" s="28"/>
      <c r="B27" s="29"/>
      <c r="C27" s="31"/>
    </row>
    <row r="28" spans="1:3" x14ac:dyDescent="0.6">
      <c r="A28" s="28"/>
      <c r="B28" s="29" t="s">
        <v>17</v>
      </c>
      <c r="C28" s="30"/>
    </row>
    <row r="29" spans="1:3" ht="34" x14ac:dyDescent="0.6">
      <c r="A29" s="28"/>
      <c r="B29" s="34" t="s">
        <v>18</v>
      </c>
      <c r="C29" s="30"/>
    </row>
    <row r="30" spans="1:3" x14ac:dyDescent="0.6">
      <c r="A30" s="28" t="s">
        <v>5</v>
      </c>
      <c r="B30" s="29" t="s">
        <v>19</v>
      </c>
      <c r="C30" s="31">
        <v>0</v>
      </c>
    </row>
    <row r="31" spans="1:3" x14ac:dyDescent="0.6">
      <c r="A31" s="28" t="s">
        <v>20</v>
      </c>
      <c r="B31" s="29" t="s">
        <v>21</v>
      </c>
      <c r="C31" s="31">
        <v>0</v>
      </c>
    </row>
    <row r="32" spans="1:3" x14ac:dyDescent="0.6">
      <c r="A32" s="28"/>
      <c r="B32" s="29" t="s">
        <v>8</v>
      </c>
      <c r="C32" s="31">
        <v>0</v>
      </c>
    </row>
    <row r="33" spans="1:3" x14ac:dyDescent="0.6">
      <c r="A33" s="28"/>
      <c r="B33" s="29"/>
      <c r="C33" s="30"/>
    </row>
    <row r="34" spans="1:3" x14ac:dyDescent="0.6">
      <c r="A34" s="35"/>
      <c r="B34" s="36" t="s">
        <v>22</v>
      </c>
      <c r="C34" s="37">
        <f>C32+C25+C22+C17+C13+C20</f>
        <v>165</v>
      </c>
    </row>
    <row r="35" spans="1:3" x14ac:dyDescent="0.6">
      <c r="A35" s="38"/>
    </row>
    <row r="36" spans="1:3" x14ac:dyDescent="0.6">
      <c r="A36" s="38"/>
    </row>
    <row r="37" spans="1:3" x14ac:dyDescent="0.6">
      <c r="A37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81CD-D127-4212-A91B-7CC6FC2C782F}">
  <dimension ref="A1:D8"/>
  <sheetViews>
    <sheetView workbookViewId="0">
      <selection activeCell="A4" sqref="A4"/>
    </sheetView>
  </sheetViews>
  <sheetFormatPr defaultRowHeight="17" x14ac:dyDescent="0.6"/>
  <cols>
    <col min="1" max="1" width="8.7265625" style="21"/>
    <col min="2" max="2" width="22.08984375" style="21" customWidth="1"/>
    <col min="3" max="3" width="18.81640625" style="21" bestFit="1" customWidth="1"/>
    <col min="4" max="16384" width="8.7265625" style="21"/>
  </cols>
  <sheetData>
    <row r="1" spans="1:4" x14ac:dyDescent="0.6">
      <c r="A1" s="20" t="s">
        <v>23</v>
      </c>
    </row>
    <row r="3" spans="1:4" x14ac:dyDescent="0.6">
      <c r="A3" s="51" t="s">
        <v>24</v>
      </c>
      <c r="B3" s="40" t="s">
        <v>25</v>
      </c>
      <c r="C3" s="41" t="s">
        <v>4</v>
      </c>
    </row>
    <row r="4" spans="1:4" x14ac:dyDescent="0.6">
      <c r="A4" s="44">
        <v>1</v>
      </c>
      <c r="B4" s="27" t="s">
        <v>26</v>
      </c>
      <c r="C4" s="33">
        <v>16.5</v>
      </c>
      <c r="D4" s="45"/>
    </row>
    <row r="5" spans="1:4" x14ac:dyDescent="0.6">
      <c r="A5" s="44">
        <v>2</v>
      </c>
      <c r="B5" s="27" t="s">
        <v>27</v>
      </c>
      <c r="C5" s="33">
        <v>0</v>
      </c>
      <c r="D5" s="46"/>
    </row>
    <row r="6" spans="1:4" x14ac:dyDescent="0.6">
      <c r="A6" s="44">
        <v>3</v>
      </c>
      <c r="B6" s="27" t="s">
        <v>28</v>
      </c>
      <c r="C6" s="33">
        <f>C8-C4-C7</f>
        <v>143.13</v>
      </c>
      <c r="D6" s="47"/>
    </row>
    <row r="7" spans="1:4" x14ac:dyDescent="0.6">
      <c r="A7" s="44">
        <v>4</v>
      </c>
      <c r="B7" s="27" t="s">
        <v>29</v>
      </c>
      <c r="C7" s="31">
        <v>5.37</v>
      </c>
    </row>
    <row r="8" spans="1:4" x14ac:dyDescent="0.6">
      <c r="A8" s="48"/>
      <c r="B8" s="49" t="s">
        <v>8</v>
      </c>
      <c r="C8" s="50">
        <f>'Ann 1'!C34</f>
        <v>165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2858-CA67-4C56-BFC5-E2781F80B181}">
  <dimension ref="A1:G42"/>
  <sheetViews>
    <sheetView workbookViewId="0">
      <selection activeCell="G40" sqref="G40"/>
    </sheetView>
  </sheetViews>
  <sheetFormatPr defaultRowHeight="14.5" x14ac:dyDescent="0.35"/>
  <cols>
    <col min="1" max="1" width="3.6328125" customWidth="1"/>
    <col min="2" max="2" width="26.08984375" customWidth="1"/>
    <col min="4" max="4" width="12.7265625" bestFit="1" customWidth="1"/>
    <col min="6" max="6" width="10.54296875" customWidth="1"/>
    <col min="7" max="7" width="11" bestFit="1" customWidth="1"/>
  </cols>
  <sheetData>
    <row r="1" spans="1:7" x14ac:dyDescent="0.35">
      <c r="A1" s="11" t="s">
        <v>30</v>
      </c>
    </row>
    <row r="3" spans="1:7" x14ac:dyDescent="0.35">
      <c r="A3" s="15" t="s">
        <v>31</v>
      </c>
      <c r="B3" s="16"/>
      <c r="C3" s="16"/>
      <c r="D3" s="16"/>
      <c r="E3" s="16"/>
      <c r="F3" s="16"/>
      <c r="G3" s="17"/>
    </row>
    <row r="4" spans="1:7" x14ac:dyDescent="0.35">
      <c r="A4" s="14" t="s">
        <v>32</v>
      </c>
      <c r="B4" s="12"/>
      <c r="C4" s="12"/>
      <c r="D4" s="12" t="s">
        <v>46</v>
      </c>
      <c r="E4" s="12" t="s">
        <v>51</v>
      </c>
      <c r="F4" s="12" t="s">
        <v>53</v>
      </c>
      <c r="G4" s="13" t="s">
        <v>54</v>
      </c>
    </row>
    <row r="5" spans="1:7" x14ac:dyDescent="0.35">
      <c r="A5" s="4">
        <v>1</v>
      </c>
      <c r="B5" s="2" t="s">
        <v>33</v>
      </c>
      <c r="C5" s="2"/>
      <c r="D5" s="18" t="s">
        <v>47</v>
      </c>
      <c r="E5" s="18" t="s">
        <v>52</v>
      </c>
      <c r="F5" s="6">
        <v>608621</v>
      </c>
      <c r="G5" s="7">
        <v>608621</v>
      </c>
    </row>
    <row r="6" spans="1:7" x14ac:dyDescent="0.35">
      <c r="A6" s="4">
        <v>2</v>
      </c>
      <c r="B6" s="2" t="s">
        <v>34</v>
      </c>
      <c r="C6" s="2"/>
      <c r="D6" s="18" t="s">
        <v>48</v>
      </c>
      <c r="E6" s="18">
        <v>1</v>
      </c>
      <c r="F6" s="6">
        <v>138000</v>
      </c>
      <c r="G6" s="7">
        <v>138000</v>
      </c>
    </row>
    <row r="7" spans="1:7" x14ac:dyDescent="0.35">
      <c r="A7" s="4">
        <v>3</v>
      </c>
      <c r="B7" s="2" t="s">
        <v>35</v>
      </c>
      <c r="C7" s="2"/>
      <c r="D7" s="18" t="s">
        <v>49</v>
      </c>
      <c r="E7" s="18">
        <v>1</v>
      </c>
      <c r="F7" s="6">
        <v>37500</v>
      </c>
      <c r="G7" s="7">
        <v>37500</v>
      </c>
    </row>
    <row r="8" spans="1:7" x14ac:dyDescent="0.35">
      <c r="A8" s="4">
        <v>4</v>
      </c>
      <c r="B8" s="2" t="s">
        <v>36</v>
      </c>
      <c r="C8" s="2"/>
      <c r="D8" s="18" t="s">
        <v>50</v>
      </c>
      <c r="E8" s="18">
        <v>1</v>
      </c>
      <c r="F8" s="6">
        <v>323037</v>
      </c>
      <c r="G8" s="7">
        <v>323037</v>
      </c>
    </row>
    <row r="9" spans="1:7" x14ac:dyDescent="0.35">
      <c r="A9" s="4">
        <v>5</v>
      </c>
      <c r="B9" s="2" t="s">
        <v>37</v>
      </c>
      <c r="C9" s="2"/>
      <c r="D9" s="18">
        <v>1</v>
      </c>
      <c r="E9" s="18">
        <v>1</v>
      </c>
      <c r="F9" s="6">
        <v>500000</v>
      </c>
      <c r="G9" s="7">
        <v>500000</v>
      </c>
    </row>
    <row r="10" spans="1:7" x14ac:dyDescent="0.35">
      <c r="A10" s="4">
        <v>6</v>
      </c>
      <c r="B10" s="2" t="s">
        <v>38</v>
      </c>
      <c r="C10" s="2"/>
      <c r="D10" s="18">
        <v>1</v>
      </c>
      <c r="E10" s="18">
        <v>1</v>
      </c>
      <c r="F10" s="6">
        <v>250000</v>
      </c>
      <c r="G10" s="7">
        <v>250000</v>
      </c>
    </row>
    <row r="11" spans="1:7" x14ac:dyDescent="0.35">
      <c r="A11" s="4">
        <v>7</v>
      </c>
      <c r="B11" s="2" t="s">
        <v>39</v>
      </c>
      <c r="C11" s="2"/>
      <c r="D11" s="18" t="s">
        <v>49</v>
      </c>
      <c r="E11" s="18">
        <v>1</v>
      </c>
      <c r="F11" s="6">
        <v>207000</v>
      </c>
      <c r="G11" s="7">
        <v>207000</v>
      </c>
    </row>
    <row r="12" spans="1:7" x14ac:dyDescent="0.35">
      <c r="A12" s="4">
        <v>8</v>
      </c>
      <c r="B12" s="2" t="s">
        <v>40</v>
      </c>
      <c r="C12" s="2"/>
      <c r="D12" s="18" t="s">
        <v>49</v>
      </c>
      <c r="E12" s="18">
        <v>1</v>
      </c>
      <c r="F12" s="6">
        <v>45000</v>
      </c>
      <c r="G12" s="7">
        <v>45000</v>
      </c>
    </row>
    <row r="13" spans="1:7" x14ac:dyDescent="0.35">
      <c r="A13" s="4">
        <v>9</v>
      </c>
      <c r="B13" s="2" t="s">
        <v>41</v>
      </c>
      <c r="C13" s="2"/>
      <c r="D13" s="18" t="s">
        <v>49</v>
      </c>
      <c r="E13" s="18">
        <v>1</v>
      </c>
      <c r="F13" s="6">
        <v>45000</v>
      </c>
      <c r="G13" s="7">
        <v>45000</v>
      </c>
    </row>
    <row r="14" spans="1:7" x14ac:dyDescent="0.35">
      <c r="A14" s="4">
        <v>10</v>
      </c>
      <c r="B14" s="2" t="s">
        <v>42</v>
      </c>
      <c r="C14" s="2"/>
      <c r="D14" s="18" t="s">
        <v>48</v>
      </c>
      <c r="E14" s="18">
        <v>1</v>
      </c>
      <c r="F14" s="6">
        <v>30000</v>
      </c>
      <c r="G14" s="7">
        <v>30000</v>
      </c>
    </row>
    <row r="15" spans="1:7" x14ac:dyDescent="0.35">
      <c r="A15" s="4">
        <v>11</v>
      </c>
      <c r="B15" s="2" t="s">
        <v>43</v>
      </c>
      <c r="C15" s="2"/>
      <c r="D15" s="18" t="s">
        <v>48</v>
      </c>
      <c r="E15" s="18">
        <v>1</v>
      </c>
      <c r="F15" s="6">
        <v>30000</v>
      </c>
      <c r="G15" s="7">
        <v>30000</v>
      </c>
    </row>
    <row r="16" spans="1:7" x14ac:dyDescent="0.35">
      <c r="A16" s="4">
        <v>12</v>
      </c>
      <c r="B16" s="2" t="s">
        <v>44</v>
      </c>
      <c r="C16" s="2"/>
      <c r="D16" s="18">
        <v>1</v>
      </c>
      <c r="E16" s="18">
        <v>1</v>
      </c>
      <c r="F16" s="6">
        <v>767678</v>
      </c>
      <c r="G16" s="7">
        <v>767678</v>
      </c>
    </row>
    <row r="17" spans="1:7" x14ac:dyDescent="0.35">
      <c r="A17" s="4">
        <v>13</v>
      </c>
      <c r="B17" s="2" t="s">
        <v>45</v>
      </c>
      <c r="C17" s="2"/>
      <c r="D17" s="18">
        <v>1</v>
      </c>
      <c r="E17" s="18">
        <v>1</v>
      </c>
      <c r="F17" s="6">
        <v>125000</v>
      </c>
      <c r="G17" s="7">
        <v>125000</v>
      </c>
    </row>
    <row r="18" spans="1:7" s="11" customFormat="1" x14ac:dyDescent="0.35">
      <c r="A18" s="8" t="s">
        <v>55</v>
      </c>
      <c r="B18" s="9"/>
      <c r="C18" s="9"/>
      <c r="D18" s="9"/>
      <c r="E18" s="9"/>
      <c r="F18" s="9"/>
      <c r="G18" s="10">
        <f>SUM(G5:G17)</f>
        <v>3106836</v>
      </c>
    </row>
    <row r="19" spans="1:7" x14ac:dyDescent="0.35">
      <c r="A19" s="4"/>
      <c r="B19" s="2"/>
      <c r="C19" s="2"/>
      <c r="D19" s="2"/>
      <c r="E19" s="2"/>
      <c r="F19" s="2"/>
      <c r="G19" s="3"/>
    </row>
    <row r="20" spans="1:7" x14ac:dyDescent="0.35">
      <c r="A20" s="14" t="s">
        <v>72</v>
      </c>
      <c r="B20" s="12"/>
      <c r="C20" s="12"/>
      <c r="D20" s="12" t="s">
        <v>46</v>
      </c>
      <c r="E20" s="12" t="s">
        <v>51</v>
      </c>
      <c r="F20" s="12" t="s">
        <v>53</v>
      </c>
      <c r="G20" s="13" t="s">
        <v>54</v>
      </c>
    </row>
    <row r="21" spans="1:7" x14ac:dyDescent="0.35">
      <c r="A21" s="4">
        <v>1</v>
      </c>
      <c r="B21" s="2" t="s">
        <v>56</v>
      </c>
      <c r="C21" s="2"/>
      <c r="D21" s="18" t="s">
        <v>73</v>
      </c>
      <c r="E21" s="18">
        <v>800</v>
      </c>
      <c r="F21" s="6">
        <v>8000000</v>
      </c>
      <c r="G21" s="7">
        <v>8000000</v>
      </c>
    </row>
    <row r="22" spans="1:7" x14ac:dyDescent="0.35">
      <c r="A22" s="4">
        <v>2</v>
      </c>
      <c r="B22" s="2" t="s">
        <v>57</v>
      </c>
      <c r="C22" s="2"/>
      <c r="D22" s="18" t="s">
        <v>74</v>
      </c>
      <c r="E22" s="18">
        <v>1</v>
      </c>
      <c r="F22" s="6">
        <v>2500000</v>
      </c>
      <c r="G22" s="7">
        <v>2500000</v>
      </c>
    </row>
    <row r="23" spans="1:7" x14ac:dyDescent="0.35">
      <c r="A23" s="4">
        <v>3</v>
      </c>
      <c r="B23" s="2" t="s">
        <v>58</v>
      </c>
      <c r="C23" s="2"/>
      <c r="D23" s="18" t="s">
        <v>74</v>
      </c>
      <c r="E23" s="18">
        <v>2</v>
      </c>
      <c r="F23" s="6">
        <v>17000</v>
      </c>
      <c r="G23" s="7">
        <v>34000</v>
      </c>
    </row>
    <row r="24" spans="1:7" x14ac:dyDescent="0.35">
      <c r="A24" s="4">
        <v>4</v>
      </c>
      <c r="B24" s="2" t="s">
        <v>59</v>
      </c>
      <c r="C24" s="2"/>
      <c r="D24" s="18">
        <v>2</v>
      </c>
      <c r="E24" s="18">
        <v>1</v>
      </c>
      <c r="F24" s="6">
        <v>700000</v>
      </c>
      <c r="G24" s="7">
        <v>700000</v>
      </c>
    </row>
    <row r="25" spans="1:7" x14ac:dyDescent="0.35">
      <c r="A25" s="4">
        <v>5</v>
      </c>
      <c r="B25" s="2" t="s">
        <v>60</v>
      </c>
      <c r="C25" s="2"/>
      <c r="D25" s="18">
        <v>1</v>
      </c>
      <c r="E25" s="18">
        <v>1</v>
      </c>
      <c r="F25" s="6">
        <v>1000000</v>
      </c>
      <c r="G25" s="7">
        <v>1000000</v>
      </c>
    </row>
    <row r="26" spans="1:7" x14ac:dyDescent="0.35">
      <c r="A26" s="4">
        <v>6</v>
      </c>
      <c r="B26" s="2" t="s">
        <v>61</v>
      </c>
      <c r="C26" s="2"/>
      <c r="D26" s="18" t="s">
        <v>75</v>
      </c>
      <c r="E26" s="18">
        <v>1</v>
      </c>
      <c r="F26" s="6">
        <v>1160000</v>
      </c>
      <c r="G26" s="7">
        <v>1160000</v>
      </c>
    </row>
    <row r="27" spans="1:7" x14ac:dyDescent="0.35">
      <c r="A27" s="4">
        <v>7</v>
      </c>
      <c r="B27" s="2" t="s">
        <v>62</v>
      </c>
      <c r="C27" s="2"/>
      <c r="D27" s="18" t="s">
        <v>75</v>
      </c>
      <c r="E27" s="18">
        <v>1</v>
      </c>
      <c r="F27" s="6">
        <v>185000</v>
      </c>
      <c r="G27" s="7">
        <v>185000</v>
      </c>
    </row>
    <row r="28" spans="1:7" x14ac:dyDescent="0.35">
      <c r="A28" s="4">
        <v>8</v>
      </c>
      <c r="B28" s="2" t="s">
        <v>63</v>
      </c>
      <c r="C28" s="2"/>
      <c r="D28" s="18" t="s">
        <v>76</v>
      </c>
      <c r="E28" s="18">
        <v>1000</v>
      </c>
      <c r="F28" s="6">
        <v>250</v>
      </c>
      <c r="G28" s="7">
        <v>250000</v>
      </c>
    </row>
    <row r="29" spans="1:7" x14ac:dyDescent="0.35">
      <c r="A29" s="4">
        <v>9</v>
      </c>
      <c r="B29" s="2" t="s">
        <v>64</v>
      </c>
      <c r="C29" s="2"/>
      <c r="D29" s="18" t="s">
        <v>77</v>
      </c>
      <c r="E29" s="18">
        <v>1</v>
      </c>
      <c r="F29" s="6">
        <v>2500000</v>
      </c>
      <c r="G29" s="7">
        <v>2500000</v>
      </c>
    </row>
    <row r="30" spans="1:7" x14ac:dyDescent="0.35">
      <c r="A30" s="4">
        <v>10</v>
      </c>
      <c r="B30" s="2" t="s">
        <v>65</v>
      </c>
      <c r="C30" s="2"/>
      <c r="D30" s="18" t="s">
        <v>78</v>
      </c>
      <c r="E30" s="18">
        <v>1</v>
      </c>
      <c r="F30" s="6">
        <v>18000</v>
      </c>
      <c r="G30" s="7">
        <v>972000</v>
      </c>
    </row>
    <row r="31" spans="1:7" x14ac:dyDescent="0.35">
      <c r="A31" s="4">
        <v>11</v>
      </c>
      <c r="B31" s="2" t="s">
        <v>66</v>
      </c>
      <c r="C31" s="2"/>
      <c r="D31" s="18">
        <v>1</v>
      </c>
      <c r="E31" s="18"/>
      <c r="F31" s="6">
        <v>300000</v>
      </c>
      <c r="G31" s="7">
        <v>300000</v>
      </c>
    </row>
    <row r="32" spans="1:7" x14ac:dyDescent="0.35">
      <c r="A32" s="4">
        <v>12</v>
      </c>
      <c r="B32" s="2" t="s">
        <v>67</v>
      </c>
      <c r="C32" s="2"/>
      <c r="D32" s="18" t="s">
        <v>79</v>
      </c>
      <c r="E32" s="18">
        <v>1</v>
      </c>
      <c r="F32" s="6">
        <v>2000000</v>
      </c>
      <c r="G32" s="7">
        <v>2000000</v>
      </c>
    </row>
    <row r="33" spans="1:7" x14ac:dyDescent="0.35">
      <c r="A33" s="4">
        <v>13</v>
      </c>
      <c r="B33" s="2" t="s">
        <v>68</v>
      </c>
      <c r="C33" s="2"/>
      <c r="D33" s="18">
        <v>1</v>
      </c>
      <c r="E33" s="18">
        <v>1</v>
      </c>
      <c r="F33" s="6">
        <v>2000000</v>
      </c>
      <c r="G33" s="7">
        <v>2000000</v>
      </c>
    </row>
    <row r="34" spans="1:7" x14ac:dyDescent="0.35">
      <c r="A34" s="4">
        <v>14</v>
      </c>
      <c r="B34" s="2" t="s">
        <v>69</v>
      </c>
      <c r="C34" s="2"/>
      <c r="D34" s="18">
        <v>1</v>
      </c>
      <c r="E34" s="18">
        <v>1</v>
      </c>
      <c r="F34" s="6">
        <v>390142</v>
      </c>
      <c r="G34" s="7">
        <v>390142</v>
      </c>
    </row>
    <row r="35" spans="1:7" x14ac:dyDescent="0.35">
      <c r="A35" s="4">
        <v>15</v>
      </c>
      <c r="B35" s="2" t="s">
        <v>70</v>
      </c>
      <c r="C35" s="2"/>
      <c r="D35" s="18">
        <v>1</v>
      </c>
      <c r="E35" s="18">
        <v>1</v>
      </c>
      <c r="F35" s="6">
        <v>150000</v>
      </c>
      <c r="G35" s="7">
        <v>150000</v>
      </c>
    </row>
    <row r="36" spans="1:7" x14ac:dyDescent="0.35">
      <c r="A36" s="4">
        <v>16</v>
      </c>
      <c r="B36" s="2" t="s">
        <v>71</v>
      </c>
      <c r="C36" s="2"/>
      <c r="D36" s="18">
        <v>1</v>
      </c>
      <c r="E36" s="18">
        <v>1</v>
      </c>
      <c r="F36" s="6">
        <v>250000</v>
      </c>
      <c r="G36" s="7">
        <v>250000</v>
      </c>
    </row>
    <row r="37" spans="1:7" s="11" customFormat="1" x14ac:dyDescent="0.35">
      <c r="A37" s="8" t="s">
        <v>80</v>
      </c>
      <c r="B37" s="9"/>
      <c r="C37" s="9"/>
      <c r="D37" s="9"/>
      <c r="E37" s="9"/>
      <c r="F37" s="9"/>
      <c r="G37" s="10">
        <f>SUM(G21:G36)</f>
        <v>22391142</v>
      </c>
    </row>
    <row r="38" spans="1:7" x14ac:dyDescent="0.35">
      <c r="A38" s="4"/>
      <c r="B38" s="2"/>
      <c r="C38" s="2"/>
      <c r="D38" s="2"/>
      <c r="E38" s="2"/>
      <c r="F38" s="2"/>
      <c r="G38" s="3"/>
    </row>
    <row r="39" spans="1:7" s="11" customFormat="1" x14ac:dyDescent="0.35">
      <c r="A39" s="8" t="s">
        <v>81</v>
      </c>
      <c r="B39" s="9"/>
      <c r="C39" s="9"/>
      <c r="D39" s="9"/>
      <c r="E39" s="9"/>
      <c r="F39" s="9"/>
      <c r="G39" s="10">
        <f>G37+G18</f>
        <v>25497978</v>
      </c>
    </row>
    <row r="40" spans="1:7" x14ac:dyDescent="0.35">
      <c r="G40" s="5"/>
    </row>
    <row r="41" spans="1:7" x14ac:dyDescent="0.35">
      <c r="G41" s="5"/>
    </row>
    <row r="42" spans="1:7" x14ac:dyDescent="0.35">
      <c r="G4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6FA6-76E6-4673-8AD3-A2A7C9EA52B0}">
  <sheetPr>
    <pageSetUpPr fitToPage="1"/>
  </sheetPr>
  <dimension ref="A1:K35"/>
  <sheetViews>
    <sheetView workbookViewId="0">
      <selection activeCell="C32" sqref="C32"/>
    </sheetView>
  </sheetViews>
  <sheetFormatPr defaultRowHeight="17" x14ac:dyDescent="0.6"/>
  <cols>
    <col min="1" max="1" width="8.7265625" style="21"/>
    <col min="2" max="2" width="54.1796875" style="21" bestFit="1" customWidth="1"/>
    <col min="3" max="11" width="13.6328125" style="21" bestFit="1" customWidth="1"/>
    <col min="12" max="16384" width="8.7265625" style="21"/>
  </cols>
  <sheetData>
    <row r="1" spans="1:11" x14ac:dyDescent="0.6">
      <c r="A1" s="20" t="s">
        <v>82</v>
      </c>
    </row>
    <row r="3" spans="1:11" x14ac:dyDescent="0.6">
      <c r="A3" s="99" t="s">
        <v>83</v>
      </c>
      <c r="B3" s="99" t="s">
        <v>84</v>
      </c>
      <c r="C3" s="98" t="s">
        <v>94</v>
      </c>
      <c r="D3" s="98"/>
      <c r="E3" s="98"/>
      <c r="F3" s="98"/>
      <c r="G3" s="98"/>
      <c r="H3" s="98"/>
      <c r="I3" s="98"/>
      <c r="J3" s="98"/>
      <c r="K3" s="98"/>
    </row>
    <row r="4" spans="1:11" x14ac:dyDescent="0.6">
      <c r="A4" s="99"/>
      <c r="B4" s="99"/>
      <c r="C4" s="54" t="s">
        <v>85</v>
      </c>
      <c r="D4" s="54" t="s">
        <v>86</v>
      </c>
      <c r="E4" s="54" t="s">
        <v>87</v>
      </c>
      <c r="F4" s="54" t="s">
        <v>88</v>
      </c>
      <c r="G4" s="54" t="s">
        <v>89</v>
      </c>
      <c r="H4" s="54" t="s">
        <v>90</v>
      </c>
      <c r="I4" s="54" t="s">
        <v>91</v>
      </c>
      <c r="J4" s="54" t="s">
        <v>92</v>
      </c>
      <c r="K4" s="54" t="s">
        <v>93</v>
      </c>
    </row>
    <row r="5" spans="1:11" x14ac:dyDescent="0.6">
      <c r="A5" s="22"/>
      <c r="B5" s="22" t="s">
        <v>95</v>
      </c>
      <c r="C5" s="22">
        <v>12</v>
      </c>
      <c r="D5" s="22">
        <v>12</v>
      </c>
      <c r="E5" s="22">
        <v>12</v>
      </c>
      <c r="F5" s="22">
        <v>12</v>
      </c>
      <c r="G5" s="22">
        <v>12</v>
      </c>
      <c r="H5" s="22">
        <v>12</v>
      </c>
      <c r="I5" s="22">
        <v>12</v>
      </c>
      <c r="J5" s="22">
        <v>12</v>
      </c>
      <c r="K5" s="22">
        <v>12</v>
      </c>
    </row>
    <row r="6" spans="1:11" x14ac:dyDescent="0.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6">
      <c r="A7" s="22"/>
      <c r="B7" s="22" t="s">
        <v>97</v>
      </c>
      <c r="C7" s="52">
        <f>'Ann 8'!E9</f>
        <v>1272000</v>
      </c>
      <c r="D7" s="52">
        <f>1.06*C7</f>
        <v>1348320</v>
      </c>
      <c r="E7" s="52">
        <f t="shared" ref="E7:K7" si="0">1.06*D7</f>
        <v>1429219.2000000002</v>
      </c>
      <c r="F7" s="52">
        <f t="shared" si="0"/>
        <v>1514972.3520000002</v>
      </c>
      <c r="G7" s="52">
        <f t="shared" si="0"/>
        <v>1605870.6931200002</v>
      </c>
      <c r="H7" s="52">
        <f t="shared" si="0"/>
        <v>1702222.9347072004</v>
      </c>
      <c r="I7" s="52">
        <f t="shared" si="0"/>
        <v>1804356.3107896326</v>
      </c>
      <c r="J7" s="52">
        <f t="shared" si="0"/>
        <v>1912617.6894370106</v>
      </c>
      <c r="K7" s="52">
        <f t="shared" si="0"/>
        <v>2027374.7508032313</v>
      </c>
    </row>
    <row r="8" spans="1:11" x14ac:dyDescent="0.6">
      <c r="A8" s="22"/>
      <c r="B8" s="22" t="s">
        <v>213</v>
      </c>
      <c r="C8" s="52">
        <f>90000+C32</f>
        <v>330000</v>
      </c>
      <c r="D8" s="52">
        <f t="shared" ref="D8:K8" si="1">90000+D32</f>
        <v>342000</v>
      </c>
      <c r="E8" s="52">
        <f t="shared" si="1"/>
        <v>354600</v>
      </c>
      <c r="F8" s="52">
        <f t="shared" si="1"/>
        <v>367830</v>
      </c>
      <c r="G8" s="52">
        <f t="shared" si="1"/>
        <v>381721.5</v>
      </c>
      <c r="H8" s="52">
        <f t="shared" si="1"/>
        <v>396307.57500000001</v>
      </c>
      <c r="I8" s="52">
        <f t="shared" si="1"/>
        <v>396307.57500000001</v>
      </c>
      <c r="J8" s="52">
        <f t="shared" si="1"/>
        <v>396307.57500000001</v>
      </c>
      <c r="K8" s="52">
        <f t="shared" si="1"/>
        <v>396307.57500000001</v>
      </c>
    </row>
    <row r="9" spans="1:11" x14ac:dyDescent="0.6">
      <c r="A9" s="22"/>
      <c r="B9" s="22" t="s">
        <v>212</v>
      </c>
      <c r="C9" s="52">
        <v>200000</v>
      </c>
      <c r="D9" s="52">
        <f>C9*1.02</f>
        <v>204000</v>
      </c>
      <c r="E9" s="52">
        <f t="shared" ref="E9:K9" si="2">D9*1.02</f>
        <v>208080</v>
      </c>
      <c r="F9" s="52">
        <f t="shared" si="2"/>
        <v>212241.6</v>
      </c>
      <c r="G9" s="52">
        <f t="shared" si="2"/>
        <v>216486.432</v>
      </c>
      <c r="H9" s="52">
        <f t="shared" si="2"/>
        <v>220816.16064000002</v>
      </c>
      <c r="I9" s="52">
        <f t="shared" si="2"/>
        <v>225232.48385280001</v>
      </c>
      <c r="J9" s="52">
        <f t="shared" si="2"/>
        <v>229737.13352985602</v>
      </c>
      <c r="K9" s="52">
        <f t="shared" si="2"/>
        <v>234331.87620045315</v>
      </c>
    </row>
    <row r="10" spans="1:11" x14ac:dyDescent="0.6">
      <c r="A10" s="22"/>
      <c r="B10" s="22" t="s">
        <v>8</v>
      </c>
      <c r="C10" s="52">
        <f t="shared" ref="C10:K10" si="3">SUM(C7:C9)</f>
        <v>1802000</v>
      </c>
      <c r="D10" s="52">
        <f t="shared" si="3"/>
        <v>1894320</v>
      </c>
      <c r="E10" s="52">
        <f t="shared" si="3"/>
        <v>1991899.2000000002</v>
      </c>
      <c r="F10" s="52">
        <f t="shared" si="3"/>
        <v>2095043.9520000003</v>
      </c>
      <c r="G10" s="52">
        <f t="shared" si="3"/>
        <v>2204078.62512</v>
      </c>
      <c r="H10" s="52">
        <f t="shared" si="3"/>
        <v>2319346.6703472002</v>
      </c>
      <c r="I10" s="52">
        <f t="shared" si="3"/>
        <v>2425896.3696424328</v>
      </c>
      <c r="J10" s="52">
        <f t="shared" si="3"/>
        <v>2538662.3979668664</v>
      </c>
      <c r="K10" s="52">
        <f t="shared" si="3"/>
        <v>2658014.2020036848</v>
      </c>
    </row>
    <row r="11" spans="1:11" x14ac:dyDescent="0.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6">
      <c r="A12" s="22"/>
      <c r="B12" s="22" t="s">
        <v>138</v>
      </c>
      <c r="C12" s="52">
        <f>C10</f>
        <v>1802000</v>
      </c>
      <c r="D12" s="52">
        <f t="shared" ref="D12:K12" si="4">D10</f>
        <v>1894320</v>
      </c>
      <c r="E12" s="52">
        <f t="shared" si="4"/>
        <v>1991899.2000000002</v>
      </c>
      <c r="F12" s="52">
        <f t="shared" si="4"/>
        <v>2095043.9520000003</v>
      </c>
      <c r="G12" s="52">
        <f t="shared" si="4"/>
        <v>2204078.62512</v>
      </c>
      <c r="H12" s="52">
        <f t="shared" si="4"/>
        <v>2319346.6703472002</v>
      </c>
      <c r="I12" s="52">
        <f t="shared" si="4"/>
        <v>2425896.3696424328</v>
      </c>
      <c r="J12" s="52">
        <f t="shared" si="4"/>
        <v>2538662.3979668664</v>
      </c>
      <c r="K12" s="52">
        <f t="shared" si="4"/>
        <v>2658014.2020036848</v>
      </c>
    </row>
    <row r="13" spans="1:11" x14ac:dyDescent="0.6">
      <c r="A13" s="22"/>
      <c r="B13" s="22" t="s">
        <v>139</v>
      </c>
      <c r="C13" s="52">
        <f>5021.78*8*1000*75%</f>
        <v>30130680</v>
      </c>
      <c r="D13" s="52">
        <f>(C13/75%)*80%*1.055</f>
        <v>33907058.559999995</v>
      </c>
      <c r="E13" s="52">
        <f>(D13/80%)*85%*1.055</f>
        <v>38007693.454599991</v>
      </c>
      <c r="F13" s="52">
        <f>(E13/85%)*90%*1.055</f>
        <v>42456829.335461989</v>
      </c>
      <c r="G13" s="52">
        <f>(F13/90%)*95%*1.055</f>
        <v>47280396.890518636</v>
      </c>
      <c r="H13" s="52">
        <f>(G13/95%)*1.055</f>
        <v>52506124.967891745</v>
      </c>
      <c r="I13" s="52">
        <f>H13*1.055</f>
        <v>55393961.841125786</v>
      </c>
      <c r="J13" s="52">
        <f>I13*1.055</f>
        <v>58440629.742387705</v>
      </c>
      <c r="K13" s="52">
        <f>J13*1.055</f>
        <v>61654864.378219023</v>
      </c>
    </row>
    <row r="14" spans="1:11" x14ac:dyDescent="0.6">
      <c r="A14" s="22"/>
      <c r="B14" s="22" t="s">
        <v>140</v>
      </c>
      <c r="C14" s="52">
        <f>C13-C12</f>
        <v>28328680</v>
      </c>
      <c r="D14" s="52">
        <f t="shared" ref="D14:K14" si="5">D13-D12</f>
        <v>32012738.559999995</v>
      </c>
      <c r="E14" s="52">
        <f t="shared" si="5"/>
        <v>36015794.254599988</v>
      </c>
      <c r="F14" s="52">
        <f t="shared" si="5"/>
        <v>40361785.383461989</v>
      </c>
      <c r="G14" s="52">
        <f t="shared" si="5"/>
        <v>45076318.265398636</v>
      </c>
      <c r="H14" s="52">
        <f t="shared" si="5"/>
        <v>50186778.297544546</v>
      </c>
      <c r="I14" s="52">
        <f t="shared" si="5"/>
        <v>52968065.47148335</v>
      </c>
      <c r="J14" s="52">
        <f t="shared" si="5"/>
        <v>55901967.344420835</v>
      </c>
      <c r="K14" s="52">
        <f t="shared" si="5"/>
        <v>58996850.176215336</v>
      </c>
    </row>
    <row r="15" spans="1:11" x14ac:dyDescent="0.6">
      <c r="A15" s="22"/>
      <c r="B15" s="22"/>
      <c r="C15" s="52"/>
      <c r="D15" s="52"/>
      <c r="E15" s="52"/>
      <c r="F15" s="52"/>
      <c r="G15" s="52"/>
      <c r="H15" s="52"/>
      <c r="I15" s="52"/>
      <c r="J15" s="52"/>
      <c r="K15" s="52"/>
    </row>
    <row r="16" spans="1:11" x14ac:dyDescent="0.6">
      <c r="A16" s="22"/>
      <c r="B16" s="22" t="s">
        <v>141</v>
      </c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6">
      <c r="A17" s="22"/>
      <c r="B17" s="22" t="s">
        <v>142</v>
      </c>
      <c r="C17" s="52">
        <f>SUM('Ann 13'!E9:E12)*100000</f>
        <v>850522.49999999988</v>
      </c>
      <c r="D17" s="52">
        <f>SUM('Ann 13'!E13:E16)*100000</f>
        <v>743175.00000000012</v>
      </c>
      <c r="E17" s="52">
        <f>SUM('Ann 13'!E17:E20)*100000</f>
        <v>611055.00000000012</v>
      </c>
      <c r="F17" s="52">
        <f>SUM('Ann 13'!E21:E24)*100000</f>
        <v>478935.00000000023</v>
      </c>
      <c r="G17" s="52">
        <f>SUM('Ann 13'!E25:E28)*100000</f>
        <v>346815.00000000029</v>
      </c>
      <c r="H17" s="52">
        <f>SUM('Ann 13'!E29:E32)*100000</f>
        <v>214695.00000000026</v>
      </c>
      <c r="I17" s="52">
        <f>SUM('Ann 13'!E33:E36)*100000</f>
        <v>82575.000000000276</v>
      </c>
      <c r="J17" s="52">
        <v>0</v>
      </c>
      <c r="K17" s="52">
        <v>0</v>
      </c>
    </row>
    <row r="18" spans="1:11" x14ac:dyDescent="0.6">
      <c r="A18" s="22"/>
      <c r="B18" s="22" t="s">
        <v>224</v>
      </c>
      <c r="C18" s="52">
        <f>'Ann 2'!$C$7*100000*10%</f>
        <v>53700</v>
      </c>
      <c r="D18" s="52">
        <f>'Ann 2'!$C$7*100000*10%</f>
        <v>53700</v>
      </c>
      <c r="E18" s="52">
        <f>'Ann 2'!$C$7*100000*10%</f>
        <v>53700</v>
      </c>
      <c r="F18" s="52">
        <f>'Ann 2'!$C$7*100000*10%</f>
        <v>53700</v>
      </c>
      <c r="G18" s="52">
        <f>'Ann 2'!$C$7*100000*10%</f>
        <v>53700</v>
      </c>
      <c r="H18" s="52">
        <f>'Ann 2'!$C$7*100000*10%</f>
        <v>53700</v>
      </c>
      <c r="I18" s="52">
        <f>'Ann 2'!$C$7*100000*10%</f>
        <v>53700</v>
      </c>
      <c r="J18" s="52">
        <f>'Ann 2'!$C$7*100000*10%</f>
        <v>53700</v>
      </c>
      <c r="K18" s="52">
        <f>'Ann 2'!$C$7*100000*10%</f>
        <v>53700</v>
      </c>
    </row>
    <row r="19" spans="1:11" x14ac:dyDescent="0.6">
      <c r="A19" s="22"/>
      <c r="B19" s="53" t="s">
        <v>152</v>
      </c>
      <c r="C19" s="52">
        <f>SUM(C17:C18)</f>
        <v>904222.49999999988</v>
      </c>
      <c r="D19" s="52">
        <f t="shared" ref="D19:K19" si="6">SUM(D17:D18)</f>
        <v>796875.00000000012</v>
      </c>
      <c r="E19" s="52">
        <f t="shared" si="6"/>
        <v>664755.00000000012</v>
      </c>
      <c r="F19" s="52">
        <f t="shared" si="6"/>
        <v>532635.00000000023</v>
      </c>
      <c r="G19" s="52">
        <f t="shared" si="6"/>
        <v>400515.00000000029</v>
      </c>
      <c r="H19" s="52">
        <f t="shared" si="6"/>
        <v>268395.00000000023</v>
      </c>
      <c r="I19" s="52">
        <f t="shared" si="6"/>
        <v>136275.00000000029</v>
      </c>
      <c r="J19" s="52">
        <f t="shared" si="6"/>
        <v>53700</v>
      </c>
      <c r="K19" s="52">
        <f t="shared" si="6"/>
        <v>53700</v>
      </c>
    </row>
    <row r="20" spans="1:11" x14ac:dyDescent="0.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6">
      <c r="A21" s="22"/>
      <c r="B21" s="22" t="s">
        <v>153</v>
      </c>
      <c r="C21" s="52">
        <f t="shared" ref="C21:K21" si="7">C14-C19</f>
        <v>27424457.5</v>
      </c>
      <c r="D21" s="52">
        <f t="shared" si="7"/>
        <v>31215863.559999995</v>
      </c>
      <c r="E21" s="52">
        <f t="shared" si="7"/>
        <v>35351039.254599988</v>
      </c>
      <c r="F21" s="52">
        <f t="shared" si="7"/>
        <v>39829150.383461989</v>
      </c>
      <c r="G21" s="52">
        <f t="shared" si="7"/>
        <v>44675803.265398636</v>
      </c>
      <c r="H21" s="52">
        <f t="shared" si="7"/>
        <v>49918383.297544546</v>
      </c>
      <c r="I21" s="52">
        <f t="shared" si="7"/>
        <v>52831790.47148335</v>
      </c>
      <c r="J21" s="52">
        <f t="shared" si="7"/>
        <v>55848267.344420835</v>
      </c>
      <c r="K21" s="52">
        <f t="shared" si="7"/>
        <v>58943150.176215336</v>
      </c>
    </row>
    <row r="22" spans="1:11" x14ac:dyDescent="0.6">
      <c r="A22" s="22"/>
      <c r="B22" s="53" t="s">
        <v>154</v>
      </c>
      <c r="C22" s="52">
        <f>'Ann 9'!C12+'Ann 9'!D12+'Ann 9'!E12</f>
        <v>1596300</v>
      </c>
      <c r="D22" s="52">
        <f>'Ann 9'!C13+'Ann 9'!D13+'Ann 9'!E13</f>
        <v>1436670</v>
      </c>
      <c r="E22" s="52">
        <f>'Ann 9'!C14+'Ann 9'!D14+'Ann 9'!E14</f>
        <v>1293003</v>
      </c>
      <c r="F22" s="52">
        <f>'Ann 9'!C15+'Ann 9'!D15+'Ann 9'!E15</f>
        <v>1163702.7</v>
      </c>
      <c r="G22" s="52">
        <f>'Ann 9'!C16+'Ann 9'!D16+'Ann 9'!E16</f>
        <v>1047332.4300000002</v>
      </c>
      <c r="H22" s="52">
        <f>'Ann 9'!C17+'Ann 9'!D17+'Ann 9'!E17</f>
        <v>942599.18700000015</v>
      </c>
      <c r="I22" s="52">
        <f>'Ann 9'!C18+'Ann 9'!D18+'Ann 9'!E18</f>
        <v>848339.26830000011</v>
      </c>
      <c r="J22" s="52">
        <f>'Ann 9'!C19+'Ann 9'!D19+'Ann 9'!E19</f>
        <v>763505.34146999998</v>
      </c>
      <c r="K22" s="52">
        <f>'Ann 9'!C20+'Ann 9'!D20+'Ann 9'!E20</f>
        <v>687154.80732299993</v>
      </c>
    </row>
    <row r="23" spans="1:11" x14ac:dyDescent="0.6">
      <c r="A23" s="22"/>
      <c r="B23" s="53" t="s">
        <v>155</v>
      </c>
      <c r="C23" s="52">
        <f>C21-C22</f>
        <v>25828157.5</v>
      </c>
      <c r="D23" s="52">
        <f t="shared" ref="D23:K23" si="8">D21-D22</f>
        <v>29779193.559999995</v>
      </c>
      <c r="E23" s="52">
        <f t="shared" si="8"/>
        <v>34058036.254599988</v>
      </c>
      <c r="F23" s="52">
        <f t="shared" si="8"/>
        <v>38665447.683461986</v>
      </c>
      <c r="G23" s="52">
        <f t="shared" si="8"/>
        <v>43628470.835398637</v>
      </c>
      <c r="H23" s="52">
        <f t="shared" si="8"/>
        <v>48975784.110544547</v>
      </c>
      <c r="I23" s="52">
        <f t="shared" si="8"/>
        <v>51983451.203183353</v>
      </c>
      <c r="J23" s="52">
        <f t="shared" si="8"/>
        <v>55084762.002950832</v>
      </c>
      <c r="K23" s="52">
        <f t="shared" si="8"/>
        <v>58255995.368892334</v>
      </c>
    </row>
    <row r="24" spans="1:11" x14ac:dyDescent="0.6">
      <c r="A24" s="22"/>
      <c r="B24" s="53" t="s">
        <v>156</v>
      </c>
      <c r="C24" s="52">
        <f>'Ann 10'!B14</f>
        <v>7748447.25</v>
      </c>
      <c r="D24" s="52">
        <f>'Ann 10'!C14</f>
        <v>8933758.0679999981</v>
      </c>
      <c r="E24" s="52">
        <f>'Ann 10'!D14</f>
        <v>10217410.876379997</v>
      </c>
      <c r="F24" s="52">
        <f>'Ann 10'!E14</f>
        <v>11599634.305038596</v>
      </c>
      <c r="G24" s="52">
        <f>'Ann 10'!F14</f>
        <v>13088541.25061959</v>
      </c>
      <c r="H24" s="52">
        <f>'Ann 10'!G14</f>
        <v>14692735.233163364</v>
      </c>
      <c r="I24" s="52">
        <f>'Ann 10'!H14</f>
        <v>15595035.360955006</v>
      </c>
      <c r="J24" s="52">
        <f>'Ann 10'!I14</f>
        <v>16525428.60088525</v>
      </c>
      <c r="K24" s="52">
        <f>'Ann 10'!J14</f>
        <v>17476798.610667698</v>
      </c>
    </row>
    <row r="25" spans="1:11" x14ac:dyDescent="0.6">
      <c r="A25" s="22"/>
      <c r="B25" s="53" t="s">
        <v>157</v>
      </c>
      <c r="C25" s="52">
        <f>C23-C24</f>
        <v>18079710.25</v>
      </c>
      <c r="D25" s="52">
        <f>D23-D24</f>
        <v>20845435.491999999</v>
      </c>
      <c r="E25" s="52">
        <f t="shared" ref="E25:K25" si="9">E23-E24</f>
        <v>23840625.378219992</v>
      </c>
      <c r="F25" s="52">
        <f t="shared" si="9"/>
        <v>27065813.378423393</v>
      </c>
      <c r="G25" s="52">
        <f t="shared" si="9"/>
        <v>30539929.584779046</v>
      </c>
      <c r="H25" s="52">
        <f t="shared" si="9"/>
        <v>34283048.877381183</v>
      </c>
      <c r="I25" s="52">
        <f t="shared" si="9"/>
        <v>36388415.842228346</v>
      </c>
      <c r="J25" s="52">
        <f t="shared" si="9"/>
        <v>38559333.402065583</v>
      </c>
      <c r="K25" s="52">
        <f t="shared" si="9"/>
        <v>40779196.758224636</v>
      </c>
    </row>
    <row r="26" spans="1:11" x14ac:dyDescent="0.6">
      <c r="A26" s="22"/>
      <c r="B26" s="53" t="s">
        <v>158</v>
      </c>
      <c r="C26" s="52">
        <f>C25*80%</f>
        <v>14463768.200000001</v>
      </c>
      <c r="D26" s="52">
        <f t="shared" ref="D26:K26" si="10">D25*80%</f>
        <v>16676348.3936</v>
      </c>
      <c r="E26" s="52">
        <f t="shared" si="10"/>
        <v>19072500.302575994</v>
      </c>
      <c r="F26" s="52">
        <f t="shared" si="10"/>
        <v>21652650.702738717</v>
      </c>
      <c r="G26" s="52">
        <f t="shared" si="10"/>
        <v>24431943.66782324</v>
      </c>
      <c r="H26" s="52">
        <f t="shared" si="10"/>
        <v>27426439.101904947</v>
      </c>
      <c r="I26" s="52">
        <f t="shared" si="10"/>
        <v>29110732.673782676</v>
      </c>
      <c r="J26" s="52">
        <f t="shared" si="10"/>
        <v>30847466.721652467</v>
      </c>
      <c r="K26" s="52">
        <f t="shared" si="10"/>
        <v>32623357.406579711</v>
      </c>
    </row>
    <row r="27" spans="1:11" x14ac:dyDescent="0.6">
      <c r="A27" s="22"/>
      <c r="B27" s="53" t="s">
        <v>168</v>
      </c>
      <c r="C27" s="52">
        <f>C25-C26</f>
        <v>3615942.0499999989</v>
      </c>
      <c r="D27" s="52">
        <f t="shared" ref="D27:K27" si="11">D25-D26</f>
        <v>4169087.0983999986</v>
      </c>
      <c r="E27" s="52">
        <f t="shared" si="11"/>
        <v>4768125.0756439976</v>
      </c>
      <c r="F27" s="52">
        <f t="shared" si="11"/>
        <v>5413162.6756846756</v>
      </c>
      <c r="G27" s="52">
        <f t="shared" si="11"/>
        <v>6107985.9169558063</v>
      </c>
      <c r="H27" s="52">
        <f t="shared" si="11"/>
        <v>6856609.7754762359</v>
      </c>
      <c r="I27" s="52">
        <f t="shared" si="11"/>
        <v>7277683.1684456691</v>
      </c>
      <c r="J27" s="52">
        <f t="shared" si="11"/>
        <v>7711866.6804131158</v>
      </c>
      <c r="K27" s="52">
        <f t="shared" si="11"/>
        <v>8155839.3516449258</v>
      </c>
    </row>
    <row r="29" spans="1:11" x14ac:dyDescent="0.6">
      <c r="A29" s="21" t="s">
        <v>239</v>
      </c>
    </row>
    <row r="30" spans="1:11" x14ac:dyDescent="0.6">
      <c r="A30" s="21" t="s">
        <v>211</v>
      </c>
    </row>
    <row r="31" spans="1:11" x14ac:dyDescent="0.6">
      <c r="B31" s="21" t="s">
        <v>240</v>
      </c>
      <c r="C31" s="21">
        <v>20000</v>
      </c>
      <c r="D31" s="21">
        <f>C31*1.05</f>
        <v>21000</v>
      </c>
      <c r="E31" s="21">
        <f>D31*1.05</f>
        <v>22050</v>
      </c>
      <c r="F31" s="21">
        <f>E31*1.05</f>
        <v>23152.5</v>
      </c>
      <c r="G31" s="21">
        <f>F31*1.05</f>
        <v>24310.125</v>
      </c>
      <c r="H31" s="21">
        <f t="shared" ref="H31" si="12">G31*1.05</f>
        <v>25525.631250000002</v>
      </c>
      <c r="I31" s="21">
        <f>H31</f>
        <v>25525.631250000002</v>
      </c>
      <c r="J31" s="21">
        <f t="shared" ref="J31:K31" si="13">I31</f>
        <v>25525.631250000002</v>
      </c>
      <c r="K31" s="21">
        <f t="shared" si="13"/>
        <v>25525.631250000002</v>
      </c>
    </row>
    <row r="32" spans="1:11" x14ac:dyDescent="0.6">
      <c r="B32" s="21" t="s">
        <v>119</v>
      </c>
      <c r="C32" s="21">
        <f>C31*12</f>
        <v>240000</v>
      </c>
      <c r="D32" s="21">
        <f t="shared" ref="D32:K32" si="14">D31*12</f>
        <v>252000</v>
      </c>
      <c r="E32" s="21">
        <f t="shared" si="14"/>
        <v>264600</v>
      </c>
      <c r="F32" s="21">
        <f t="shared" si="14"/>
        <v>277830</v>
      </c>
      <c r="G32" s="21">
        <f t="shared" si="14"/>
        <v>291721.5</v>
      </c>
      <c r="H32" s="21">
        <f t="shared" si="14"/>
        <v>306307.57500000001</v>
      </c>
      <c r="I32" s="21">
        <f t="shared" si="14"/>
        <v>306307.57500000001</v>
      </c>
      <c r="J32" s="21">
        <f t="shared" si="14"/>
        <v>306307.57500000001</v>
      </c>
      <c r="K32" s="21">
        <f t="shared" si="14"/>
        <v>306307.57500000001</v>
      </c>
    </row>
    <row r="33" spans="1:1" x14ac:dyDescent="0.6">
      <c r="A33" s="21" t="s">
        <v>216</v>
      </c>
    </row>
    <row r="34" spans="1:1" x14ac:dyDescent="0.6">
      <c r="A34" s="21" t="s">
        <v>275</v>
      </c>
    </row>
    <row r="35" spans="1:1" x14ac:dyDescent="0.6">
      <c r="A35" s="21" t="s">
        <v>274</v>
      </c>
    </row>
  </sheetData>
  <mergeCells count="3">
    <mergeCell ref="C3:K3"/>
    <mergeCell ref="B3:B4"/>
    <mergeCell ref="A3:A4"/>
  </mergeCells>
  <pageMargins left="0.7" right="0.7" top="0.75" bottom="0.75" header="0.3" footer="0.3"/>
  <pageSetup scale="65" orientation="landscape" r:id="rId1"/>
  <ignoredErrors>
    <ignoredError sqref="C17:D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C10C-E414-4E29-98C1-5FAEC5C52CAE}">
  <sheetPr>
    <pageSetUpPr fitToPage="1"/>
  </sheetPr>
  <dimension ref="A1:M52"/>
  <sheetViews>
    <sheetView tabSelected="1" workbookViewId="0">
      <selection activeCell="B54" sqref="B54"/>
    </sheetView>
  </sheetViews>
  <sheetFormatPr defaultRowHeight="17" x14ac:dyDescent="0.6"/>
  <cols>
    <col min="1" max="1" width="8.7265625" style="21"/>
    <col min="2" max="2" width="28.26953125" style="21" customWidth="1"/>
    <col min="3" max="3" width="15.6328125" style="21" bestFit="1" customWidth="1"/>
    <col min="4" max="10" width="13.7265625" style="21" bestFit="1" customWidth="1"/>
    <col min="11" max="11" width="13.6328125" style="21" bestFit="1" customWidth="1"/>
    <col min="12" max="12" width="10" style="21" bestFit="1" customWidth="1"/>
    <col min="13" max="16384" width="8.7265625" style="21"/>
  </cols>
  <sheetData>
    <row r="1" spans="1:11" x14ac:dyDescent="0.6">
      <c r="A1" s="20" t="s">
        <v>169</v>
      </c>
    </row>
    <row r="3" spans="1:11" x14ac:dyDescent="0.6">
      <c r="A3" s="21" t="s">
        <v>170</v>
      </c>
    </row>
    <row r="5" spans="1:11" x14ac:dyDescent="0.6">
      <c r="A5" s="99" t="s">
        <v>83</v>
      </c>
      <c r="B5" s="99" t="s">
        <v>84</v>
      </c>
      <c r="C5" s="98" t="s">
        <v>94</v>
      </c>
      <c r="D5" s="98"/>
      <c r="E5" s="98"/>
      <c r="F5" s="98"/>
      <c r="G5" s="98"/>
      <c r="H5" s="98"/>
      <c r="I5" s="98"/>
      <c r="J5" s="98"/>
      <c r="K5" s="98"/>
    </row>
    <row r="6" spans="1:11" x14ac:dyDescent="0.6">
      <c r="A6" s="99"/>
      <c r="B6" s="99"/>
      <c r="C6" s="54" t="s">
        <v>85</v>
      </c>
      <c r="D6" s="54" t="s">
        <v>86</v>
      </c>
      <c r="E6" s="54" t="s">
        <v>87</v>
      </c>
      <c r="F6" s="54" t="s">
        <v>88</v>
      </c>
      <c r="G6" s="54" t="s">
        <v>89</v>
      </c>
      <c r="H6" s="54" t="s">
        <v>90</v>
      </c>
      <c r="I6" s="54" t="s">
        <v>91</v>
      </c>
      <c r="J6" s="54" t="s">
        <v>92</v>
      </c>
      <c r="K6" s="54" t="s">
        <v>93</v>
      </c>
    </row>
    <row r="7" spans="1:11" x14ac:dyDescent="0.6">
      <c r="A7" s="55" t="s">
        <v>205</v>
      </c>
      <c r="B7" s="56" t="s">
        <v>171</v>
      </c>
      <c r="C7" s="57"/>
      <c r="D7" s="57"/>
      <c r="E7" s="58"/>
      <c r="F7" s="58"/>
      <c r="G7" s="58"/>
      <c r="H7" s="58"/>
      <c r="I7" s="58"/>
      <c r="J7" s="58"/>
      <c r="K7" s="58"/>
    </row>
    <row r="8" spans="1:11" x14ac:dyDescent="0.6">
      <c r="A8" s="44">
        <v>1</v>
      </c>
      <c r="B8" s="27" t="s">
        <v>172</v>
      </c>
      <c r="C8" s="29"/>
      <c r="D8" s="29"/>
      <c r="E8" s="30"/>
      <c r="F8" s="30"/>
      <c r="G8" s="30"/>
      <c r="H8" s="30"/>
      <c r="I8" s="30"/>
      <c r="J8" s="30"/>
      <c r="K8" s="30"/>
    </row>
    <row r="9" spans="1:11" x14ac:dyDescent="0.6">
      <c r="A9" s="44"/>
      <c r="B9" s="27" t="s">
        <v>173</v>
      </c>
      <c r="C9" s="59">
        <f>'Ann 9'!C6+'Ann 9'!D6+'Ann 9'!E6</f>
        <v>15963000</v>
      </c>
      <c r="D9" s="60">
        <f>C11</f>
        <v>14366700</v>
      </c>
      <c r="E9" s="33">
        <f t="shared" ref="E9:K9" si="0">D11</f>
        <v>12930030</v>
      </c>
      <c r="F9" s="33">
        <f t="shared" si="0"/>
        <v>11637027</v>
      </c>
      <c r="G9" s="33">
        <f t="shared" si="0"/>
        <v>10473324.300000001</v>
      </c>
      <c r="H9" s="33">
        <f t="shared" si="0"/>
        <v>9425991.870000001</v>
      </c>
      <c r="I9" s="33">
        <f t="shared" si="0"/>
        <v>8483392.6830000002</v>
      </c>
      <c r="J9" s="33">
        <f t="shared" si="0"/>
        <v>7635053.4146999996</v>
      </c>
      <c r="K9" s="33">
        <f t="shared" si="0"/>
        <v>6871548.0732299993</v>
      </c>
    </row>
    <row r="10" spans="1:11" x14ac:dyDescent="0.6">
      <c r="A10" s="44"/>
      <c r="B10" s="27" t="s">
        <v>174</v>
      </c>
      <c r="C10" s="59">
        <f>'Ann 9'!C12+'Ann 9'!D12+'Ann 9'!E12</f>
        <v>1596300</v>
      </c>
      <c r="D10" s="60">
        <f>'Ann 9'!C13+'Ann 9'!D13+'Ann 9'!E13</f>
        <v>1436670</v>
      </c>
      <c r="E10" s="33">
        <f>'Ann 9'!C14+'Ann 9'!D14+'Ann 9'!E14</f>
        <v>1293003</v>
      </c>
      <c r="F10" s="33">
        <f>'Ann 9'!C15+'Ann 9'!D15+'Ann 9'!E15</f>
        <v>1163702.7</v>
      </c>
      <c r="G10" s="33">
        <f>'Ann 9'!C16+'Ann 9'!D16+'Ann 9'!E16</f>
        <v>1047332.4300000002</v>
      </c>
      <c r="H10" s="33">
        <f>'Ann 9'!C17+'Ann 9'!D17+'Ann 9'!E17</f>
        <v>942599.18700000015</v>
      </c>
      <c r="I10" s="33">
        <f>+'Ann 9'!C18+'Ann 9'!D18+'Ann 9'!E18</f>
        <v>848339.26830000011</v>
      </c>
      <c r="J10" s="33">
        <f>'Ann 9'!C19+'Ann 9'!D19+'Ann 9'!E19</f>
        <v>763505.34146999998</v>
      </c>
      <c r="K10" s="33">
        <f>+'Ann 9'!C20+'Ann 9'!D20+'Ann 9'!E20</f>
        <v>687154.80732299993</v>
      </c>
    </row>
    <row r="11" spans="1:11" x14ac:dyDescent="0.6">
      <c r="A11" s="44"/>
      <c r="B11" s="27" t="s">
        <v>175</v>
      </c>
      <c r="C11" s="59">
        <f>C9-C10</f>
        <v>14366700</v>
      </c>
      <c r="D11" s="60">
        <f>D9-D10</f>
        <v>12930030</v>
      </c>
      <c r="E11" s="33">
        <f t="shared" ref="E11:K11" si="1">E9-E10</f>
        <v>11637027</v>
      </c>
      <c r="F11" s="33">
        <f t="shared" si="1"/>
        <v>10473324.300000001</v>
      </c>
      <c r="G11" s="33">
        <f t="shared" si="1"/>
        <v>9425991.870000001</v>
      </c>
      <c r="H11" s="33">
        <f t="shared" si="1"/>
        <v>8483392.6830000002</v>
      </c>
      <c r="I11" s="33">
        <f t="shared" si="1"/>
        <v>7635053.4146999996</v>
      </c>
      <c r="J11" s="33">
        <f t="shared" si="1"/>
        <v>6871548.0732299993</v>
      </c>
      <c r="K11" s="33">
        <f t="shared" si="1"/>
        <v>6184393.2659069989</v>
      </c>
    </row>
    <row r="12" spans="1:11" x14ac:dyDescent="0.6">
      <c r="A12" s="44">
        <v>2</v>
      </c>
      <c r="B12" s="27" t="s">
        <v>176</v>
      </c>
      <c r="C12" s="59">
        <f>'Ann 4'!C13*30/360</f>
        <v>2510890</v>
      </c>
      <c r="D12" s="59">
        <f>'Ann 4'!D13*30/360</f>
        <v>2825588.2133333329</v>
      </c>
      <c r="E12" s="59">
        <f>'Ann 4'!E13*30/360</f>
        <v>3167307.7878833329</v>
      </c>
      <c r="F12" s="59">
        <f>'Ann 4'!F13*30/360</f>
        <v>3538069.1112884991</v>
      </c>
      <c r="G12" s="59">
        <f>'Ann 4'!G13*30/360</f>
        <v>3940033.0742098861</v>
      </c>
      <c r="H12" s="59">
        <f>'Ann 4'!H13*30/360</f>
        <v>4375510.4139909791</v>
      </c>
      <c r="I12" s="59">
        <f>'Ann 4'!I13*30/360</f>
        <v>4616163.4867604822</v>
      </c>
      <c r="J12" s="59">
        <f>'Ann 4'!J13*30/360</f>
        <v>4870052.4785323087</v>
      </c>
      <c r="K12" s="59">
        <f>'Ann 4'!K13*30/360</f>
        <v>5137905.3648515856</v>
      </c>
    </row>
    <row r="13" spans="1:11" x14ac:dyDescent="0.6">
      <c r="A13" s="44">
        <v>3</v>
      </c>
      <c r="B13" s="27" t="s">
        <v>177</v>
      </c>
      <c r="C13" s="61">
        <f>'Cash flows'!B16</f>
        <v>2170685.383333331</v>
      </c>
      <c r="D13" s="61">
        <f>'Cash flows'!C16</f>
        <v>5260410.9350666646</v>
      </c>
      <c r="E13" s="61">
        <f>'Cash flows'!D16</f>
        <v>8778499.4361606576</v>
      </c>
      <c r="F13" s="61">
        <f>'Cash flows'!E16</f>
        <v>12783297.088440165</v>
      </c>
      <c r="G13" s="61">
        <f>'Cash flows'!F16</f>
        <v>17335358.944474578</v>
      </c>
      <c r="H13" s="61">
        <f>'Cash flows'!G16</f>
        <v>22497812.188609716</v>
      </c>
      <c r="I13" s="61">
        <f>'Cash flows'!H16</f>
        <v>28181917.606454674</v>
      </c>
      <c r="J13" s="61">
        <f>'Cash flows'!I16</f>
        <v>36404151.411512151</v>
      </c>
      <c r="K13" s="61">
        <f>'Cash flows'!J16</f>
        <v>44980058.47460591</v>
      </c>
    </row>
    <row r="14" spans="1:11" x14ac:dyDescent="0.6">
      <c r="A14" s="44"/>
      <c r="B14" s="27" t="s">
        <v>185</v>
      </c>
      <c r="C14" s="59">
        <f t="shared" ref="C14:K14" si="2">SUM(C11:C13)</f>
        <v>19048275.383333333</v>
      </c>
      <c r="D14" s="59">
        <f t="shared" si="2"/>
        <v>21016029.148399998</v>
      </c>
      <c r="E14" s="62">
        <f t="shared" si="2"/>
        <v>23582834.224043991</v>
      </c>
      <c r="F14" s="62">
        <f t="shared" si="2"/>
        <v>26794690.499728665</v>
      </c>
      <c r="G14" s="62">
        <f t="shared" si="2"/>
        <v>30701383.888684466</v>
      </c>
      <c r="H14" s="62">
        <f t="shared" si="2"/>
        <v>35356715.285600692</v>
      </c>
      <c r="I14" s="62">
        <f t="shared" si="2"/>
        <v>40433134.507915154</v>
      </c>
      <c r="J14" s="62">
        <f t="shared" si="2"/>
        <v>48145751.963274464</v>
      </c>
      <c r="K14" s="62">
        <f t="shared" si="2"/>
        <v>56302357.105364494</v>
      </c>
    </row>
    <row r="15" spans="1:11" x14ac:dyDescent="0.6">
      <c r="A15" s="44"/>
      <c r="B15" s="27"/>
      <c r="C15" s="59"/>
      <c r="D15" s="59"/>
      <c r="E15" s="62"/>
      <c r="F15" s="62"/>
      <c r="G15" s="62"/>
      <c r="H15" s="62"/>
      <c r="I15" s="62"/>
      <c r="J15" s="62"/>
      <c r="K15" s="62"/>
    </row>
    <row r="16" spans="1:11" x14ac:dyDescent="0.6">
      <c r="A16" s="44" t="s">
        <v>206</v>
      </c>
      <c r="B16" s="26" t="s">
        <v>178</v>
      </c>
      <c r="C16" s="29"/>
      <c r="D16" s="29"/>
      <c r="E16" s="30"/>
      <c r="F16" s="30"/>
      <c r="G16" s="30"/>
      <c r="H16" s="30"/>
      <c r="I16" s="30"/>
      <c r="J16" s="30"/>
      <c r="K16" s="30"/>
    </row>
    <row r="17" spans="1:13" x14ac:dyDescent="0.6">
      <c r="A17" s="44">
        <v>1</v>
      </c>
      <c r="B17" s="27" t="s">
        <v>179</v>
      </c>
      <c r="C17" s="61">
        <f>'Ann 2'!C4*100000</f>
        <v>1650000</v>
      </c>
      <c r="D17" s="61">
        <f>C20</f>
        <v>5265942.0499999989</v>
      </c>
      <c r="E17" s="63">
        <f t="shared" ref="E17:K17" si="3">D20</f>
        <v>9435029.1483999975</v>
      </c>
      <c r="F17" s="63">
        <f t="shared" si="3"/>
        <v>14203154.224043995</v>
      </c>
      <c r="G17" s="63">
        <f t="shared" si="3"/>
        <v>19616316.899728671</v>
      </c>
      <c r="H17" s="63">
        <f t="shared" si="3"/>
        <v>25724302.816684477</v>
      </c>
      <c r="I17" s="63">
        <f t="shared" si="3"/>
        <v>32580912.592160713</v>
      </c>
      <c r="J17" s="63">
        <f t="shared" si="3"/>
        <v>39858595.760606378</v>
      </c>
      <c r="K17" s="63">
        <f t="shared" si="3"/>
        <v>47570462.44101949</v>
      </c>
    </row>
    <row r="18" spans="1:13" x14ac:dyDescent="0.6">
      <c r="A18" s="44"/>
      <c r="B18" s="27" t="s">
        <v>180</v>
      </c>
      <c r="C18" s="61">
        <f>'Ann 4'!C27</f>
        <v>3615942.0499999989</v>
      </c>
      <c r="D18" s="61">
        <f>'Ann 4'!D27</f>
        <v>4169087.0983999986</v>
      </c>
      <c r="E18" s="63">
        <f>'Ann 4'!E27</f>
        <v>4768125.0756439976</v>
      </c>
      <c r="F18" s="63">
        <f>'Ann 4'!F27</f>
        <v>5413162.6756846756</v>
      </c>
      <c r="G18" s="63">
        <f>'Ann 4'!G27</f>
        <v>6107985.9169558063</v>
      </c>
      <c r="H18" s="63">
        <f>'Ann 4'!H27</f>
        <v>6856609.7754762359</v>
      </c>
      <c r="I18" s="63">
        <f>'Ann 4'!I27</f>
        <v>7277683.1684456691</v>
      </c>
      <c r="J18" s="63">
        <f>'Ann 4'!J27</f>
        <v>7711866.6804131158</v>
      </c>
      <c r="K18" s="63">
        <f>'Ann 4'!K27</f>
        <v>8155839.3516449258</v>
      </c>
    </row>
    <row r="19" spans="1:13" x14ac:dyDescent="0.6">
      <c r="A19" s="44"/>
      <c r="B19" s="27" t="s">
        <v>181</v>
      </c>
      <c r="C19" s="61">
        <v>0</v>
      </c>
      <c r="D19" s="61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</row>
    <row r="20" spans="1:13" x14ac:dyDescent="0.6">
      <c r="A20" s="44"/>
      <c r="B20" s="27" t="s">
        <v>182</v>
      </c>
      <c r="C20" s="61">
        <f>C17+C18</f>
        <v>5265942.0499999989</v>
      </c>
      <c r="D20" s="61">
        <f t="shared" ref="D20:K20" si="4">D17+D18</f>
        <v>9435029.1483999975</v>
      </c>
      <c r="E20" s="63">
        <f t="shared" si="4"/>
        <v>14203154.224043995</v>
      </c>
      <c r="F20" s="63">
        <f t="shared" si="4"/>
        <v>19616316.899728671</v>
      </c>
      <c r="G20" s="63">
        <f t="shared" si="4"/>
        <v>25724302.816684477</v>
      </c>
      <c r="H20" s="63">
        <f t="shared" si="4"/>
        <v>32580912.592160713</v>
      </c>
      <c r="I20" s="63">
        <f t="shared" si="4"/>
        <v>39858595.760606378</v>
      </c>
      <c r="J20" s="63">
        <f t="shared" si="4"/>
        <v>47570462.44101949</v>
      </c>
      <c r="K20" s="63">
        <f t="shared" si="4"/>
        <v>55726301.792664416</v>
      </c>
    </row>
    <row r="21" spans="1:13" x14ac:dyDescent="0.6">
      <c r="A21" s="44">
        <v>2</v>
      </c>
      <c r="B21" s="27" t="s">
        <v>183</v>
      </c>
      <c r="C21" s="61">
        <f>'Ann 13'!C13*100000</f>
        <v>13212000</v>
      </c>
      <c r="D21" s="61">
        <f>'Ann 13'!C17*100000</f>
        <v>11010000.000000002</v>
      </c>
      <c r="E21" s="61">
        <f>'Ann 13'!C21*100000</f>
        <v>8808000.0000000037</v>
      </c>
      <c r="F21" s="61">
        <f>'Ann 13'!C25*100000</f>
        <v>6606000.0000000056</v>
      </c>
      <c r="G21" s="63">
        <f>('Ann 13'!C28-'Ann 13'!D28)*100000</f>
        <v>4404000.0000000047</v>
      </c>
      <c r="H21" s="63">
        <f>('Ann 13'!C32-'Ann 13'!D32)*100000</f>
        <v>2202000.0000000047</v>
      </c>
      <c r="I21" s="63">
        <v>0</v>
      </c>
      <c r="J21" s="63">
        <v>0</v>
      </c>
      <c r="K21" s="63">
        <v>0</v>
      </c>
    </row>
    <row r="22" spans="1:13" x14ac:dyDescent="0.6">
      <c r="A22" s="44">
        <v>3</v>
      </c>
      <c r="B22" s="64" t="s">
        <v>223</v>
      </c>
      <c r="C22" s="61">
        <f>'Ann 1'!$C$22*100000</f>
        <v>537000</v>
      </c>
      <c r="D22" s="61">
        <f>'Ann 1'!$C$22*100000</f>
        <v>537000</v>
      </c>
      <c r="E22" s="61">
        <f>'Ann 1'!$C$22*100000</f>
        <v>537000</v>
      </c>
      <c r="F22" s="61">
        <f>'Ann 1'!$C$22*100000</f>
        <v>537000</v>
      </c>
      <c r="G22" s="61">
        <f>'Ann 1'!$C$22*100000</f>
        <v>537000</v>
      </c>
      <c r="H22" s="61">
        <f>'Ann 1'!$C$22*100000</f>
        <v>537000</v>
      </c>
      <c r="I22" s="61">
        <f>'Ann 1'!$C$22*100000</f>
        <v>537000</v>
      </c>
      <c r="J22" s="61">
        <f>'Ann 1'!$C$22*100000</f>
        <v>537000</v>
      </c>
      <c r="K22" s="61">
        <f>'Ann 1'!$C$22*100000</f>
        <v>537000</v>
      </c>
    </row>
    <row r="23" spans="1:13" x14ac:dyDescent="0.6">
      <c r="A23" s="44">
        <v>4</v>
      </c>
      <c r="B23" s="64" t="s">
        <v>217</v>
      </c>
      <c r="C23" s="61">
        <f>'Ann 4'!C9*60/360</f>
        <v>33333.333333333336</v>
      </c>
      <c r="D23" s="61">
        <f>'Ann 4'!D9*60/360</f>
        <v>34000</v>
      </c>
      <c r="E23" s="61">
        <f>'Ann 4'!E9*60/360</f>
        <v>34680</v>
      </c>
      <c r="F23" s="61">
        <f>'Ann 4'!F9*60/360</f>
        <v>35373.599999999999</v>
      </c>
      <c r="G23" s="61">
        <f>'Ann 4'!G9*60/360</f>
        <v>36081.072</v>
      </c>
      <c r="H23" s="61">
        <f>'Ann 4'!H9*60/360</f>
        <v>36802.693440000003</v>
      </c>
      <c r="I23" s="61">
        <f>'Ann 4'!I9*60/360</f>
        <v>37538.747308800004</v>
      </c>
      <c r="J23" s="61">
        <f>'Ann 4'!J9*60/360</f>
        <v>38289.522254976007</v>
      </c>
      <c r="K23" s="61">
        <f>'Ann 4'!K9*60/360</f>
        <v>39055.312700075519</v>
      </c>
    </row>
    <row r="24" spans="1:13" x14ac:dyDescent="0.6">
      <c r="A24" s="44"/>
      <c r="B24" s="27" t="s">
        <v>184</v>
      </c>
      <c r="C24" s="59">
        <f t="shared" ref="C24:K24" si="5">SUM(C20:C23)</f>
        <v>19048275.383333329</v>
      </c>
      <c r="D24" s="59">
        <f t="shared" si="5"/>
        <v>21016029.148400001</v>
      </c>
      <c r="E24" s="59">
        <f t="shared" si="5"/>
        <v>23582834.224043999</v>
      </c>
      <c r="F24" s="59">
        <f t="shared" si="5"/>
        <v>26794690.49972868</v>
      </c>
      <c r="G24" s="59">
        <f t="shared" si="5"/>
        <v>30701383.888684481</v>
      </c>
      <c r="H24" s="59">
        <f t="shared" si="5"/>
        <v>35356715.285600714</v>
      </c>
      <c r="I24" s="59">
        <f t="shared" si="5"/>
        <v>40433134.507915176</v>
      </c>
      <c r="J24" s="59">
        <f t="shared" si="5"/>
        <v>48145751.963274464</v>
      </c>
      <c r="K24" s="59">
        <f t="shared" si="5"/>
        <v>56302357.105364494</v>
      </c>
    </row>
    <row r="25" spans="1:13" x14ac:dyDescent="0.6">
      <c r="A25" s="44"/>
      <c r="B25" s="27"/>
      <c r="C25" s="59"/>
      <c r="D25" s="59"/>
      <c r="E25" s="59"/>
      <c r="F25" s="59"/>
      <c r="G25" s="59"/>
      <c r="H25" s="59"/>
      <c r="I25" s="59"/>
      <c r="J25" s="59"/>
      <c r="K25" s="59"/>
      <c r="L25" s="65"/>
      <c r="M25" s="27"/>
    </row>
    <row r="26" spans="1:13" x14ac:dyDescent="0.6">
      <c r="A26" s="73"/>
      <c r="B26" s="74" t="s">
        <v>186</v>
      </c>
      <c r="C26" s="75"/>
      <c r="D26" s="75"/>
      <c r="E26" s="76"/>
      <c r="F26" s="76"/>
      <c r="G26" s="76"/>
      <c r="H26" s="76"/>
      <c r="I26" s="76"/>
      <c r="J26" s="76"/>
      <c r="K26" s="76"/>
    </row>
    <row r="27" spans="1:13" x14ac:dyDescent="0.6">
      <c r="A27" s="44"/>
      <c r="B27" s="27" t="s">
        <v>187</v>
      </c>
      <c r="C27" s="59">
        <f t="shared" ref="C27:K27" si="6">SUM(C12:C13)</f>
        <v>4681575.383333331</v>
      </c>
      <c r="D27" s="59">
        <f t="shared" si="6"/>
        <v>8085999.1483999975</v>
      </c>
      <c r="E27" s="62">
        <f t="shared" si="6"/>
        <v>11945807.224043991</v>
      </c>
      <c r="F27" s="62">
        <f t="shared" si="6"/>
        <v>16321366.199728664</v>
      </c>
      <c r="G27" s="62">
        <f t="shared" si="6"/>
        <v>21275392.018684465</v>
      </c>
      <c r="H27" s="62">
        <f t="shared" si="6"/>
        <v>26873322.602600694</v>
      </c>
      <c r="I27" s="62">
        <f t="shared" si="6"/>
        <v>32798081.093215156</v>
      </c>
      <c r="J27" s="62">
        <f t="shared" si="6"/>
        <v>41274203.890044458</v>
      </c>
      <c r="K27" s="62">
        <f t="shared" si="6"/>
        <v>50117963.839457497</v>
      </c>
    </row>
    <row r="28" spans="1:13" x14ac:dyDescent="0.6">
      <c r="A28" s="44"/>
      <c r="B28" s="27" t="s">
        <v>188</v>
      </c>
      <c r="C28" s="59">
        <f>C23+C22</f>
        <v>570333.33333333337</v>
      </c>
      <c r="D28" s="59">
        <f t="shared" ref="D28:K28" si="7">D23+D22</f>
        <v>571000</v>
      </c>
      <c r="E28" s="59">
        <f t="shared" si="7"/>
        <v>571680</v>
      </c>
      <c r="F28" s="59">
        <f t="shared" si="7"/>
        <v>572373.6</v>
      </c>
      <c r="G28" s="59">
        <f t="shared" si="7"/>
        <v>573081.07200000004</v>
      </c>
      <c r="H28" s="59">
        <f t="shared" si="7"/>
        <v>573802.69344000006</v>
      </c>
      <c r="I28" s="59">
        <f t="shared" si="7"/>
        <v>574538.7473088</v>
      </c>
      <c r="J28" s="59">
        <f t="shared" si="7"/>
        <v>575289.52225497598</v>
      </c>
      <c r="K28" s="59">
        <f t="shared" si="7"/>
        <v>576055.31270007556</v>
      </c>
    </row>
    <row r="29" spans="1:13" x14ac:dyDescent="0.6">
      <c r="A29" s="44"/>
      <c r="B29" s="27" t="s">
        <v>194</v>
      </c>
      <c r="C29" s="29">
        <f>C27/C28</f>
        <v>8.2084898597311469</v>
      </c>
      <c r="D29" s="29">
        <f>D27/D28</f>
        <v>14.161119349211905</v>
      </c>
      <c r="E29" s="30">
        <f t="shared" ref="E29:K29" si="8">E27/E28</f>
        <v>20.895968415973957</v>
      </c>
      <c r="F29" s="30">
        <f t="shared" si="8"/>
        <v>28.515232358251087</v>
      </c>
      <c r="G29" s="30">
        <f t="shared" si="8"/>
        <v>37.124576361308378</v>
      </c>
      <c r="H29" s="30">
        <f t="shared" si="8"/>
        <v>46.83373380750907</v>
      </c>
      <c r="I29" s="30">
        <f t="shared" si="8"/>
        <v>57.085934146034226</v>
      </c>
      <c r="J29" s="30">
        <f t="shared" si="8"/>
        <v>71.745099281942387</v>
      </c>
      <c r="K29" s="30">
        <f t="shared" si="8"/>
        <v>87.001999173561174</v>
      </c>
    </row>
    <row r="30" spans="1:13" x14ac:dyDescent="0.6">
      <c r="A30" s="44"/>
      <c r="B30" s="27"/>
      <c r="C30" s="29"/>
      <c r="D30" s="29"/>
      <c r="E30" s="30"/>
      <c r="F30" s="30">
        <f>AVERAGE(C29:K29)</f>
        <v>41.285794750391482</v>
      </c>
      <c r="G30" s="30"/>
      <c r="H30" s="30"/>
      <c r="I30" s="30"/>
      <c r="J30" s="30"/>
      <c r="K30" s="30"/>
    </row>
    <row r="31" spans="1:13" x14ac:dyDescent="0.6">
      <c r="A31" s="73"/>
      <c r="B31" s="74" t="s">
        <v>191</v>
      </c>
      <c r="C31" s="75"/>
      <c r="D31" s="75"/>
      <c r="E31" s="76"/>
      <c r="F31" s="76"/>
      <c r="G31" s="76"/>
      <c r="H31" s="76"/>
      <c r="I31" s="76"/>
      <c r="J31" s="76"/>
      <c r="K31" s="76"/>
    </row>
    <row r="32" spans="1:13" x14ac:dyDescent="0.6">
      <c r="A32" s="44"/>
      <c r="B32" s="27" t="s">
        <v>192</v>
      </c>
      <c r="C32" s="59">
        <f>C21+C22</f>
        <v>13749000</v>
      </c>
      <c r="D32" s="59">
        <f t="shared" ref="D32:K32" si="9">D21+D22</f>
        <v>11547000.000000002</v>
      </c>
      <c r="E32" s="59">
        <f t="shared" si="9"/>
        <v>9345000.0000000037</v>
      </c>
      <c r="F32" s="59">
        <f t="shared" si="9"/>
        <v>7143000.0000000056</v>
      </c>
      <c r="G32" s="59">
        <f t="shared" si="9"/>
        <v>4941000.0000000047</v>
      </c>
      <c r="H32" s="59">
        <f t="shared" si="9"/>
        <v>2739000.0000000047</v>
      </c>
      <c r="I32" s="59">
        <f t="shared" si="9"/>
        <v>537000</v>
      </c>
      <c r="J32" s="59">
        <f t="shared" si="9"/>
        <v>537000</v>
      </c>
      <c r="K32" s="59">
        <f t="shared" si="9"/>
        <v>537000</v>
      </c>
    </row>
    <row r="33" spans="1:11" x14ac:dyDescent="0.6">
      <c r="A33" s="44"/>
      <c r="B33" s="27" t="s">
        <v>193</v>
      </c>
      <c r="C33" s="59">
        <f t="shared" ref="C33:K33" si="10">C20</f>
        <v>5265942.0499999989</v>
      </c>
      <c r="D33" s="59">
        <f t="shared" si="10"/>
        <v>9435029.1483999975</v>
      </c>
      <c r="E33" s="62">
        <f t="shared" si="10"/>
        <v>14203154.224043995</v>
      </c>
      <c r="F33" s="62">
        <f t="shared" si="10"/>
        <v>19616316.899728671</v>
      </c>
      <c r="G33" s="62">
        <f t="shared" si="10"/>
        <v>25724302.816684477</v>
      </c>
      <c r="H33" s="62">
        <f t="shared" si="10"/>
        <v>32580912.592160713</v>
      </c>
      <c r="I33" s="62">
        <f t="shared" si="10"/>
        <v>39858595.760606378</v>
      </c>
      <c r="J33" s="62">
        <f t="shared" si="10"/>
        <v>47570462.44101949</v>
      </c>
      <c r="K33" s="62">
        <f t="shared" si="10"/>
        <v>55726301.792664416</v>
      </c>
    </row>
    <row r="34" spans="1:11" x14ac:dyDescent="0.6">
      <c r="A34" s="44"/>
      <c r="B34" s="27" t="s">
        <v>194</v>
      </c>
      <c r="C34" s="29">
        <f>C32/C33</f>
        <v>2.6109288460551903</v>
      </c>
      <c r="D34" s="29">
        <f t="shared" ref="D34:K34" si="11">D32/D33</f>
        <v>1.2238435958576932</v>
      </c>
      <c r="E34" s="30">
        <f t="shared" si="11"/>
        <v>0.65795244159076993</v>
      </c>
      <c r="F34" s="30">
        <f t="shared" si="11"/>
        <v>0.36413563445739433</v>
      </c>
      <c r="G34" s="30">
        <f t="shared" si="11"/>
        <v>0.19207517635017618</v>
      </c>
      <c r="H34" s="30">
        <f t="shared" si="11"/>
        <v>8.4067626781548013E-2</v>
      </c>
      <c r="I34" s="62">
        <f t="shared" si="11"/>
        <v>1.3472627164922242E-2</v>
      </c>
      <c r="J34" s="62">
        <f t="shared" si="11"/>
        <v>1.1288517547328923E-2</v>
      </c>
      <c r="K34" s="62">
        <f t="shared" si="11"/>
        <v>9.6363832288380649E-3</v>
      </c>
    </row>
    <row r="35" spans="1:11" x14ac:dyDescent="0.6">
      <c r="A35" s="44"/>
      <c r="B35" s="64" t="s">
        <v>207</v>
      </c>
      <c r="C35" s="29"/>
      <c r="D35" s="29"/>
      <c r="E35" s="30"/>
      <c r="F35" s="30">
        <f>AVERAGE(C34:K34)</f>
        <v>0.57415564989265122</v>
      </c>
      <c r="G35" s="30"/>
      <c r="H35" s="30"/>
      <c r="I35" s="62"/>
      <c r="J35" s="62"/>
      <c r="K35" s="62"/>
    </row>
    <row r="36" spans="1:11" x14ac:dyDescent="0.6">
      <c r="A36" s="44"/>
      <c r="B36" s="27"/>
      <c r="C36" s="29"/>
      <c r="D36" s="29"/>
      <c r="E36" s="30"/>
      <c r="F36" s="30"/>
      <c r="G36" s="30"/>
      <c r="H36" s="30"/>
      <c r="I36" s="62"/>
      <c r="J36" s="62"/>
      <c r="K36" s="62"/>
    </row>
    <row r="37" spans="1:11" x14ac:dyDescent="0.6">
      <c r="A37" s="73"/>
      <c r="B37" s="74" t="s">
        <v>208</v>
      </c>
      <c r="C37" s="75"/>
      <c r="D37" s="75"/>
      <c r="E37" s="76"/>
      <c r="F37" s="76"/>
      <c r="G37" s="76"/>
      <c r="H37" s="76"/>
      <c r="I37" s="77"/>
      <c r="J37" s="77"/>
      <c r="K37" s="77"/>
    </row>
    <row r="38" spans="1:11" x14ac:dyDescent="0.6">
      <c r="A38" s="44"/>
      <c r="B38" s="64" t="s">
        <v>209</v>
      </c>
      <c r="C38" s="59">
        <f t="shared" ref="C38:K38" si="12">C11</f>
        <v>14366700</v>
      </c>
      <c r="D38" s="59">
        <f t="shared" si="12"/>
        <v>12930030</v>
      </c>
      <c r="E38" s="59">
        <f t="shared" si="12"/>
        <v>11637027</v>
      </c>
      <c r="F38" s="59">
        <f t="shared" si="12"/>
        <v>10473324.300000001</v>
      </c>
      <c r="G38" s="59">
        <f t="shared" si="12"/>
        <v>9425991.870000001</v>
      </c>
      <c r="H38" s="59">
        <f t="shared" si="12"/>
        <v>8483392.6830000002</v>
      </c>
      <c r="I38" s="59">
        <f t="shared" si="12"/>
        <v>7635053.4146999996</v>
      </c>
      <c r="J38" s="59">
        <f t="shared" si="12"/>
        <v>6871548.0732299993</v>
      </c>
      <c r="K38" s="59">
        <f t="shared" si="12"/>
        <v>6184393.2659069989</v>
      </c>
    </row>
    <row r="39" spans="1:11" x14ac:dyDescent="0.6">
      <c r="A39" s="44"/>
      <c r="B39" s="64" t="s">
        <v>192</v>
      </c>
      <c r="C39" s="59">
        <f>C21+C22</f>
        <v>13749000</v>
      </c>
      <c r="D39" s="59">
        <f t="shared" ref="D39:K39" si="13">D21+D22</f>
        <v>11547000.000000002</v>
      </c>
      <c r="E39" s="59">
        <f t="shared" si="13"/>
        <v>9345000.0000000037</v>
      </c>
      <c r="F39" s="59">
        <f t="shared" si="13"/>
        <v>7143000.0000000056</v>
      </c>
      <c r="G39" s="59">
        <f t="shared" si="13"/>
        <v>4941000.0000000047</v>
      </c>
      <c r="H39" s="59">
        <f t="shared" si="13"/>
        <v>2739000.0000000047</v>
      </c>
      <c r="I39" s="59">
        <f t="shared" si="13"/>
        <v>537000</v>
      </c>
      <c r="J39" s="59">
        <f t="shared" si="13"/>
        <v>537000</v>
      </c>
      <c r="K39" s="59">
        <f t="shared" si="13"/>
        <v>537000</v>
      </c>
    </row>
    <row r="40" spans="1:11" x14ac:dyDescent="0.6">
      <c r="A40" s="44"/>
      <c r="B40" s="64" t="s">
        <v>203</v>
      </c>
      <c r="C40" s="29">
        <f>C38/C39</f>
        <v>1.0449269037748199</v>
      </c>
      <c r="D40" s="29">
        <f t="shared" ref="D40:K40" si="14">D38/D39</f>
        <v>1.1197739672642244</v>
      </c>
      <c r="E40" s="29">
        <f t="shared" si="14"/>
        <v>1.2452677367576239</v>
      </c>
      <c r="F40" s="29">
        <f t="shared" si="14"/>
        <v>1.4662360772784533</v>
      </c>
      <c r="G40" s="29">
        <f t="shared" si="14"/>
        <v>1.9077093442622934</v>
      </c>
      <c r="H40" s="29">
        <f t="shared" si="14"/>
        <v>3.0972591029572785</v>
      </c>
      <c r="I40" s="29">
        <f t="shared" si="14"/>
        <v>14.21797656368715</v>
      </c>
      <c r="J40" s="29">
        <f t="shared" si="14"/>
        <v>12.796178907318435</v>
      </c>
      <c r="K40" s="29">
        <f t="shared" si="14"/>
        <v>11.516561016586589</v>
      </c>
    </row>
    <row r="41" spans="1:11" x14ac:dyDescent="0.6">
      <c r="A41" s="44"/>
      <c r="B41" s="64" t="s">
        <v>207</v>
      </c>
      <c r="C41" s="29"/>
      <c r="D41" s="29"/>
      <c r="E41" s="30"/>
      <c r="F41" s="30">
        <f>AVERAGE(C40:K40)</f>
        <v>5.3790988466540961</v>
      </c>
      <c r="G41" s="30"/>
      <c r="H41" s="30"/>
      <c r="I41" s="30"/>
      <c r="J41" s="30"/>
      <c r="K41" s="30"/>
    </row>
    <row r="42" spans="1:11" x14ac:dyDescent="0.6">
      <c r="A42" s="44"/>
      <c r="B42" s="27"/>
      <c r="C42" s="29"/>
      <c r="D42" s="29"/>
      <c r="E42" s="30"/>
      <c r="F42" s="30"/>
      <c r="G42" s="30"/>
      <c r="H42" s="30"/>
      <c r="I42" s="62"/>
      <c r="J42" s="62"/>
      <c r="K42" s="62"/>
    </row>
    <row r="43" spans="1:11" x14ac:dyDescent="0.6">
      <c r="A43" s="73"/>
      <c r="B43" s="74" t="s">
        <v>200</v>
      </c>
      <c r="C43" s="75"/>
      <c r="D43" s="75"/>
      <c r="E43" s="76"/>
      <c r="F43" s="76"/>
      <c r="G43" s="76"/>
      <c r="H43" s="76"/>
      <c r="I43" s="77"/>
      <c r="J43" s="77"/>
      <c r="K43" s="77"/>
    </row>
    <row r="44" spans="1:11" x14ac:dyDescent="0.6">
      <c r="A44" s="44"/>
      <c r="B44" s="27" t="s">
        <v>201</v>
      </c>
      <c r="C44" s="61">
        <f>'Ann 4'!C19</f>
        <v>904222.49999999988</v>
      </c>
      <c r="D44" s="61">
        <f>'Ann 4'!D19</f>
        <v>796875.00000000012</v>
      </c>
      <c r="E44" s="61">
        <f>'Ann 4'!E19</f>
        <v>664755.00000000012</v>
      </c>
      <c r="F44" s="61">
        <f>'Ann 4'!F19</f>
        <v>532635.00000000023</v>
      </c>
      <c r="G44" s="61">
        <f>'Ann 4'!G19</f>
        <v>400515.00000000029</v>
      </c>
      <c r="H44" s="61">
        <f>'Ann 4'!H19</f>
        <v>268395.00000000023</v>
      </c>
      <c r="I44" s="61">
        <f>'Ann 4'!I19</f>
        <v>136275.00000000029</v>
      </c>
      <c r="J44" s="61">
        <f>'Ann 4'!J19</f>
        <v>53700</v>
      </c>
      <c r="K44" s="61">
        <f>'Ann 4'!K19</f>
        <v>53700</v>
      </c>
    </row>
    <row r="45" spans="1:11" x14ac:dyDescent="0.6">
      <c r="A45" s="44"/>
      <c r="B45" s="27" t="s">
        <v>204</v>
      </c>
      <c r="C45" s="61">
        <f>SUM('Ann 13'!D9:D12)*100000</f>
        <v>1101000</v>
      </c>
      <c r="D45" s="61">
        <f>SUM('Ann 13'!D13:D16)*100000</f>
        <v>2202000</v>
      </c>
      <c r="E45" s="63">
        <f>SUM('Ann 13'!D17:D20)*100000</f>
        <v>2202000</v>
      </c>
      <c r="F45" s="63">
        <f>SUM('Ann 13'!D21:D24)*100000</f>
        <v>2202000</v>
      </c>
      <c r="G45" s="63">
        <f>SUM('Ann 13'!D25:D28)*100000</f>
        <v>2202000</v>
      </c>
      <c r="H45" s="63">
        <f>SUM('Ann 13'!D29:D32)*100000</f>
        <v>2202000</v>
      </c>
      <c r="I45" s="63">
        <f>SUM('Ann 13'!D33:D36)*100000</f>
        <v>2202000.0000000023</v>
      </c>
      <c r="J45" s="63">
        <v>0</v>
      </c>
      <c r="K45" s="63">
        <v>0</v>
      </c>
    </row>
    <row r="46" spans="1:11" x14ac:dyDescent="0.6">
      <c r="A46" s="44"/>
      <c r="B46" s="27" t="s">
        <v>8</v>
      </c>
      <c r="C46" s="61">
        <f>SUM(C44:C45)</f>
        <v>2005222.5</v>
      </c>
      <c r="D46" s="61">
        <f t="shared" ref="D46:K46" si="15">SUM(D44:D45)</f>
        <v>2998875</v>
      </c>
      <c r="E46" s="63">
        <f t="shared" si="15"/>
        <v>2866755</v>
      </c>
      <c r="F46" s="63">
        <f t="shared" si="15"/>
        <v>2734635</v>
      </c>
      <c r="G46" s="63">
        <f t="shared" si="15"/>
        <v>2602515.0000000005</v>
      </c>
      <c r="H46" s="63">
        <f t="shared" si="15"/>
        <v>2470395</v>
      </c>
      <c r="I46" s="63">
        <f t="shared" si="15"/>
        <v>2338275.0000000028</v>
      </c>
      <c r="J46" s="63">
        <f t="shared" si="15"/>
        <v>53700</v>
      </c>
      <c r="K46" s="63">
        <f t="shared" si="15"/>
        <v>53700</v>
      </c>
    </row>
    <row r="47" spans="1:11" x14ac:dyDescent="0.6">
      <c r="A47" s="44"/>
      <c r="B47" s="27" t="s">
        <v>202</v>
      </c>
      <c r="C47" s="61">
        <f>'Ann 4'!C14</f>
        <v>28328680</v>
      </c>
      <c r="D47" s="61">
        <f>'Ann 4'!D14</f>
        <v>32012738.559999995</v>
      </c>
      <c r="E47" s="63">
        <f>'Ann 4'!E14</f>
        <v>36015794.254599988</v>
      </c>
      <c r="F47" s="63">
        <f>'Ann 4'!F14</f>
        <v>40361785.383461989</v>
      </c>
      <c r="G47" s="63">
        <f>'Ann 4'!G14</f>
        <v>45076318.265398636</v>
      </c>
      <c r="H47" s="63">
        <f>'Ann 4'!H14</f>
        <v>50186778.297544546</v>
      </c>
      <c r="I47" s="63">
        <f>'Ann 4'!I14</f>
        <v>52968065.47148335</v>
      </c>
      <c r="J47" s="63">
        <f>'Ann 4'!J14</f>
        <v>55901967.344420835</v>
      </c>
      <c r="K47" s="63">
        <f>'Ann 4'!K14</f>
        <v>58996850.176215336</v>
      </c>
    </row>
    <row r="48" spans="1:11" x14ac:dyDescent="0.6">
      <c r="A48" s="44"/>
      <c r="B48" s="27" t="s">
        <v>203</v>
      </c>
      <c r="C48" s="29">
        <f>C47/C46</f>
        <v>14.127449696978765</v>
      </c>
      <c r="D48" s="29">
        <f t="shared" ref="D48:K48" si="16">D47/D46</f>
        <v>10.674915946813387</v>
      </c>
      <c r="E48" s="30">
        <f t="shared" si="16"/>
        <v>12.563262034809389</v>
      </c>
      <c r="F48" s="30">
        <f t="shared" si="16"/>
        <v>14.759478096148843</v>
      </c>
      <c r="G48" s="30">
        <f t="shared" si="16"/>
        <v>17.320291435553159</v>
      </c>
      <c r="H48" s="30">
        <f t="shared" si="16"/>
        <v>20.315284923076895</v>
      </c>
      <c r="I48" s="30">
        <f t="shared" si="16"/>
        <v>22.652624465250362</v>
      </c>
      <c r="J48" s="30">
        <f t="shared" si="16"/>
        <v>1041.004978480835</v>
      </c>
      <c r="K48" s="30">
        <f t="shared" si="16"/>
        <v>1098.6378058885537</v>
      </c>
    </row>
    <row r="49" spans="1:11" ht="17.5" thickBot="1" x14ac:dyDescent="0.65">
      <c r="A49" s="69"/>
      <c r="B49" s="70" t="s">
        <v>207</v>
      </c>
      <c r="C49" s="71"/>
      <c r="D49" s="71"/>
      <c r="E49" s="72"/>
      <c r="F49" s="72">
        <f>AVERAGE(C48:G48)</f>
        <v>13.889079442060709</v>
      </c>
      <c r="G49" s="72"/>
      <c r="H49" s="72"/>
      <c r="I49" s="72"/>
      <c r="J49" s="72"/>
      <c r="K49" s="72"/>
    </row>
    <row r="50" spans="1:11" ht="17.5" thickTop="1" x14ac:dyDescent="0.6"/>
    <row r="51" spans="1:11" x14ac:dyDescent="0.6">
      <c r="A51" s="21" t="s">
        <v>189</v>
      </c>
    </row>
    <row r="52" spans="1:11" x14ac:dyDescent="0.6">
      <c r="A52" s="21" t="s">
        <v>190</v>
      </c>
    </row>
  </sheetData>
  <mergeCells count="3">
    <mergeCell ref="A5:A6"/>
    <mergeCell ref="B5:B6"/>
    <mergeCell ref="C5:K5"/>
  </mergeCells>
  <pageMargins left="0.7" right="0.7" top="0.75" bottom="0.75" header="0.3" footer="0.3"/>
  <pageSetup scale="6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FBF-6FFA-405B-9A95-302F8FAA33B6}">
  <dimension ref="A1:E16"/>
  <sheetViews>
    <sheetView workbookViewId="0">
      <selection activeCell="A2" sqref="A2"/>
    </sheetView>
  </sheetViews>
  <sheetFormatPr defaultRowHeight="17" x14ac:dyDescent="0.6"/>
  <cols>
    <col min="1" max="1" width="5.6328125" style="21" bestFit="1" customWidth="1"/>
    <col min="2" max="2" width="26.08984375" style="21" bestFit="1" customWidth="1"/>
    <col min="3" max="3" width="8.7265625" style="21"/>
    <col min="4" max="4" width="25" style="21" bestFit="1" customWidth="1"/>
    <col min="5" max="5" width="12.54296875" style="21" bestFit="1" customWidth="1"/>
    <col min="6" max="16384" width="8.7265625" style="21"/>
  </cols>
  <sheetData>
    <row r="1" spans="1:5" x14ac:dyDescent="0.6">
      <c r="A1" s="20" t="s">
        <v>280</v>
      </c>
    </row>
    <row r="3" spans="1:5" x14ac:dyDescent="0.6">
      <c r="A3" s="78" t="s">
        <v>214</v>
      </c>
    </row>
    <row r="5" spans="1:5" x14ac:dyDescent="0.6">
      <c r="A5" s="42" t="s">
        <v>98</v>
      </c>
      <c r="B5" s="42" t="s">
        <v>99</v>
      </c>
      <c r="C5" s="42" t="s">
        <v>100</v>
      </c>
      <c r="D5" s="42" t="s">
        <v>101</v>
      </c>
      <c r="E5" s="42" t="s">
        <v>277</v>
      </c>
    </row>
    <row r="6" spans="1:5" x14ac:dyDescent="0.6">
      <c r="A6" s="53" t="s">
        <v>102</v>
      </c>
      <c r="B6" s="53" t="s">
        <v>104</v>
      </c>
      <c r="C6" s="53">
        <v>5</v>
      </c>
      <c r="D6" s="79">
        <v>12000</v>
      </c>
      <c r="E6" s="79">
        <f>D6*C6*12</f>
        <v>720000</v>
      </c>
    </row>
    <row r="7" spans="1:5" x14ac:dyDescent="0.6">
      <c r="A7" s="22" t="s">
        <v>103</v>
      </c>
      <c r="B7" s="22" t="s">
        <v>107</v>
      </c>
      <c r="C7" s="22">
        <v>1</v>
      </c>
      <c r="D7" s="79">
        <v>26000</v>
      </c>
      <c r="E7" s="79">
        <f>D7*C7*12</f>
        <v>312000</v>
      </c>
    </row>
    <row r="8" spans="1:5" x14ac:dyDescent="0.6">
      <c r="A8" s="22" t="s">
        <v>108</v>
      </c>
      <c r="B8" s="22" t="s">
        <v>215</v>
      </c>
      <c r="C8" s="22">
        <v>2</v>
      </c>
      <c r="D8" s="79">
        <v>10000</v>
      </c>
      <c r="E8" s="79">
        <f>D8*C8*12</f>
        <v>240000</v>
      </c>
    </row>
    <row r="9" spans="1:5" x14ac:dyDescent="0.6">
      <c r="A9" s="100" t="s">
        <v>8</v>
      </c>
      <c r="B9" s="100"/>
      <c r="C9" s="100"/>
      <c r="D9" s="100"/>
      <c r="E9" s="52">
        <f>SUM(E6:E8)</f>
        <v>1272000</v>
      </c>
    </row>
    <row r="10" spans="1:5" x14ac:dyDescent="0.6">
      <c r="A10" s="55"/>
      <c r="B10" s="80"/>
      <c r="C10" s="80"/>
      <c r="D10" s="80"/>
      <c r="E10" s="58"/>
    </row>
    <row r="11" spans="1:5" x14ac:dyDescent="0.6">
      <c r="A11" s="66" t="s">
        <v>222</v>
      </c>
      <c r="B11" s="67"/>
      <c r="C11" s="67"/>
      <c r="D11" s="67"/>
      <c r="E11" s="81">
        <f>E9*20%</f>
        <v>254400</v>
      </c>
    </row>
    <row r="12" spans="1:5" x14ac:dyDescent="0.6">
      <c r="A12" s="48" t="s">
        <v>8</v>
      </c>
      <c r="B12" s="49"/>
      <c r="C12" s="49"/>
      <c r="D12" s="49"/>
      <c r="E12" s="82">
        <f>SUM(E9:E11)</f>
        <v>1526400</v>
      </c>
    </row>
    <row r="14" spans="1:5" x14ac:dyDescent="0.6">
      <c r="A14" s="21" t="s">
        <v>105</v>
      </c>
      <c r="E14" s="68">
        <f>E12</f>
        <v>1526400</v>
      </c>
    </row>
    <row r="15" spans="1:5" x14ac:dyDescent="0.6">
      <c r="A15" s="21" t="s">
        <v>106</v>
      </c>
      <c r="E15" s="83">
        <v>0.06</v>
      </c>
    </row>
    <row r="16" spans="1:5" x14ac:dyDescent="0.6">
      <c r="A16" s="21" t="s">
        <v>218</v>
      </c>
      <c r="E16" s="21">
        <f>SUM(C6:C8)</f>
        <v>8</v>
      </c>
    </row>
  </sheetData>
  <mergeCells count="1">
    <mergeCell ref="A9:D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6B57-BA66-499F-8B17-ED356988118B}">
  <sheetPr>
    <pageSetUpPr fitToPage="1"/>
  </sheetPr>
  <dimension ref="A1:F21"/>
  <sheetViews>
    <sheetView workbookViewId="0"/>
  </sheetViews>
  <sheetFormatPr defaultRowHeight="17" x14ac:dyDescent="0.6"/>
  <cols>
    <col min="1" max="1" width="6.36328125" style="21" bestFit="1" customWidth="1"/>
    <col min="2" max="2" width="18.81640625" style="21" bestFit="1" customWidth="1"/>
    <col min="3" max="3" width="19.453125" style="21" bestFit="1" customWidth="1"/>
    <col min="4" max="4" width="18.08984375" style="21" bestFit="1" customWidth="1"/>
    <col min="5" max="5" width="14.453125" style="21" bestFit="1" customWidth="1"/>
    <col min="6" max="6" width="14.36328125" style="21" bestFit="1" customWidth="1"/>
    <col min="7" max="16384" width="8.7265625" style="21"/>
  </cols>
  <sheetData>
    <row r="1" spans="1:6" x14ac:dyDescent="0.6">
      <c r="A1" s="20" t="s">
        <v>110</v>
      </c>
    </row>
    <row r="3" spans="1:6" x14ac:dyDescent="0.6">
      <c r="A3" s="78" t="s">
        <v>109</v>
      </c>
    </row>
    <row r="5" spans="1:6" x14ac:dyDescent="0.6">
      <c r="A5" s="42" t="s">
        <v>24</v>
      </c>
      <c r="B5" s="42"/>
      <c r="C5" s="42" t="s">
        <v>113</v>
      </c>
      <c r="D5" s="42" t="s">
        <v>11</v>
      </c>
      <c r="E5" s="42" t="s">
        <v>114</v>
      </c>
      <c r="F5" s="42" t="s">
        <v>115</v>
      </c>
    </row>
    <row r="6" spans="1:6" x14ac:dyDescent="0.6">
      <c r="A6" s="22" t="s">
        <v>102</v>
      </c>
      <c r="B6" s="22" t="s">
        <v>13</v>
      </c>
      <c r="C6" s="79">
        <f>'Ann 1'!C12*100000</f>
        <v>15963000</v>
      </c>
      <c r="D6" s="79">
        <v>0</v>
      </c>
      <c r="E6" s="79">
        <v>0</v>
      </c>
      <c r="F6" s="22">
        <f>SUM(C6:E6)/100000</f>
        <v>159.63</v>
      </c>
    </row>
    <row r="7" spans="1:6" x14ac:dyDescent="0.6">
      <c r="A7" s="22" t="s">
        <v>103</v>
      </c>
      <c r="B7" s="22" t="s">
        <v>111</v>
      </c>
      <c r="C7" s="79">
        <v>0</v>
      </c>
      <c r="D7" s="79">
        <v>0</v>
      </c>
      <c r="E7" s="79">
        <v>0</v>
      </c>
      <c r="F7" s="79">
        <f>SUM(C7:E7)/100000</f>
        <v>0</v>
      </c>
    </row>
    <row r="8" spans="1:6" x14ac:dyDescent="0.6">
      <c r="A8" s="22" t="s">
        <v>108</v>
      </c>
      <c r="B8" s="22" t="s">
        <v>112</v>
      </c>
      <c r="C8" s="79">
        <v>0</v>
      </c>
      <c r="D8" s="79">
        <v>0</v>
      </c>
      <c r="E8" s="79">
        <v>0</v>
      </c>
      <c r="F8" s="79">
        <f>SUM(C8:E8)/100000</f>
        <v>0</v>
      </c>
    </row>
    <row r="9" spans="1:6" x14ac:dyDescent="0.6">
      <c r="A9" s="22"/>
      <c r="B9" s="100" t="s">
        <v>8</v>
      </c>
      <c r="C9" s="100"/>
      <c r="D9" s="100"/>
      <c r="E9" s="100"/>
      <c r="F9" s="22">
        <f>SUM(F6:F8)</f>
        <v>159.63</v>
      </c>
    </row>
    <row r="11" spans="1:6" x14ac:dyDescent="0.6">
      <c r="A11" s="22"/>
      <c r="B11" s="84" t="s">
        <v>116</v>
      </c>
      <c r="C11" s="85">
        <v>0.1</v>
      </c>
      <c r="D11" s="85">
        <v>0.15</v>
      </c>
      <c r="E11" s="85">
        <v>0.1</v>
      </c>
      <c r="F11" s="22" t="s">
        <v>8</v>
      </c>
    </row>
    <row r="12" spans="1:6" x14ac:dyDescent="0.6">
      <c r="A12" s="86" t="s">
        <v>117</v>
      </c>
      <c r="B12" s="87">
        <v>1</v>
      </c>
      <c r="C12" s="88">
        <f>C11*C6</f>
        <v>1596300</v>
      </c>
      <c r="D12" s="88">
        <f>D11*D6</f>
        <v>0</v>
      </c>
      <c r="E12" s="88">
        <f>E11*E6</f>
        <v>0</v>
      </c>
      <c r="F12" s="88">
        <f>SUM(C12:E12)</f>
        <v>1596300</v>
      </c>
    </row>
    <row r="13" spans="1:6" x14ac:dyDescent="0.6">
      <c r="A13" s="86" t="s">
        <v>117</v>
      </c>
      <c r="B13" s="87">
        <v>2</v>
      </c>
      <c r="C13" s="88">
        <f>(C6-C12)*C11</f>
        <v>1436670</v>
      </c>
      <c r="D13" s="88">
        <f>(D6-D12)*D11</f>
        <v>0</v>
      </c>
      <c r="E13" s="88">
        <f>(E6-E12)*E11</f>
        <v>0</v>
      </c>
      <c r="F13" s="88">
        <f>SUM(C13:E13)</f>
        <v>1436670</v>
      </c>
    </row>
    <row r="14" spans="1:6" x14ac:dyDescent="0.6">
      <c r="A14" s="86" t="s">
        <v>117</v>
      </c>
      <c r="B14" s="87">
        <v>3</v>
      </c>
      <c r="C14" s="88">
        <f>(C6-C12-C13)*C11</f>
        <v>1293003</v>
      </c>
      <c r="D14" s="88">
        <f>(D6-D12-D13)*D11</f>
        <v>0</v>
      </c>
      <c r="E14" s="88">
        <f>(E6-E12-E13)*E11</f>
        <v>0</v>
      </c>
      <c r="F14" s="88">
        <f t="shared" ref="F14:F20" si="0">SUM(C14:E14)</f>
        <v>1293003</v>
      </c>
    </row>
    <row r="15" spans="1:6" x14ac:dyDescent="0.6">
      <c r="A15" s="86" t="s">
        <v>117</v>
      </c>
      <c r="B15" s="87">
        <v>4</v>
      </c>
      <c r="C15" s="88">
        <f>(C6-C12-C13-C14)*C11</f>
        <v>1163702.7</v>
      </c>
      <c r="D15" s="88">
        <f>(D6-D12-D13-D14)*D11</f>
        <v>0</v>
      </c>
      <c r="E15" s="88">
        <f>(E6-E12-E13-E14)*E11</f>
        <v>0</v>
      </c>
      <c r="F15" s="88">
        <f t="shared" si="0"/>
        <v>1163702.7</v>
      </c>
    </row>
    <row r="16" spans="1:6" x14ac:dyDescent="0.6">
      <c r="A16" s="86" t="s">
        <v>117</v>
      </c>
      <c r="B16" s="87">
        <v>5</v>
      </c>
      <c r="C16" s="88">
        <f>(C6-C12-C13-C14-C15)*C11</f>
        <v>1047332.4300000002</v>
      </c>
      <c r="D16" s="88">
        <f>(D6-D12-D13-D14-D15)*D11</f>
        <v>0</v>
      </c>
      <c r="E16" s="88">
        <f>(E6-E12-E13-E14-E15)*E11</f>
        <v>0</v>
      </c>
      <c r="F16" s="88">
        <f t="shared" si="0"/>
        <v>1047332.4300000002</v>
      </c>
    </row>
    <row r="17" spans="1:6" x14ac:dyDescent="0.6">
      <c r="A17" s="86" t="s">
        <v>117</v>
      </c>
      <c r="B17" s="87">
        <v>6</v>
      </c>
      <c r="C17" s="88">
        <f>(C6-C12-C13-C14-C15-C16)*C11</f>
        <v>942599.18700000015</v>
      </c>
      <c r="D17" s="88">
        <f>(D6-D12-D13-D14-D15-D16)*D11</f>
        <v>0</v>
      </c>
      <c r="E17" s="88">
        <f>(E6-E12-E13-E14-E15-E16)*E11</f>
        <v>0</v>
      </c>
      <c r="F17" s="88">
        <f t="shared" si="0"/>
        <v>942599.18700000015</v>
      </c>
    </row>
    <row r="18" spans="1:6" x14ac:dyDescent="0.6">
      <c r="A18" s="86" t="s">
        <v>117</v>
      </c>
      <c r="B18" s="87">
        <v>7</v>
      </c>
      <c r="C18" s="88">
        <f>(C6-C12-C13-C14-C15-C16-C17)*C11</f>
        <v>848339.26830000011</v>
      </c>
      <c r="D18" s="88">
        <f>(D6-D12-D13-D14-D15-D16-D17)*D11</f>
        <v>0</v>
      </c>
      <c r="E18" s="88">
        <f>(E6-E12-E13-E14-E15-E16-E17)*E11</f>
        <v>0</v>
      </c>
      <c r="F18" s="88">
        <f t="shared" si="0"/>
        <v>848339.26830000011</v>
      </c>
    </row>
    <row r="19" spans="1:6" x14ac:dyDescent="0.6">
      <c r="A19" s="86" t="s">
        <v>117</v>
      </c>
      <c r="B19" s="87">
        <v>8</v>
      </c>
      <c r="C19" s="88">
        <f>(C6-C12-C13-C14-C15-C16-C17-C18)*C11</f>
        <v>763505.34146999998</v>
      </c>
      <c r="D19" s="88">
        <f>(D6-D12-D13-D14-D15-D16-D17-D18)*D11</f>
        <v>0</v>
      </c>
      <c r="E19" s="88">
        <f>(E6-E12-E13-E14-E15-E16-E17-E18)*E11</f>
        <v>0</v>
      </c>
      <c r="F19" s="88">
        <f t="shared" si="0"/>
        <v>763505.34146999998</v>
      </c>
    </row>
    <row r="20" spans="1:6" x14ac:dyDescent="0.6">
      <c r="A20" s="86" t="s">
        <v>117</v>
      </c>
      <c r="B20" s="87">
        <v>9</v>
      </c>
      <c r="C20" s="88">
        <f>(C6-C12-C13-C14-C15-C16-C17-C18-C19)*C11</f>
        <v>687154.80732299993</v>
      </c>
      <c r="D20" s="88">
        <f>(D6-D12-D13-D14-D15-D16-D17-D18-D19)*D11</f>
        <v>0</v>
      </c>
      <c r="E20" s="88">
        <f>(E6-E12-E13-E14-E15-E16-E17-E18-E19)*E11</f>
        <v>0</v>
      </c>
      <c r="F20" s="88">
        <f t="shared" si="0"/>
        <v>687154.80732299993</v>
      </c>
    </row>
    <row r="21" spans="1:6" x14ac:dyDescent="0.6">
      <c r="B21" s="38"/>
    </row>
  </sheetData>
  <mergeCells count="1">
    <mergeCell ref="B9:E9"/>
  </mergeCells>
  <pageMargins left="0.7" right="0.7" top="0.75" bottom="0.75" header="0.3" footer="0.3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521A-756D-4D90-8C99-73BDFD6A7811}">
  <sheetPr>
    <pageSetUpPr fitToPage="1"/>
  </sheetPr>
  <dimension ref="A1:J14"/>
  <sheetViews>
    <sheetView workbookViewId="0">
      <selection activeCell="A7" sqref="A7"/>
    </sheetView>
  </sheetViews>
  <sheetFormatPr defaultRowHeight="17" x14ac:dyDescent="0.6"/>
  <cols>
    <col min="1" max="1" width="18" style="21" bestFit="1" customWidth="1"/>
    <col min="2" max="10" width="13.6328125" style="21" bestFit="1" customWidth="1"/>
    <col min="11" max="16384" width="8.7265625" style="21"/>
  </cols>
  <sheetData>
    <row r="1" spans="1:10" x14ac:dyDescent="0.6">
      <c r="A1" s="20" t="s">
        <v>159</v>
      </c>
    </row>
    <row r="3" spans="1:10" x14ac:dyDescent="0.6">
      <c r="A3" s="78" t="s">
        <v>160</v>
      </c>
    </row>
    <row r="5" spans="1:10" x14ac:dyDescent="0.6">
      <c r="A5" s="99" t="s">
        <v>3</v>
      </c>
      <c r="B5" s="98" t="s">
        <v>94</v>
      </c>
      <c r="C5" s="98"/>
      <c r="D5" s="98"/>
      <c r="E5" s="98"/>
      <c r="F5" s="98"/>
      <c r="G5" s="98"/>
      <c r="H5" s="98"/>
      <c r="I5" s="98"/>
      <c r="J5" s="98"/>
    </row>
    <row r="6" spans="1:10" x14ac:dyDescent="0.6">
      <c r="A6" s="99"/>
      <c r="B6" s="54" t="s">
        <v>85</v>
      </c>
      <c r="C6" s="54" t="s">
        <v>86</v>
      </c>
      <c r="D6" s="54" t="s">
        <v>87</v>
      </c>
      <c r="E6" s="54" t="s">
        <v>88</v>
      </c>
      <c r="F6" s="54" t="s">
        <v>89</v>
      </c>
      <c r="G6" s="54" t="s">
        <v>90</v>
      </c>
      <c r="H6" s="54" t="s">
        <v>91</v>
      </c>
      <c r="I6" s="54" t="s">
        <v>92</v>
      </c>
      <c r="J6" s="54" t="s">
        <v>93</v>
      </c>
    </row>
    <row r="7" spans="1:10" x14ac:dyDescent="0.6">
      <c r="A7" s="22" t="s">
        <v>161</v>
      </c>
      <c r="B7" s="79">
        <f>'Ann 4'!C21</f>
        <v>27424457.5</v>
      </c>
      <c r="C7" s="79">
        <f>'Ann 4'!D21</f>
        <v>31215863.559999995</v>
      </c>
      <c r="D7" s="79">
        <f>'Ann 4'!E21</f>
        <v>35351039.254599988</v>
      </c>
      <c r="E7" s="79">
        <f>'Ann 4'!F21</f>
        <v>39829150.383461989</v>
      </c>
      <c r="F7" s="79">
        <f>'Ann 4'!G21</f>
        <v>44675803.265398636</v>
      </c>
      <c r="G7" s="79">
        <f>'Ann 4'!H21</f>
        <v>49918383.297544546</v>
      </c>
      <c r="H7" s="79">
        <f>'Ann 4'!I21</f>
        <v>52831790.47148335</v>
      </c>
      <c r="I7" s="79">
        <f>'Ann 4'!J21</f>
        <v>55848267.344420835</v>
      </c>
      <c r="J7" s="79">
        <f>'Ann 4'!K21</f>
        <v>58943150.176215336</v>
      </c>
    </row>
    <row r="8" spans="1:10" x14ac:dyDescent="0.6">
      <c r="A8" s="22" t="s">
        <v>162</v>
      </c>
      <c r="B8" s="79">
        <v>0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</row>
    <row r="9" spans="1:10" x14ac:dyDescent="0.6">
      <c r="A9" s="22" t="s">
        <v>163</v>
      </c>
      <c r="B9" s="79">
        <f>B7+B8</f>
        <v>27424457.5</v>
      </c>
      <c r="C9" s="79">
        <f t="shared" ref="C9:J9" si="0">C7+C8</f>
        <v>31215863.559999995</v>
      </c>
      <c r="D9" s="79">
        <f t="shared" si="0"/>
        <v>35351039.254599988</v>
      </c>
      <c r="E9" s="79">
        <f t="shared" si="0"/>
        <v>39829150.383461989</v>
      </c>
      <c r="F9" s="79">
        <f t="shared" si="0"/>
        <v>44675803.265398636</v>
      </c>
      <c r="G9" s="79">
        <f t="shared" si="0"/>
        <v>49918383.297544546</v>
      </c>
      <c r="H9" s="79">
        <f t="shared" si="0"/>
        <v>52831790.47148335</v>
      </c>
      <c r="I9" s="79">
        <f t="shared" si="0"/>
        <v>55848267.344420835</v>
      </c>
      <c r="J9" s="79">
        <f t="shared" si="0"/>
        <v>58943150.176215336</v>
      </c>
    </row>
    <row r="10" spans="1:10" x14ac:dyDescent="0.6">
      <c r="A10" s="22" t="s">
        <v>164</v>
      </c>
      <c r="B10" s="79">
        <f>SUM('Ann 9'!C12:E12)</f>
        <v>1596300</v>
      </c>
      <c r="C10" s="79">
        <f>SUM('Ann 9'!C13:E13)</f>
        <v>1436670</v>
      </c>
      <c r="D10" s="79">
        <f>SUM('Ann 9'!C14:E14)</f>
        <v>1293003</v>
      </c>
      <c r="E10" s="79">
        <f>SUM('Ann 9'!C15:E15)</f>
        <v>1163702.7</v>
      </c>
      <c r="F10" s="79">
        <f>SUM('Ann 9'!C16:E16)</f>
        <v>1047332.4300000002</v>
      </c>
      <c r="G10" s="79">
        <f>SUM('Ann 9'!C17:E17)</f>
        <v>942599.18700000015</v>
      </c>
      <c r="H10" s="79">
        <f>SUM('Ann 9'!C18:E18)</f>
        <v>848339.26830000011</v>
      </c>
      <c r="I10" s="79">
        <f>SUM('Ann 9'!C19:E19)</f>
        <v>763505.34146999998</v>
      </c>
      <c r="J10" s="79">
        <f>SUM('Ann 9'!C20:E20)</f>
        <v>687154.80732299993</v>
      </c>
    </row>
    <row r="11" spans="1:10" x14ac:dyDescent="0.6">
      <c r="A11" s="22" t="s">
        <v>163</v>
      </c>
      <c r="B11" s="79">
        <f>B9-B10</f>
        <v>25828157.5</v>
      </c>
      <c r="C11" s="79">
        <f t="shared" ref="C11:J11" si="1">C9-C10</f>
        <v>29779193.559999995</v>
      </c>
      <c r="D11" s="79">
        <f t="shared" si="1"/>
        <v>34058036.254599988</v>
      </c>
      <c r="E11" s="79">
        <f t="shared" si="1"/>
        <v>38665447.683461986</v>
      </c>
      <c r="F11" s="79">
        <f t="shared" si="1"/>
        <v>43628470.835398637</v>
      </c>
      <c r="G11" s="79">
        <f t="shared" si="1"/>
        <v>48975784.110544547</v>
      </c>
      <c r="H11" s="79">
        <f t="shared" si="1"/>
        <v>51983451.203183353</v>
      </c>
      <c r="I11" s="79">
        <f t="shared" si="1"/>
        <v>55084762.002950832</v>
      </c>
      <c r="J11" s="79">
        <f t="shared" si="1"/>
        <v>58255995.368892334</v>
      </c>
    </row>
    <row r="12" spans="1:10" x14ac:dyDescent="0.6">
      <c r="A12" s="22" t="s">
        <v>165</v>
      </c>
      <c r="B12" s="89">
        <v>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</row>
    <row r="13" spans="1:10" x14ac:dyDescent="0.6">
      <c r="A13" s="22" t="s">
        <v>166</v>
      </c>
      <c r="B13" s="52">
        <f>B11</f>
        <v>25828157.5</v>
      </c>
      <c r="C13" s="52">
        <f t="shared" ref="C13:J13" si="2">C11</f>
        <v>29779193.559999995</v>
      </c>
      <c r="D13" s="52">
        <f t="shared" si="2"/>
        <v>34058036.254599988</v>
      </c>
      <c r="E13" s="52">
        <f t="shared" si="2"/>
        <v>38665447.683461986</v>
      </c>
      <c r="F13" s="52">
        <f t="shared" si="2"/>
        <v>43628470.835398637</v>
      </c>
      <c r="G13" s="52">
        <f t="shared" si="2"/>
        <v>48975784.110544547</v>
      </c>
      <c r="H13" s="52">
        <f t="shared" si="2"/>
        <v>51983451.203183353</v>
      </c>
      <c r="I13" s="52">
        <f t="shared" si="2"/>
        <v>55084762.002950832</v>
      </c>
      <c r="J13" s="52">
        <f t="shared" si="2"/>
        <v>58255995.368892334</v>
      </c>
    </row>
    <row r="14" spans="1:10" x14ac:dyDescent="0.6">
      <c r="A14" s="22" t="s">
        <v>167</v>
      </c>
      <c r="B14" s="52">
        <f>B13*30%</f>
        <v>7748447.25</v>
      </c>
      <c r="C14" s="52">
        <f t="shared" ref="C14:J14" si="3">C13*30%</f>
        <v>8933758.0679999981</v>
      </c>
      <c r="D14" s="52">
        <f t="shared" si="3"/>
        <v>10217410.876379997</v>
      </c>
      <c r="E14" s="52">
        <f t="shared" si="3"/>
        <v>11599634.305038596</v>
      </c>
      <c r="F14" s="52">
        <f t="shared" si="3"/>
        <v>13088541.25061959</v>
      </c>
      <c r="G14" s="52">
        <f t="shared" si="3"/>
        <v>14692735.233163364</v>
      </c>
      <c r="H14" s="52">
        <f t="shared" si="3"/>
        <v>15595035.360955006</v>
      </c>
      <c r="I14" s="52">
        <f t="shared" si="3"/>
        <v>16525428.60088525</v>
      </c>
      <c r="J14" s="52">
        <f t="shared" si="3"/>
        <v>17476798.610667698</v>
      </c>
    </row>
  </sheetData>
  <mergeCells count="2">
    <mergeCell ref="B5:J5"/>
    <mergeCell ref="A5:A6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Ann 1</vt:lpstr>
      <vt:lpstr>Ann 2</vt:lpstr>
      <vt:lpstr>Ann 3</vt:lpstr>
      <vt:lpstr>Ann 4</vt:lpstr>
      <vt:lpstr>Ann 5</vt:lpstr>
      <vt:lpstr>Ann 8</vt:lpstr>
      <vt:lpstr>Ann 9</vt:lpstr>
      <vt:lpstr>Ann 10</vt:lpstr>
      <vt:lpstr>Ann 11</vt:lpstr>
      <vt:lpstr>Ann 12</vt:lpstr>
      <vt:lpstr>Ann 13</vt:lpstr>
      <vt:lpstr>For word file</vt:lpstr>
      <vt:lpstr>Cash flows</vt:lpstr>
      <vt:lpstr>Assumptions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Navodita Arya</dc:creator>
  <cp:lastModifiedBy>Navodita Arya</cp:lastModifiedBy>
  <cp:lastPrinted>2021-07-15T07:25:18Z</cp:lastPrinted>
  <dcterms:created xsi:type="dcterms:W3CDTF">2021-07-04T07:21:16Z</dcterms:created>
  <dcterms:modified xsi:type="dcterms:W3CDTF">2021-09-20T07:49:16Z</dcterms:modified>
</cp:coreProperties>
</file>