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sba\Desktop\"/>
    </mc:Choice>
  </mc:AlternateContent>
  <xr:revisionPtr revIDLastSave="0" documentId="8_{18722235-1A42-4162-86A0-C803A5BF31F6}" xr6:coauthVersionLast="47" xr6:coauthVersionMax="47" xr10:uidLastSave="{00000000-0000-0000-0000-000000000000}"/>
  <bookViews>
    <workbookView xWindow="-108" yWindow="-108" windowWidth="23256" windowHeight="12456" tabRatio="937" firstSheet="3" activeTab="14" xr2:uid="{00000000-000D-0000-FFFF-FFFF00000000}"/>
  </bookViews>
  <sheets>
    <sheet name="Links" sheetId="1" r:id="rId1"/>
    <sheet name="Calculated Fields" sheetId="12" r:id="rId2"/>
    <sheet name="Department_KPIs" sheetId="13" r:id="rId3"/>
    <sheet name="Agent_wise" sheetId="14" r:id="rId4"/>
    <sheet name="Daily_KPI" sheetId="15" r:id="rId5"/>
    <sheet name="RingCentral - Office" sheetId="7" r:id="rId6"/>
    <sheet name="Gate Statistics" sheetId="8" r:id="rId7"/>
    <sheet name="Agent Activity" sheetId="9" r:id="rId8"/>
    <sheet name="Sales  Returns" sheetId="3" r:id="rId9"/>
    <sheet name="Y2Y sales" sheetId="4" r:id="rId10"/>
    <sheet name="Inventory Lookup" sheetId="5" r:id="rId11"/>
    <sheet name="Emp.Lookup" sheetId="6" r:id="rId12"/>
    <sheet name="Audits" sheetId="10" r:id="rId13"/>
    <sheet name="WO &amp; Quote" sheetId="11" r:id="rId14"/>
    <sheet name="Agents" sheetId="2" r:id="rId15"/>
  </sheets>
  <definedNames>
    <definedName name="DIGITAL_Department_Agents">Agents!$O$2:$O$5</definedName>
    <definedName name="INDIA_Department_Agents">Agents!$M$2:$M$6</definedName>
    <definedName name="MANAGED_Department_Agents">Agents!$Q$2:$Q$3</definedName>
    <definedName name="OTHER_Department_Agents">Agents!$S$2</definedName>
    <definedName name="USA_Department_Agents">Agents!$K$2:$K$11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49" i="12" l="1"/>
  <c r="BW49" i="12" a="1"/>
  <c r="BW49" i="12"/>
  <c r="BW42" i="12" a="1"/>
  <c r="BW42" i="12" s="1"/>
  <c r="BW43" i="12" a="1"/>
  <c r="BW43" i="12"/>
  <c r="BY43" i="12" a="1"/>
  <c r="BY43" i="12"/>
  <c r="BW44" i="12" a="1"/>
  <c r="BW44" i="12"/>
  <c r="BY44" i="12" a="1"/>
  <c r="BY44" i="12"/>
  <c r="BW45" i="12" a="1"/>
  <c r="BW45" i="12" s="1"/>
  <c r="BY45" i="12" a="1"/>
  <c r="BY45" i="12" s="1"/>
  <c r="BW46" i="12" a="1"/>
  <c r="BW46" i="12" s="1"/>
  <c r="BW41" i="12" a="1"/>
  <c r="BW41" i="12" s="1"/>
  <c r="BV38" i="12"/>
  <c r="BV37" i="12"/>
  <c r="BV34" i="12"/>
  <c r="BV33" i="12"/>
  <c r="BV32" i="12"/>
  <c r="BV29" i="12"/>
  <c r="BV28" i="12"/>
  <c r="BV27" i="12"/>
  <c r="BV26" i="12"/>
  <c r="BV25" i="12"/>
  <c r="BR38" i="12"/>
  <c r="BR37" i="12"/>
  <c r="BR34" i="12"/>
  <c r="BR33" i="12"/>
  <c r="BR32" i="12"/>
  <c r="BR29" i="12"/>
  <c r="BR28" i="12"/>
  <c r="BR27" i="12"/>
  <c r="BR26" i="12"/>
  <c r="BR25" i="12"/>
  <c r="BZ22" i="12"/>
  <c r="CA22" i="12" s="1" a="1"/>
  <c r="CA22" i="12" s="1"/>
  <c r="BW22" i="12"/>
  <c r="BW22" i="12" a="1"/>
  <c r="BV22" i="12"/>
  <c r="BU22" i="12"/>
  <c r="BX22" i="12" s="1" a="1"/>
  <c r="BX22" i="12" s="1"/>
  <c r="BT22" i="12"/>
  <c r="BS22" i="12"/>
  <c r="BR22" i="12"/>
  <c r="BV21" i="12"/>
  <c r="BU21" i="12"/>
  <c r="BT21" i="12"/>
  <c r="BS21" i="12"/>
  <c r="BR21" i="12"/>
  <c r="BV20" i="12"/>
  <c r="BU20" i="12"/>
  <c r="BT20" i="12"/>
  <c r="BS20" i="12"/>
  <c r="BR20" i="12"/>
  <c r="BV19" i="12"/>
  <c r="BU19" i="12"/>
  <c r="BT19" i="12"/>
  <c r="BS19" i="12"/>
  <c r="BR19" i="12"/>
  <c r="BV18" i="12"/>
  <c r="BU18" i="12"/>
  <c r="BT18" i="12"/>
  <c r="BS18" i="12"/>
  <c r="BR18" i="12"/>
  <c r="BV17" i="12"/>
  <c r="BU17" i="12"/>
  <c r="BT17" i="12"/>
  <c r="BS17" i="12"/>
  <c r="BR17" i="12"/>
  <c r="BW13" i="12" a="1"/>
  <c r="BW13" i="12"/>
  <c r="BZ13" i="12"/>
  <c r="CA13" i="12" s="1" a="1"/>
  <c r="CA13" i="12" s="1"/>
  <c r="BW14" i="12" a="1"/>
  <c r="BW14" i="12"/>
  <c r="BZ14" i="12"/>
  <c r="CA14" i="12" s="1" a="1"/>
  <c r="CA14" i="12" s="1"/>
  <c r="BU3" i="12"/>
  <c r="BV3" i="12"/>
  <c r="BU4" i="12"/>
  <c r="BV4" i="12"/>
  <c r="BU5" i="12"/>
  <c r="BV5" i="12"/>
  <c r="BU6" i="12"/>
  <c r="BV6" i="12"/>
  <c r="BU7" i="12"/>
  <c r="BV7" i="12"/>
  <c r="BU8" i="12"/>
  <c r="BV8" i="12"/>
  <c r="BU9" i="12"/>
  <c r="BV9" i="12"/>
  <c r="BU10" i="12"/>
  <c r="BV10" i="12"/>
  <c r="BU11" i="12"/>
  <c r="BV11" i="12"/>
  <c r="BU12" i="12"/>
  <c r="BV12" i="12"/>
  <c r="BU13" i="12"/>
  <c r="BX13" i="12" s="1" a="1"/>
  <c r="BX13" i="12" s="1"/>
  <c r="BV13" i="12"/>
  <c r="BU14" i="12"/>
  <c r="BX14" i="12" s="1" a="1"/>
  <c r="BX14" i="12" s="1"/>
  <c r="BV14" i="12"/>
  <c r="BT3" i="12"/>
  <c r="BT4" i="12"/>
  <c r="BT5" i="12"/>
  <c r="BT6" i="12"/>
  <c r="BT7" i="12"/>
  <c r="BT8" i="12"/>
  <c r="BT9" i="12"/>
  <c r="BT10" i="12"/>
  <c r="BT11" i="12"/>
  <c r="BT12" i="12"/>
  <c r="BT13" i="12"/>
  <c r="BT14" i="12"/>
  <c r="BS4" i="12"/>
  <c r="BS5" i="12"/>
  <c r="BS6" i="12"/>
  <c r="BS7" i="12"/>
  <c r="BS8" i="12"/>
  <c r="BS9" i="12"/>
  <c r="BS10" i="12"/>
  <c r="BS11" i="12"/>
  <c r="BS12" i="12"/>
  <c r="BS13" i="12"/>
  <c r="BS14" i="12"/>
  <c r="BS3" i="12"/>
  <c r="BR3" i="12"/>
  <c r="BR4" i="12"/>
  <c r="BR5" i="12"/>
  <c r="BR6" i="12"/>
  <c r="BR7" i="12"/>
  <c r="BR8" i="12"/>
  <c r="BR9" i="12"/>
  <c r="BR10" i="12"/>
  <c r="BR11" i="12"/>
  <c r="BR12" i="12"/>
  <c r="BR13" i="12"/>
  <c r="BR14" i="12"/>
  <c r="A5" i="15"/>
  <c r="B5" i="15" s="1" a="1"/>
  <c r="B5" i="15" s="1"/>
  <c r="A5" i="14"/>
  <c r="B5" i="14" s="1" a="1"/>
  <c r="B5" i="14" s="1"/>
  <c r="O13" i="13"/>
  <c r="A4" i="13"/>
  <c r="T2" i="13"/>
  <c r="R2" i="13" a="1"/>
  <c r="S2" i="13" s="1"/>
  <c r="J2" i="13"/>
  <c r="H2" i="13"/>
  <c r="G2" i="13"/>
  <c r="F2" i="13"/>
  <c r="E2" i="13" a="1"/>
  <c r="I2" i="13" s="1"/>
  <c r="E2" i="13"/>
  <c r="BT49" i="12"/>
  <c r="BS49" i="12"/>
  <c r="BR49" i="12"/>
  <c r="BL49" i="12"/>
  <c r="BJ49" i="12" a="1"/>
  <c r="BJ49" i="12" s="1"/>
  <c r="BI49" i="12" a="1"/>
  <c r="BI49" i="12"/>
  <c r="BG49" i="12" a="1"/>
  <c r="BG49" i="12" s="1"/>
  <c r="BF49" i="12" a="1"/>
  <c r="BF49" i="12" s="1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G49" i="12"/>
  <c r="AF49" i="12"/>
  <c r="AC49" i="12"/>
  <c r="AD49" i="12" s="1"/>
  <c r="AB49" i="12"/>
  <c r="Z49" i="12"/>
  <c r="AA49" i="12" s="1"/>
  <c r="Y49" i="12"/>
  <c r="U49" i="12"/>
  <c r="T49" i="12"/>
  <c r="S49" i="12"/>
  <c r="R49" i="12"/>
  <c r="Q49" i="12"/>
  <c r="P49" i="12"/>
  <c r="O49" i="12"/>
  <c r="N49" i="12"/>
  <c r="L49" i="12"/>
  <c r="E49" i="12" s="1"/>
  <c r="J49" i="12"/>
  <c r="I49" i="12"/>
  <c r="D49" i="12" s="1"/>
  <c r="H49" i="12"/>
  <c r="G49" i="12" s="1"/>
  <c r="F49" i="12"/>
  <c r="C49" i="12"/>
  <c r="AO46" i="12" a="1"/>
  <c r="AO46" i="12" s="1"/>
  <c r="AJ46" i="12"/>
  <c r="CF45" i="12"/>
  <c r="CE45" i="12"/>
  <c r="CD45" i="12"/>
  <c r="CC45" i="12"/>
  <c r="CB45" i="12"/>
  <c r="AY45" i="12"/>
  <c r="AX45" i="12"/>
  <c r="AW45" i="12"/>
  <c r="AV45" i="12"/>
  <c r="AU45" i="12"/>
  <c r="AT45" i="12"/>
  <c r="AS45" i="12"/>
  <c r="AR45" i="12"/>
  <c r="AQ45" i="12"/>
  <c r="AP45" i="12"/>
  <c r="AC45" i="12"/>
  <c r="AB45" i="12"/>
  <c r="Z45" i="12"/>
  <c r="Y45" i="12"/>
  <c r="W45" i="12"/>
  <c r="U45" i="12"/>
  <c r="T45" i="12"/>
  <c r="S45" i="12"/>
  <c r="R45" i="12"/>
  <c r="Q45" i="12"/>
  <c r="P45" i="12"/>
  <c r="O45" i="12"/>
  <c r="N45" i="12"/>
  <c r="L45" i="12"/>
  <c r="J45" i="12"/>
  <c r="I45" i="12"/>
  <c r="H45" i="12"/>
  <c r="E45" i="12"/>
  <c r="C45" i="12"/>
  <c r="CF44" i="12"/>
  <c r="CE44" i="12"/>
  <c r="CD44" i="12"/>
  <c r="CC44" i="12"/>
  <c r="CB44" i="12"/>
  <c r="AY44" i="12"/>
  <c r="AX44" i="12"/>
  <c r="AW44" i="12"/>
  <c r="AV44" i="12"/>
  <c r="AU44" i="12"/>
  <c r="AT44" i="12"/>
  <c r="AS44" i="12"/>
  <c r="AR44" i="12"/>
  <c r="AQ44" i="12"/>
  <c r="AP44" i="12"/>
  <c r="AE44" i="12"/>
  <c r="AC44" i="12"/>
  <c r="AB44" i="12"/>
  <c r="Z44" i="12"/>
  <c r="AA44" i="12" s="1"/>
  <c r="Y44" i="12"/>
  <c r="W44" i="12"/>
  <c r="U44" i="12"/>
  <c r="T44" i="12"/>
  <c r="S44" i="12"/>
  <c r="R44" i="12"/>
  <c r="Q44" i="12"/>
  <c r="P44" i="12"/>
  <c r="O44" i="12"/>
  <c r="N44" i="12"/>
  <c r="L44" i="12"/>
  <c r="J44" i="12"/>
  <c r="I44" i="12"/>
  <c r="H44" i="12"/>
  <c r="C44" i="12"/>
  <c r="CF43" i="12"/>
  <c r="CE43" i="12"/>
  <c r="CD43" i="12"/>
  <c r="CC43" i="12"/>
  <c r="CB43" i="12"/>
  <c r="AY43" i="12"/>
  <c r="AX43" i="12"/>
  <c r="AW43" i="12"/>
  <c r="AV43" i="12"/>
  <c r="AU43" i="12"/>
  <c r="AT43" i="12"/>
  <c r="AS43" i="12"/>
  <c r="AR43" i="12"/>
  <c r="AQ43" i="12"/>
  <c r="AP43" i="12"/>
  <c r="AC43" i="12"/>
  <c r="AB43" i="12"/>
  <c r="Z43" i="12"/>
  <c r="Y43" i="12"/>
  <c r="AA43" i="12" s="1"/>
  <c r="W43" i="12"/>
  <c r="U43" i="12"/>
  <c r="T43" i="12"/>
  <c r="S43" i="12"/>
  <c r="R43" i="12"/>
  <c r="Q43" i="12"/>
  <c r="P43" i="12"/>
  <c r="O43" i="12"/>
  <c r="N43" i="12"/>
  <c r="L43" i="12"/>
  <c r="J43" i="12"/>
  <c r="I43" i="12"/>
  <c r="H43" i="12"/>
  <c r="E43" i="12"/>
  <c r="C43" i="12"/>
  <c r="BB42" i="12"/>
  <c r="AY42" i="12"/>
  <c r="AX42" i="12"/>
  <c r="AN42" i="12" s="1"/>
  <c r="AW42" i="12"/>
  <c r="AV42" i="12"/>
  <c r="AL42" i="12" s="1"/>
  <c r="AU42" i="12"/>
  <c r="AT42" i="12"/>
  <c r="AS42" i="12"/>
  <c r="AR42" i="12"/>
  <c r="AQ42" i="12"/>
  <c r="AP42" i="12"/>
  <c r="AO42" i="12" a="1"/>
  <c r="AO42" i="12"/>
  <c r="AM42" i="12"/>
  <c r="AK42" i="12"/>
  <c r="AJ42" i="12"/>
  <c r="AE42" i="12"/>
  <c r="AC42" i="12"/>
  <c r="AB42" i="12"/>
  <c r="Z42" i="12"/>
  <c r="AA42" i="12" s="1"/>
  <c r="Y42" i="12"/>
  <c r="W42" i="12"/>
  <c r="U42" i="12"/>
  <c r="T42" i="12"/>
  <c r="S42" i="12"/>
  <c r="R42" i="12"/>
  <c r="Q42" i="12"/>
  <c r="P42" i="12"/>
  <c r="O42" i="12"/>
  <c r="N42" i="12"/>
  <c r="L42" i="12"/>
  <c r="J42" i="12"/>
  <c r="I42" i="12"/>
  <c r="H42" i="12"/>
  <c r="C42" i="12"/>
  <c r="BB41" i="12"/>
  <c r="BB49" i="12" s="1"/>
  <c r="AY41" i="12"/>
  <c r="AY46" i="12" s="1"/>
  <c r="AX41" i="12"/>
  <c r="AN41" i="12" s="1"/>
  <c r="AW41" i="12"/>
  <c r="AW46" i="12" s="1"/>
  <c r="AM46" i="12" s="1"/>
  <c r="AV41" i="12"/>
  <c r="AV46" i="12" s="1"/>
  <c r="AL46" i="12" s="1"/>
  <c r="AU41" i="12"/>
  <c r="AU46" i="12" s="1"/>
  <c r="AK46" i="12" s="1"/>
  <c r="AT41" i="12"/>
  <c r="AT46" i="12" s="1"/>
  <c r="AS41" i="12"/>
  <c r="AS46" i="12" s="1"/>
  <c r="AR41" i="12"/>
  <c r="AR46" i="12" s="1"/>
  <c r="AQ41" i="12"/>
  <c r="AQ46" i="12" s="1"/>
  <c r="AP41" i="12"/>
  <c r="AP46" i="12" s="1"/>
  <c r="AO41" i="12" a="1"/>
  <c r="AO41" i="12"/>
  <c r="AM41" i="12"/>
  <c r="AK41" i="12"/>
  <c r="AJ41" i="12"/>
  <c r="AC41" i="12"/>
  <c r="AB41" i="12"/>
  <c r="AB46" i="12" s="1"/>
  <c r="Z41" i="12"/>
  <c r="Y41" i="12"/>
  <c r="AA41" i="12" s="1"/>
  <c r="W41" i="12"/>
  <c r="U41" i="12"/>
  <c r="T41" i="12"/>
  <c r="S41" i="12"/>
  <c r="S46" i="12" s="1"/>
  <c r="R41" i="12"/>
  <c r="R46" i="12" s="1"/>
  <c r="Q41" i="12"/>
  <c r="P41" i="12"/>
  <c r="O41" i="12"/>
  <c r="O46" i="12" s="1"/>
  <c r="N41" i="12"/>
  <c r="N46" i="12" s="1"/>
  <c r="L41" i="12"/>
  <c r="J41" i="12"/>
  <c r="I41" i="12"/>
  <c r="I46" i="12" s="1"/>
  <c r="H41" i="12"/>
  <c r="E41" i="12"/>
  <c r="C41" i="12"/>
  <c r="AY38" i="12"/>
  <c r="AX38" i="12"/>
  <c r="AN38" i="12" s="1"/>
  <c r="AW38" i="12"/>
  <c r="AV38" i="12"/>
  <c r="AU38" i="12"/>
  <c r="AT38" i="12"/>
  <c r="AS38" i="12"/>
  <c r="AR38" i="12"/>
  <c r="AQ38" i="12"/>
  <c r="AP38" i="12"/>
  <c r="AO38" i="12"/>
  <c r="AM38" i="12"/>
  <c r="AL38" i="12"/>
  <c r="AK38" i="12"/>
  <c r="AJ38" i="12"/>
  <c r="AG38" i="12"/>
  <c r="AF38" i="12"/>
  <c r="AC38" i="12"/>
  <c r="AB38" i="12"/>
  <c r="Z38" i="12"/>
  <c r="AA38" i="12" s="1"/>
  <c r="Y38" i="12"/>
  <c r="W38" i="12"/>
  <c r="U38" i="12"/>
  <c r="T38" i="12"/>
  <c r="S38" i="12"/>
  <c r="R38" i="12"/>
  <c r="Q38" i="12"/>
  <c r="P38" i="12"/>
  <c r="O38" i="12"/>
  <c r="N38" i="12"/>
  <c r="L38" i="12"/>
  <c r="J38" i="12"/>
  <c r="I38" i="12"/>
  <c r="D38" i="12" s="1"/>
  <c r="H38" i="12"/>
  <c r="F38" i="12"/>
  <c r="C38" i="12"/>
  <c r="AY37" i="12"/>
  <c r="AX37" i="12"/>
  <c r="AN37" i="12" s="1"/>
  <c r="AW37" i="12"/>
  <c r="AV37" i="12"/>
  <c r="AU37" i="12"/>
  <c r="AK37" i="12" s="1"/>
  <c r="AT37" i="12"/>
  <c r="AS37" i="12"/>
  <c r="AR37" i="12"/>
  <c r="AQ37" i="12"/>
  <c r="AP37" i="12"/>
  <c r="AO37" i="12"/>
  <c r="AM37" i="12"/>
  <c r="AL37" i="12"/>
  <c r="AJ37" i="12"/>
  <c r="B37" i="12"/>
  <c r="BS45" i="12" s="1" a="1"/>
  <c r="BS45" i="12" s="1"/>
  <c r="AY34" i="12"/>
  <c r="AX34" i="12"/>
  <c r="AN34" i="12" s="1"/>
  <c r="AW34" i="12"/>
  <c r="AM34" i="12" s="1"/>
  <c r="AV34" i="12"/>
  <c r="AU34" i="12"/>
  <c r="AT34" i="12"/>
  <c r="AS34" i="12"/>
  <c r="AR34" i="12"/>
  <c r="AQ34" i="12"/>
  <c r="AP34" i="12"/>
  <c r="AO34" i="12"/>
  <c r="AL34" i="12"/>
  <c r="AK34" i="12"/>
  <c r="AJ34" i="12"/>
  <c r="AG34" i="12"/>
  <c r="AF34" i="12"/>
  <c r="AD34" i="12"/>
  <c r="AC34" i="12"/>
  <c r="AB34" i="12"/>
  <c r="Z34" i="12"/>
  <c r="Y34" i="12"/>
  <c r="W34" i="12"/>
  <c r="U34" i="12"/>
  <c r="T34" i="12"/>
  <c r="S34" i="12"/>
  <c r="R34" i="12"/>
  <c r="Q34" i="12"/>
  <c r="P34" i="12"/>
  <c r="O34" i="12"/>
  <c r="N34" i="12"/>
  <c r="L34" i="12"/>
  <c r="J34" i="12"/>
  <c r="E34" i="12" s="1"/>
  <c r="I34" i="12"/>
  <c r="D34" i="12" s="1"/>
  <c r="H34" i="12"/>
  <c r="G34" i="12" s="1"/>
  <c r="M34" i="12" s="1"/>
  <c r="F34" i="12"/>
  <c r="C34" i="12"/>
  <c r="AY33" i="12"/>
  <c r="AX33" i="12"/>
  <c r="AN33" i="12" s="1"/>
  <c r="AW33" i="12"/>
  <c r="AM33" i="12" s="1"/>
  <c r="AV33" i="12"/>
  <c r="AU33" i="12"/>
  <c r="AT33" i="12"/>
  <c r="AS33" i="12"/>
  <c r="AR33" i="12"/>
  <c r="AQ33" i="12"/>
  <c r="AP33" i="12"/>
  <c r="AO33" i="12"/>
  <c r="AL33" i="12"/>
  <c r="AK33" i="12"/>
  <c r="AJ33" i="12"/>
  <c r="B33" i="12"/>
  <c r="AF33" i="12" s="1"/>
  <c r="AY32" i="12"/>
  <c r="AX32" i="12"/>
  <c r="AW32" i="12"/>
  <c r="AV32" i="12"/>
  <c r="AL32" i="12" s="1"/>
  <c r="AU32" i="12"/>
  <c r="AK32" i="12" s="1"/>
  <c r="AT32" i="12"/>
  <c r="AS32" i="12"/>
  <c r="AR32" i="12"/>
  <c r="AQ32" i="12"/>
  <c r="AP32" i="12"/>
  <c r="AO32" i="12"/>
  <c r="AN32" i="12"/>
  <c r="AM32" i="12"/>
  <c r="AJ32" i="12"/>
  <c r="B32" i="12"/>
  <c r="P32" i="12" s="1"/>
  <c r="AY29" i="12"/>
  <c r="AX29" i="12"/>
  <c r="AN29" i="12" s="1"/>
  <c r="AW29" i="12"/>
  <c r="AV29" i="12"/>
  <c r="AU29" i="12"/>
  <c r="AK29" i="12" s="1"/>
  <c r="AT29" i="12"/>
  <c r="AS29" i="12"/>
  <c r="AR29" i="12"/>
  <c r="AQ29" i="12"/>
  <c r="AP29" i="12"/>
  <c r="AO29" i="12"/>
  <c r="AM29" i="12"/>
  <c r="AL29" i="12"/>
  <c r="AJ29" i="12"/>
  <c r="AG29" i="12"/>
  <c r="AF29" i="12"/>
  <c r="AC29" i="12"/>
  <c r="AB29" i="12"/>
  <c r="Z29" i="12"/>
  <c r="AA29" i="12" s="1"/>
  <c r="Y29" i="12"/>
  <c r="W29" i="12"/>
  <c r="U29" i="12"/>
  <c r="T29" i="12"/>
  <c r="S29" i="12"/>
  <c r="R29" i="12"/>
  <c r="Q29" i="12"/>
  <c r="P29" i="12"/>
  <c r="O29" i="12"/>
  <c r="N29" i="12"/>
  <c r="L29" i="12"/>
  <c r="J29" i="12"/>
  <c r="I29" i="12"/>
  <c r="D29" i="12" s="1"/>
  <c r="H29" i="12"/>
  <c r="F29" i="12"/>
  <c r="C29" i="12"/>
  <c r="AY28" i="12"/>
  <c r="AX28" i="12"/>
  <c r="AW28" i="12"/>
  <c r="AV28" i="12"/>
  <c r="AL28" i="12" s="1"/>
  <c r="AU28" i="12"/>
  <c r="AK28" i="12" s="1"/>
  <c r="AT28" i="12"/>
  <c r="AS28" i="12"/>
  <c r="AR28" i="12"/>
  <c r="AQ28" i="12"/>
  <c r="AP28" i="12"/>
  <c r="AO28" i="12"/>
  <c r="AN28" i="12"/>
  <c r="AM28" i="12"/>
  <c r="AJ28" i="12"/>
  <c r="B28" i="12"/>
  <c r="AF28" i="12" s="1"/>
  <c r="AY27" i="12"/>
  <c r="AX27" i="12"/>
  <c r="AN27" i="12" s="1"/>
  <c r="AW27" i="12"/>
  <c r="AM27" i="12" s="1"/>
  <c r="AV27" i="12"/>
  <c r="AU27" i="12"/>
  <c r="AT27" i="12"/>
  <c r="AS27" i="12"/>
  <c r="AR27" i="12"/>
  <c r="AQ27" i="12"/>
  <c r="AP27" i="12"/>
  <c r="AO27" i="12"/>
  <c r="AL27" i="12"/>
  <c r="AK27" i="12"/>
  <c r="AJ27" i="12"/>
  <c r="B27" i="12"/>
  <c r="AC27" i="12" s="1"/>
  <c r="AY26" i="12"/>
  <c r="AX26" i="12"/>
  <c r="AW26" i="12"/>
  <c r="AV26" i="12"/>
  <c r="AL26" i="12" s="1"/>
  <c r="AU26" i="12"/>
  <c r="AK26" i="12" s="1"/>
  <c r="AT26" i="12"/>
  <c r="AS26" i="12"/>
  <c r="AR26" i="12"/>
  <c r="AQ26" i="12"/>
  <c r="AP26" i="12"/>
  <c r="AO26" i="12"/>
  <c r="AN26" i="12"/>
  <c r="AM26" i="12"/>
  <c r="AJ26" i="12"/>
  <c r="B26" i="12"/>
  <c r="AF26" i="12" s="1"/>
  <c r="AY25" i="12"/>
  <c r="AX25" i="12"/>
  <c r="AN25" i="12" s="1"/>
  <c r="AW25" i="12"/>
  <c r="AM25" i="12" s="1"/>
  <c r="AV25" i="12"/>
  <c r="AU25" i="12"/>
  <c r="AT25" i="12"/>
  <c r="AS25" i="12"/>
  <c r="AR25" i="12"/>
  <c r="AQ25" i="12"/>
  <c r="AP25" i="12"/>
  <c r="AO25" i="12"/>
  <c r="AL25" i="12"/>
  <c r="AK25" i="12"/>
  <c r="AJ25" i="12"/>
  <c r="B25" i="12"/>
  <c r="U25" i="12" s="1"/>
  <c r="AY22" i="12"/>
  <c r="AX22" i="12"/>
  <c r="AN22" i="12" s="1"/>
  <c r="AW22" i="12"/>
  <c r="AV22" i="12"/>
  <c r="AU22" i="12"/>
  <c r="AK22" i="12" s="1"/>
  <c r="AT22" i="12"/>
  <c r="AS22" i="12"/>
  <c r="AR22" i="12"/>
  <c r="AQ22" i="12"/>
  <c r="AP22" i="12"/>
  <c r="AO22" i="12"/>
  <c r="AM22" i="12"/>
  <c r="AL22" i="12"/>
  <c r="AJ22" i="12"/>
  <c r="AG22" i="12"/>
  <c r="AF22" i="12"/>
  <c r="AC22" i="12"/>
  <c r="AD22" i="12" s="1"/>
  <c r="AB22" i="12"/>
  <c r="Z22" i="12"/>
  <c r="AA22" i="12" s="1"/>
  <c r="Y22" i="12"/>
  <c r="W22" i="12"/>
  <c r="U22" i="12"/>
  <c r="T22" i="12"/>
  <c r="S22" i="12"/>
  <c r="R22" i="12"/>
  <c r="Q22" i="12"/>
  <c r="P22" i="12"/>
  <c r="O22" i="12"/>
  <c r="N22" i="12"/>
  <c r="L22" i="12"/>
  <c r="J22" i="12"/>
  <c r="K22" i="12" s="1"/>
  <c r="I22" i="12"/>
  <c r="H22" i="12"/>
  <c r="F22" i="12"/>
  <c r="D22" i="12"/>
  <c r="C22" i="12"/>
  <c r="AY21" i="12"/>
  <c r="AX21" i="12"/>
  <c r="AN21" i="12" s="1"/>
  <c r="AW21" i="12"/>
  <c r="AV21" i="12"/>
  <c r="AU21" i="12"/>
  <c r="AK21" i="12" s="1"/>
  <c r="AT21" i="12"/>
  <c r="AS21" i="12"/>
  <c r="AR21" i="12"/>
  <c r="AQ21" i="12"/>
  <c r="AP21" i="12"/>
  <c r="AO21" i="12"/>
  <c r="AM21" i="12"/>
  <c r="AL21" i="12"/>
  <c r="AJ21" i="12"/>
  <c r="B21" i="12"/>
  <c r="Y21" i="12" s="1"/>
  <c r="AY20" i="12"/>
  <c r="AX20" i="12"/>
  <c r="AW20" i="12"/>
  <c r="AV20" i="12"/>
  <c r="AL20" i="12" s="1"/>
  <c r="AU20" i="12"/>
  <c r="AT20" i="12"/>
  <c r="AS20" i="12"/>
  <c r="AR20" i="12"/>
  <c r="AQ20" i="12"/>
  <c r="AP20" i="12"/>
  <c r="AO20" i="12"/>
  <c r="AN20" i="12"/>
  <c r="AM20" i="12"/>
  <c r="AK20" i="12"/>
  <c r="AJ20" i="12"/>
  <c r="B20" i="12"/>
  <c r="Y20" i="12" s="1"/>
  <c r="AY19" i="12"/>
  <c r="AX19" i="12"/>
  <c r="AW19" i="12"/>
  <c r="AM19" i="12" s="1"/>
  <c r="AV19" i="12"/>
  <c r="AL19" i="12" s="1"/>
  <c r="AU19" i="12"/>
  <c r="AT19" i="12"/>
  <c r="AS19" i="12"/>
  <c r="AR19" i="12"/>
  <c r="AQ19" i="12"/>
  <c r="AP19" i="12"/>
  <c r="AO19" i="12"/>
  <c r="AN19" i="12"/>
  <c r="AK19" i="12"/>
  <c r="AJ19" i="12"/>
  <c r="B19" i="12"/>
  <c r="AC19" i="12" s="1"/>
  <c r="AY18" i="12"/>
  <c r="AX18" i="12"/>
  <c r="AN18" i="12" s="1"/>
  <c r="AW18" i="12"/>
  <c r="AM18" i="12" s="1"/>
  <c r="AV18" i="12"/>
  <c r="AU18" i="12"/>
  <c r="AT18" i="12"/>
  <c r="AS18" i="12"/>
  <c r="AR18" i="12"/>
  <c r="AQ18" i="12"/>
  <c r="AP18" i="12"/>
  <c r="AO18" i="12"/>
  <c r="AL18" i="12"/>
  <c r="AK18" i="12"/>
  <c r="AJ18" i="12"/>
  <c r="B18" i="12"/>
  <c r="Z18" i="12" s="1"/>
  <c r="AY17" i="12"/>
  <c r="AX17" i="12"/>
  <c r="AN17" i="12" s="1"/>
  <c r="AW17" i="12"/>
  <c r="AV17" i="12"/>
  <c r="AU17" i="12"/>
  <c r="AK17" i="12" s="1"/>
  <c r="AT17" i="12"/>
  <c r="AS17" i="12"/>
  <c r="AR17" i="12"/>
  <c r="AQ17" i="12"/>
  <c r="AP17" i="12"/>
  <c r="AO17" i="12"/>
  <c r="AM17" i="12"/>
  <c r="AL17" i="12"/>
  <c r="AJ17" i="12"/>
  <c r="B17" i="12"/>
  <c r="Y17" i="12" s="1"/>
  <c r="AY14" i="12"/>
  <c r="AX14" i="12"/>
  <c r="AW14" i="12"/>
  <c r="AV14" i="12"/>
  <c r="AL14" i="12" s="1"/>
  <c r="AU14" i="12"/>
  <c r="AK14" i="12" s="1"/>
  <c r="AT14" i="12"/>
  <c r="AS14" i="12"/>
  <c r="AR14" i="12"/>
  <c r="AQ14" i="12"/>
  <c r="AP14" i="12"/>
  <c r="AO14" i="12"/>
  <c r="AN14" i="12"/>
  <c r="AM14" i="12"/>
  <c r="AJ14" i="12"/>
  <c r="AG14" i="12"/>
  <c r="AF14" i="12"/>
  <c r="AC14" i="12"/>
  <c r="AB14" i="12"/>
  <c r="Z14" i="12"/>
  <c r="Y14" i="12"/>
  <c r="W14" i="12"/>
  <c r="U14" i="12"/>
  <c r="T14" i="12"/>
  <c r="S14" i="12"/>
  <c r="R14" i="12"/>
  <c r="Q14" i="12"/>
  <c r="P14" i="12"/>
  <c r="O14" i="12"/>
  <c r="N14" i="12"/>
  <c r="L14" i="12"/>
  <c r="J14" i="12"/>
  <c r="I14" i="12"/>
  <c r="K14" i="12" s="1"/>
  <c r="H14" i="12"/>
  <c r="G14" i="12" s="1"/>
  <c r="F14" i="12"/>
  <c r="C14" i="12"/>
  <c r="AY13" i="12"/>
  <c r="AX13" i="12"/>
  <c r="AW13" i="12"/>
  <c r="AM13" i="12" s="1"/>
  <c r="AV13" i="12"/>
  <c r="AL13" i="12" s="1"/>
  <c r="AU13" i="12"/>
  <c r="AK13" i="12" s="1"/>
  <c r="AT13" i="12"/>
  <c r="AS13" i="12"/>
  <c r="AR13" i="12"/>
  <c r="AQ13" i="12"/>
  <c r="AP13" i="12"/>
  <c r="AO13" i="12"/>
  <c r="AN13" i="12"/>
  <c r="AJ13" i="12"/>
  <c r="AG13" i="12"/>
  <c r="AF13" i="12"/>
  <c r="AC13" i="12"/>
  <c r="AD13" i="12" s="1"/>
  <c r="AB13" i="12"/>
  <c r="Z13" i="12"/>
  <c r="Y13" i="12"/>
  <c r="W13" i="12"/>
  <c r="U13" i="12"/>
  <c r="T13" i="12"/>
  <c r="S13" i="12"/>
  <c r="R13" i="12"/>
  <c r="Q13" i="12"/>
  <c r="P13" i="12"/>
  <c r="O13" i="12"/>
  <c r="N13" i="12"/>
  <c r="L13" i="12"/>
  <c r="J13" i="12"/>
  <c r="E13" i="12" s="1"/>
  <c r="I13" i="12"/>
  <c r="H13" i="12"/>
  <c r="G13" i="12" s="1"/>
  <c r="M13" i="12" s="1"/>
  <c r="F13" i="12"/>
  <c r="C13" i="12"/>
  <c r="AY12" i="12"/>
  <c r="AX12" i="12"/>
  <c r="AW12" i="12"/>
  <c r="AM12" i="12" s="1"/>
  <c r="AV12" i="12"/>
  <c r="AL12" i="12" s="1"/>
  <c r="AU12" i="12"/>
  <c r="AT12" i="12"/>
  <c r="AS12" i="12"/>
  <c r="AR12" i="12"/>
  <c r="AQ12" i="12"/>
  <c r="AP12" i="12"/>
  <c r="AO12" i="12"/>
  <c r="AN12" i="12"/>
  <c r="AK12" i="12"/>
  <c r="AJ12" i="12"/>
  <c r="B12" i="12"/>
  <c r="AC12" i="12" s="1"/>
  <c r="AY11" i="12"/>
  <c r="AX11" i="12"/>
  <c r="AN11" i="12" s="1"/>
  <c r="AW11" i="12"/>
  <c r="AM11" i="12" s="1"/>
  <c r="AV11" i="12"/>
  <c r="AL11" i="12" s="1"/>
  <c r="AU11" i="12"/>
  <c r="AT11" i="12"/>
  <c r="AS11" i="12"/>
  <c r="AR11" i="12"/>
  <c r="AQ11" i="12"/>
  <c r="AP11" i="12"/>
  <c r="AO11" i="12"/>
  <c r="AK11" i="12"/>
  <c r="AJ11" i="12"/>
  <c r="B11" i="12"/>
  <c r="N11" i="12" s="1"/>
  <c r="AY10" i="12"/>
  <c r="AX10" i="12"/>
  <c r="AN10" i="12" s="1"/>
  <c r="AW10" i="12"/>
  <c r="AM10" i="12" s="1"/>
  <c r="AV10" i="12"/>
  <c r="AU10" i="12"/>
  <c r="AT10" i="12"/>
  <c r="AS10" i="12"/>
  <c r="AR10" i="12"/>
  <c r="AQ10" i="12"/>
  <c r="AP10" i="12"/>
  <c r="AO10" i="12"/>
  <c r="AL10" i="12"/>
  <c r="AK10" i="12"/>
  <c r="AJ10" i="12"/>
  <c r="B10" i="12"/>
  <c r="AB10" i="12" s="1"/>
  <c r="AY9" i="12"/>
  <c r="AX9" i="12"/>
  <c r="AN9" i="12" s="1"/>
  <c r="AW9" i="12"/>
  <c r="AV9" i="12"/>
  <c r="AU9" i="12"/>
  <c r="AK9" i="12" s="1"/>
  <c r="AT9" i="12"/>
  <c r="AS9" i="12"/>
  <c r="AR9" i="12"/>
  <c r="AQ9" i="12"/>
  <c r="AP9" i="12"/>
  <c r="AO9" i="12"/>
  <c r="AM9" i="12"/>
  <c r="AL9" i="12"/>
  <c r="AJ9" i="12"/>
  <c r="B9" i="12"/>
  <c r="AY8" i="12"/>
  <c r="AX8" i="12"/>
  <c r="AW8" i="12"/>
  <c r="AV8" i="12"/>
  <c r="AL8" i="12" s="1"/>
  <c r="AU8" i="12"/>
  <c r="AT8" i="12"/>
  <c r="AS8" i="12"/>
  <c r="AR8" i="12"/>
  <c r="AQ8" i="12"/>
  <c r="AP8" i="12"/>
  <c r="AO8" i="12"/>
  <c r="AN8" i="12"/>
  <c r="AM8" i="12"/>
  <c r="AK8" i="12"/>
  <c r="AJ8" i="12"/>
  <c r="B8" i="12"/>
  <c r="AC8" i="12" s="1"/>
  <c r="AY7" i="12"/>
  <c r="AX7" i="12"/>
  <c r="AN7" i="12" s="1"/>
  <c r="AW7" i="12"/>
  <c r="AM7" i="12" s="1"/>
  <c r="AV7" i="12"/>
  <c r="AU7" i="12"/>
  <c r="AT7" i="12"/>
  <c r="AS7" i="12"/>
  <c r="AR7" i="12"/>
  <c r="AQ7" i="12"/>
  <c r="AP7" i="12"/>
  <c r="AO7" i="12"/>
  <c r="AL7" i="12"/>
  <c r="AK7" i="12"/>
  <c r="AJ7" i="12"/>
  <c r="B7" i="12"/>
  <c r="AC7" i="12" s="1"/>
  <c r="AY6" i="12"/>
  <c r="AX6" i="12"/>
  <c r="AN6" i="12" s="1"/>
  <c r="AW6" i="12"/>
  <c r="AM6" i="12" s="1"/>
  <c r="AV6" i="12"/>
  <c r="AU6" i="12"/>
  <c r="AT6" i="12"/>
  <c r="AS6" i="12"/>
  <c r="AR6" i="12"/>
  <c r="AQ6" i="12"/>
  <c r="AP6" i="12"/>
  <c r="AO6" i="12"/>
  <c r="AL6" i="12"/>
  <c r="AK6" i="12"/>
  <c r="AJ6" i="12"/>
  <c r="B6" i="12"/>
  <c r="R6" i="12" s="1"/>
  <c r="AY5" i="12"/>
  <c r="AX5" i="12"/>
  <c r="AN5" i="12" s="1"/>
  <c r="AW5" i="12"/>
  <c r="AV5" i="12"/>
  <c r="AU5" i="12"/>
  <c r="AK5" i="12" s="1"/>
  <c r="AT5" i="12"/>
  <c r="AS5" i="12"/>
  <c r="AR5" i="12"/>
  <c r="AQ5" i="12"/>
  <c r="AP5" i="12"/>
  <c r="AO5" i="12"/>
  <c r="AM5" i="12"/>
  <c r="AL5" i="12"/>
  <c r="AJ5" i="12"/>
  <c r="B5" i="12"/>
  <c r="AC5" i="12" s="1"/>
  <c r="AY4" i="12"/>
  <c r="AX4" i="12"/>
  <c r="AW4" i="12"/>
  <c r="AV4" i="12"/>
  <c r="AL4" i="12" s="1"/>
  <c r="AU4" i="12"/>
  <c r="AK4" i="12" s="1"/>
  <c r="AT4" i="12"/>
  <c r="AS4" i="12"/>
  <c r="AR4" i="12"/>
  <c r="AQ4" i="12"/>
  <c r="AP4" i="12"/>
  <c r="AO4" i="12"/>
  <c r="AN4" i="12"/>
  <c r="AM4" i="12"/>
  <c r="AJ4" i="12"/>
  <c r="B4" i="12"/>
  <c r="AB4" i="12" s="1"/>
  <c r="AY3" i="12"/>
  <c r="AX3" i="12"/>
  <c r="AW3" i="12"/>
  <c r="AM3" i="12" s="1"/>
  <c r="AV3" i="12"/>
  <c r="AU3" i="12"/>
  <c r="AT3" i="12"/>
  <c r="AS3" i="12"/>
  <c r="AR3" i="12"/>
  <c r="AQ3" i="12"/>
  <c r="AP3" i="12"/>
  <c r="AO3" i="12"/>
  <c r="AN3" i="12"/>
  <c r="AL3" i="12"/>
  <c r="AK3" i="12"/>
  <c r="AJ3" i="12"/>
  <c r="B3" i="12"/>
  <c r="K30" i="10"/>
  <c r="J30" i="10"/>
  <c r="I30" i="10"/>
  <c r="H30" i="10"/>
  <c r="Z401" i="9"/>
  <c r="Y401" i="9"/>
  <c r="Y400" i="9"/>
  <c r="Z400" i="9" s="1"/>
  <c r="Z399" i="9"/>
  <c r="Y399" i="9"/>
  <c r="Y398" i="9"/>
  <c r="Z398" i="9" s="1"/>
  <c r="Y397" i="9"/>
  <c r="Z397" i="9" s="1"/>
  <c r="Y396" i="9"/>
  <c r="Z396" i="9" s="1"/>
  <c r="Y395" i="9"/>
  <c r="Z395" i="9" s="1"/>
  <c r="Y394" i="9"/>
  <c r="Z394" i="9" s="1"/>
  <c r="Z393" i="9"/>
  <c r="Y393" i="9"/>
  <c r="Y392" i="9"/>
  <c r="Z392" i="9" s="1"/>
  <c r="Z391" i="9"/>
  <c r="Y391" i="9"/>
  <c r="Y390" i="9"/>
  <c r="Z390" i="9" s="1"/>
  <c r="Z389" i="9"/>
  <c r="Y389" i="9"/>
  <c r="Y388" i="9"/>
  <c r="Z388" i="9" s="1"/>
  <c r="Y387" i="9"/>
  <c r="Z387" i="9" s="1"/>
  <c r="Y386" i="9"/>
  <c r="Z386" i="9" s="1"/>
  <c r="Z385" i="9"/>
  <c r="Y385" i="9"/>
  <c r="Y384" i="9"/>
  <c r="Z384" i="9" s="1"/>
  <c r="Z383" i="9"/>
  <c r="Y383" i="9"/>
  <c r="Y382" i="9"/>
  <c r="Z382" i="9" s="1"/>
  <c r="Y381" i="9"/>
  <c r="Z381" i="9" s="1"/>
  <c r="Y380" i="9"/>
  <c r="Z380" i="9" s="1"/>
  <c r="Y379" i="9"/>
  <c r="Z379" i="9" s="1"/>
  <c r="Y378" i="9"/>
  <c r="Z378" i="9" s="1"/>
  <c r="Z377" i="9"/>
  <c r="Y377" i="9"/>
  <c r="Y376" i="9"/>
  <c r="Z376" i="9" s="1"/>
  <c r="Z375" i="9"/>
  <c r="Y375" i="9"/>
  <c r="Y374" i="9"/>
  <c r="Z374" i="9" s="1"/>
  <c r="Z373" i="9"/>
  <c r="Y373" i="9"/>
  <c r="Y372" i="9"/>
  <c r="Z372" i="9" s="1"/>
  <c r="Y371" i="9"/>
  <c r="Z371" i="9" s="1"/>
  <c r="Y370" i="9"/>
  <c r="Z370" i="9" s="1"/>
  <c r="Z369" i="9"/>
  <c r="Y369" i="9"/>
  <c r="Y368" i="9"/>
  <c r="Z368" i="9" s="1"/>
  <c r="Z367" i="9"/>
  <c r="Y367" i="9"/>
  <c r="Y366" i="9"/>
  <c r="Z366" i="9" s="1"/>
  <c r="Y365" i="9"/>
  <c r="Z365" i="9" s="1"/>
  <c r="Y364" i="9"/>
  <c r="Z364" i="9" s="1"/>
  <c r="Y363" i="9"/>
  <c r="Z363" i="9" s="1"/>
  <c r="Y362" i="9"/>
  <c r="Z362" i="9" s="1"/>
  <c r="Z361" i="9"/>
  <c r="Y361" i="9"/>
  <c r="Y360" i="9"/>
  <c r="Z360" i="9" s="1"/>
  <c r="Z359" i="9"/>
  <c r="Y359" i="9"/>
  <c r="Y358" i="9"/>
  <c r="Z358" i="9" s="1"/>
  <c r="Z357" i="9"/>
  <c r="Y357" i="9"/>
  <c r="Y356" i="9"/>
  <c r="Z356" i="9" s="1"/>
  <c r="Y355" i="9"/>
  <c r="Z355" i="9" s="1"/>
  <c r="Y354" i="9"/>
  <c r="Z354" i="9" s="1"/>
  <c r="Z353" i="9"/>
  <c r="Y353" i="9"/>
  <c r="Y352" i="9"/>
  <c r="Z352" i="9" s="1"/>
  <c r="Z351" i="9"/>
  <c r="Y351" i="9"/>
  <c r="Y350" i="9"/>
  <c r="Z350" i="9" s="1"/>
  <c r="Y349" i="9"/>
  <c r="Z349" i="9" s="1"/>
  <c r="Y348" i="9"/>
  <c r="Z348" i="9" s="1"/>
  <c r="Y347" i="9"/>
  <c r="Z347" i="9" s="1"/>
  <c r="Y346" i="9"/>
  <c r="Z346" i="9" s="1"/>
  <c r="Z345" i="9"/>
  <c r="Y345" i="9"/>
  <c r="Y344" i="9"/>
  <c r="Z344" i="9" s="1"/>
  <c r="Z343" i="9"/>
  <c r="Y343" i="9"/>
  <c r="Y342" i="9"/>
  <c r="Z342" i="9" s="1"/>
  <c r="Z341" i="9"/>
  <c r="Y341" i="9"/>
  <c r="Y340" i="9"/>
  <c r="Z340" i="9" s="1"/>
  <c r="Y339" i="9"/>
  <c r="Z339" i="9" s="1"/>
  <c r="Y338" i="9"/>
  <c r="Z338" i="9" s="1"/>
  <c r="Z337" i="9"/>
  <c r="Y337" i="9"/>
  <c r="Y336" i="9"/>
  <c r="Z336" i="9" s="1"/>
  <c r="Z335" i="9"/>
  <c r="Y335" i="9"/>
  <c r="Y334" i="9"/>
  <c r="Z334" i="9" s="1"/>
  <c r="Y333" i="9"/>
  <c r="Z333" i="9" s="1"/>
  <c r="Y332" i="9"/>
  <c r="Z332" i="9" s="1"/>
  <c r="Y331" i="9"/>
  <c r="Z331" i="9" s="1"/>
  <c r="Y330" i="9"/>
  <c r="Z330" i="9" s="1"/>
  <c r="Z329" i="9"/>
  <c r="Y329" i="9"/>
  <c r="Y328" i="9"/>
  <c r="Z328" i="9" s="1"/>
  <c r="Z327" i="9"/>
  <c r="Y327" i="9"/>
  <c r="Y326" i="9"/>
  <c r="Z326" i="9" s="1"/>
  <c r="Z325" i="9"/>
  <c r="Y325" i="9"/>
  <c r="Y324" i="9"/>
  <c r="Z324" i="9" s="1"/>
  <c r="Y323" i="9"/>
  <c r="Z323" i="9" s="1"/>
  <c r="Y322" i="9"/>
  <c r="Z322" i="9" s="1"/>
  <c r="Z321" i="9"/>
  <c r="Y321" i="9"/>
  <c r="Y320" i="9"/>
  <c r="Z320" i="9" s="1"/>
  <c r="Z319" i="9"/>
  <c r="Y319" i="9"/>
  <c r="Y318" i="9"/>
  <c r="Z318" i="9" s="1"/>
  <c r="Y317" i="9"/>
  <c r="Z317" i="9" s="1"/>
  <c r="Y316" i="9"/>
  <c r="Z316" i="9" s="1"/>
  <c r="Y315" i="9"/>
  <c r="Z315" i="9" s="1"/>
  <c r="Y314" i="9"/>
  <c r="Z314" i="9" s="1"/>
  <c r="Z313" i="9"/>
  <c r="Y313" i="9"/>
  <c r="Y312" i="9"/>
  <c r="Z312" i="9" s="1"/>
  <c r="Z311" i="9"/>
  <c r="Y311" i="9"/>
  <c r="Y310" i="9"/>
  <c r="Z310" i="9" s="1"/>
  <c r="Z309" i="9"/>
  <c r="Y309" i="9"/>
  <c r="Y308" i="9"/>
  <c r="Z308" i="9" s="1"/>
  <c r="Y307" i="9"/>
  <c r="Z307" i="9" s="1"/>
  <c r="Y306" i="9"/>
  <c r="Z306" i="9" s="1"/>
  <c r="Z305" i="9"/>
  <c r="Y305" i="9"/>
  <c r="Y304" i="9"/>
  <c r="Z304" i="9" s="1"/>
  <c r="Z303" i="9"/>
  <c r="Y303" i="9"/>
  <c r="Y302" i="9"/>
  <c r="Z302" i="9" s="1"/>
  <c r="Y301" i="9"/>
  <c r="Z301" i="9" s="1"/>
  <c r="Y300" i="9"/>
  <c r="Z300" i="9" s="1"/>
  <c r="Y299" i="9"/>
  <c r="Z299" i="9" s="1"/>
  <c r="Y298" i="9"/>
  <c r="Z298" i="9" s="1"/>
  <c r="Z297" i="9"/>
  <c r="Y297" i="9"/>
  <c r="Y296" i="9"/>
  <c r="Z296" i="9" s="1"/>
  <c r="Z295" i="9"/>
  <c r="Y295" i="9"/>
  <c r="Y294" i="9"/>
  <c r="Z294" i="9" s="1"/>
  <c r="Z293" i="9"/>
  <c r="Y293" i="9"/>
  <c r="Y292" i="9"/>
  <c r="Z292" i="9" s="1"/>
  <c r="Y291" i="9"/>
  <c r="Z291" i="9" s="1"/>
  <c r="Y290" i="9"/>
  <c r="Z290" i="9" s="1"/>
  <c r="Z289" i="9"/>
  <c r="Y289" i="9"/>
  <c r="Y288" i="9"/>
  <c r="Z288" i="9" s="1"/>
  <c r="Z287" i="9"/>
  <c r="Y287" i="9"/>
  <c r="Y286" i="9"/>
  <c r="Z286" i="9" s="1"/>
  <c r="Y285" i="9"/>
  <c r="Z285" i="9" s="1"/>
  <c r="Y284" i="9"/>
  <c r="Z284" i="9" s="1"/>
  <c r="Y283" i="9"/>
  <c r="Z283" i="9" s="1"/>
  <c r="Y282" i="9"/>
  <c r="Z282" i="9" s="1"/>
  <c r="Z281" i="9"/>
  <c r="Y281" i="9"/>
  <c r="Y280" i="9"/>
  <c r="Z280" i="9" s="1"/>
  <c r="Z279" i="9"/>
  <c r="Y279" i="9"/>
  <c r="Y278" i="9"/>
  <c r="Z278" i="9" s="1"/>
  <c r="Z277" i="9"/>
  <c r="Y277" i="9"/>
  <c r="Y276" i="9"/>
  <c r="Z276" i="9" s="1"/>
  <c r="Y275" i="9"/>
  <c r="Z275" i="9" s="1"/>
  <c r="Y274" i="9"/>
  <c r="Z274" i="9" s="1"/>
  <c r="Z273" i="9"/>
  <c r="Y273" i="9"/>
  <c r="Y272" i="9"/>
  <c r="Z272" i="9" s="1"/>
  <c r="Z271" i="9"/>
  <c r="Y271" i="9"/>
  <c r="Y270" i="9"/>
  <c r="Z270" i="9" s="1"/>
  <c r="Y269" i="9"/>
  <c r="Z269" i="9" s="1"/>
  <c r="Y268" i="9"/>
  <c r="Z268" i="9" s="1"/>
  <c r="Y267" i="9"/>
  <c r="Z267" i="9" s="1"/>
  <c r="Y266" i="9"/>
  <c r="Z266" i="9" s="1"/>
  <c r="Z265" i="9"/>
  <c r="Y265" i="9"/>
  <c r="Y264" i="9"/>
  <c r="Z264" i="9" s="1"/>
  <c r="Y263" i="9"/>
  <c r="Z263" i="9" s="1"/>
  <c r="Y262" i="9"/>
  <c r="Z262" i="9" s="1"/>
  <c r="Z261" i="9"/>
  <c r="Y261" i="9"/>
  <c r="Y260" i="9"/>
  <c r="Z260" i="9" s="1"/>
  <c r="Y259" i="9"/>
  <c r="Z259" i="9" s="1"/>
  <c r="Y258" i="9"/>
  <c r="Z258" i="9" s="1"/>
  <c r="Z257" i="9"/>
  <c r="Y257" i="9"/>
  <c r="Y256" i="9"/>
  <c r="Z256" i="9" s="1"/>
  <c r="Z255" i="9"/>
  <c r="Y255" i="9"/>
  <c r="Y254" i="9"/>
  <c r="Z254" i="9" s="1"/>
  <c r="Y253" i="9"/>
  <c r="Z253" i="9" s="1"/>
  <c r="Y252" i="9"/>
  <c r="Z252" i="9" s="1"/>
  <c r="Y251" i="9"/>
  <c r="Z251" i="9" s="1"/>
  <c r="Y250" i="9"/>
  <c r="Z250" i="9" s="1"/>
  <c r="Z249" i="9"/>
  <c r="Y249" i="9"/>
  <c r="Y248" i="9"/>
  <c r="Z248" i="9" s="1"/>
  <c r="Y247" i="9"/>
  <c r="Z247" i="9" s="1"/>
  <c r="Y246" i="9"/>
  <c r="Z246" i="9" s="1"/>
  <c r="Z245" i="9"/>
  <c r="Y245" i="9"/>
  <c r="Y244" i="9"/>
  <c r="Z244" i="9" s="1"/>
  <c r="Y243" i="9"/>
  <c r="Z243" i="9" s="1"/>
  <c r="Y242" i="9"/>
  <c r="Z242" i="9" s="1"/>
  <c r="Z241" i="9"/>
  <c r="Y241" i="9"/>
  <c r="Y240" i="9"/>
  <c r="Z240" i="9" s="1"/>
  <c r="Z239" i="9"/>
  <c r="Y239" i="9"/>
  <c r="Y238" i="9"/>
  <c r="Z238" i="9" s="1"/>
  <c r="Y237" i="9"/>
  <c r="Z237" i="9" s="1"/>
  <c r="Y236" i="9"/>
  <c r="Z236" i="9" s="1"/>
  <c r="Y235" i="9"/>
  <c r="Z235" i="9" s="1"/>
  <c r="Y234" i="9"/>
  <c r="Z234" i="9" s="1"/>
  <c r="Z233" i="9"/>
  <c r="Y233" i="9"/>
  <c r="Y232" i="9"/>
  <c r="Z232" i="9" s="1"/>
  <c r="Y231" i="9"/>
  <c r="Z231" i="9" s="1"/>
  <c r="Y230" i="9"/>
  <c r="Z230" i="9" s="1"/>
  <c r="Z229" i="9"/>
  <c r="Y229" i="9"/>
  <c r="Y228" i="9"/>
  <c r="Z228" i="9" s="1"/>
  <c r="Y227" i="9"/>
  <c r="Z227" i="9" s="1"/>
  <c r="Y226" i="9"/>
  <c r="Z226" i="9" s="1"/>
  <c r="Z225" i="9"/>
  <c r="Y225" i="9"/>
  <c r="Y224" i="9"/>
  <c r="Z224" i="9" s="1"/>
  <c r="Z223" i="9"/>
  <c r="Y223" i="9"/>
  <c r="Y222" i="9"/>
  <c r="Z222" i="9" s="1"/>
  <c r="Y221" i="9"/>
  <c r="Z221" i="9" s="1"/>
  <c r="Y220" i="9"/>
  <c r="Z220" i="9" s="1"/>
  <c r="Y219" i="9"/>
  <c r="Z219" i="9" s="1"/>
  <c r="Y218" i="9"/>
  <c r="Z218" i="9" s="1"/>
  <c r="Z217" i="9"/>
  <c r="Y217" i="9"/>
  <c r="Y216" i="9"/>
  <c r="Z216" i="9" s="1"/>
  <c r="Y215" i="9"/>
  <c r="Z215" i="9" s="1"/>
  <c r="Y214" i="9"/>
  <c r="Z214" i="9" s="1"/>
  <c r="Z213" i="9"/>
  <c r="Y213" i="9"/>
  <c r="Y212" i="9"/>
  <c r="Z212" i="9" s="1"/>
  <c r="Y211" i="9"/>
  <c r="Z211" i="9" s="1"/>
  <c r="Y210" i="9"/>
  <c r="Z210" i="9" s="1"/>
  <c r="Z209" i="9"/>
  <c r="Y209" i="9"/>
  <c r="Y208" i="9"/>
  <c r="Z208" i="9" s="1"/>
  <c r="Z207" i="9"/>
  <c r="Y207" i="9"/>
  <c r="Y206" i="9"/>
  <c r="Z206" i="9" s="1"/>
  <c r="Y205" i="9"/>
  <c r="Z205" i="9" s="1"/>
  <c r="Y204" i="9"/>
  <c r="Z204" i="9" s="1"/>
  <c r="Y203" i="9"/>
  <c r="Z203" i="9" s="1"/>
  <c r="Y202" i="9"/>
  <c r="Z202" i="9" s="1"/>
  <c r="Z201" i="9"/>
  <c r="Y201" i="9"/>
  <c r="Y200" i="9"/>
  <c r="Z200" i="9" s="1"/>
  <c r="Y199" i="9"/>
  <c r="Z199" i="9" s="1"/>
  <c r="Y198" i="9"/>
  <c r="Z198" i="9" s="1"/>
  <c r="Z197" i="9"/>
  <c r="Y197" i="9"/>
  <c r="Y196" i="9"/>
  <c r="Z196" i="9" s="1"/>
  <c r="Y195" i="9"/>
  <c r="Z195" i="9" s="1"/>
  <c r="Y194" i="9"/>
  <c r="Z194" i="9" s="1"/>
  <c r="Z193" i="9"/>
  <c r="Y193" i="9"/>
  <c r="Y192" i="9"/>
  <c r="Z192" i="9" s="1"/>
  <c r="Z191" i="9"/>
  <c r="Y191" i="9"/>
  <c r="Y190" i="9"/>
  <c r="Z190" i="9" s="1"/>
  <c r="Y189" i="9"/>
  <c r="Z189" i="9" s="1"/>
  <c r="Y188" i="9"/>
  <c r="Z188" i="9" s="1"/>
  <c r="Y187" i="9"/>
  <c r="Z187" i="9" s="1"/>
  <c r="Y186" i="9"/>
  <c r="Z186" i="9" s="1"/>
  <c r="Z185" i="9"/>
  <c r="Y185" i="9"/>
  <c r="Y184" i="9"/>
  <c r="Z184" i="9" s="1"/>
  <c r="Y183" i="9"/>
  <c r="Z183" i="9" s="1"/>
  <c r="Y182" i="9"/>
  <c r="Z182" i="9" s="1"/>
  <c r="Z181" i="9"/>
  <c r="Y181" i="9"/>
  <c r="Y180" i="9"/>
  <c r="Z180" i="9" s="1"/>
  <c r="Y179" i="9"/>
  <c r="Z179" i="9" s="1"/>
  <c r="Y178" i="9"/>
  <c r="Z178" i="9" s="1"/>
  <c r="Z177" i="9"/>
  <c r="Y177" i="9"/>
  <c r="Y176" i="9"/>
  <c r="Z176" i="9" s="1"/>
  <c r="Z175" i="9"/>
  <c r="Y175" i="9"/>
  <c r="Y174" i="9"/>
  <c r="Z174" i="9" s="1"/>
  <c r="Y173" i="9"/>
  <c r="Z173" i="9" s="1"/>
  <c r="Y172" i="9"/>
  <c r="Z172" i="9" s="1"/>
  <c r="Y171" i="9"/>
  <c r="Z171" i="9" s="1"/>
  <c r="Y170" i="9"/>
  <c r="Z170" i="9" s="1"/>
  <c r="Z169" i="9"/>
  <c r="Y169" i="9"/>
  <c r="Y168" i="9"/>
  <c r="Z168" i="9" s="1"/>
  <c r="Y167" i="9"/>
  <c r="Z167" i="9" s="1"/>
  <c r="Y166" i="9"/>
  <c r="Z166" i="9" s="1"/>
  <c r="Z165" i="9"/>
  <c r="Y165" i="9"/>
  <c r="Y164" i="9"/>
  <c r="Z164" i="9" s="1"/>
  <c r="Y163" i="9"/>
  <c r="Z163" i="9" s="1"/>
  <c r="Y162" i="9"/>
  <c r="Z162" i="9" s="1"/>
  <c r="Z161" i="9"/>
  <c r="Y161" i="9"/>
  <c r="Y160" i="9"/>
  <c r="Z160" i="9" s="1"/>
  <c r="Z159" i="9"/>
  <c r="Y159" i="9"/>
  <c r="Y158" i="9"/>
  <c r="Z158" i="9" s="1"/>
  <c r="Y157" i="9"/>
  <c r="Z157" i="9" s="1"/>
  <c r="Y156" i="9"/>
  <c r="Z156" i="9" s="1"/>
  <c r="Y155" i="9"/>
  <c r="Z155" i="9" s="1"/>
  <c r="Y154" i="9"/>
  <c r="Z154" i="9" s="1"/>
  <c r="Z153" i="9"/>
  <c r="Y153" i="9"/>
  <c r="Y152" i="9"/>
  <c r="Z152" i="9" s="1"/>
  <c r="Y151" i="9"/>
  <c r="Z151" i="9" s="1"/>
  <c r="Y150" i="9"/>
  <c r="Z150" i="9" s="1"/>
  <c r="Z149" i="9"/>
  <c r="Y149" i="9"/>
  <c r="Y148" i="9"/>
  <c r="Z148" i="9" s="1"/>
  <c r="Y147" i="9"/>
  <c r="Z147" i="9" s="1"/>
  <c r="Y146" i="9"/>
  <c r="Z146" i="9" s="1"/>
  <c r="Z145" i="9"/>
  <c r="Y145" i="9"/>
  <c r="Y144" i="9"/>
  <c r="Z144" i="9" s="1"/>
  <c r="Z143" i="9"/>
  <c r="Y143" i="9"/>
  <c r="Y142" i="9"/>
  <c r="Z142" i="9" s="1"/>
  <c r="Y141" i="9"/>
  <c r="Z141" i="9" s="1"/>
  <c r="Y140" i="9"/>
  <c r="Z140" i="9" s="1"/>
  <c r="Y139" i="9"/>
  <c r="Z139" i="9" s="1"/>
  <c r="Y138" i="9"/>
  <c r="Z138" i="9" s="1"/>
  <c r="Z137" i="9"/>
  <c r="Y137" i="9"/>
  <c r="Y136" i="9"/>
  <c r="Z136" i="9" s="1"/>
  <c r="Y135" i="9"/>
  <c r="Z135" i="9" s="1"/>
  <c r="Y134" i="9"/>
  <c r="Z134" i="9" s="1"/>
  <c r="Z133" i="9"/>
  <c r="Y133" i="9"/>
  <c r="Y132" i="9"/>
  <c r="Z132" i="9" s="1"/>
  <c r="Y131" i="9"/>
  <c r="Z131" i="9" s="1"/>
  <c r="Y130" i="9"/>
  <c r="Z130" i="9" s="1"/>
  <c r="Z129" i="9"/>
  <c r="Y129" i="9"/>
  <c r="Y128" i="9"/>
  <c r="Z128" i="9" s="1"/>
  <c r="Z127" i="9"/>
  <c r="Y127" i="9"/>
  <c r="Y126" i="9"/>
  <c r="Z126" i="9" s="1"/>
  <c r="Y125" i="9"/>
  <c r="Z125" i="9" s="1"/>
  <c r="Y124" i="9"/>
  <c r="Z124" i="9" s="1"/>
  <c r="Y123" i="9"/>
  <c r="Z123" i="9" s="1"/>
  <c r="Y122" i="9"/>
  <c r="Z122" i="9" s="1"/>
  <c r="Z121" i="9"/>
  <c r="Y121" i="9"/>
  <c r="Y120" i="9"/>
  <c r="Z120" i="9" s="1"/>
  <c r="Y119" i="9"/>
  <c r="Z119" i="9" s="1"/>
  <c r="Y118" i="9"/>
  <c r="Z118" i="9" s="1"/>
  <c r="Z117" i="9"/>
  <c r="Y117" i="9"/>
  <c r="Y116" i="9"/>
  <c r="Z116" i="9" s="1"/>
  <c r="Y115" i="9"/>
  <c r="Z115" i="9" s="1"/>
  <c r="Y114" i="9"/>
  <c r="Z114" i="9" s="1"/>
  <c r="Z113" i="9"/>
  <c r="Y113" i="9"/>
  <c r="Y112" i="9"/>
  <c r="Z112" i="9" s="1"/>
  <c r="Z111" i="9"/>
  <c r="Y111" i="9"/>
  <c r="Y110" i="9"/>
  <c r="Z110" i="9" s="1"/>
  <c r="Y109" i="9"/>
  <c r="Z109" i="9" s="1"/>
  <c r="Y108" i="9"/>
  <c r="Z108" i="9" s="1"/>
  <c r="Y107" i="9"/>
  <c r="Z107" i="9" s="1"/>
  <c r="Y106" i="9"/>
  <c r="Z106" i="9" s="1"/>
  <c r="Z105" i="9"/>
  <c r="Y105" i="9"/>
  <c r="Y104" i="9"/>
  <c r="Z104" i="9" s="1"/>
  <c r="Y103" i="9"/>
  <c r="Z103" i="9" s="1"/>
  <c r="Y102" i="9"/>
  <c r="Z102" i="9" s="1"/>
  <c r="Z101" i="9"/>
  <c r="Y101" i="9"/>
  <c r="Y100" i="9"/>
  <c r="Z100" i="9" s="1"/>
  <c r="Y99" i="9"/>
  <c r="Z99" i="9" s="1"/>
  <c r="Y98" i="9"/>
  <c r="Z98" i="9" s="1"/>
  <c r="Z97" i="9"/>
  <c r="Y97" i="9"/>
  <c r="Y96" i="9"/>
  <c r="Z96" i="9" s="1"/>
  <c r="Z95" i="9"/>
  <c r="Y95" i="9"/>
  <c r="Y94" i="9"/>
  <c r="Z94" i="9" s="1"/>
  <c r="Y93" i="9"/>
  <c r="Z93" i="9" s="1"/>
  <c r="Y92" i="9"/>
  <c r="Z92" i="9" s="1"/>
  <c r="Y91" i="9"/>
  <c r="Z91" i="9" s="1"/>
  <c r="Y90" i="9"/>
  <c r="Z90" i="9" s="1"/>
  <c r="Z89" i="9"/>
  <c r="Y89" i="9"/>
  <c r="Y88" i="9"/>
  <c r="Z88" i="9" s="1"/>
  <c r="Y87" i="9"/>
  <c r="Z87" i="9" s="1"/>
  <c r="Y86" i="9"/>
  <c r="Z86" i="9" s="1"/>
  <c r="Z85" i="9"/>
  <c r="Y85" i="9"/>
  <c r="Y84" i="9"/>
  <c r="Z84" i="9" s="1"/>
  <c r="Y83" i="9"/>
  <c r="Z83" i="9" s="1"/>
  <c r="Y82" i="9"/>
  <c r="Z82" i="9" s="1"/>
  <c r="Z81" i="9"/>
  <c r="Y81" i="9"/>
  <c r="Y80" i="9"/>
  <c r="Z80" i="9" s="1"/>
  <c r="Z79" i="9"/>
  <c r="Y79" i="9"/>
  <c r="Y78" i="9"/>
  <c r="Z78" i="9" s="1"/>
  <c r="Y77" i="9"/>
  <c r="Z77" i="9" s="1"/>
  <c r="Y76" i="9"/>
  <c r="Z76" i="9" s="1"/>
  <c r="Y75" i="9"/>
  <c r="Z75" i="9" s="1"/>
  <c r="Y74" i="9"/>
  <c r="Z74" i="9" s="1"/>
  <c r="Z73" i="9"/>
  <c r="Y73" i="9"/>
  <c r="Y72" i="9"/>
  <c r="Z72" i="9" s="1"/>
  <c r="Y71" i="9"/>
  <c r="Z71" i="9" s="1"/>
  <c r="Y70" i="9"/>
  <c r="Z70" i="9" s="1"/>
  <c r="Z69" i="9"/>
  <c r="Y69" i="9"/>
  <c r="Y68" i="9"/>
  <c r="Z68" i="9" s="1"/>
  <c r="Y67" i="9"/>
  <c r="Z67" i="9" s="1"/>
  <c r="Y66" i="9"/>
  <c r="Z66" i="9" s="1"/>
  <c r="Z65" i="9"/>
  <c r="Y65" i="9"/>
  <c r="Y64" i="9"/>
  <c r="Z64" i="9" s="1"/>
  <c r="Z63" i="9"/>
  <c r="Y63" i="9"/>
  <c r="Y62" i="9"/>
  <c r="Z62" i="9" s="1"/>
  <c r="Y61" i="9"/>
  <c r="Z61" i="9" s="1"/>
  <c r="Y60" i="9"/>
  <c r="Z60" i="9" s="1"/>
  <c r="Y59" i="9"/>
  <c r="Z59" i="9" s="1"/>
  <c r="Y58" i="9"/>
  <c r="Z58" i="9" s="1"/>
  <c r="Z57" i="9"/>
  <c r="Y57" i="9"/>
  <c r="Y56" i="9"/>
  <c r="Z56" i="9" s="1"/>
  <c r="Y55" i="9"/>
  <c r="Z55" i="9" s="1"/>
  <c r="Y54" i="9"/>
  <c r="Z54" i="9" s="1"/>
  <c r="Z53" i="9"/>
  <c r="Y53" i="9"/>
  <c r="Y52" i="9"/>
  <c r="Z52" i="9" s="1"/>
  <c r="AD51" i="9"/>
  <c r="Z51" i="9"/>
  <c r="Y51" i="9"/>
  <c r="AD50" i="9"/>
  <c r="Y50" i="9"/>
  <c r="Z50" i="9" s="1"/>
  <c r="AD49" i="9"/>
  <c r="Z49" i="9"/>
  <c r="Y49" i="9"/>
  <c r="AD48" i="9"/>
  <c r="Y48" i="9"/>
  <c r="Z48" i="9" s="1"/>
  <c r="AD47" i="9"/>
  <c r="Z47" i="9"/>
  <c r="Y47" i="9"/>
  <c r="AD46" i="9"/>
  <c r="Z46" i="9"/>
  <c r="Y46" i="9"/>
  <c r="AD45" i="9"/>
  <c r="Z45" i="9"/>
  <c r="Y45" i="9"/>
  <c r="AD44" i="9"/>
  <c r="Y44" i="9"/>
  <c r="Z44" i="9" s="1"/>
  <c r="AD43" i="9"/>
  <c r="Z43" i="9"/>
  <c r="Y43" i="9"/>
  <c r="AD42" i="9"/>
  <c r="Z42" i="9"/>
  <c r="Y42" i="9"/>
  <c r="AD41" i="9"/>
  <c r="Y41" i="9"/>
  <c r="Z41" i="9" s="1"/>
  <c r="Z40" i="9"/>
  <c r="Y40" i="9"/>
  <c r="AD39" i="9"/>
  <c r="Z39" i="9"/>
  <c r="Y39" i="9"/>
  <c r="AD38" i="9"/>
  <c r="Y38" i="9"/>
  <c r="Z38" i="9" s="1"/>
  <c r="AD37" i="9"/>
  <c r="AC37" i="9"/>
  <c r="Y37" i="9"/>
  <c r="Z37" i="9" s="1"/>
  <c r="AD36" i="9"/>
  <c r="AC36" i="9"/>
  <c r="Y36" i="9"/>
  <c r="Z36" i="9" s="1"/>
  <c r="AD35" i="9"/>
  <c r="AC35" i="9"/>
  <c r="Y35" i="9"/>
  <c r="Z35" i="9" s="1"/>
  <c r="AD34" i="9"/>
  <c r="AC34" i="9"/>
  <c r="Y34" i="9"/>
  <c r="Z34" i="9" s="1"/>
  <c r="AD33" i="9"/>
  <c r="AC33" i="9"/>
  <c r="Y33" i="9"/>
  <c r="Z33" i="9" s="1"/>
  <c r="AD32" i="9"/>
  <c r="AC32" i="9"/>
  <c r="Y32" i="9"/>
  <c r="Z32" i="9" s="1"/>
  <c r="AD31" i="9"/>
  <c r="AC31" i="9"/>
  <c r="Y31" i="9"/>
  <c r="Z31" i="9" s="1"/>
  <c r="AD30" i="9"/>
  <c r="AC30" i="9"/>
  <c r="Y30" i="9"/>
  <c r="Z30" i="9" s="1"/>
  <c r="AD29" i="9"/>
  <c r="AC29" i="9"/>
  <c r="Y29" i="9"/>
  <c r="Z29" i="9" s="1"/>
  <c r="AD28" i="9"/>
  <c r="AC28" i="9"/>
  <c r="Y28" i="9"/>
  <c r="Z28" i="9" s="1"/>
  <c r="AD27" i="9"/>
  <c r="AC27" i="9"/>
  <c r="Y27" i="9"/>
  <c r="Z27" i="9" s="1"/>
  <c r="AD26" i="9"/>
  <c r="AC26" i="9"/>
  <c r="Y26" i="9"/>
  <c r="Z26" i="9" s="1"/>
  <c r="AD25" i="9"/>
  <c r="AC25" i="9"/>
  <c r="Y25" i="9"/>
  <c r="Z25" i="9" s="1"/>
  <c r="AD24" i="9"/>
  <c r="AC24" i="9"/>
  <c r="Y24" i="9"/>
  <c r="Z24" i="9" s="1"/>
  <c r="AD23" i="9"/>
  <c r="AC23" i="9"/>
  <c r="Y23" i="9"/>
  <c r="Z23" i="9" s="1"/>
  <c r="AD22" i="9"/>
  <c r="AC22" i="9"/>
  <c r="Y22" i="9"/>
  <c r="Z22" i="9" s="1"/>
  <c r="AD21" i="9"/>
  <c r="AC21" i="9"/>
  <c r="Y21" i="9"/>
  <c r="Z21" i="9" s="1"/>
  <c r="AD20" i="9"/>
  <c r="AC20" i="9"/>
  <c r="Y20" i="9"/>
  <c r="Z20" i="9" s="1"/>
  <c r="AD19" i="9"/>
  <c r="AC19" i="9"/>
  <c r="Y19" i="9"/>
  <c r="Z19" i="9" s="1"/>
  <c r="AB18" i="9"/>
  <c r="AA18" i="9"/>
  <c r="AB17" i="9"/>
  <c r="AA17" i="9"/>
  <c r="AD17" i="9" s="1"/>
  <c r="Z17" i="9"/>
  <c r="Y17" i="9"/>
  <c r="AB16" i="9"/>
  <c r="AA16" i="9"/>
  <c r="AD16" i="9" s="1"/>
  <c r="Y16" i="9"/>
  <c r="Z16" i="9" s="1"/>
  <c r="AB15" i="9"/>
  <c r="AA15" i="9"/>
  <c r="AC15" i="9" s="1"/>
  <c r="Z15" i="9"/>
  <c r="Y15" i="9"/>
  <c r="AB14" i="9"/>
  <c r="AA14" i="9"/>
  <c r="AC14" i="9" s="1"/>
  <c r="Y14" i="9"/>
  <c r="Z14" i="9" s="1"/>
  <c r="AB13" i="9"/>
  <c r="AA13" i="9"/>
  <c r="AD13" i="9" s="1"/>
  <c r="Z13" i="9"/>
  <c r="Y13" i="9"/>
  <c r="AB12" i="9"/>
  <c r="AA12" i="9"/>
  <c r="AD12" i="9" s="1"/>
  <c r="Y12" i="9"/>
  <c r="Z12" i="9" s="1"/>
  <c r="AB11" i="9"/>
  <c r="AA11" i="9"/>
  <c r="AC11" i="9" s="1"/>
  <c r="Z11" i="9"/>
  <c r="Y11" i="9"/>
  <c r="AB10" i="9"/>
  <c r="AA10" i="9"/>
  <c r="AC10" i="9" s="1"/>
  <c r="Z10" i="9"/>
  <c r="Y10" i="9"/>
  <c r="AB9" i="9"/>
  <c r="AA9" i="9"/>
  <c r="AD9" i="9" s="1"/>
  <c r="Z9" i="9"/>
  <c r="Y9" i="9"/>
  <c r="AB8" i="9"/>
  <c r="AA8" i="9"/>
  <c r="AD8" i="9" s="1"/>
  <c r="Y8" i="9"/>
  <c r="Z8" i="9" s="1"/>
  <c r="AB7" i="9"/>
  <c r="AA7" i="9"/>
  <c r="AC7" i="9" s="1"/>
  <c r="Z7" i="9"/>
  <c r="Y7" i="9"/>
  <c r="AB6" i="9"/>
  <c r="AA6" i="9"/>
  <c r="AD6" i="9" s="1"/>
  <c r="Y6" i="9"/>
  <c r="Z6" i="9" s="1"/>
  <c r="AB5" i="9"/>
  <c r="AA5" i="9"/>
  <c r="AD5" i="9" s="1"/>
  <c r="Z5" i="9"/>
  <c r="Y5" i="9"/>
  <c r="S1000" i="8"/>
  <c r="O1000" i="8"/>
  <c r="N1000" i="8"/>
  <c r="N999" i="8"/>
  <c r="S998" i="8"/>
  <c r="O998" i="8"/>
  <c r="N998" i="8"/>
  <c r="N997" i="8"/>
  <c r="P996" i="8"/>
  <c r="O996" i="8"/>
  <c r="N996" i="8"/>
  <c r="R996" i="8" s="1"/>
  <c r="N995" i="8"/>
  <c r="O994" i="8"/>
  <c r="N994" i="8"/>
  <c r="N993" i="8"/>
  <c r="N992" i="8"/>
  <c r="N991" i="8"/>
  <c r="S990" i="8"/>
  <c r="N990" i="8"/>
  <c r="Q990" i="8" s="1"/>
  <c r="N989" i="8"/>
  <c r="S988" i="8"/>
  <c r="N988" i="8"/>
  <c r="N987" i="8"/>
  <c r="Q986" i="8"/>
  <c r="P986" i="8"/>
  <c r="N986" i="8"/>
  <c r="R986" i="8" s="1"/>
  <c r="R985" i="8"/>
  <c r="Q985" i="8"/>
  <c r="N985" i="8"/>
  <c r="P985" i="8" s="1"/>
  <c r="Q984" i="8"/>
  <c r="P984" i="8"/>
  <c r="N984" i="8"/>
  <c r="R984" i="8" s="1"/>
  <c r="O983" i="8"/>
  <c r="N983" i="8"/>
  <c r="N982" i="8"/>
  <c r="R981" i="8"/>
  <c r="N981" i="8"/>
  <c r="P981" i="8" s="1"/>
  <c r="N980" i="8"/>
  <c r="Q980" i="8" s="1"/>
  <c r="N979" i="8"/>
  <c r="S979" i="8" s="1"/>
  <c r="S978" i="8"/>
  <c r="N978" i="8"/>
  <c r="N977" i="8"/>
  <c r="Q976" i="8"/>
  <c r="P976" i="8"/>
  <c r="O976" i="8"/>
  <c r="N976" i="8"/>
  <c r="R976" i="8" s="1"/>
  <c r="N975" i="8"/>
  <c r="O975" i="8" s="1"/>
  <c r="Q974" i="8"/>
  <c r="N974" i="8"/>
  <c r="R973" i="8"/>
  <c r="N973" i="8"/>
  <c r="Q972" i="8"/>
  <c r="N972" i="8"/>
  <c r="R972" i="8" s="1"/>
  <c r="S971" i="8"/>
  <c r="R971" i="8"/>
  <c r="N971" i="8"/>
  <c r="O971" i="8" s="1"/>
  <c r="N970" i="8"/>
  <c r="N969" i="8"/>
  <c r="N968" i="8"/>
  <c r="N967" i="8"/>
  <c r="S966" i="8"/>
  <c r="N966" i="8"/>
  <c r="N965" i="8"/>
  <c r="O965" i="8" s="1"/>
  <c r="N964" i="8"/>
  <c r="S963" i="8"/>
  <c r="N963" i="8"/>
  <c r="Q962" i="8"/>
  <c r="N962" i="8"/>
  <c r="R962" i="8" s="1"/>
  <c r="R961" i="8"/>
  <c r="Q961" i="8"/>
  <c r="N961" i="8"/>
  <c r="P961" i="8" s="1"/>
  <c r="N960" i="8"/>
  <c r="Q960" i="8" s="1"/>
  <c r="N959" i="8"/>
  <c r="N958" i="8"/>
  <c r="Q958" i="8" s="1"/>
  <c r="N957" i="8"/>
  <c r="Q957" i="8" s="1"/>
  <c r="N956" i="8"/>
  <c r="R956" i="8" s="1"/>
  <c r="N955" i="8"/>
  <c r="N954" i="8"/>
  <c r="P954" i="8" s="1"/>
  <c r="N953" i="8"/>
  <c r="Q953" i="8" s="1"/>
  <c r="N952" i="8"/>
  <c r="Q952" i="8" s="1"/>
  <c r="N951" i="8"/>
  <c r="R950" i="8"/>
  <c r="N950" i="8"/>
  <c r="Q950" i="8" s="1"/>
  <c r="N949" i="8"/>
  <c r="Q949" i="8" s="1"/>
  <c r="N948" i="8"/>
  <c r="R948" i="8" s="1"/>
  <c r="N947" i="8"/>
  <c r="P946" i="8"/>
  <c r="N946" i="8"/>
  <c r="N945" i="8"/>
  <c r="Q945" i="8" s="1"/>
  <c r="N944" i="8"/>
  <c r="Q944" i="8" s="1"/>
  <c r="N943" i="8"/>
  <c r="N942" i="8"/>
  <c r="N941" i="8"/>
  <c r="Q941" i="8" s="1"/>
  <c r="N940" i="8"/>
  <c r="R940" i="8" s="1"/>
  <c r="P939" i="8"/>
  <c r="N939" i="8"/>
  <c r="O939" i="8" s="1"/>
  <c r="N938" i="8"/>
  <c r="N937" i="8"/>
  <c r="N936" i="8"/>
  <c r="Q936" i="8" s="1"/>
  <c r="N935" i="8"/>
  <c r="O935" i="8" s="1"/>
  <c r="N934" i="8"/>
  <c r="R934" i="8" s="1"/>
  <c r="N933" i="8"/>
  <c r="Q933" i="8" s="1"/>
  <c r="N932" i="8"/>
  <c r="R932" i="8" s="1"/>
  <c r="N931" i="8"/>
  <c r="N930" i="8"/>
  <c r="P930" i="8" s="1"/>
  <c r="N929" i="8"/>
  <c r="N928" i="8"/>
  <c r="Q928" i="8" s="1"/>
  <c r="N927" i="8"/>
  <c r="O927" i="8" s="1"/>
  <c r="N926" i="8"/>
  <c r="N925" i="8"/>
  <c r="Q925" i="8" s="1"/>
  <c r="N924" i="8"/>
  <c r="R924" i="8" s="1"/>
  <c r="O923" i="8"/>
  <c r="N923" i="8"/>
  <c r="N922" i="8"/>
  <c r="N921" i="8"/>
  <c r="Q920" i="8"/>
  <c r="N920" i="8"/>
  <c r="N919" i="8"/>
  <c r="O919" i="8" s="1"/>
  <c r="N918" i="8"/>
  <c r="R918" i="8" s="1"/>
  <c r="N917" i="8"/>
  <c r="Q917" i="8" s="1"/>
  <c r="N916" i="8"/>
  <c r="R916" i="8" s="1"/>
  <c r="N915" i="8"/>
  <c r="Q914" i="8"/>
  <c r="N914" i="8"/>
  <c r="R914" i="8" s="1"/>
  <c r="N913" i="8"/>
  <c r="N912" i="8"/>
  <c r="Q912" i="8" s="1"/>
  <c r="N911" i="8"/>
  <c r="N910" i="8"/>
  <c r="N909" i="8"/>
  <c r="Q909" i="8" s="1"/>
  <c r="N908" i="8"/>
  <c r="R908" i="8" s="1"/>
  <c r="N907" i="8"/>
  <c r="N906" i="8"/>
  <c r="N905" i="8"/>
  <c r="N904" i="8"/>
  <c r="Q904" i="8" s="1"/>
  <c r="O903" i="8"/>
  <c r="N903" i="8"/>
  <c r="N902" i="8"/>
  <c r="N901" i="8"/>
  <c r="Q901" i="8" s="1"/>
  <c r="N900" i="8"/>
  <c r="R900" i="8" s="1"/>
  <c r="N899" i="8"/>
  <c r="N898" i="8"/>
  <c r="P898" i="8" s="1"/>
  <c r="N897" i="8"/>
  <c r="N896" i="8"/>
  <c r="Q896" i="8" s="1"/>
  <c r="N895" i="8"/>
  <c r="O895" i="8" s="1"/>
  <c r="N894" i="8"/>
  <c r="N893" i="8"/>
  <c r="Q893" i="8" s="1"/>
  <c r="N892" i="8"/>
  <c r="R892" i="8" s="1"/>
  <c r="N891" i="8"/>
  <c r="N890" i="8"/>
  <c r="N889" i="8"/>
  <c r="N888" i="8"/>
  <c r="Q888" i="8" s="1"/>
  <c r="O887" i="8"/>
  <c r="N887" i="8"/>
  <c r="N886" i="8"/>
  <c r="R886" i="8" s="1"/>
  <c r="N885" i="8"/>
  <c r="Q885" i="8" s="1"/>
  <c r="N884" i="8"/>
  <c r="R884" i="8" s="1"/>
  <c r="N883" i="8"/>
  <c r="N882" i="8"/>
  <c r="P882" i="8" s="1"/>
  <c r="N881" i="8"/>
  <c r="N880" i="8"/>
  <c r="Q880" i="8" s="1"/>
  <c r="N879" i="8"/>
  <c r="N878" i="8"/>
  <c r="N877" i="8"/>
  <c r="Q877" i="8" s="1"/>
  <c r="N876" i="8"/>
  <c r="R876" i="8" s="1"/>
  <c r="R875" i="8"/>
  <c r="N875" i="8"/>
  <c r="P875" i="8" s="1"/>
  <c r="N874" i="8"/>
  <c r="P874" i="8" s="1"/>
  <c r="N873" i="8"/>
  <c r="N872" i="8"/>
  <c r="Q872" i="8" s="1"/>
  <c r="O871" i="8"/>
  <c r="N871" i="8"/>
  <c r="N870" i="8"/>
  <c r="N869" i="8"/>
  <c r="Q869" i="8" s="1"/>
  <c r="N868" i="8"/>
  <c r="R868" i="8" s="1"/>
  <c r="N867" i="8"/>
  <c r="R866" i="8"/>
  <c r="Q866" i="8"/>
  <c r="N866" i="8"/>
  <c r="P866" i="8" s="1"/>
  <c r="N865" i="8"/>
  <c r="N864" i="8"/>
  <c r="Q864" i="8" s="1"/>
  <c r="R863" i="8"/>
  <c r="N863" i="8"/>
  <c r="Q863" i="8" s="1"/>
  <c r="N862" i="8"/>
  <c r="N861" i="8"/>
  <c r="Q861" i="8" s="1"/>
  <c r="N860" i="8"/>
  <c r="R860" i="8" s="1"/>
  <c r="N859" i="8"/>
  <c r="N858" i="8"/>
  <c r="N857" i="8"/>
  <c r="Q857" i="8" s="1"/>
  <c r="N856" i="8"/>
  <c r="Q856" i="8" s="1"/>
  <c r="O855" i="8"/>
  <c r="N855" i="8"/>
  <c r="N854" i="8"/>
  <c r="N853" i="8"/>
  <c r="Q853" i="8" s="1"/>
  <c r="N852" i="8"/>
  <c r="R852" i="8" s="1"/>
  <c r="R851" i="8"/>
  <c r="N851" i="8"/>
  <c r="P851" i="8" s="1"/>
  <c r="N850" i="8"/>
  <c r="P849" i="8"/>
  <c r="N849" i="8"/>
  <c r="Q849" i="8" s="1"/>
  <c r="N848" i="8"/>
  <c r="Q848" i="8" s="1"/>
  <c r="R847" i="8"/>
  <c r="O847" i="8"/>
  <c r="N847" i="8"/>
  <c r="Q847" i="8" s="1"/>
  <c r="N846" i="8"/>
  <c r="N845" i="8"/>
  <c r="Q845" i="8" s="1"/>
  <c r="N844" i="8"/>
  <c r="R844" i="8" s="1"/>
  <c r="N843" i="8"/>
  <c r="N842" i="8"/>
  <c r="N841" i="8"/>
  <c r="N840" i="8"/>
  <c r="Q840" i="8" s="1"/>
  <c r="R839" i="8"/>
  <c r="O839" i="8"/>
  <c r="N839" i="8"/>
  <c r="Q839" i="8" s="1"/>
  <c r="P838" i="8"/>
  <c r="N838" i="8"/>
  <c r="N837" i="8"/>
  <c r="Q837" i="8" s="1"/>
  <c r="N836" i="8"/>
  <c r="R836" i="8" s="1"/>
  <c r="N835" i="8"/>
  <c r="R834" i="8"/>
  <c r="Q834" i="8"/>
  <c r="N834" i="8"/>
  <c r="P834" i="8" s="1"/>
  <c r="P833" i="8"/>
  <c r="N833" i="8"/>
  <c r="Q833" i="8" s="1"/>
  <c r="N832" i="8"/>
  <c r="Q832" i="8" s="1"/>
  <c r="N831" i="8"/>
  <c r="O831" i="8" s="1"/>
  <c r="N830" i="8"/>
  <c r="N829" i="8"/>
  <c r="Q829" i="8" s="1"/>
  <c r="N828" i="8"/>
  <c r="R828" i="8" s="1"/>
  <c r="N827" i="8"/>
  <c r="R826" i="8"/>
  <c r="N826" i="8"/>
  <c r="N825" i="8"/>
  <c r="Q825" i="8" s="1"/>
  <c r="N824" i="8"/>
  <c r="Q824" i="8" s="1"/>
  <c r="N823" i="8"/>
  <c r="P822" i="8"/>
  <c r="N822" i="8"/>
  <c r="N821" i="8"/>
  <c r="Q821" i="8" s="1"/>
  <c r="N820" i="8"/>
  <c r="R820" i="8" s="1"/>
  <c r="R819" i="8"/>
  <c r="N819" i="8"/>
  <c r="N818" i="8"/>
  <c r="N817" i="8"/>
  <c r="Q817" i="8" s="1"/>
  <c r="N816" i="8"/>
  <c r="Q816" i="8" s="1"/>
  <c r="O815" i="8"/>
  <c r="N815" i="8"/>
  <c r="N814" i="8"/>
  <c r="N813" i="8"/>
  <c r="Q813" i="8" s="1"/>
  <c r="N812" i="8"/>
  <c r="R812" i="8" s="1"/>
  <c r="N811" i="8"/>
  <c r="R811" i="8" s="1"/>
  <c r="N810" i="8"/>
  <c r="N809" i="8"/>
  <c r="N808" i="8"/>
  <c r="Q808" i="8" s="1"/>
  <c r="N807" i="8"/>
  <c r="N806" i="8"/>
  <c r="N805" i="8"/>
  <c r="Q805" i="8" s="1"/>
  <c r="N804" i="8"/>
  <c r="R804" i="8" s="1"/>
  <c r="N803" i="8"/>
  <c r="R803" i="8" s="1"/>
  <c r="R802" i="8"/>
  <c r="Q802" i="8"/>
  <c r="N802" i="8"/>
  <c r="P802" i="8" s="1"/>
  <c r="N801" i="8"/>
  <c r="Q801" i="8" s="1"/>
  <c r="N800" i="8"/>
  <c r="Q800" i="8" s="1"/>
  <c r="N799" i="8"/>
  <c r="N798" i="8"/>
  <c r="N797" i="8"/>
  <c r="Q797" i="8" s="1"/>
  <c r="N796" i="8"/>
  <c r="R796" i="8" s="1"/>
  <c r="N795" i="8"/>
  <c r="N794" i="8"/>
  <c r="N793" i="8"/>
  <c r="N792" i="8"/>
  <c r="Q792" i="8" s="1"/>
  <c r="R791" i="8"/>
  <c r="O791" i="8"/>
  <c r="N791" i="8"/>
  <c r="Q791" i="8" s="1"/>
  <c r="N790" i="8"/>
  <c r="N789" i="8"/>
  <c r="Q789" i="8" s="1"/>
  <c r="N788" i="8"/>
  <c r="R788" i="8" s="1"/>
  <c r="N787" i="8"/>
  <c r="N786" i="8"/>
  <c r="Q786" i="8" s="1"/>
  <c r="P785" i="8"/>
  <c r="N785" i="8"/>
  <c r="Q785" i="8" s="1"/>
  <c r="N784" i="8"/>
  <c r="Q784" i="8" s="1"/>
  <c r="R783" i="8"/>
  <c r="O783" i="8"/>
  <c r="N783" i="8"/>
  <c r="Q783" i="8" s="1"/>
  <c r="N782" i="8"/>
  <c r="N781" i="8"/>
  <c r="Q781" i="8" s="1"/>
  <c r="N780" i="8"/>
  <c r="R780" i="8" s="1"/>
  <c r="N779" i="8"/>
  <c r="R778" i="8"/>
  <c r="N778" i="8"/>
  <c r="P778" i="8" s="1"/>
  <c r="N777" i="8"/>
  <c r="N776" i="8"/>
  <c r="Q776" i="8" s="1"/>
  <c r="N775" i="8"/>
  <c r="R774" i="8"/>
  <c r="P774" i="8"/>
  <c r="N774" i="8"/>
  <c r="Q774" i="8" s="1"/>
  <c r="N773" i="8"/>
  <c r="Q773" i="8" s="1"/>
  <c r="N772" i="8"/>
  <c r="R772" i="8" s="1"/>
  <c r="N771" i="8"/>
  <c r="N770" i="8"/>
  <c r="N769" i="8"/>
  <c r="Q769" i="8" s="1"/>
  <c r="N768" i="8"/>
  <c r="Q768" i="8" s="1"/>
  <c r="R767" i="8"/>
  <c r="O767" i="8"/>
  <c r="N767" i="8"/>
  <c r="Q767" i="8" s="1"/>
  <c r="N766" i="8"/>
  <c r="R766" i="8" s="1"/>
  <c r="N765" i="8"/>
  <c r="Q765" i="8" s="1"/>
  <c r="N764" i="8"/>
  <c r="R764" i="8" s="1"/>
  <c r="N763" i="8"/>
  <c r="P763" i="8" s="1"/>
  <c r="N762" i="8"/>
  <c r="P761" i="8"/>
  <c r="N761" i="8"/>
  <c r="Q761" i="8" s="1"/>
  <c r="N760" i="8"/>
  <c r="Q760" i="8" s="1"/>
  <c r="R759" i="8"/>
  <c r="O759" i="8"/>
  <c r="N759" i="8"/>
  <c r="Q759" i="8" s="1"/>
  <c r="N758" i="8"/>
  <c r="N757" i="8"/>
  <c r="Q757" i="8" s="1"/>
  <c r="N756" i="8"/>
  <c r="R756" i="8" s="1"/>
  <c r="N755" i="8"/>
  <c r="N754" i="8"/>
  <c r="P753" i="8"/>
  <c r="N753" i="8"/>
  <c r="Q753" i="8" s="1"/>
  <c r="N752" i="8"/>
  <c r="Q752" i="8" s="1"/>
  <c r="R751" i="8"/>
  <c r="O751" i="8"/>
  <c r="N751" i="8"/>
  <c r="Q751" i="8" s="1"/>
  <c r="N750" i="8"/>
  <c r="Q750" i="8" s="1"/>
  <c r="N749" i="8"/>
  <c r="Q749" i="8" s="1"/>
  <c r="N748" i="8"/>
  <c r="R748" i="8" s="1"/>
  <c r="N747" i="8"/>
  <c r="N746" i="8"/>
  <c r="P746" i="8" s="1"/>
  <c r="N745" i="8"/>
  <c r="N744" i="8"/>
  <c r="Q744" i="8" s="1"/>
  <c r="R743" i="8"/>
  <c r="O743" i="8"/>
  <c r="N743" i="8"/>
  <c r="Q743" i="8" s="1"/>
  <c r="N742" i="8"/>
  <c r="N741" i="8"/>
  <c r="Q741" i="8" s="1"/>
  <c r="N740" i="8"/>
  <c r="R740" i="8" s="1"/>
  <c r="N739" i="8"/>
  <c r="R738" i="8"/>
  <c r="Q738" i="8"/>
  <c r="N738" i="8"/>
  <c r="P738" i="8" s="1"/>
  <c r="N737" i="8"/>
  <c r="N736" i="8"/>
  <c r="Q736" i="8" s="1"/>
  <c r="N735" i="8"/>
  <c r="N734" i="8"/>
  <c r="N733" i="8"/>
  <c r="Q733" i="8" s="1"/>
  <c r="N732" i="8"/>
  <c r="R732" i="8" s="1"/>
  <c r="N731" i="8"/>
  <c r="N730" i="8"/>
  <c r="N729" i="8"/>
  <c r="Q729" i="8" s="1"/>
  <c r="N728" i="8"/>
  <c r="Q728" i="8" s="1"/>
  <c r="R727" i="8"/>
  <c r="O727" i="8"/>
  <c r="N727" i="8"/>
  <c r="Q727" i="8" s="1"/>
  <c r="N726" i="8"/>
  <c r="N725" i="8"/>
  <c r="Q725" i="8" s="1"/>
  <c r="N724" i="8"/>
  <c r="R724" i="8" s="1"/>
  <c r="N723" i="8"/>
  <c r="N722" i="8"/>
  <c r="P721" i="8"/>
  <c r="N721" i="8"/>
  <c r="Q721" i="8" s="1"/>
  <c r="N720" i="8"/>
  <c r="Q720" i="8" s="1"/>
  <c r="R719" i="8"/>
  <c r="N719" i="8"/>
  <c r="Q719" i="8" s="1"/>
  <c r="N718" i="8"/>
  <c r="N717" i="8"/>
  <c r="Q717" i="8" s="1"/>
  <c r="N716" i="8"/>
  <c r="R716" i="8" s="1"/>
  <c r="P715" i="8"/>
  <c r="N715" i="8"/>
  <c r="R715" i="8" s="1"/>
  <c r="N714" i="8"/>
  <c r="N713" i="8"/>
  <c r="N712" i="8"/>
  <c r="Q712" i="8" s="1"/>
  <c r="R711" i="8"/>
  <c r="N711" i="8"/>
  <c r="Q711" i="8" s="1"/>
  <c r="R710" i="8"/>
  <c r="P710" i="8"/>
  <c r="N710" i="8"/>
  <c r="Q710" i="8" s="1"/>
  <c r="N709" i="8"/>
  <c r="Q709" i="8" s="1"/>
  <c r="N708" i="8"/>
  <c r="R708" i="8" s="1"/>
  <c r="N707" i="8"/>
  <c r="N706" i="8"/>
  <c r="P705" i="8"/>
  <c r="N705" i="8"/>
  <c r="Q705" i="8" s="1"/>
  <c r="N704" i="8"/>
  <c r="Q704" i="8" s="1"/>
  <c r="R703" i="8"/>
  <c r="O703" i="8"/>
  <c r="N703" i="8"/>
  <c r="Q703" i="8" s="1"/>
  <c r="N702" i="8"/>
  <c r="N701" i="8"/>
  <c r="S701" i="8" s="1"/>
  <c r="N700" i="8"/>
  <c r="N699" i="8"/>
  <c r="N698" i="8"/>
  <c r="R698" i="8" s="1"/>
  <c r="P697" i="8"/>
  <c r="N697" i="8"/>
  <c r="Q697" i="8" s="1"/>
  <c r="N696" i="8"/>
  <c r="Q696" i="8" s="1"/>
  <c r="N695" i="8"/>
  <c r="R694" i="8"/>
  <c r="N694" i="8"/>
  <c r="Q694" i="8" s="1"/>
  <c r="N693" i="8"/>
  <c r="S693" i="8" s="1"/>
  <c r="N692" i="8"/>
  <c r="N691" i="8"/>
  <c r="N690" i="8"/>
  <c r="R690" i="8" s="1"/>
  <c r="N689" i="8"/>
  <c r="Q688" i="8"/>
  <c r="N688" i="8"/>
  <c r="N687" i="8"/>
  <c r="O687" i="8" s="1"/>
  <c r="R686" i="8"/>
  <c r="N686" i="8"/>
  <c r="N685" i="8"/>
  <c r="N684" i="8"/>
  <c r="P683" i="8"/>
  <c r="N683" i="8"/>
  <c r="N682" i="8"/>
  <c r="N681" i="8"/>
  <c r="N680" i="8"/>
  <c r="Q680" i="8" s="1"/>
  <c r="N679" i="8"/>
  <c r="N678" i="8"/>
  <c r="N677" i="8"/>
  <c r="S677" i="8" s="1"/>
  <c r="N676" i="8"/>
  <c r="N675" i="8"/>
  <c r="P674" i="8"/>
  <c r="N674" i="8"/>
  <c r="N673" i="8"/>
  <c r="Q673" i="8" s="1"/>
  <c r="N672" i="8"/>
  <c r="Q672" i="8" s="1"/>
  <c r="N671" i="8"/>
  <c r="Q671" i="8" s="1"/>
  <c r="N670" i="8"/>
  <c r="N669" i="8"/>
  <c r="S669" i="8" s="1"/>
  <c r="N668" i="8"/>
  <c r="N667" i="8"/>
  <c r="R667" i="8" s="1"/>
  <c r="N666" i="8"/>
  <c r="P665" i="8"/>
  <c r="N665" i="8"/>
  <c r="Q665" i="8" s="1"/>
  <c r="N664" i="8"/>
  <c r="Q664" i="8" s="1"/>
  <c r="R663" i="8"/>
  <c r="O663" i="8"/>
  <c r="N663" i="8"/>
  <c r="Q663" i="8" s="1"/>
  <c r="P662" i="8"/>
  <c r="N662" i="8"/>
  <c r="N661" i="8"/>
  <c r="S661" i="8" s="1"/>
  <c r="N660" i="8"/>
  <c r="R659" i="8"/>
  <c r="O659" i="8"/>
  <c r="N659" i="8"/>
  <c r="N658" i="8"/>
  <c r="P658" i="8" s="1"/>
  <c r="P657" i="8"/>
  <c r="N657" i="8"/>
  <c r="Q657" i="8" s="1"/>
  <c r="N656" i="8"/>
  <c r="Q656" i="8" s="1"/>
  <c r="N655" i="8"/>
  <c r="N654" i="8"/>
  <c r="N653" i="8"/>
  <c r="N652" i="8"/>
  <c r="N651" i="8"/>
  <c r="R651" i="8" s="1"/>
  <c r="N650" i="8"/>
  <c r="P649" i="8"/>
  <c r="N649" i="8"/>
  <c r="Q649" i="8" s="1"/>
  <c r="N648" i="8"/>
  <c r="Q648" i="8" s="1"/>
  <c r="N647" i="8"/>
  <c r="N646" i="8"/>
  <c r="N645" i="8"/>
  <c r="S645" i="8" s="1"/>
  <c r="N644" i="8"/>
  <c r="N643" i="8"/>
  <c r="P642" i="8"/>
  <c r="N642" i="8"/>
  <c r="N641" i="8"/>
  <c r="N640" i="8"/>
  <c r="Q640" i="8" s="1"/>
  <c r="O639" i="8"/>
  <c r="N639" i="8"/>
  <c r="N638" i="8"/>
  <c r="N637" i="8"/>
  <c r="S637" i="8" s="1"/>
  <c r="N636" i="8"/>
  <c r="N635" i="8"/>
  <c r="R634" i="8"/>
  <c r="N634" i="8"/>
  <c r="N633" i="8"/>
  <c r="Q633" i="8" s="1"/>
  <c r="N632" i="8"/>
  <c r="Q632" i="8" s="1"/>
  <c r="N631" i="8"/>
  <c r="N630" i="8"/>
  <c r="N629" i="8"/>
  <c r="S629" i="8" s="1"/>
  <c r="N628" i="8"/>
  <c r="N627" i="8"/>
  <c r="N626" i="8"/>
  <c r="Q626" i="8" s="1"/>
  <c r="N625" i="8"/>
  <c r="N624" i="8"/>
  <c r="Q624" i="8" s="1"/>
  <c r="O623" i="8"/>
  <c r="N623" i="8"/>
  <c r="N622" i="8"/>
  <c r="Q622" i="8" s="1"/>
  <c r="N621" i="8"/>
  <c r="N620" i="8"/>
  <c r="N619" i="8"/>
  <c r="R618" i="8"/>
  <c r="N618" i="8"/>
  <c r="P618" i="8" s="1"/>
  <c r="N617" i="8"/>
  <c r="N616" i="8"/>
  <c r="Q616" i="8" s="1"/>
  <c r="R615" i="8"/>
  <c r="N615" i="8"/>
  <c r="Q615" i="8" s="1"/>
  <c r="R614" i="8"/>
  <c r="P614" i="8"/>
  <c r="N614" i="8"/>
  <c r="Q614" i="8" s="1"/>
  <c r="N613" i="8"/>
  <c r="S613" i="8" s="1"/>
  <c r="N612" i="8"/>
  <c r="N611" i="8"/>
  <c r="N610" i="8"/>
  <c r="P609" i="8"/>
  <c r="N609" i="8"/>
  <c r="Q609" i="8" s="1"/>
  <c r="N608" i="8"/>
  <c r="Q608" i="8" s="1"/>
  <c r="N607" i="8"/>
  <c r="N606" i="8"/>
  <c r="N605" i="8"/>
  <c r="S605" i="8" s="1"/>
  <c r="N604" i="8"/>
  <c r="N603" i="8"/>
  <c r="N602" i="8"/>
  <c r="N601" i="8"/>
  <c r="N600" i="8"/>
  <c r="Q600" i="8" s="1"/>
  <c r="N599" i="8"/>
  <c r="N598" i="8"/>
  <c r="S597" i="8"/>
  <c r="N597" i="8"/>
  <c r="N596" i="8"/>
  <c r="R595" i="8"/>
  <c r="P595" i="8"/>
  <c r="O595" i="8"/>
  <c r="N595" i="8"/>
  <c r="Q595" i="8" s="1"/>
  <c r="R594" i="8"/>
  <c r="Q594" i="8"/>
  <c r="N594" i="8"/>
  <c r="P594" i="8" s="1"/>
  <c r="N593" i="8"/>
  <c r="Q592" i="8"/>
  <c r="N592" i="8"/>
  <c r="N591" i="8"/>
  <c r="N590" i="8"/>
  <c r="N589" i="8"/>
  <c r="N588" i="8"/>
  <c r="N587" i="8"/>
  <c r="R586" i="8"/>
  <c r="N586" i="8"/>
  <c r="N585" i="8"/>
  <c r="S585" i="8" s="1"/>
  <c r="N584" i="8"/>
  <c r="Q584" i="8" s="1"/>
  <c r="N583" i="8"/>
  <c r="O583" i="8" s="1"/>
  <c r="N582" i="8"/>
  <c r="N581" i="8"/>
  <c r="N580" i="8"/>
  <c r="Q580" i="8" s="1"/>
  <c r="N579" i="8"/>
  <c r="N578" i="8"/>
  <c r="N577" i="8"/>
  <c r="S577" i="8" s="1"/>
  <c r="N576" i="8"/>
  <c r="Q576" i="8" s="1"/>
  <c r="N575" i="8"/>
  <c r="N574" i="8"/>
  <c r="P573" i="8"/>
  <c r="N573" i="8"/>
  <c r="S573" i="8" s="1"/>
  <c r="Q572" i="8"/>
  <c r="N572" i="8"/>
  <c r="N571" i="8"/>
  <c r="P570" i="8"/>
  <c r="N570" i="8"/>
  <c r="N569" i="8"/>
  <c r="S569" i="8" s="1"/>
  <c r="N568" i="8"/>
  <c r="Q568" i="8" s="1"/>
  <c r="N567" i="8"/>
  <c r="R566" i="8"/>
  <c r="N566" i="8"/>
  <c r="S565" i="8"/>
  <c r="P565" i="8"/>
  <c r="N565" i="8"/>
  <c r="N564" i="8"/>
  <c r="Q564" i="8" s="1"/>
  <c r="R563" i="8"/>
  <c r="O563" i="8"/>
  <c r="N563" i="8"/>
  <c r="N562" i="8"/>
  <c r="N561" i="8"/>
  <c r="S561" i="8" s="1"/>
  <c r="N560" i="8"/>
  <c r="Q560" i="8" s="1"/>
  <c r="N559" i="8"/>
  <c r="N558" i="8"/>
  <c r="N557" i="8"/>
  <c r="N556" i="8"/>
  <c r="Q556" i="8" s="1"/>
  <c r="N555" i="8"/>
  <c r="R554" i="8"/>
  <c r="N554" i="8"/>
  <c r="N553" i="8"/>
  <c r="S553" i="8" s="1"/>
  <c r="N552" i="8"/>
  <c r="Q552" i="8" s="1"/>
  <c r="N551" i="8"/>
  <c r="O551" i="8" s="1"/>
  <c r="N550" i="8"/>
  <c r="N549" i="8"/>
  <c r="N548" i="8"/>
  <c r="Q548" i="8" s="1"/>
  <c r="O547" i="8"/>
  <c r="N547" i="8"/>
  <c r="N546" i="8"/>
  <c r="N545" i="8"/>
  <c r="S545" i="8" s="1"/>
  <c r="N544" i="8"/>
  <c r="Q544" i="8" s="1"/>
  <c r="O543" i="8"/>
  <c r="N543" i="8"/>
  <c r="N542" i="8"/>
  <c r="N541" i="8"/>
  <c r="Q540" i="8"/>
  <c r="N540" i="8"/>
  <c r="R539" i="8"/>
  <c r="O539" i="8"/>
  <c r="N539" i="8"/>
  <c r="Q538" i="8"/>
  <c r="P538" i="8"/>
  <c r="N538" i="8"/>
  <c r="R538" i="8" s="1"/>
  <c r="N537" i="8"/>
  <c r="S537" i="8" s="1"/>
  <c r="N536" i="8"/>
  <c r="N535" i="8"/>
  <c r="N534" i="8"/>
  <c r="N533" i="8"/>
  <c r="S533" i="8" s="1"/>
  <c r="N532" i="8"/>
  <c r="Q532" i="8" s="1"/>
  <c r="N531" i="8"/>
  <c r="N530" i="8"/>
  <c r="Q530" i="8" s="1"/>
  <c r="N529" i="8"/>
  <c r="S529" i="8" s="1"/>
  <c r="N528" i="8"/>
  <c r="N527" i="8"/>
  <c r="O527" i="8" s="1"/>
  <c r="R526" i="8"/>
  <c r="N526" i="8"/>
  <c r="S525" i="8"/>
  <c r="P525" i="8"/>
  <c r="N525" i="8"/>
  <c r="N524" i="8"/>
  <c r="Q524" i="8" s="1"/>
  <c r="R523" i="8"/>
  <c r="O523" i="8"/>
  <c r="N523" i="8"/>
  <c r="N522" i="8"/>
  <c r="N521" i="8"/>
  <c r="S521" i="8" s="1"/>
  <c r="N520" i="8"/>
  <c r="R519" i="8"/>
  <c r="O519" i="8"/>
  <c r="N519" i="8"/>
  <c r="Q519" i="8" s="1"/>
  <c r="N518" i="8"/>
  <c r="N517" i="8"/>
  <c r="P517" i="8" s="1"/>
  <c r="N516" i="8"/>
  <c r="Q516" i="8" s="1"/>
  <c r="N515" i="8"/>
  <c r="Q514" i="8"/>
  <c r="P514" i="8"/>
  <c r="N514" i="8"/>
  <c r="R514" i="8" s="1"/>
  <c r="N513" i="8"/>
  <c r="S513" i="8" s="1"/>
  <c r="N512" i="8"/>
  <c r="R511" i="8"/>
  <c r="O511" i="8"/>
  <c r="N511" i="8"/>
  <c r="Q511" i="8" s="1"/>
  <c r="R510" i="8"/>
  <c r="P510" i="8"/>
  <c r="N510" i="8"/>
  <c r="Q510" i="8" s="1"/>
  <c r="N509" i="8"/>
  <c r="S509" i="8" s="1"/>
  <c r="N508" i="8"/>
  <c r="Q508" i="8" s="1"/>
  <c r="N507" i="8"/>
  <c r="N506" i="8"/>
  <c r="N505" i="8"/>
  <c r="S505" i="8" s="1"/>
  <c r="N504" i="8"/>
  <c r="N503" i="8"/>
  <c r="R503" i="8" s="1"/>
  <c r="N502" i="8"/>
  <c r="N501" i="8"/>
  <c r="S501" i="8" s="1"/>
  <c r="N500" i="8"/>
  <c r="Q500" i="8" s="1"/>
  <c r="N499" i="8"/>
  <c r="O499" i="8" s="1"/>
  <c r="N498" i="8"/>
  <c r="N497" i="8"/>
  <c r="S497" i="8" s="1"/>
  <c r="N496" i="8"/>
  <c r="N495" i="8"/>
  <c r="R494" i="8"/>
  <c r="P494" i="8"/>
  <c r="N494" i="8"/>
  <c r="Q494" i="8" s="1"/>
  <c r="N493" i="8"/>
  <c r="P493" i="8" s="1"/>
  <c r="N492" i="8"/>
  <c r="Q492" i="8" s="1"/>
  <c r="N491" i="8"/>
  <c r="R491" i="8" s="1"/>
  <c r="R490" i="8"/>
  <c r="Q490" i="8"/>
  <c r="N490" i="8"/>
  <c r="P490" i="8" s="1"/>
  <c r="N489" i="8"/>
  <c r="S489" i="8" s="1"/>
  <c r="N488" i="8"/>
  <c r="O487" i="8"/>
  <c r="N487" i="8"/>
  <c r="N486" i="8"/>
  <c r="S485" i="8"/>
  <c r="P485" i="8"/>
  <c r="N485" i="8"/>
  <c r="N484" i="8"/>
  <c r="Q484" i="8" s="1"/>
  <c r="N483" i="8"/>
  <c r="R482" i="8"/>
  <c r="N482" i="8"/>
  <c r="Q482" i="8" s="1"/>
  <c r="N481" i="8"/>
  <c r="S481" i="8" s="1"/>
  <c r="N480" i="8"/>
  <c r="N479" i="8"/>
  <c r="Q479" i="8" s="1"/>
  <c r="N478" i="8"/>
  <c r="P478" i="8" s="1"/>
  <c r="N477" i="8"/>
  <c r="P477" i="8" s="1"/>
  <c r="Q476" i="8"/>
  <c r="N476" i="8"/>
  <c r="N475" i="8"/>
  <c r="N474" i="8"/>
  <c r="R474" i="8" s="1"/>
  <c r="N473" i="8"/>
  <c r="S473" i="8" s="1"/>
  <c r="N472" i="8"/>
  <c r="R471" i="8"/>
  <c r="O471" i="8"/>
  <c r="N471" i="8"/>
  <c r="Q471" i="8" s="1"/>
  <c r="N470" i="8"/>
  <c r="R470" i="8" s="1"/>
  <c r="N469" i="8"/>
  <c r="S469" i="8" s="1"/>
  <c r="N468" i="8"/>
  <c r="N467" i="8"/>
  <c r="N466" i="8"/>
  <c r="S465" i="8"/>
  <c r="R465" i="8"/>
  <c r="N465" i="8"/>
  <c r="P465" i="8" s="1"/>
  <c r="N464" i="8"/>
  <c r="R464" i="8" s="1"/>
  <c r="N463" i="8"/>
  <c r="R463" i="8" s="1"/>
  <c r="N462" i="8"/>
  <c r="P462" i="8" s="1"/>
  <c r="N461" i="8"/>
  <c r="N460" i="8"/>
  <c r="Q460" i="8" s="1"/>
  <c r="N459" i="8"/>
  <c r="N458" i="8"/>
  <c r="R458" i="8" s="1"/>
  <c r="N457" i="8"/>
  <c r="S457" i="8" s="1"/>
  <c r="N456" i="8"/>
  <c r="R456" i="8" s="1"/>
  <c r="R455" i="8"/>
  <c r="N455" i="8"/>
  <c r="S455" i="8" s="1"/>
  <c r="N454" i="8"/>
  <c r="R454" i="8" s="1"/>
  <c r="N453" i="8"/>
  <c r="P453" i="8" s="1"/>
  <c r="N452" i="8"/>
  <c r="P452" i="8" s="1"/>
  <c r="N451" i="8"/>
  <c r="R451" i="8" s="1"/>
  <c r="N450" i="8"/>
  <c r="P449" i="8"/>
  <c r="N449" i="8"/>
  <c r="S449" i="8" s="1"/>
  <c r="N448" i="8"/>
  <c r="R448" i="8" s="1"/>
  <c r="N447" i="8"/>
  <c r="S447" i="8" s="1"/>
  <c r="N446" i="8"/>
  <c r="P446" i="8" s="1"/>
  <c r="S445" i="8"/>
  <c r="N445" i="8"/>
  <c r="O445" i="8" s="1"/>
  <c r="N444" i="8"/>
  <c r="Q444" i="8" s="1"/>
  <c r="N443" i="8"/>
  <c r="Q442" i="8"/>
  <c r="N442" i="8"/>
  <c r="R442" i="8" s="1"/>
  <c r="N441" i="8"/>
  <c r="R441" i="8" s="1"/>
  <c r="Q440" i="8"/>
  <c r="N440" i="8"/>
  <c r="N439" i="8"/>
  <c r="S439" i="8" s="1"/>
  <c r="N438" i="8"/>
  <c r="R438" i="8" s="1"/>
  <c r="N437" i="8"/>
  <c r="S437" i="8" s="1"/>
  <c r="N436" i="8"/>
  <c r="N435" i="8"/>
  <c r="N434" i="8"/>
  <c r="R433" i="8"/>
  <c r="P433" i="8"/>
  <c r="N433" i="8"/>
  <c r="S433" i="8" s="1"/>
  <c r="N432" i="8"/>
  <c r="R432" i="8" s="1"/>
  <c r="N431" i="8"/>
  <c r="R431" i="8" s="1"/>
  <c r="N430" i="8"/>
  <c r="P430" i="8" s="1"/>
  <c r="N429" i="8"/>
  <c r="S429" i="8" s="1"/>
  <c r="N428" i="8"/>
  <c r="Q428" i="8" s="1"/>
  <c r="N427" i="8"/>
  <c r="N426" i="8"/>
  <c r="P426" i="8" s="1"/>
  <c r="N425" i="8"/>
  <c r="S425" i="8" s="1"/>
  <c r="N424" i="8"/>
  <c r="Q424" i="8" s="1"/>
  <c r="N423" i="8"/>
  <c r="N422" i="8"/>
  <c r="R422" i="8" s="1"/>
  <c r="N421" i="8"/>
  <c r="P421" i="8" s="1"/>
  <c r="N420" i="8"/>
  <c r="P420" i="8" s="1"/>
  <c r="P419" i="8"/>
  <c r="O419" i="8"/>
  <c r="N419" i="8"/>
  <c r="N418" i="8"/>
  <c r="N417" i="8"/>
  <c r="S417" i="8" s="1"/>
  <c r="N416" i="8"/>
  <c r="R416" i="8" s="1"/>
  <c r="N415" i="8"/>
  <c r="S415" i="8" s="1"/>
  <c r="N414" i="8"/>
  <c r="R414" i="8" s="1"/>
  <c r="P413" i="8"/>
  <c r="N413" i="8"/>
  <c r="S413" i="8" s="1"/>
  <c r="N412" i="8"/>
  <c r="Q412" i="8" s="1"/>
  <c r="N411" i="8"/>
  <c r="R411" i="8" s="1"/>
  <c r="N410" i="8"/>
  <c r="N409" i="8"/>
  <c r="R409" i="8" s="1"/>
  <c r="N408" i="8"/>
  <c r="Q408" i="8" s="1"/>
  <c r="N407" i="8"/>
  <c r="S407" i="8" s="1"/>
  <c r="N406" i="8"/>
  <c r="R406" i="8" s="1"/>
  <c r="N405" i="8"/>
  <c r="S405" i="8" s="1"/>
  <c r="N404" i="8"/>
  <c r="P404" i="8" s="1"/>
  <c r="R403" i="8"/>
  <c r="N403" i="8"/>
  <c r="N402" i="8"/>
  <c r="N401" i="8"/>
  <c r="N400" i="8"/>
  <c r="R400" i="8" s="1"/>
  <c r="N399" i="8"/>
  <c r="R399" i="8" s="1"/>
  <c r="P398" i="8"/>
  <c r="N398" i="8"/>
  <c r="N397" i="8"/>
  <c r="S397" i="8" s="1"/>
  <c r="N396" i="8"/>
  <c r="Q396" i="8" s="1"/>
  <c r="N395" i="8"/>
  <c r="Q394" i="8"/>
  <c r="N394" i="8"/>
  <c r="R394" i="8" s="1"/>
  <c r="N393" i="8"/>
  <c r="S393" i="8" s="1"/>
  <c r="R392" i="8"/>
  <c r="N392" i="8"/>
  <c r="Q392" i="8" s="1"/>
  <c r="O391" i="8"/>
  <c r="N391" i="8"/>
  <c r="N390" i="8"/>
  <c r="R390" i="8" s="1"/>
  <c r="N389" i="8"/>
  <c r="P389" i="8" s="1"/>
  <c r="N388" i="8"/>
  <c r="P388" i="8" s="1"/>
  <c r="N387" i="8"/>
  <c r="N386" i="8"/>
  <c r="P386" i="8" s="1"/>
  <c r="N385" i="8"/>
  <c r="S385" i="8" s="1"/>
  <c r="N384" i="8"/>
  <c r="R384" i="8" s="1"/>
  <c r="N383" i="8"/>
  <c r="S383" i="8" s="1"/>
  <c r="N382" i="8"/>
  <c r="P382" i="8" s="1"/>
  <c r="S381" i="8"/>
  <c r="P381" i="8"/>
  <c r="N381" i="8"/>
  <c r="O381" i="8" s="1"/>
  <c r="N380" i="8"/>
  <c r="Q380" i="8" s="1"/>
  <c r="P379" i="8"/>
  <c r="N379" i="8"/>
  <c r="N378" i="8"/>
  <c r="N377" i="8"/>
  <c r="R377" i="8" s="1"/>
  <c r="N376" i="8"/>
  <c r="Q376" i="8" s="1"/>
  <c r="N375" i="8"/>
  <c r="S375" i="8" s="1"/>
  <c r="N374" i="8"/>
  <c r="R374" i="8" s="1"/>
  <c r="N373" i="8"/>
  <c r="S373" i="8" s="1"/>
  <c r="N372" i="8"/>
  <c r="Q372" i="8" s="1"/>
  <c r="N371" i="8"/>
  <c r="P371" i="8" s="1"/>
  <c r="N370" i="8"/>
  <c r="N369" i="8"/>
  <c r="N368" i="8"/>
  <c r="R368" i="8" s="1"/>
  <c r="N367" i="8"/>
  <c r="R367" i="8" s="1"/>
  <c r="N366" i="8"/>
  <c r="P366" i="8" s="1"/>
  <c r="S365" i="8"/>
  <c r="O365" i="8"/>
  <c r="N365" i="8"/>
  <c r="N364" i="8"/>
  <c r="Q364" i="8" s="1"/>
  <c r="N363" i="8"/>
  <c r="R362" i="8"/>
  <c r="N362" i="8"/>
  <c r="P362" i="8" s="1"/>
  <c r="N361" i="8"/>
  <c r="S361" i="8" s="1"/>
  <c r="R360" i="8"/>
  <c r="N360" i="8"/>
  <c r="Q360" i="8" s="1"/>
  <c r="N359" i="8"/>
  <c r="N358" i="8"/>
  <c r="R358" i="8" s="1"/>
  <c r="N357" i="8"/>
  <c r="P357" i="8" s="1"/>
  <c r="P356" i="8"/>
  <c r="N356" i="8"/>
  <c r="N355" i="8"/>
  <c r="N354" i="8"/>
  <c r="R354" i="8" s="1"/>
  <c r="P353" i="8"/>
  <c r="N353" i="8"/>
  <c r="S353" i="8" s="1"/>
  <c r="N352" i="8"/>
  <c r="R352" i="8" s="1"/>
  <c r="N351" i="8"/>
  <c r="S351" i="8" s="1"/>
  <c r="R350" i="8"/>
  <c r="N350" i="8"/>
  <c r="P350" i="8" s="1"/>
  <c r="P349" i="8"/>
  <c r="O349" i="8"/>
  <c r="N349" i="8"/>
  <c r="S349" i="8" s="1"/>
  <c r="N348" i="8"/>
  <c r="Q348" i="8" s="1"/>
  <c r="R347" i="8"/>
  <c r="P347" i="8"/>
  <c r="N347" i="8"/>
  <c r="N346" i="8"/>
  <c r="N345" i="8"/>
  <c r="R345" i="8" s="1"/>
  <c r="N344" i="8"/>
  <c r="Q344" i="8" s="1"/>
  <c r="N343" i="8"/>
  <c r="N342" i="8"/>
  <c r="R342" i="8" s="1"/>
  <c r="N341" i="8"/>
  <c r="S341" i="8" s="1"/>
  <c r="N340" i="8"/>
  <c r="P340" i="8" s="1"/>
  <c r="R339" i="8"/>
  <c r="P339" i="8"/>
  <c r="N339" i="8"/>
  <c r="N338" i="8"/>
  <c r="N337" i="8"/>
  <c r="P337" i="8" s="1"/>
  <c r="R336" i="8"/>
  <c r="N336" i="8"/>
  <c r="N335" i="8"/>
  <c r="R335" i="8" s="1"/>
  <c r="N334" i="8"/>
  <c r="P334" i="8" s="1"/>
  <c r="N333" i="8"/>
  <c r="S333" i="8" s="1"/>
  <c r="N332" i="8"/>
  <c r="Q332" i="8" s="1"/>
  <c r="N331" i="8"/>
  <c r="P331" i="8" s="1"/>
  <c r="Q330" i="8"/>
  <c r="P330" i="8"/>
  <c r="N330" i="8"/>
  <c r="R330" i="8" s="1"/>
  <c r="N329" i="8"/>
  <c r="S329" i="8" s="1"/>
  <c r="R328" i="8"/>
  <c r="Q328" i="8"/>
  <c r="N328" i="8"/>
  <c r="N327" i="8"/>
  <c r="N326" i="8"/>
  <c r="R326" i="8" s="1"/>
  <c r="N325" i="8"/>
  <c r="P325" i="8" s="1"/>
  <c r="N324" i="8"/>
  <c r="P324" i="8" s="1"/>
  <c r="N323" i="8"/>
  <c r="R322" i="8"/>
  <c r="N322" i="8"/>
  <c r="P322" i="8" s="1"/>
  <c r="P321" i="8"/>
  <c r="N321" i="8"/>
  <c r="S321" i="8" s="1"/>
  <c r="N320" i="8"/>
  <c r="R320" i="8" s="1"/>
  <c r="N319" i="8"/>
  <c r="S319" i="8" s="1"/>
  <c r="R318" i="8"/>
  <c r="N318" i="8"/>
  <c r="P318" i="8" s="1"/>
  <c r="N317" i="8"/>
  <c r="N316" i="8"/>
  <c r="Q316" i="8" s="1"/>
  <c r="P315" i="8"/>
  <c r="O315" i="8"/>
  <c r="N315" i="8"/>
  <c r="N314" i="8"/>
  <c r="N313" i="8"/>
  <c r="R313" i="8" s="1"/>
  <c r="N312" i="8"/>
  <c r="Q312" i="8" s="1"/>
  <c r="O311" i="8"/>
  <c r="N311" i="8"/>
  <c r="S311" i="8" s="1"/>
  <c r="N310" i="8"/>
  <c r="R310" i="8" s="1"/>
  <c r="N309" i="8"/>
  <c r="S309" i="8" s="1"/>
  <c r="Q308" i="8"/>
  <c r="N308" i="8"/>
  <c r="P308" i="8" s="1"/>
  <c r="P307" i="8"/>
  <c r="O307" i="8"/>
  <c r="N307" i="8"/>
  <c r="N306" i="8"/>
  <c r="N305" i="8"/>
  <c r="S305" i="8" s="1"/>
  <c r="N304" i="8"/>
  <c r="R304" i="8" s="1"/>
  <c r="N303" i="8"/>
  <c r="R303" i="8" s="1"/>
  <c r="N302" i="8"/>
  <c r="P302" i="8" s="1"/>
  <c r="S301" i="8"/>
  <c r="O301" i="8"/>
  <c r="N301" i="8"/>
  <c r="N300" i="8"/>
  <c r="Q300" i="8" s="1"/>
  <c r="R299" i="8"/>
  <c r="N299" i="8"/>
  <c r="N298" i="8"/>
  <c r="N297" i="8"/>
  <c r="S297" i="8" s="1"/>
  <c r="N296" i="8"/>
  <c r="N295" i="8"/>
  <c r="O295" i="8" s="1"/>
  <c r="N294" i="8"/>
  <c r="R294" i="8" s="1"/>
  <c r="N293" i="8"/>
  <c r="P293" i="8" s="1"/>
  <c r="N292" i="8"/>
  <c r="P292" i="8" s="1"/>
  <c r="N291" i="8"/>
  <c r="Q290" i="8"/>
  <c r="N290" i="8"/>
  <c r="R290" i="8" s="1"/>
  <c r="N289" i="8"/>
  <c r="N288" i="8"/>
  <c r="R288" i="8" s="1"/>
  <c r="N287" i="8"/>
  <c r="S287" i="8" s="1"/>
  <c r="N286" i="8"/>
  <c r="N285" i="8"/>
  <c r="N284" i="8"/>
  <c r="Q284" i="8" s="1"/>
  <c r="N283" i="8"/>
  <c r="N282" i="8"/>
  <c r="P282" i="8" s="1"/>
  <c r="R281" i="8"/>
  <c r="N281" i="8"/>
  <c r="N280" i="8"/>
  <c r="Q280" i="8" s="1"/>
  <c r="S279" i="8"/>
  <c r="O279" i="8"/>
  <c r="N279" i="8"/>
  <c r="N278" i="8"/>
  <c r="R278" i="8" s="1"/>
  <c r="N277" i="8"/>
  <c r="S277" i="8" s="1"/>
  <c r="Q276" i="8"/>
  <c r="N276" i="8"/>
  <c r="P276" i="8" s="1"/>
  <c r="N275" i="8"/>
  <c r="N274" i="8"/>
  <c r="P274" i="8" s="1"/>
  <c r="S273" i="8"/>
  <c r="N273" i="8"/>
  <c r="P273" i="8" s="1"/>
  <c r="N272" i="8"/>
  <c r="R272" i="8" s="1"/>
  <c r="N271" i="8"/>
  <c r="R271" i="8" s="1"/>
  <c r="N270" i="8"/>
  <c r="P270" i="8" s="1"/>
  <c r="N269" i="8"/>
  <c r="N268" i="8"/>
  <c r="Q268" i="8" s="1"/>
  <c r="P267" i="8"/>
  <c r="O267" i="8"/>
  <c r="N267" i="8"/>
  <c r="N266" i="8"/>
  <c r="N265" i="8"/>
  <c r="Q265" i="8" s="1"/>
  <c r="N264" i="8"/>
  <c r="R264" i="8" s="1"/>
  <c r="N263" i="8"/>
  <c r="N262" i="8"/>
  <c r="N261" i="8"/>
  <c r="N260" i="8"/>
  <c r="Q260" i="8" s="1"/>
  <c r="N259" i="8"/>
  <c r="P259" i="8" s="1"/>
  <c r="N258" i="8"/>
  <c r="N257" i="8"/>
  <c r="Q257" i="8" s="1"/>
  <c r="N256" i="8"/>
  <c r="R256" i="8" s="1"/>
  <c r="N255" i="8"/>
  <c r="N254" i="8"/>
  <c r="N253" i="8"/>
  <c r="N252" i="8"/>
  <c r="Q252" i="8" s="1"/>
  <c r="N251" i="8"/>
  <c r="N250" i="8"/>
  <c r="R250" i="8" s="1"/>
  <c r="N249" i="8"/>
  <c r="Q249" i="8" s="1"/>
  <c r="N248" i="8"/>
  <c r="R248" i="8" s="1"/>
  <c r="R247" i="8"/>
  <c r="O247" i="8"/>
  <c r="N247" i="8"/>
  <c r="Q247" i="8" s="1"/>
  <c r="N246" i="8"/>
  <c r="N245" i="8"/>
  <c r="Q244" i="8"/>
  <c r="N244" i="8"/>
  <c r="N243" i="8"/>
  <c r="N242" i="8"/>
  <c r="R242" i="8" s="1"/>
  <c r="N241" i="8"/>
  <c r="Q241" i="8" s="1"/>
  <c r="N240" i="8"/>
  <c r="R240" i="8" s="1"/>
  <c r="R239" i="8"/>
  <c r="O239" i="8"/>
  <c r="N239" i="8"/>
  <c r="Q239" i="8" s="1"/>
  <c r="N238" i="8"/>
  <c r="R238" i="8" s="1"/>
  <c r="N237" i="8"/>
  <c r="N236" i="8"/>
  <c r="Q236" i="8" s="1"/>
  <c r="N235" i="8"/>
  <c r="N234" i="8"/>
  <c r="N233" i="8"/>
  <c r="Q233" i="8" s="1"/>
  <c r="N232" i="8"/>
  <c r="R232" i="8" s="1"/>
  <c r="R231" i="8"/>
  <c r="O231" i="8"/>
  <c r="N231" i="8"/>
  <c r="Q231" i="8" s="1"/>
  <c r="N230" i="8"/>
  <c r="N229" i="8"/>
  <c r="N228" i="8"/>
  <c r="Q228" i="8" s="1"/>
  <c r="N227" i="8"/>
  <c r="P227" i="8" s="1"/>
  <c r="Q226" i="8"/>
  <c r="P226" i="8"/>
  <c r="N226" i="8"/>
  <c r="R226" i="8" s="1"/>
  <c r="N225" i="8"/>
  <c r="Q225" i="8" s="1"/>
  <c r="N224" i="8"/>
  <c r="R224" i="8" s="1"/>
  <c r="R223" i="8"/>
  <c r="N223" i="8"/>
  <c r="Q223" i="8" s="1"/>
  <c r="R222" i="8"/>
  <c r="P222" i="8"/>
  <c r="N222" i="8"/>
  <c r="N221" i="8"/>
  <c r="N220" i="8"/>
  <c r="Q220" i="8" s="1"/>
  <c r="N219" i="8"/>
  <c r="N218" i="8"/>
  <c r="R218" i="8" s="1"/>
  <c r="N217" i="8"/>
  <c r="Q217" i="8" s="1"/>
  <c r="N216" i="8"/>
  <c r="R216" i="8" s="1"/>
  <c r="N215" i="8"/>
  <c r="R214" i="8"/>
  <c r="N214" i="8"/>
  <c r="P214" i="8" s="1"/>
  <c r="N213" i="8"/>
  <c r="N212" i="8"/>
  <c r="Q212" i="8" s="1"/>
  <c r="N211" i="8"/>
  <c r="N210" i="8"/>
  <c r="R210" i="8" s="1"/>
  <c r="N209" i="8"/>
  <c r="Q209" i="8" s="1"/>
  <c r="N208" i="8"/>
  <c r="R208" i="8" s="1"/>
  <c r="N207" i="8"/>
  <c r="N206" i="8"/>
  <c r="R206" i="8" s="1"/>
  <c r="N205" i="8"/>
  <c r="N204" i="8"/>
  <c r="Q204" i="8" s="1"/>
  <c r="P203" i="8"/>
  <c r="O203" i="8"/>
  <c r="N203" i="8"/>
  <c r="N202" i="8"/>
  <c r="N201" i="8"/>
  <c r="Q201" i="8" s="1"/>
  <c r="N200" i="8"/>
  <c r="R200" i="8" s="1"/>
  <c r="N199" i="8"/>
  <c r="N198" i="8"/>
  <c r="N197" i="8"/>
  <c r="O197" i="8" s="1"/>
  <c r="N196" i="8"/>
  <c r="N195" i="8"/>
  <c r="N194" i="8"/>
  <c r="N193" i="8"/>
  <c r="S193" i="8" s="1"/>
  <c r="N192" i="8"/>
  <c r="S192" i="8" s="1"/>
  <c r="S191" i="8"/>
  <c r="P191" i="8"/>
  <c r="N191" i="8"/>
  <c r="N190" i="8"/>
  <c r="Q190" i="8" s="1"/>
  <c r="N189" i="8"/>
  <c r="N188" i="8"/>
  <c r="O188" i="8" s="1"/>
  <c r="N187" i="8"/>
  <c r="N186" i="8"/>
  <c r="N185" i="8"/>
  <c r="N184" i="8"/>
  <c r="S183" i="8"/>
  <c r="N183" i="8"/>
  <c r="N182" i="8"/>
  <c r="Q182" i="8" s="1"/>
  <c r="N181" i="8"/>
  <c r="N180" i="8"/>
  <c r="S180" i="8" s="1"/>
  <c r="S179" i="8"/>
  <c r="N179" i="8"/>
  <c r="Q179" i="8" s="1"/>
  <c r="S178" i="8"/>
  <c r="Q178" i="8"/>
  <c r="N178" i="8"/>
  <c r="S177" i="8"/>
  <c r="Q177" i="8"/>
  <c r="O177" i="8"/>
  <c r="N177" i="8"/>
  <c r="N176" i="8"/>
  <c r="N175" i="8"/>
  <c r="N174" i="8"/>
  <c r="N173" i="8"/>
  <c r="N172" i="8"/>
  <c r="N171" i="8"/>
  <c r="S171" i="8" s="1"/>
  <c r="N170" i="8"/>
  <c r="S170" i="8" s="1"/>
  <c r="N169" i="8"/>
  <c r="S168" i="8"/>
  <c r="N168" i="8"/>
  <c r="O168" i="8" s="1"/>
  <c r="S167" i="8"/>
  <c r="P167" i="8"/>
  <c r="N167" i="8"/>
  <c r="O167" i="8" s="1"/>
  <c r="N166" i="8"/>
  <c r="N165" i="8"/>
  <c r="N164" i="8"/>
  <c r="N163" i="8"/>
  <c r="N162" i="8"/>
  <c r="N161" i="8"/>
  <c r="S161" i="8" s="1"/>
  <c r="S160" i="8"/>
  <c r="N160" i="8"/>
  <c r="P159" i="8"/>
  <c r="N159" i="8"/>
  <c r="S159" i="8" s="1"/>
  <c r="N158" i="8"/>
  <c r="N157" i="8"/>
  <c r="N156" i="8"/>
  <c r="N155" i="8"/>
  <c r="N154" i="8"/>
  <c r="N153" i="8"/>
  <c r="N152" i="8"/>
  <c r="S151" i="8"/>
  <c r="N151" i="8"/>
  <c r="N150" i="8"/>
  <c r="Q150" i="8" s="1"/>
  <c r="Q149" i="8"/>
  <c r="P149" i="8"/>
  <c r="N149" i="8"/>
  <c r="R149" i="8" s="1"/>
  <c r="S148" i="8"/>
  <c r="Q148" i="8"/>
  <c r="N148" i="8"/>
  <c r="P148" i="8" s="1"/>
  <c r="S147" i="8"/>
  <c r="Q147" i="8"/>
  <c r="N147" i="8"/>
  <c r="Q146" i="8"/>
  <c r="N146" i="8"/>
  <c r="S146" i="8" s="1"/>
  <c r="N145" i="8"/>
  <c r="O145" i="8" s="1"/>
  <c r="N144" i="8"/>
  <c r="N143" i="8"/>
  <c r="N142" i="8"/>
  <c r="N141" i="8"/>
  <c r="N140" i="8"/>
  <c r="S139" i="8"/>
  <c r="N139" i="8"/>
  <c r="N138" i="8"/>
  <c r="S138" i="8" s="1"/>
  <c r="S137" i="8"/>
  <c r="N137" i="8"/>
  <c r="Q137" i="8" s="1"/>
  <c r="S136" i="8"/>
  <c r="O136" i="8"/>
  <c r="N136" i="8"/>
  <c r="S135" i="8"/>
  <c r="P135" i="8"/>
  <c r="O135" i="8"/>
  <c r="N135" i="8"/>
  <c r="N134" i="8"/>
  <c r="Q133" i="8"/>
  <c r="P133" i="8"/>
  <c r="N133" i="8"/>
  <c r="R133" i="8" s="1"/>
  <c r="S132" i="8"/>
  <c r="Q132" i="8"/>
  <c r="N132" i="8"/>
  <c r="P132" i="8" s="1"/>
  <c r="N131" i="8"/>
  <c r="N130" i="8"/>
  <c r="N129" i="8"/>
  <c r="S129" i="8" s="1"/>
  <c r="N128" i="8"/>
  <c r="S128" i="8" s="1"/>
  <c r="N127" i="8"/>
  <c r="Q126" i="8"/>
  <c r="N126" i="8"/>
  <c r="O126" i="8" s="1"/>
  <c r="Q125" i="8"/>
  <c r="P125" i="8"/>
  <c r="N125" i="8"/>
  <c r="R125" i="8" s="1"/>
  <c r="S124" i="8"/>
  <c r="Q124" i="8"/>
  <c r="N124" i="8"/>
  <c r="P124" i="8" s="1"/>
  <c r="S123" i="8"/>
  <c r="Q123" i="8"/>
  <c r="N123" i="8"/>
  <c r="P123" i="8" s="1"/>
  <c r="N122" i="8"/>
  <c r="N121" i="8"/>
  <c r="N120" i="8"/>
  <c r="N119" i="8"/>
  <c r="S119" i="8" s="1"/>
  <c r="Q118" i="8"/>
  <c r="N118" i="8"/>
  <c r="Q117" i="8"/>
  <c r="P117" i="8"/>
  <c r="O117" i="8"/>
  <c r="N117" i="8"/>
  <c r="R117" i="8" s="1"/>
  <c r="S116" i="8"/>
  <c r="Q116" i="8"/>
  <c r="O116" i="8"/>
  <c r="N116" i="8"/>
  <c r="P116" i="8" s="1"/>
  <c r="N115" i="8"/>
  <c r="S115" i="8" s="1"/>
  <c r="N114" i="8"/>
  <c r="S113" i="8"/>
  <c r="N113" i="8"/>
  <c r="N112" i="8"/>
  <c r="N111" i="8"/>
  <c r="N110" i="8"/>
  <c r="Q109" i="8"/>
  <c r="P109" i="8"/>
  <c r="N109" i="8"/>
  <c r="R109" i="8" s="1"/>
  <c r="S108" i="8"/>
  <c r="Q108" i="8"/>
  <c r="N108" i="8"/>
  <c r="P108" i="8" s="1"/>
  <c r="N107" i="8"/>
  <c r="S106" i="8"/>
  <c r="N106" i="8"/>
  <c r="N105" i="8"/>
  <c r="S105" i="8" s="1"/>
  <c r="N104" i="8"/>
  <c r="N103" i="8"/>
  <c r="O102" i="8"/>
  <c r="N102" i="8"/>
  <c r="Q101" i="8"/>
  <c r="P101" i="8"/>
  <c r="O101" i="8"/>
  <c r="N101" i="8"/>
  <c r="R101" i="8" s="1"/>
  <c r="S100" i="8"/>
  <c r="Q100" i="8"/>
  <c r="O100" i="8"/>
  <c r="N100" i="8"/>
  <c r="P100" i="8" s="1"/>
  <c r="N99" i="8"/>
  <c r="P99" i="8" s="1"/>
  <c r="N98" i="8"/>
  <c r="S97" i="8"/>
  <c r="N97" i="8"/>
  <c r="N96" i="8"/>
  <c r="S96" i="8" s="1"/>
  <c r="S95" i="8"/>
  <c r="N95" i="8"/>
  <c r="P95" i="8" s="1"/>
  <c r="Q94" i="8"/>
  <c r="O94" i="8"/>
  <c r="N94" i="8"/>
  <c r="N93" i="8"/>
  <c r="N92" i="8"/>
  <c r="N91" i="8"/>
  <c r="N90" i="8"/>
  <c r="S90" i="8" s="1"/>
  <c r="N89" i="8"/>
  <c r="S89" i="8" s="1"/>
  <c r="O88" i="8"/>
  <c r="N88" i="8"/>
  <c r="Q87" i="8"/>
  <c r="P87" i="8"/>
  <c r="O87" i="8"/>
  <c r="N87" i="8"/>
  <c r="R87" i="8" s="1"/>
  <c r="S86" i="8"/>
  <c r="Q86" i="8"/>
  <c r="O86" i="8"/>
  <c r="N86" i="8"/>
  <c r="P86" i="8" s="1"/>
  <c r="N85" i="8"/>
  <c r="P85" i="8" s="1"/>
  <c r="N84" i="8"/>
  <c r="N83" i="8"/>
  <c r="Q83" i="8" s="1"/>
  <c r="N82" i="8"/>
  <c r="S82" i="8" s="1"/>
  <c r="N81" i="8"/>
  <c r="O80" i="8"/>
  <c r="N80" i="8"/>
  <c r="Q79" i="8"/>
  <c r="P79" i="8"/>
  <c r="O79" i="8"/>
  <c r="N79" i="8"/>
  <c r="R79" i="8" s="1"/>
  <c r="S78" i="8"/>
  <c r="Q78" i="8"/>
  <c r="O78" i="8"/>
  <c r="N78" i="8"/>
  <c r="P78" i="8" s="1"/>
  <c r="N77" i="8"/>
  <c r="N76" i="8"/>
  <c r="N75" i="8"/>
  <c r="N74" i="8"/>
  <c r="S74" i="8" s="1"/>
  <c r="N73" i="8"/>
  <c r="O72" i="8"/>
  <c r="N72" i="8"/>
  <c r="Q71" i="8"/>
  <c r="P71" i="8"/>
  <c r="O71" i="8"/>
  <c r="N71" i="8"/>
  <c r="R71" i="8" s="1"/>
  <c r="S70" i="8"/>
  <c r="Q70" i="8"/>
  <c r="O70" i="8"/>
  <c r="N70" i="8"/>
  <c r="P70" i="8" s="1"/>
  <c r="N69" i="8"/>
  <c r="N68" i="8"/>
  <c r="N67" i="8"/>
  <c r="Q67" i="8" s="1"/>
  <c r="N66" i="8"/>
  <c r="S66" i="8" s="1"/>
  <c r="N65" i="8"/>
  <c r="O64" i="8"/>
  <c r="N64" i="8"/>
  <c r="Q63" i="8"/>
  <c r="P63" i="8"/>
  <c r="O63" i="8"/>
  <c r="N63" i="8"/>
  <c r="R63" i="8" s="1"/>
  <c r="S62" i="8"/>
  <c r="Q62" i="8"/>
  <c r="O62" i="8"/>
  <c r="N62" i="8"/>
  <c r="P62" i="8" s="1"/>
  <c r="N61" i="8"/>
  <c r="N60" i="8"/>
  <c r="N59" i="8"/>
  <c r="N58" i="8"/>
  <c r="S58" i="8" s="1"/>
  <c r="N57" i="8"/>
  <c r="S57" i="8" s="1"/>
  <c r="O56" i="8"/>
  <c r="N56" i="8"/>
  <c r="Q55" i="8"/>
  <c r="P55" i="8"/>
  <c r="O55" i="8"/>
  <c r="N55" i="8"/>
  <c r="R55" i="8" s="1"/>
  <c r="Q54" i="8"/>
  <c r="O54" i="8"/>
  <c r="N54" i="8"/>
  <c r="P54" i="8" s="1"/>
  <c r="N53" i="8"/>
  <c r="N52" i="8"/>
  <c r="N51" i="8"/>
  <c r="N50" i="8"/>
  <c r="S50" i="8" s="1"/>
  <c r="N49" i="8"/>
  <c r="O49" i="8" s="1"/>
  <c r="N48" i="8"/>
  <c r="N47" i="8"/>
  <c r="N46" i="8"/>
  <c r="N45" i="8"/>
  <c r="S44" i="8"/>
  <c r="Q44" i="8"/>
  <c r="N44" i="8"/>
  <c r="P44" i="8" s="1"/>
  <c r="N43" i="8"/>
  <c r="N42" i="8"/>
  <c r="S42" i="8" s="1"/>
  <c r="N41" i="8"/>
  <c r="N40" i="8"/>
  <c r="Q39" i="8"/>
  <c r="P39" i="8"/>
  <c r="N39" i="8"/>
  <c r="R39" i="8" s="1"/>
  <c r="S38" i="8"/>
  <c r="Q38" i="8"/>
  <c r="N38" i="8"/>
  <c r="P38" i="8" s="1"/>
  <c r="Q37" i="8"/>
  <c r="P37" i="8"/>
  <c r="N37" i="8"/>
  <c r="R37" i="8" s="1"/>
  <c r="N36" i="8"/>
  <c r="P36" i="8" s="1"/>
  <c r="N35" i="8"/>
  <c r="N34" i="8"/>
  <c r="S34" i="8" s="1"/>
  <c r="N33" i="8"/>
  <c r="O33" i="8" s="1"/>
  <c r="N32" i="8"/>
  <c r="Q31" i="8"/>
  <c r="P31" i="8"/>
  <c r="O31" i="8"/>
  <c r="N31" i="8"/>
  <c r="R31" i="8" s="1"/>
  <c r="S30" i="8"/>
  <c r="Q30" i="8"/>
  <c r="O30" i="8"/>
  <c r="N30" i="8"/>
  <c r="P30" i="8" s="1"/>
  <c r="N29" i="8"/>
  <c r="R29" i="8" s="1"/>
  <c r="N28" i="8"/>
  <c r="P28" i="8" s="1"/>
  <c r="N27" i="8"/>
  <c r="N26" i="8"/>
  <c r="S26" i="8" s="1"/>
  <c r="N25" i="8"/>
  <c r="N24" i="8"/>
  <c r="N23" i="8"/>
  <c r="R23" i="8" s="1"/>
  <c r="N22" i="8"/>
  <c r="P22" i="8" s="1"/>
  <c r="N21" i="8"/>
  <c r="R21" i="8" s="1"/>
  <c r="S20" i="8"/>
  <c r="N20" i="8"/>
  <c r="P20" i="8" s="1"/>
  <c r="N19" i="8"/>
  <c r="S18" i="8"/>
  <c r="N18" i="8"/>
  <c r="N17" i="8"/>
  <c r="N16" i="8"/>
  <c r="Q15" i="8"/>
  <c r="N15" i="8"/>
  <c r="R15" i="8" s="1"/>
  <c r="S14" i="8"/>
  <c r="N14" i="8"/>
  <c r="P14" i="8" s="1"/>
  <c r="Q13" i="8"/>
  <c r="N13" i="8"/>
  <c r="R13" i="8" s="1"/>
  <c r="S12" i="8"/>
  <c r="Q12" i="8"/>
  <c r="N12" i="8"/>
  <c r="P12" i="8" s="1"/>
  <c r="N11" i="8"/>
  <c r="N10" i="8"/>
  <c r="S10" i="8" s="1"/>
  <c r="N9" i="8"/>
  <c r="N8" i="8"/>
  <c r="Q7" i="8"/>
  <c r="P7" i="8"/>
  <c r="N7" i="8"/>
  <c r="R7" i="8" s="1"/>
  <c r="S6" i="8"/>
  <c r="Q6" i="8"/>
  <c r="N6" i="8"/>
  <c r="P6" i="8" s="1"/>
  <c r="Q5" i="8"/>
  <c r="P5" i="8"/>
  <c r="N5" i="8"/>
  <c r="R5" i="8" s="1"/>
  <c r="N4" i="8"/>
  <c r="P4" i="8" s="1"/>
  <c r="N3" i="8"/>
  <c r="S2" i="8"/>
  <c r="R2" i="8"/>
  <c r="Q2" i="8"/>
  <c r="P2" i="8"/>
  <c r="O2" i="8"/>
  <c r="N2" i="8"/>
  <c r="N1" i="8"/>
  <c r="N23" i="7"/>
  <c r="M23" i="7"/>
  <c r="L23" i="7"/>
  <c r="N22" i="7"/>
  <c r="M22" i="7"/>
  <c r="L22" i="7"/>
  <c r="N21" i="7"/>
  <c r="M21" i="7"/>
  <c r="L21" i="7"/>
  <c r="N20" i="7"/>
  <c r="M20" i="7"/>
  <c r="L20" i="7"/>
  <c r="N16" i="7"/>
  <c r="M16" i="7"/>
  <c r="L16" i="7"/>
  <c r="N15" i="7"/>
  <c r="M15" i="7"/>
  <c r="L15" i="7"/>
  <c r="N14" i="7"/>
  <c r="M14" i="7"/>
  <c r="L14" i="7"/>
  <c r="N13" i="7"/>
  <c r="M13" i="7"/>
  <c r="L13" i="7"/>
  <c r="N12" i="7"/>
  <c r="M12" i="7"/>
  <c r="L12" i="7"/>
  <c r="N11" i="7"/>
  <c r="M11" i="7"/>
  <c r="L11" i="7"/>
  <c r="N10" i="7"/>
  <c r="M10" i="7"/>
  <c r="L10" i="7"/>
  <c r="N9" i="7"/>
  <c r="M9" i="7"/>
  <c r="L9" i="7"/>
  <c r="N8" i="7"/>
  <c r="M8" i="7"/>
  <c r="L8" i="7"/>
  <c r="N7" i="7"/>
  <c r="M7" i="7"/>
  <c r="L7" i="7"/>
  <c r="I23" i="2"/>
  <c r="I22" i="2"/>
  <c r="I21" i="2"/>
  <c r="I20" i="2"/>
  <c r="I19" i="2"/>
  <c r="I18" i="2"/>
  <c r="I17" i="2"/>
  <c r="I16" i="2"/>
  <c r="I15" i="2"/>
  <c r="I14" i="2"/>
  <c r="I13" i="2"/>
  <c r="I12" i="2"/>
  <c r="K11" i="2"/>
  <c r="I11" i="2"/>
  <c r="K10" i="2"/>
  <c r="I10" i="2"/>
  <c r="K9" i="2"/>
  <c r="I9" i="2"/>
  <c r="K8" i="2"/>
  <c r="I8" i="2"/>
  <c r="K7" i="2"/>
  <c r="I7" i="2"/>
  <c r="M6" i="2"/>
  <c r="K6" i="2"/>
  <c r="I6" i="2"/>
  <c r="O5" i="2"/>
  <c r="M5" i="2"/>
  <c r="K5" i="2"/>
  <c r="I5" i="2"/>
  <c r="O4" i="2"/>
  <c r="M4" i="2"/>
  <c r="K4" i="2"/>
  <c r="I4" i="2"/>
  <c r="Q3" i="2"/>
  <c r="O3" i="2"/>
  <c r="M3" i="2"/>
  <c r="K3" i="2"/>
  <c r="I3" i="2"/>
  <c r="S2" i="2"/>
  <c r="F45" i="12" s="1" a="1"/>
  <c r="F45" i="12" s="1"/>
  <c r="Q2" i="2"/>
  <c r="O2" i="2"/>
  <c r="M2" i="2"/>
  <c r="K2" i="2"/>
  <c r="I2" i="2"/>
  <c r="X1" i="13"/>
  <c r="P46" i="8" l="1"/>
  <c r="S46" i="8"/>
  <c r="Q46" i="8"/>
  <c r="P52" i="8"/>
  <c r="S52" i="8"/>
  <c r="Q52" i="8"/>
  <c r="R69" i="8"/>
  <c r="Q69" i="8"/>
  <c r="R77" i="8"/>
  <c r="Q77" i="8"/>
  <c r="R93" i="8"/>
  <c r="Q93" i="8"/>
  <c r="S104" i="8"/>
  <c r="O104" i="8"/>
  <c r="R141" i="8"/>
  <c r="P141" i="8"/>
  <c r="O141" i="8"/>
  <c r="Q155" i="8"/>
  <c r="P155" i="8"/>
  <c r="R157" i="8"/>
  <c r="P157" i="8"/>
  <c r="O157" i="8"/>
  <c r="P172" i="8"/>
  <c r="S172" i="8"/>
  <c r="Q172" i="8"/>
  <c r="P246" i="8"/>
  <c r="R246" i="8"/>
  <c r="R286" i="8"/>
  <c r="P286" i="8"/>
  <c r="R370" i="8"/>
  <c r="Q370" i="8"/>
  <c r="P370" i="8"/>
  <c r="Q507" i="8"/>
  <c r="R507" i="8"/>
  <c r="P507" i="8"/>
  <c r="P691" i="8"/>
  <c r="O691" i="8"/>
  <c r="P810" i="8"/>
  <c r="R810" i="8"/>
  <c r="Q810" i="8"/>
  <c r="Q4" i="8"/>
  <c r="V15" i="13" s="1"/>
  <c r="O23" i="8"/>
  <c r="P29" i="8"/>
  <c r="Q36" i="8"/>
  <c r="O46" i="8"/>
  <c r="R53" i="8"/>
  <c r="Q53" i="8"/>
  <c r="P69" i="8"/>
  <c r="P77" i="8"/>
  <c r="S127" i="8"/>
  <c r="P127" i="8"/>
  <c r="Q141" i="8"/>
  <c r="S155" i="8"/>
  <c r="Q207" i="8"/>
  <c r="R207" i="8"/>
  <c r="O207" i="8"/>
  <c r="R378" i="8"/>
  <c r="Q378" i="8"/>
  <c r="P385" i="8"/>
  <c r="P410" i="8"/>
  <c r="R410" i="8"/>
  <c r="Q410" i="8"/>
  <c r="R434" i="8"/>
  <c r="Q434" i="8"/>
  <c r="Q571" i="8"/>
  <c r="R571" i="8"/>
  <c r="P571" i="8"/>
  <c r="Q587" i="8"/>
  <c r="P587" i="8"/>
  <c r="O587" i="8"/>
  <c r="Q610" i="8"/>
  <c r="R610" i="8"/>
  <c r="P610" i="8"/>
  <c r="Q675" i="8"/>
  <c r="R675" i="8"/>
  <c r="P675" i="8"/>
  <c r="O675" i="8"/>
  <c r="P770" i="8"/>
  <c r="R770" i="8"/>
  <c r="Q775" i="8"/>
  <c r="R775" i="8"/>
  <c r="O775" i="8"/>
  <c r="S4" i="8"/>
  <c r="O14" i="8"/>
  <c r="O15" i="8"/>
  <c r="P21" i="8"/>
  <c r="Q22" i="8"/>
  <c r="P23" i="8"/>
  <c r="Q28" i="8"/>
  <c r="Q29" i="8"/>
  <c r="S36" i="8"/>
  <c r="R45" i="8"/>
  <c r="P45" i="8"/>
  <c r="R47" i="8"/>
  <c r="Q47" i="8"/>
  <c r="P47" i="8"/>
  <c r="P53" i="8"/>
  <c r="P103" i="8"/>
  <c r="O103" i="8"/>
  <c r="Q105" i="8"/>
  <c r="P140" i="8"/>
  <c r="Q140" i="8"/>
  <c r="O140" i="8"/>
  <c r="P156" i="8"/>
  <c r="Q156" i="8"/>
  <c r="O156" i="8"/>
  <c r="Q158" i="8"/>
  <c r="O158" i="8"/>
  <c r="P164" i="8"/>
  <c r="Q164" i="8"/>
  <c r="O164" i="8"/>
  <c r="R173" i="8"/>
  <c r="Q173" i="8"/>
  <c r="P173" i="8"/>
  <c r="R181" i="8"/>
  <c r="P181" i="8"/>
  <c r="O181" i="8"/>
  <c r="S187" i="8"/>
  <c r="Q187" i="8"/>
  <c r="R189" i="8"/>
  <c r="Q189" i="8"/>
  <c r="P189" i="8"/>
  <c r="P196" i="8"/>
  <c r="S196" i="8"/>
  <c r="Q196" i="8"/>
  <c r="P235" i="8"/>
  <c r="O235" i="8"/>
  <c r="Q263" i="8"/>
  <c r="R263" i="8"/>
  <c r="O263" i="8"/>
  <c r="P298" i="8"/>
  <c r="R298" i="8"/>
  <c r="Q298" i="8"/>
  <c r="S343" i="8"/>
  <c r="O343" i="8"/>
  <c r="P378" i="8"/>
  <c r="P402" i="8"/>
  <c r="R402" i="8"/>
  <c r="O407" i="8"/>
  <c r="O423" i="8"/>
  <c r="S423" i="8"/>
  <c r="O429" i="8"/>
  <c r="P466" i="8"/>
  <c r="R466" i="8"/>
  <c r="R498" i="8"/>
  <c r="Q498" i="8"/>
  <c r="R506" i="8"/>
  <c r="Q506" i="8"/>
  <c r="Q522" i="8"/>
  <c r="R522" i="8"/>
  <c r="Q534" i="8"/>
  <c r="R534" i="8"/>
  <c r="P534" i="8"/>
  <c r="O571" i="8"/>
  <c r="S581" i="8"/>
  <c r="P581" i="8"/>
  <c r="R587" i="8"/>
  <c r="Q591" i="8"/>
  <c r="R591" i="8"/>
  <c r="O591" i="8"/>
  <c r="Q650" i="8"/>
  <c r="R650" i="8"/>
  <c r="P650" i="8"/>
  <c r="Q654" i="8"/>
  <c r="R654" i="8"/>
  <c r="P654" i="8"/>
  <c r="Q735" i="8"/>
  <c r="R735" i="8"/>
  <c r="O735" i="8"/>
  <c r="R747" i="8"/>
  <c r="P747" i="8"/>
  <c r="Q770" i="8"/>
  <c r="R779" i="8"/>
  <c r="P779" i="8"/>
  <c r="R964" i="8"/>
  <c r="P964" i="8"/>
  <c r="O964" i="8"/>
  <c r="Q964" i="8"/>
  <c r="S995" i="8"/>
  <c r="R995" i="8"/>
  <c r="O995" i="8"/>
  <c r="R61" i="8"/>
  <c r="Q61" i="8"/>
  <c r="R85" i="8"/>
  <c r="Q85" i="8"/>
  <c r="R165" i="8"/>
  <c r="P165" i="8"/>
  <c r="O165" i="8"/>
  <c r="S169" i="8"/>
  <c r="Q169" i="8"/>
  <c r="P180" i="8"/>
  <c r="Q180" i="8"/>
  <c r="O180" i="8"/>
  <c r="P188" i="8"/>
  <c r="S188" i="8"/>
  <c r="Q188" i="8"/>
  <c r="R197" i="8"/>
  <c r="Q197" i="8"/>
  <c r="P197" i="8"/>
  <c r="Q255" i="8"/>
  <c r="R255" i="8"/>
  <c r="R258" i="8"/>
  <c r="Q258" i="8"/>
  <c r="P258" i="8"/>
  <c r="Q499" i="8"/>
  <c r="R499" i="8"/>
  <c r="P499" i="8"/>
  <c r="Q606" i="8"/>
  <c r="R606" i="8"/>
  <c r="P606" i="8"/>
  <c r="Q635" i="8"/>
  <c r="P635" i="8"/>
  <c r="O635" i="8"/>
  <c r="R635" i="8"/>
  <c r="Q658" i="8"/>
  <c r="R658" i="8"/>
  <c r="Q806" i="8"/>
  <c r="R806" i="8"/>
  <c r="P806" i="8"/>
  <c r="O22" i="8"/>
  <c r="P61" i="8"/>
  <c r="P93" i="8"/>
  <c r="S114" i="8"/>
  <c r="Q114" i="8"/>
  <c r="S145" i="8"/>
  <c r="Q145" i="8"/>
  <c r="Q157" i="8"/>
  <c r="Q165" i="8"/>
  <c r="O172" i="8"/>
  <c r="O190" i="8"/>
  <c r="O255" i="8"/>
  <c r="O507" i="8"/>
  <c r="Q625" i="8"/>
  <c r="P625" i="8"/>
  <c r="Q782" i="8"/>
  <c r="R782" i="8"/>
  <c r="Q807" i="8"/>
  <c r="R807" i="8"/>
  <c r="O807" i="8"/>
  <c r="Q831" i="8"/>
  <c r="R831" i="8"/>
  <c r="R882" i="8"/>
  <c r="Q882" i="8"/>
  <c r="P907" i="8"/>
  <c r="O907" i="8"/>
  <c r="S970" i="8"/>
  <c r="Q970" i="8"/>
  <c r="O6" i="8"/>
  <c r="O7" i="8"/>
  <c r="P13" i="8"/>
  <c r="Q14" i="8"/>
  <c r="P15" i="8"/>
  <c r="Q20" i="8"/>
  <c r="Q21" i="8"/>
  <c r="S22" i="8"/>
  <c r="Q23" i="8"/>
  <c r="S28" i="8"/>
  <c r="O38" i="8"/>
  <c r="O39" i="8"/>
  <c r="Q45" i="8"/>
  <c r="O47" i="8"/>
  <c r="P60" i="8"/>
  <c r="S60" i="8"/>
  <c r="Q60" i="8"/>
  <c r="P68" i="8"/>
  <c r="S68" i="8"/>
  <c r="Q68" i="8"/>
  <c r="P76" i="8"/>
  <c r="S76" i="8"/>
  <c r="Q76" i="8"/>
  <c r="P84" i="8"/>
  <c r="S84" i="8"/>
  <c r="Q84" i="8"/>
  <c r="P92" i="8"/>
  <c r="S92" i="8"/>
  <c r="Q92" i="8"/>
  <c r="S103" i="8"/>
  <c r="Q113" i="8"/>
  <c r="O113" i="8"/>
  <c r="Q115" i="8"/>
  <c r="S140" i="8"/>
  <c r="S156" i="8"/>
  <c r="S164" i="8"/>
  <c r="O173" i="8"/>
  <c r="Q181" i="8"/>
  <c r="P187" i="8"/>
  <c r="O189" i="8"/>
  <c r="O196" i="8"/>
  <c r="Q199" i="8"/>
  <c r="R199" i="8"/>
  <c r="O199" i="8"/>
  <c r="Q215" i="8"/>
  <c r="R215" i="8"/>
  <c r="O215" i="8"/>
  <c r="Q250" i="8"/>
  <c r="R254" i="8"/>
  <c r="P254" i="8"/>
  <c r="S391" i="8"/>
  <c r="R391" i="8"/>
  <c r="Q402" i="8"/>
  <c r="R423" i="8"/>
  <c r="P451" i="8"/>
  <c r="S493" i="8"/>
  <c r="P498" i="8"/>
  <c r="P506" i="8"/>
  <c r="S517" i="8"/>
  <c r="P522" i="8"/>
  <c r="Q555" i="8"/>
  <c r="P555" i="8"/>
  <c r="O555" i="8"/>
  <c r="R555" i="8"/>
  <c r="Q742" i="8"/>
  <c r="R742" i="8"/>
  <c r="P742" i="8"/>
  <c r="P973" i="8"/>
  <c r="Q973" i="8"/>
  <c r="O973" i="8"/>
  <c r="R982" i="8"/>
  <c r="Q982" i="8"/>
  <c r="P982" i="8"/>
  <c r="P993" i="8"/>
  <c r="R993" i="8"/>
  <c r="Q993" i="8"/>
  <c r="O993" i="8"/>
  <c r="S54" i="8"/>
  <c r="Q543" i="8"/>
  <c r="R543" i="8"/>
  <c r="S549" i="8"/>
  <c r="P549" i="8"/>
  <c r="Q559" i="8"/>
  <c r="R559" i="8"/>
  <c r="O559" i="8"/>
  <c r="R570" i="8"/>
  <c r="Q570" i="8"/>
  <c r="Q586" i="8"/>
  <c r="P586" i="8"/>
  <c r="R619" i="8"/>
  <c r="P619" i="8"/>
  <c r="Q623" i="8"/>
  <c r="R623" i="8"/>
  <c r="R723" i="8"/>
  <c r="P723" i="8"/>
  <c r="Q814" i="8"/>
  <c r="R814" i="8"/>
  <c r="P814" i="8"/>
  <c r="Q870" i="8"/>
  <c r="R870" i="8"/>
  <c r="P870" i="8"/>
  <c r="R974" i="8"/>
  <c r="P974" i="8"/>
  <c r="O974" i="8"/>
  <c r="R983" i="8"/>
  <c r="S983" i="8"/>
  <c r="O108" i="8"/>
  <c r="O109" i="8"/>
  <c r="O124" i="8"/>
  <c r="O125" i="8"/>
  <c r="O132" i="8"/>
  <c r="O133" i="8"/>
  <c r="O148" i="8"/>
  <c r="O149" i="8"/>
  <c r="Q218" i="8"/>
  <c r="O223" i="8"/>
  <c r="Q539" i="8"/>
  <c r="P539" i="8"/>
  <c r="Q554" i="8"/>
  <c r="P554" i="8"/>
  <c r="Q575" i="8"/>
  <c r="R575" i="8"/>
  <c r="O575" i="8"/>
  <c r="Q634" i="8"/>
  <c r="P634" i="8"/>
  <c r="Q646" i="8"/>
  <c r="R646" i="8"/>
  <c r="P646" i="8"/>
  <c r="Q662" i="8"/>
  <c r="R662" i="8"/>
  <c r="R674" i="8"/>
  <c r="Q674" i="8"/>
  <c r="P706" i="8"/>
  <c r="R706" i="8"/>
  <c r="Q706" i="8"/>
  <c r="Q799" i="8"/>
  <c r="R799" i="8"/>
  <c r="O799" i="8"/>
  <c r="P811" i="8"/>
  <c r="Q815" i="8"/>
  <c r="R815" i="8"/>
  <c r="P817" i="8"/>
  <c r="Q823" i="8"/>
  <c r="R823" i="8"/>
  <c r="O823" i="8"/>
  <c r="Q838" i="8"/>
  <c r="R838" i="8"/>
  <c r="R843" i="8"/>
  <c r="P843" i="8"/>
  <c r="Q855" i="8"/>
  <c r="R855" i="8"/>
  <c r="Q871" i="8"/>
  <c r="R871" i="8"/>
  <c r="R963" i="8"/>
  <c r="O963" i="8"/>
  <c r="R991" i="8"/>
  <c r="S991" i="8"/>
  <c r="R994" i="8"/>
  <c r="Q994" i="8"/>
  <c r="P994" i="8"/>
  <c r="O615" i="8"/>
  <c r="R622" i="8"/>
  <c r="Q690" i="8"/>
  <c r="P694" i="8"/>
  <c r="O711" i="8"/>
  <c r="O719" i="8"/>
  <c r="O863" i="8"/>
  <c r="P914" i="8"/>
  <c r="R958" i="8"/>
  <c r="P962" i="8"/>
  <c r="P972" i="8"/>
  <c r="Q981" i="8"/>
  <c r="O985" i="8"/>
  <c r="O986" i="8"/>
  <c r="R17" i="8"/>
  <c r="Q17" i="8"/>
  <c r="P17" i="8"/>
  <c r="R65" i="8"/>
  <c r="Q65" i="8"/>
  <c r="P65" i="8"/>
  <c r="R73" i="8"/>
  <c r="Q73" i="8"/>
  <c r="P73" i="8"/>
  <c r="R81" i="8"/>
  <c r="Q81" i="8"/>
  <c r="P81" i="8"/>
  <c r="P98" i="8"/>
  <c r="O98" i="8"/>
  <c r="S98" i="8"/>
  <c r="Q98" i="8"/>
  <c r="R195" i="8"/>
  <c r="O195" i="8"/>
  <c r="S195" i="8"/>
  <c r="Q195" i="8"/>
  <c r="P195" i="8"/>
  <c r="Q269" i="8"/>
  <c r="P269" i="8"/>
  <c r="O317" i="8"/>
  <c r="S317" i="8"/>
  <c r="P317" i="8"/>
  <c r="Q502" i="8"/>
  <c r="R502" i="8"/>
  <c r="P502" i="8"/>
  <c r="Q567" i="8"/>
  <c r="R567" i="8"/>
  <c r="O567" i="8"/>
  <c r="P730" i="8"/>
  <c r="Q730" i="8"/>
  <c r="R730" i="8"/>
  <c r="Q798" i="8"/>
  <c r="P798" i="8"/>
  <c r="R798" i="8"/>
  <c r="P842" i="8"/>
  <c r="R842" i="8"/>
  <c r="Q842" i="8"/>
  <c r="Q873" i="8"/>
  <c r="P873" i="8"/>
  <c r="Q943" i="8"/>
  <c r="R943" i="8"/>
  <c r="O943" i="8"/>
  <c r="R3" i="8"/>
  <c r="P3" i="8"/>
  <c r="O3" i="8"/>
  <c r="R11" i="8"/>
  <c r="P11" i="8"/>
  <c r="O11" i="8"/>
  <c r="O17" i="8"/>
  <c r="O65" i="8"/>
  <c r="R91" i="8"/>
  <c r="P91" i="8"/>
  <c r="O91" i="8"/>
  <c r="R107" i="8"/>
  <c r="O107" i="8"/>
  <c r="Q107" i="8"/>
  <c r="P107" i="8"/>
  <c r="P154" i="8"/>
  <c r="O154" i="8"/>
  <c r="S154" i="8"/>
  <c r="Q154" i="8"/>
  <c r="S285" i="8"/>
  <c r="P285" i="8"/>
  <c r="O285" i="8"/>
  <c r="Q593" i="8"/>
  <c r="P593" i="8"/>
  <c r="Q631" i="8"/>
  <c r="R631" i="8"/>
  <c r="O631" i="8"/>
  <c r="P666" i="8"/>
  <c r="R666" i="8"/>
  <c r="Q666" i="8"/>
  <c r="Q718" i="8"/>
  <c r="R718" i="8"/>
  <c r="P718" i="8"/>
  <c r="Q737" i="8"/>
  <c r="P737" i="8"/>
  <c r="Q795" i="8"/>
  <c r="O795" i="8"/>
  <c r="R795" i="8"/>
  <c r="P795" i="8"/>
  <c r="Q835" i="8"/>
  <c r="O835" i="8"/>
  <c r="P835" i="8"/>
  <c r="R835" i="8"/>
  <c r="P858" i="8"/>
  <c r="Q858" i="8"/>
  <c r="R858" i="8"/>
  <c r="R938" i="8"/>
  <c r="P938" i="8"/>
  <c r="Q938" i="8"/>
  <c r="R33" i="8"/>
  <c r="Q33" i="8"/>
  <c r="P33" i="8"/>
  <c r="R111" i="8"/>
  <c r="Q111" i="8"/>
  <c r="S111" i="8"/>
  <c r="O111" i="8"/>
  <c r="P111" i="8"/>
  <c r="P144" i="8"/>
  <c r="Q144" i="8"/>
  <c r="S144" i="8"/>
  <c r="O144" i="8"/>
  <c r="P186" i="8"/>
  <c r="O186" i="8"/>
  <c r="S186" i="8"/>
  <c r="Q186" i="8"/>
  <c r="Q205" i="8"/>
  <c r="P205" i="8"/>
  <c r="P401" i="8"/>
  <c r="S401" i="8"/>
  <c r="R401" i="8"/>
  <c r="Q558" i="8"/>
  <c r="R558" i="8"/>
  <c r="P558" i="8"/>
  <c r="Q707" i="8"/>
  <c r="O707" i="8"/>
  <c r="P707" i="8"/>
  <c r="R707" i="8"/>
  <c r="R19" i="8"/>
  <c r="P19" i="8"/>
  <c r="O19" i="8"/>
  <c r="R27" i="8"/>
  <c r="P27" i="8"/>
  <c r="O27" i="8"/>
  <c r="R35" i="8"/>
  <c r="P35" i="8"/>
  <c r="O35" i="8"/>
  <c r="R43" i="8"/>
  <c r="P43" i="8"/>
  <c r="O43" i="8"/>
  <c r="R51" i="8"/>
  <c r="P51" i="8"/>
  <c r="O51" i="8"/>
  <c r="R59" i="8"/>
  <c r="P59" i="8"/>
  <c r="O59" i="8"/>
  <c r="R75" i="8"/>
  <c r="P75" i="8"/>
  <c r="O75" i="8"/>
  <c r="R163" i="8"/>
  <c r="O163" i="8"/>
  <c r="S163" i="8"/>
  <c r="Q163" i="8"/>
  <c r="P163" i="8"/>
  <c r="P56" i="8"/>
  <c r="S56" i="8"/>
  <c r="Q56" i="8"/>
  <c r="Q59" i="8"/>
  <c r="P64" i="8"/>
  <c r="S64" i="8"/>
  <c r="Q64" i="8"/>
  <c r="S65" i="8"/>
  <c r="P72" i="8"/>
  <c r="S72" i="8"/>
  <c r="Q72" i="8"/>
  <c r="S73" i="8"/>
  <c r="Q75" i="8"/>
  <c r="P80" i="8"/>
  <c r="S80" i="8"/>
  <c r="Q80" i="8"/>
  <c r="S81" i="8"/>
  <c r="P88" i="8"/>
  <c r="S88" i="8"/>
  <c r="Q88" i="8"/>
  <c r="Q91" i="8"/>
  <c r="R97" i="8"/>
  <c r="P97" i="8"/>
  <c r="Q97" i="8"/>
  <c r="O97" i="8"/>
  <c r="S107" i="8"/>
  <c r="P122" i="8"/>
  <c r="O122" i="8"/>
  <c r="S122" i="8"/>
  <c r="Q122" i="8"/>
  <c r="R131" i="8"/>
  <c r="O131" i="8"/>
  <c r="S131" i="8"/>
  <c r="Q131" i="8"/>
  <c r="P131" i="8"/>
  <c r="P166" i="8"/>
  <c r="S166" i="8"/>
  <c r="Q166" i="8"/>
  <c r="O166" i="8"/>
  <c r="R175" i="8"/>
  <c r="Q175" i="8"/>
  <c r="S175" i="8"/>
  <c r="P175" i="8"/>
  <c r="O175" i="8"/>
  <c r="Q237" i="8"/>
  <c r="P237" i="8"/>
  <c r="Q243" i="8"/>
  <c r="R243" i="8"/>
  <c r="P243" i="8"/>
  <c r="O243" i="8"/>
  <c r="S327" i="8"/>
  <c r="R327" i="8"/>
  <c r="O327" i="8"/>
  <c r="Q355" i="8"/>
  <c r="R355" i="8"/>
  <c r="P355" i="8"/>
  <c r="O355" i="8"/>
  <c r="R418" i="8"/>
  <c r="Q418" i="8"/>
  <c r="P418" i="8"/>
  <c r="Q475" i="8"/>
  <c r="R475" i="8"/>
  <c r="P475" i="8"/>
  <c r="O475" i="8"/>
  <c r="Q495" i="8"/>
  <c r="O495" i="8"/>
  <c r="R495" i="8"/>
  <c r="S541" i="8"/>
  <c r="P541" i="8"/>
  <c r="Q562" i="8"/>
  <c r="R562" i="8"/>
  <c r="P562" i="8"/>
  <c r="Q578" i="8"/>
  <c r="P578" i="8"/>
  <c r="R578" i="8"/>
  <c r="Q603" i="8"/>
  <c r="R603" i="8"/>
  <c r="P603" i="8"/>
  <c r="O603" i="8"/>
  <c r="R682" i="8"/>
  <c r="Q682" i="8"/>
  <c r="P682" i="8"/>
  <c r="Q726" i="8"/>
  <c r="R726" i="8"/>
  <c r="P726" i="8"/>
  <c r="Q755" i="8"/>
  <c r="O755" i="8"/>
  <c r="R755" i="8"/>
  <c r="P755" i="8"/>
  <c r="P818" i="8"/>
  <c r="R818" i="8"/>
  <c r="Q818" i="8"/>
  <c r="Q846" i="8"/>
  <c r="R846" i="8"/>
  <c r="P846" i="8"/>
  <c r="Q865" i="8"/>
  <c r="P865" i="8"/>
  <c r="R968" i="8"/>
  <c r="Q968" i="8"/>
  <c r="P968" i="8"/>
  <c r="O968" i="8"/>
  <c r="S968" i="8"/>
  <c r="R9" i="8"/>
  <c r="Q9" i="8"/>
  <c r="P9" i="8"/>
  <c r="R25" i="8"/>
  <c r="Q25" i="8"/>
  <c r="P25" i="8"/>
  <c r="R41" i="8"/>
  <c r="Q41" i="8"/>
  <c r="P41" i="8"/>
  <c r="R49" i="8"/>
  <c r="Q49" i="8"/>
  <c r="P49" i="8"/>
  <c r="R57" i="8"/>
  <c r="Q57" i="8"/>
  <c r="P57" i="8"/>
  <c r="R89" i="8"/>
  <c r="Q89" i="8"/>
  <c r="P89" i="8"/>
  <c r="R153" i="8"/>
  <c r="P153" i="8"/>
  <c r="S153" i="8"/>
  <c r="Q153" i="8"/>
  <c r="O153" i="8"/>
  <c r="Q211" i="8"/>
  <c r="R211" i="8"/>
  <c r="P211" i="8"/>
  <c r="O211" i="8"/>
  <c r="Q296" i="8"/>
  <c r="R296" i="8"/>
  <c r="P450" i="8"/>
  <c r="R450" i="8"/>
  <c r="Q450" i="8"/>
  <c r="O9" i="8"/>
  <c r="O25" i="8"/>
  <c r="O41" i="8"/>
  <c r="O57" i="8"/>
  <c r="R67" i="8"/>
  <c r="P67" i="8"/>
  <c r="O67" i="8"/>
  <c r="O73" i="8"/>
  <c r="O81" i="8"/>
  <c r="R83" i="8"/>
  <c r="P83" i="8"/>
  <c r="O83" i="8"/>
  <c r="O89" i="8"/>
  <c r="R99" i="8"/>
  <c r="O99" i="8"/>
  <c r="S99" i="8"/>
  <c r="Q99" i="8"/>
  <c r="P112" i="8"/>
  <c r="Q112" i="8"/>
  <c r="S112" i="8"/>
  <c r="O112" i="8"/>
  <c r="R121" i="8"/>
  <c r="P121" i="8"/>
  <c r="S121" i="8"/>
  <c r="Q121" i="8"/>
  <c r="O121" i="8"/>
  <c r="R198" i="8"/>
  <c r="P198" i="8"/>
  <c r="R234" i="8"/>
  <c r="Q234" i="8"/>
  <c r="P234" i="8"/>
  <c r="R262" i="8"/>
  <c r="P262" i="8"/>
  <c r="S369" i="8"/>
  <c r="R369" i="8"/>
  <c r="P369" i="8"/>
  <c r="Q387" i="8"/>
  <c r="O387" i="8"/>
  <c r="R387" i="8"/>
  <c r="P387" i="8"/>
  <c r="Q436" i="8"/>
  <c r="P436" i="8"/>
  <c r="Q459" i="8"/>
  <c r="R459" i="8"/>
  <c r="P459" i="8"/>
  <c r="O459" i="8"/>
  <c r="P468" i="8"/>
  <c r="Q468" i="8"/>
  <c r="Q3" i="8"/>
  <c r="P8" i="8"/>
  <c r="S8" i="8"/>
  <c r="Q8" i="8"/>
  <c r="S9" i="8"/>
  <c r="Q11" i="8"/>
  <c r="P16" i="8"/>
  <c r="S16" i="8"/>
  <c r="Q16" i="8"/>
  <c r="S17" i="8"/>
  <c r="Q19" i="8"/>
  <c r="P24" i="8"/>
  <c r="S24" i="8"/>
  <c r="Q24" i="8"/>
  <c r="S25" i="8"/>
  <c r="Q27" i="8"/>
  <c r="P32" i="8"/>
  <c r="S32" i="8"/>
  <c r="Q32" i="8"/>
  <c r="S33" i="8"/>
  <c r="Q35" i="8"/>
  <c r="P40" i="8"/>
  <c r="S40" i="8"/>
  <c r="Q40" i="8"/>
  <c r="S41" i="8"/>
  <c r="Q43" i="8"/>
  <c r="P48" i="8"/>
  <c r="S48" i="8"/>
  <c r="Q48" i="8"/>
  <c r="S49" i="8"/>
  <c r="Q51" i="8"/>
  <c r="S3" i="8"/>
  <c r="O8" i="8"/>
  <c r="P10" i="8"/>
  <c r="Q10" i="8"/>
  <c r="O10" i="8"/>
  <c r="S11" i="8"/>
  <c r="O16" i="8"/>
  <c r="P18" i="8"/>
  <c r="Q18" i="8"/>
  <c r="O18" i="8"/>
  <c r="S19" i="8"/>
  <c r="O24" i="8"/>
  <c r="P26" i="8"/>
  <c r="Q26" i="8"/>
  <c r="O26" i="8"/>
  <c r="S27" i="8"/>
  <c r="O32" i="8"/>
  <c r="P34" i="8"/>
  <c r="Q34" i="8"/>
  <c r="O34" i="8"/>
  <c r="S35" i="8"/>
  <c r="O40" i="8"/>
  <c r="P42" i="8"/>
  <c r="Q42" i="8"/>
  <c r="O42" i="8"/>
  <c r="S43" i="8"/>
  <c r="O48" i="8"/>
  <c r="P50" i="8"/>
  <c r="Q50" i="8"/>
  <c r="O50" i="8"/>
  <c r="S51" i="8"/>
  <c r="P58" i="8"/>
  <c r="Q58" i="8"/>
  <c r="O58" i="8"/>
  <c r="S59" i="8"/>
  <c r="P66" i="8"/>
  <c r="Q66" i="8"/>
  <c r="O66" i="8"/>
  <c r="S67" i="8"/>
  <c r="P74" i="8"/>
  <c r="Q74" i="8"/>
  <c r="O74" i="8"/>
  <c r="S75" i="8"/>
  <c r="P82" i="8"/>
  <c r="Q82" i="8"/>
  <c r="O82" i="8"/>
  <c r="S83" i="8"/>
  <c r="P90" i="8"/>
  <c r="Q90" i="8"/>
  <c r="O90" i="8"/>
  <c r="S91" i="8"/>
  <c r="P102" i="8"/>
  <c r="S102" i="8"/>
  <c r="Q102" i="8"/>
  <c r="P110" i="8"/>
  <c r="S110" i="8"/>
  <c r="Q110" i="8"/>
  <c r="O110" i="8"/>
  <c r="P134" i="8"/>
  <c r="S134" i="8"/>
  <c r="Q134" i="8"/>
  <c r="O134" i="8"/>
  <c r="R143" i="8"/>
  <c r="Q143" i="8"/>
  <c r="S143" i="8"/>
  <c r="P143" i="8"/>
  <c r="O143" i="8"/>
  <c r="P176" i="8"/>
  <c r="Q176" i="8"/>
  <c r="S176" i="8"/>
  <c r="O176" i="8"/>
  <c r="R185" i="8"/>
  <c r="P185" i="8"/>
  <c r="S185" i="8"/>
  <c r="Q185" i="8"/>
  <c r="O185" i="8"/>
  <c r="R202" i="8"/>
  <c r="Q202" i="8"/>
  <c r="P202" i="8"/>
  <c r="R230" i="8"/>
  <c r="P230" i="8"/>
  <c r="R266" i="8"/>
  <c r="Q266" i="8"/>
  <c r="P266" i="8"/>
  <c r="Q275" i="8"/>
  <c r="O275" i="8"/>
  <c r="R275" i="8"/>
  <c r="P275" i="8"/>
  <c r="Q283" i="8"/>
  <c r="O283" i="8"/>
  <c r="R283" i="8"/>
  <c r="P283" i="8"/>
  <c r="S289" i="8"/>
  <c r="P289" i="8"/>
  <c r="R306" i="8"/>
  <c r="Q306" i="8"/>
  <c r="P306" i="8"/>
  <c r="R314" i="8"/>
  <c r="Q314" i="8"/>
  <c r="P314" i="8"/>
  <c r="P338" i="8"/>
  <c r="R338" i="8"/>
  <c r="Q338" i="8"/>
  <c r="P346" i="8"/>
  <c r="R346" i="8"/>
  <c r="Q346" i="8"/>
  <c r="O359" i="8"/>
  <c r="S359" i="8"/>
  <c r="R359" i="8"/>
  <c r="Q427" i="8"/>
  <c r="O427" i="8"/>
  <c r="R427" i="8"/>
  <c r="P427" i="8"/>
  <c r="S461" i="8"/>
  <c r="O461" i="8"/>
  <c r="Q518" i="8"/>
  <c r="R518" i="8"/>
  <c r="P518" i="8"/>
  <c r="Q670" i="8"/>
  <c r="R670" i="8"/>
  <c r="P670" i="8"/>
  <c r="Q679" i="8"/>
  <c r="R679" i="8"/>
  <c r="O679" i="8"/>
  <c r="P714" i="8"/>
  <c r="R714" i="8"/>
  <c r="Q714" i="8"/>
  <c r="Q745" i="8"/>
  <c r="P745" i="8"/>
  <c r="Q793" i="8"/>
  <c r="P793" i="8"/>
  <c r="Q854" i="8"/>
  <c r="R854" i="8"/>
  <c r="P854" i="8"/>
  <c r="R922" i="8"/>
  <c r="P922" i="8"/>
  <c r="Q922" i="8"/>
  <c r="R992" i="8"/>
  <c r="P992" i="8"/>
  <c r="O992" i="8"/>
  <c r="S992" i="8"/>
  <c r="Q992" i="8"/>
  <c r="R119" i="8"/>
  <c r="Q119" i="8"/>
  <c r="P120" i="8"/>
  <c r="Q120" i="8"/>
  <c r="R129" i="8"/>
  <c r="P129" i="8"/>
  <c r="P130" i="8"/>
  <c r="O130" i="8"/>
  <c r="R139" i="8"/>
  <c r="O139" i="8"/>
  <c r="P142" i="8"/>
  <c r="S142" i="8"/>
  <c r="Q251" i="8"/>
  <c r="R251" i="8"/>
  <c r="Q363" i="8"/>
  <c r="O363" i="8"/>
  <c r="Q395" i="8"/>
  <c r="R395" i="8"/>
  <c r="Q435" i="8"/>
  <c r="R435" i="8"/>
  <c r="Q467" i="8"/>
  <c r="O467" i="8"/>
  <c r="Q531" i="8"/>
  <c r="O531" i="8"/>
  <c r="Q582" i="8"/>
  <c r="P582" i="8"/>
  <c r="Q601" i="8"/>
  <c r="P601" i="8"/>
  <c r="Q607" i="8"/>
  <c r="O607" i="8"/>
  <c r="Q617" i="8"/>
  <c r="P617" i="8"/>
  <c r="Q627" i="8"/>
  <c r="O627" i="8"/>
  <c r="Q699" i="8"/>
  <c r="P699" i="8"/>
  <c r="R699" i="8"/>
  <c r="Q739" i="8"/>
  <c r="O739" i="8"/>
  <c r="P739" i="8"/>
  <c r="Q758" i="8"/>
  <c r="R758" i="8"/>
  <c r="Q787" i="8"/>
  <c r="O787" i="8"/>
  <c r="Q830" i="8"/>
  <c r="P830" i="8"/>
  <c r="Q867" i="8"/>
  <c r="O867" i="8"/>
  <c r="P867" i="8"/>
  <c r="Q899" i="8"/>
  <c r="R899" i="8"/>
  <c r="P899" i="8"/>
  <c r="Q931" i="8"/>
  <c r="R931" i="8"/>
  <c r="O931" i="8"/>
  <c r="Q955" i="8"/>
  <c r="R955" i="8"/>
  <c r="P955" i="8"/>
  <c r="O955" i="8"/>
  <c r="S987" i="8"/>
  <c r="R987" i="8"/>
  <c r="P989" i="8"/>
  <c r="Q989" i="8"/>
  <c r="O989" i="8"/>
  <c r="P997" i="8"/>
  <c r="R997" i="8"/>
  <c r="Q997" i="8"/>
  <c r="S5" i="8"/>
  <c r="S21" i="8"/>
  <c r="S45" i="8"/>
  <c r="S53" i="8"/>
  <c r="S61" i="8"/>
  <c r="S69" i="8"/>
  <c r="R105" i="8"/>
  <c r="P105" i="8"/>
  <c r="P139" i="8"/>
  <c r="R151" i="8"/>
  <c r="Q151" i="8"/>
  <c r="P152" i="8"/>
  <c r="Q152" i="8"/>
  <c r="R161" i="8"/>
  <c r="P161" i="8"/>
  <c r="P162" i="8"/>
  <c r="O162" i="8"/>
  <c r="R171" i="8"/>
  <c r="O171" i="8"/>
  <c r="P174" i="8"/>
  <c r="S174" i="8"/>
  <c r="R183" i="8"/>
  <c r="Q183" i="8"/>
  <c r="P184" i="8"/>
  <c r="Q184" i="8"/>
  <c r="R193" i="8"/>
  <c r="P193" i="8"/>
  <c r="P194" i="8"/>
  <c r="O194" i="8"/>
  <c r="Q213" i="8"/>
  <c r="P213" i="8"/>
  <c r="Q219" i="8"/>
  <c r="R219" i="8"/>
  <c r="Q245" i="8"/>
  <c r="P245" i="8"/>
  <c r="Q291" i="8"/>
  <c r="R291" i="8"/>
  <c r="Q323" i="8"/>
  <c r="O323" i="8"/>
  <c r="Q443" i="8"/>
  <c r="R443" i="8"/>
  <c r="Q483" i="8"/>
  <c r="P483" i="8"/>
  <c r="Q486" i="8"/>
  <c r="P486" i="8"/>
  <c r="Q546" i="8"/>
  <c r="P546" i="8"/>
  <c r="Q574" i="8"/>
  <c r="P574" i="8"/>
  <c r="Q598" i="8"/>
  <c r="P598" i="8"/>
  <c r="R598" i="8"/>
  <c r="Q643" i="8"/>
  <c r="R643" i="8"/>
  <c r="Q702" i="8"/>
  <c r="P702" i="8"/>
  <c r="P722" i="8"/>
  <c r="R722" i="8"/>
  <c r="P762" i="8"/>
  <c r="Q762" i="8"/>
  <c r="Q777" i="8"/>
  <c r="P777" i="8"/>
  <c r="Q827" i="8"/>
  <c r="O827" i="8"/>
  <c r="R827" i="8"/>
  <c r="P850" i="8"/>
  <c r="R850" i="8"/>
  <c r="Q878" i="8"/>
  <c r="P878" i="8"/>
  <c r="R890" i="8"/>
  <c r="P890" i="8"/>
  <c r="Q902" i="8"/>
  <c r="P902" i="8"/>
  <c r="R902" i="8"/>
  <c r="Q910" i="8"/>
  <c r="P910" i="8"/>
  <c r="P969" i="8"/>
  <c r="Q969" i="8"/>
  <c r="O969" i="8"/>
  <c r="S13" i="8"/>
  <c r="S29" i="8"/>
  <c r="S37" i="8"/>
  <c r="S77" i="8"/>
  <c r="S85" i="8"/>
  <c r="S93" i="8"/>
  <c r="R95" i="8"/>
  <c r="Q95" i="8"/>
  <c r="P96" i="8"/>
  <c r="Q96" i="8"/>
  <c r="P106" i="8"/>
  <c r="O106" i="8"/>
  <c r="R115" i="8"/>
  <c r="O115" i="8"/>
  <c r="P118" i="8"/>
  <c r="S118" i="8"/>
  <c r="O119" i="8"/>
  <c r="O120" i="8"/>
  <c r="R127" i="8"/>
  <c r="Q127" i="8"/>
  <c r="P128" i="8"/>
  <c r="Q128" i="8"/>
  <c r="O129" i="8"/>
  <c r="Q130" i="8"/>
  <c r="R137" i="8"/>
  <c r="P137" i="8"/>
  <c r="P138" i="8"/>
  <c r="O138" i="8"/>
  <c r="O142" i="8"/>
  <c r="R147" i="8"/>
  <c r="O147" i="8"/>
  <c r="P150" i="8"/>
  <c r="S150" i="8"/>
  <c r="O151" i="8"/>
  <c r="O152" i="8"/>
  <c r="R159" i="8"/>
  <c r="Q159" i="8"/>
  <c r="P160" i="8"/>
  <c r="Q160" i="8"/>
  <c r="O161" i="8"/>
  <c r="Q162" i="8"/>
  <c r="R169" i="8"/>
  <c r="P169" i="8"/>
  <c r="P170" i="8"/>
  <c r="O170" i="8"/>
  <c r="P171" i="8"/>
  <c r="O174" i="8"/>
  <c r="R179" i="8"/>
  <c r="O179" i="8"/>
  <c r="P182" i="8"/>
  <c r="S182" i="8"/>
  <c r="O183" i="8"/>
  <c r="O184" i="8"/>
  <c r="R191" i="8"/>
  <c r="Q191" i="8"/>
  <c r="P192" i="8"/>
  <c r="Q192" i="8"/>
  <c r="O193" i="8"/>
  <c r="Q194" i="8"/>
  <c r="P206" i="8"/>
  <c r="P210" i="8"/>
  <c r="O219" i="8"/>
  <c r="Q221" i="8"/>
  <c r="P221" i="8"/>
  <c r="Q227" i="8"/>
  <c r="R227" i="8"/>
  <c r="P238" i="8"/>
  <c r="P242" i="8"/>
  <c r="O251" i="8"/>
  <c r="Q253" i="8"/>
  <c r="P253" i="8"/>
  <c r="Q259" i="8"/>
  <c r="R259" i="8"/>
  <c r="Q274" i="8"/>
  <c r="Q282" i="8"/>
  <c r="O291" i="8"/>
  <c r="R295" i="8"/>
  <c r="Q299" i="8"/>
  <c r="O299" i="8"/>
  <c r="P305" i="8"/>
  <c r="P323" i="8"/>
  <c r="Q331" i="8"/>
  <c r="R331" i="8"/>
  <c r="R337" i="8"/>
  <c r="P354" i="8"/>
  <c r="P363" i="8"/>
  <c r="Q371" i="8"/>
  <c r="R371" i="8"/>
  <c r="P372" i="8"/>
  <c r="Q379" i="8"/>
  <c r="R379" i="8"/>
  <c r="Q386" i="8"/>
  <c r="O395" i="8"/>
  <c r="O397" i="8"/>
  <c r="Q403" i="8"/>
  <c r="O403" i="8"/>
  <c r="Q404" i="8"/>
  <c r="Q411" i="8"/>
  <c r="O411" i="8"/>
  <c r="P414" i="8"/>
  <c r="Q426" i="8"/>
  <c r="O435" i="8"/>
  <c r="O439" i="8"/>
  <c r="O443" i="8"/>
  <c r="R446" i="8"/>
  <c r="Q456" i="8"/>
  <c r="P458" i="8"/>
  <c r="P467" i="8"/>
  <c r="P474" i="8"/>
  <c r="S477" i="8"/>
  <c r="O479" i="8"/>
  <c r="O483" i="8"/>
  <c r="R486" i="8"/>
  <c r="Q491" i="8"/>
  <c r="O491" i="8"/>
  <c r="P509" i="8"/>
  <c r="Q515" i="8"/>
  <c r="R515" i="8"/>
  <c r="O515" i="8"/>
  <c r="P531" i="8"/>
  <c r="P533" i="8"/>
  <c r="Q542" i="8"/>
  <c r="P542" i="8"/>
  <c r="R546" i="8"/>
  <c r="Q550" i="8"/>
  <c r="P550" i="8"/>
  <c r="R574" i="8"/>
  <c r="Q579" i="8"/>
  <c r="P579" i="8"/>
  <c r="R579" i="8"/>
  <c r="R582" i="8"/>
  <c r="Q590" i="8"/>
  <c r="R590" i="8"/>
  <c r="P590" i="8"/>
  <c r="Q599" i="8"/>
  <c r="R599" i="8"/>
  <c r="R602" i="8"/>
  <c r="Q602" i="8"/>
  <c r="R607" i="8"/>
  <c r="Q611" i="8"/>
  <c r="P611" i="8"/>
  <c r="O611" i="8"/>
  <c r="P627" i="8"/>
  <c r="P633" i="8"/>
  <c r="Q638" i="8"/>
  <c r="P638" i="8"/>
  <c r="R638" i="8"/>
  <c r="Q641" i="8"/>
  <c r="P641" i="8"/>
  <c r="O643" i="8"/>
  <c r="Q647" i="8"/>
  <c r="O647" i="8"/>
  <c r="Q655" i="8"/>
  <c r="O655" i="8"/>
  <c r="R655" i="8"/>
  <c r="Q667" i="8"/>
  <c r="O667" i="8"/>
  <c r="O671" i="8"/>
  <c r="Q683" i="8"/>
  <c r="R683" i="8"/>
  <c r="Q695" i="8"/>
  <c r="O695" i="8"/>
  <c r="O699" i="8"/>
  <c r="R702" i="8"/>
  <c r="Q722" i="8"/>
  <c r="Q731" i="8"/>
  <c r="O731" i="8"/>
  <c r="R731" i="8"/>
  <c r="Q734" i="8"/>
  <c r="P734" i="8"/>
  <c r="R739" i="8"/>
  <c r="Q746" i="8"/>
  <c r="P750" i="8"/>
  <c r="P754" i="8"/>
  <c r="R754" i="8"/>
  <c r="P758" i="8"/>
  <c r="R762" i="8"/>
  <c r="P769" i="8"/>
  <c r="Q771" i="8"/>
  <c r="O771" i="8"/>
  <c r="P771" i="8"/>
  <c r="P787" i="8"/>
  <c r="Q790" i="8"/>
  <c r="R790" i="8"/>
  <c r="P794" i="8"/>
  <c r="Q794" i="8"/>
  <c r="Q809" i="8"/>
  <c r="P809" i="8"/>
  <c r="Q819" i="8"/>
  <c r="O819" i="8"/>
  <c r="P825" i="8"/>
  <c r="P827" i="8"/>
  <c r="R830" i="8"/>
  <c r="Q850" i="8"/>
  <c r="Q859" i="8"/>
  <c r="O859" i="8"/>
  <c r="R859" i="8"/>
  <c r="Q862" i="8"/>
  <c r="P862" i="8"/>
  <c r="R867" i="8"/>
  <c r="Q874" i="8"/>
  <c r="R878" i="8"/>
  <c r="Q881" i="8"/>
  <c r="P881" i="8"/>
  <c r="Q883" i="8"/>
  <c r="R883" i="8"/>
  <c r="O883" i="8"/>
  <c r="Q890" i="8"/>
  <c r="Q894" i="8"/>
  <c r="P894" i="8"/>
  <c r="R894" i="8"/>
  <c r="Q897" i="8"/>
  <c r="P897" i="8"/>
  <c r="O899" i="8"/>
  <c r="R906" i="8"/>
  <c r="Q906" i="8"/>
  <c r="R910" i="8"/>
  <c r="Q913" i="8"/>
  <c r="P913" i="8"/>
  <c r="Q915" i="8"/>
  <c r="R915" i="8"/>
  <c r="O915" i="8"/>
  <c r="P915" i="8"/>
  <c r="P931" i="8"/>
  <c r="Q947" i="8"/>
  <c r="R947" i="8"/>
  <c r="P947" i="8"/>
  <c r="O947" i="8"/>
  <c r="R969" i="8"/>
  <c r="P977" i="8"/>
  <c r="R977" i="8"/>
  <c r="Q977" i="8"/>
  <c r="O977" i="8"/>
  <c r="O987" i="8"/>
  <c r="R989" i="8"/>
  <c r="O997" i="8"/>
  <c r="R999" i="8"/>
  <c r="S999" i="8"/>
  <c r="O999" i="8"/>
  <c r="O4" i="8"/>
  <c r="V12" i="13" s="1"/>
  <c r="O5" i="8"/>
  <c r="S7" i="8"/>
  <c r="O12" i="8"/>
  <c r="O13" i="8"/>
  <c r="S15" i="8"/>
  <c r="O20" i="8"/>
  <c r="O21" i="8"/>
  <c r="S23" i="8"/>
  <c r="O28" i="8"/>
  <c r="O29" i="8"/>
  <c r="S31" i="8"/>
  <c r="O36" i="8"/>
  <c r="O37" i="8"/>
  <c r="S39" i="8"/>
  <c r="O44" i="8"/>
  <c r="O45" i="8"/>
  <c r="S47" i="8"/>
  <c r="O52" i="8"/>
  <c r="O53" i="8"/>
  <c r="S55" i="8"/>
  <c r="O60" i="8"/>
  <c r="O61" i="8"/>
  <c r="S63" i="8"/>
  <c r="O68" i="8"/>
  <c r="O69" i="8"/>
  <c r="S71" i="8"/>
  <c r="O76" i="8"/>
  <c r="O77" i="8"/>
  <c r="S79" i="8"/>
  <c r="O84" i="8"/>
  <c r="O85" i="8"/>
  <c r="S87" i="8"/>
  <c r="O92" i="8"/>
  <c r="O93" i="8"/>
  <c r="P94" i="8"/>
  <c r="S94" i="8"/>
  <c r="O95" i="8"/>
  <c r="O96" i="8"/>
  <c r="R103" i="8"/>
  <c r="Q103" i="8"/>
  <c r="P104" i="8"/>
  <c r="Q104" i="8"/>
  <c r="O105" i="8"/>
  <c r="Q106" i="8"/>
  <c r="R113" i="8"/>
  <c r="P113" i="8"/>
  <c r="P114" i="8"/>
  <c r="O114" i="8"/>
  <c r="P115" i="8"/>
  <c r="O118" i="8"/>
  <c r="P119" i="8"/>
  <c r="S120" i="8"/>
  <c r="R123" i="8"/>
  <c r="O123" i="8"/>
  <c r="P126" i="8"/>
  <c r="S126" i="8"/>
  <c r="O127" i="8"/>
  <c r="O128" i="8"/>
  <c r="Q129" i="8"/>
  <c r="S130" i="8"/>
  <c r="R135" i="8"/>
  <c r="Q135" i="8"/>
  <c r="P136" i="8"/>
  <c r="Q136" i="8"/>
  <c r="O137" i="8"/>
  <c r="Q138" i="8"/>
  <c r="Q139" i="8"/>
  <c r="Q142" i="8"/>
  <c r="R145" i="8"/>
  <c r="P145" i="8"/>
  <c r="P146" i="8"/>
  <c r="O146" i="8"/>
  <c r="P147" i="8"/>
  <c r="O150" i="8"/>
  <c r="P151" i="8"/>
  <c r="S152" i="8"/>
  <c r="R155" i="8"/>
  <c r="O155" i="8"/>
  <c r="P158" i="8"/>
  <c r="S158" i="8"/>
  <c r="O159" i="8"/>
  <c r="O160" i="8"/>
  <c r="Q161" i="8"/>
  <c r="S162" i="8"/>
  <c r="R167" i="8"/>
  <c r="Q167" i="8"/>
  <c r="P168" i="8"/>
  <c r="Q168" i="8"/>
  <c r="O169" i="8"/>
  <c r="Q170" i="8"/>
  <c r="Q171" i="8"/>
  <c r="Q174" i="8"/>
  <c r="R177" i="8"/>
  <c r="P177" i="8"/>
  <c r="P178" i="8"/>
  <c r="O178" i="8"/>
  <c r="P179" i="8"/>
  <c r="O182" i="8"/>
  <c r="P183" i="8"/>
  <c r="S184" i="8"/>
  <c r="R187" i="8"/>
  <c r="O187" i="8"/>
  <c r="P190" i="8"/>
  <c r="S190" i="8"/>
  <c r="O191" i="8"/>
  <c r="O192" i="8"/>
  <c r="Q193" i="8"/>
  <c r="S194" i="8"/>
  <c r="Q203" i="8"/>
  <c r="R203" i="8"/>
  <c r="Q210" i="8"/>
  <c r="P218" i="8"/>
  <c r="P219" i="8"/>
  <c r="O227" i="8"/>
  <c r="Q229" i="8"/>
  <c r="P229" i="8"/>
  <c r="Q235" i="8"/>
  <c r="R235" i="8"/>
  <c r="Q242" i="8"/>
  <c r="P250" i="8"/>
  <c r="P251" i="8"/>
  <c r="O259" i="8"/>
  <c r="Q261" i="8"/>
  <c r="P261" i="8"/>
  <c r="Q267" i="8"/>
  <c r="R267" i="8"/>
  <c r="R273" i="8"/>
  <c r="R274" i="8"/>
  <c r="R282" i="8"/>
  <c r="P290" i="8"/>
  <c r="P291" i="8"/>
  <c r="S295" i="8"/>
  <c r="P299" i="8"/>
  <c r="R305" i="8"/>
  <c r="Q307" i="8"/>
  <c r="R307" i="8"/>
  <c r="Q315" i="8"/>
  <c r="R315" i="8"/>
  <c r="Q322" i="8"/>
  <c r="R323" i="8"/>
  <c r="O331" i="8"/>
  <c r="O333" i="8"/>
  <c r="S337" i="8"/>
  <c r="Q339" i="8"/>
  <c r="O339" i="8"/>
  <c r="Q340" i="8"/>
  <c r="Q347" i="8"/>
  <c r="O347" i="8"/>
  <c r="Q354" i="8"/>
  <c r="Q362" i="8"/>
  <c r="R363" i="8"/>
  <c r="O371" i="8"/>
  <c r="O375" i="8"/>
  <c r="O379" i="8"/>
  <c r="R382" i="8"/>
  <c r="R386" i="8"/>
  <c r="P394" i="8"/>
  <c r="P395" i="8"/>
  <c r="P403" i="8"/>
  <c r="P411" i="8"/>
  <c r="O413" i="8"/>
  <c r="P417" i="8"/>
  <c r="Q419" i="8"/>
  <c r="R419" i="8"/>
  <c r="R424" i="8"/>
  <c r="R426" i="8"/>
  <c r="P434" i="8"/>
  <c r="P435" i="8"/>
  <c r="P442" i="8"/>
  <c r="P443" i="8"/>
  <c r="P445" i="8"/>
  <c r="Q451" i="8"/>
  <c r="O451" i="8"/>
  <c r="O455" i="8"/>
  <c r="Q458" i="8"/>
  <c r="Q466" i="8"/>
  <c r="R467" i="8"/>
  <c r="Q474" i="8"/>
  <c r="Q478" i="8"/>
  <c r="R478" i="8"/>
  <c r="R479" i="8"/>
  <c r="P482" i="8"/>
  <c r="R483" i="8"/>
  <c r="Q487" i="8"/>
  <c r="R487" i="8"/>
  <c r="P491" i="8"/>
  <c r="P501" i="8"/>
  <c r="P515" i="8"/>
  <c r="Q527" i="8"/>
  <c r="R527" i="8"/>
  <c r="P530" i="8"/>
  <c r="R530" i="8"/>
  <c r="R531" i="8"/>
  <c r="Q535" i="8"/>
  <c r="O535" i="8"/>
  <c r="R535" i="8"/>
  <c r="R542" i="8"/>
  <c r="Q547" i="8"/>
  <c r="P547" i="8"/>
  <c r="R547" i="8"/>
  <c r="R550" i="8"/>
  <c r="S557" i="8"/>
  <c r="P557" i="8"/>
  <c r="O579" i="8"/>
  <c r="O599" i="8"/>
  <c r="P602" i="8"/>
  <c r="R611" i="8"/>
  <c r="Q618" i="8"/>
  <c r="P622" i="8"/>
  <c r="P626" i="8"/>
  <c r="R626" i="8"/>
  <c r="R627" i="8"/>
  <c r="Q630" i="8"/>
  <c r="R630" i="8"/>
  <c r="P630" i="8"/>
  <c r="Q639" i="8"/>
  <c r="R639" i="8"/>
  <c r="R642" i="8"/>
  <c r="Q642" i="8"/>
  <c r="P643" i="8"/>
  <c r="R647" i="8"/>
  <c r="Q651" i="8"/>
  <c r="P651" i="8"/>
  <c r="O651" i="8"/>
  <c r="P667" i="8"/>
  <c r="R671" i="8"/>
  <c r="P673" i="8"/>
  <c r="Q678" i="8"/>
  <c r="P678" i="8"/>
  <c r="R678" i="8"/>
  <c r="Q681" i="8"/>
  <c r="P681" i="8"/>
  <c r="O683" i="8"/>
  <c r="Q686" i="8"/>
  <c r="P686" i="8"/>
  <c r="P690" i="8"/>
  <c r="R695" i="8"/>
  <c r="Q698" i="8"/>
  <c r="P698" i="8"/>
  <c r="Q713" i="8"/>
  <c r="P713" i="8"/>
  <c r="Q723" i="8"/>
  <c r="O723" i="8"/>
  <c r="P729" i="8"/>
  <c r="P731" i="8"/>
  <c r="R734" i="8"/>
  <c r="R746" i="8"/>
  <c r="R750" i="8"/>
  <c r="Q754" i="8"/>
  <c r="Q763" i="8"/>
  <c r="O763" i="8"/>
  <c r="R763" i="8"/>
  <c r="Q766" i="8"/>
  <c r="P766" i="8"/>
  <c r="R771" i="8"/>
  <c r="Q778" i="8"/>
  <c r="P782" i="8"/>
  <c r="P786" i="8"/>
  <c r="R786" i="8"/>
  <c r="R787" i="8"/>
  <c r="P790" i="8"/>
  <c r="R794" i="8"/>
  <c r="P801" i="8"/>
  <c r="Q803" i="8"/>
  <c r="O803" i="8"/>
  <c r="P803" i="8"/>
  <c r="P819" i="8"/>
  <c r="Q822" i="8"/>
  <c r="R822" i="8"/>
  <c r="P826" i="8"/>
  <c r="Q826" i="8"/>
  <c r="Q841" i="8"/>
  <c r="P841" i="8"/>
  <c r="Q851" i="8"/>
  <c r="O851" i="8"/>
  <c r="P857" i="8"/>
  <c r="P859" i="8"/>
  <c r="R862" i="8"/>
  <c r="R874" i="8"/>
  <c r="Q879" i="8"/>
  <c r="R879" i="8"/>
  <c r="O879" i="8"/>
  <c r="P883" i="8"/>
  <c r="Q891" i="8"/>
  <c r="R891" i="8"/>
  <c r="P891" i="8"/>
  <c r="O891" i="8"/>
  <c r="P906" i="8"/>
  <c r="Q919" i="8"/>
  <c r="R919" i="8"/>
  <c r="Q921" i="8"/>
  <c r="P921" i="8"/>
  <c r="Q927" i="8"/>
  <c r="R927" i="8"/>
  <c r="R930" i="8"/>
  <c r="Q930" i="8"/>
  <c r="Q942" i="8"/>
  <c r="P942" i="8"/>
  <c r="R942" i="8"/>
  <c r="P965" i="8"/>
  <c r="R965" i="8"/>
  <c r="Q965" i="8"/>
  <c r="R967" i="8"/>
  <c r="S967" i="8"/>
  <c r="O967" i="8"/>
  <c r="R978" i="8"/>
  <c r="Q978" i="8"/>
  <c r="P978" i="8"/>
  <c r="O978" i="8"/>
  <c r="S101" i="8"/>
  <c r="S109" i="8"/>
  <c r="S117" i="8"/>
  <c r="S125" i="8"/>
  <c r="S133" i="8"/>
  <c r="S141" i="8"/>
  <c r="S149" i="8"/>
  <c r="S157" i="8"/>
  <c r="S165" i="8"/>
  <c r="S173" i="8"/>
  <c r="S181" i="8"/>
  <c r="S189" i="8"/>
  <c r="S197" i="8"/>
  <c r="Q503" i="8"/>
  <c r="O503" i="8"/>
  <c r="Q523" i="8"/>
  <c r="P523" i="8"/>
  <c r="Q526" i="8"/>
  <c r="P526" i="8"/>
  <c r="Q551" i="8"/>
  <c r="R551" i="8"/>
  <c r="Q563" i="8"/>
  <c r="P563" i="8"/>
  <c r="Q566" i="8"/>
  <c r="P566" i="8"/>
  <c r="Q583" i="8"/>
  <c r="R583" i="8"/>
  <c r="Q619" i="8"/>
  <c r="O619" i="8"/>
  <c r="Q659" i="8"/>
  <c r="P659" i="8"/>
  <c r="Q687" i="8"/>
  <c r="R687" i="8"/>
  <c r="Q689" i="8"/>
  <c r="P689" i="8"/>
  <c r="Q691" i="8"/>
  <c r="R691" i="8"/>
  <c r="Q715" i="8"/>
  <c r="O715" i="8"/>
  <c r="Q747" i="8"/>
  <c r="O747" i="8"/>
  <c r="Q779" i="8"/>
  <c r="O779" i="8"/>
  <c r="Q811" i="8"/>
  <c r="O811" i="8"/>
  <c r="Q843" i="8"/>
  <c r="O843" i="8"/>
  <c r="Q875" i="8"/>
  <c r="O875" i="8"/>
  <c r="Q887" i="8"/>
  <c r="R887" i="8"/>
  <c r="Q889" i="8"/>
  <c r="P889" i="8"/>
  <c r="Q895" i="8"/>
  <c r="R895" i="8"/>
  <c r="R898" i="8"/>
  <c r="Q898" i="8"/>
  <c r="Q911" i="8"/>
  <c r="R911" i="8"/>
  <c r="O911" i="8"/>
  <c r="Q923" i="8"/>
  <c r="R923" i="8"/>
  <c r="P923" i="8"/>
  <c r="Q926" i="8"/>
  <c r="P926" i="8"/>
  <c r="R926" i="8"/>
  <c r="Q929" i="8"/>
  <c r="P929" i="8"/>
  <c r="Q934" i="8"/>
  <c r="P934" i="8"/>
  <c r="R966" i="8"/>
  <c r="Q966" i="8"/>
  <c r="P966" i="8"/>
  <c r="O966" i="8"/>
  <c r="R975" i="8"/>
  <c r="S975" i="8"/>
  <c r="R980" i="8"/>
  <c r="P980" i="8"/>
  <c r="O980" i="8"/>
  <c r="S980" i="8"/>
  <c r="R988" i="8"/>
  <c r="Q988" i="8"/>
  <c r="P988" i="8"/>
  <c r="O988" i="8"/>
  <c r="Q886" i="8"/>
  <c r="P886" i="8"/>
  <c r="Q903" i="8"/>
  <c r="R903" i="8"/>
  <c r="Q905" i="8"/>
  <c r="P905" i="8"/>
  <c r="Q907" i="8"/>
  <c r="R907" i="8"/>
  <c r="Q918" i="8"/>
  <c r="P918" i="8"/>
  <c r="Q935" i="8"/>
  <c r="R935" i="8"/>
  <c r="Q937" i="8"/>
  <c r="P937" i="8"/>
  <c r="Q939" i="8"/>
  <c r="R939" i="8"/>
  <c r="R946" i="8"/>
  <c r="Q946" i="8"/>
  <c r="Q951" i="8"/>
  <c r="R951" i="8"/>
  <c r="O951" i="8"/>
  <c r="R954" i="8"/>
  <c r="Q954" i="8"/>
  <c r="Q959" i="8"/>
  <c r="R959" i="8"/>
  <c r="O959" i="8"/>
  <c r="R970" i="8"/>
  <c r="P970" i="8"/>
  <c r="O970" i="8"/>
  <c r="R979" i="8"/>
  <c r="O979" i="8"/>
  <c r="R990" i="8"/>
  <c r="P990" i="8"/>
  <c r="O990" i="8"/>
  <c r="R998" i="8"/>
  <c r="Q998" i="8"/>
  <c r="P998" i="8"/>
  <c r="R1000" i="8"/>
  <c r="Q1000" i="8"/>
  <c r="P1000" i="8"/>
  <c r="S962" i="8"/>
  <c r="S972" i="8"/>
  <c r="S982" i="8"/>
  <c r="S984" i="8"/>
  <c r="S994" i="8"/>
  <c r="Q996" i="8"/>
  <c r="P945" i="8"/>
  <c r="P950" i="8"/>
  <c r="P953" i="8"/>
  <c r="P958" i="8"/>
  <c r="O961" i="8"/>
  <c r="O962" i="8"/>
  <c r="S964" i="8"/>
  <c r="O972" i="8"/>
  <c r="S974" i="8"/>
  <c r="S976" i="8"/>
  <c r="O981" i="8"/>
  <c r="O982" i="8"/>
  <c r="O984" i="8"/>
  <c r="S986" i="8"/>
  <c r="O991" i="8"/>
  <c r="S996" i="8"/>
  <c r="AG15" i="9"/>
  <c r="AG11" i="9"/>
  <c r="AG7" i="9"/>
  <c r="AG14" i="9"/>
  <c r="AG10" i="9"/>
  <c r="BU49" i="12"/>
  <c r="BX49" i="12" s="1" a="1"/>
  <c r="BX49" i="12" s="1"/>
  <c r="BX9" i="12" a="1"/>
  <c r="BX9" i="12" s="1"/>
  <c r="H60" i="14" s="1"/>
  <c r="J60" i="13"/>
  <c r="BX8" i="12" a="1"/>
  <c r="BX8" i="12" s="1"/>
  <c r="G60" i="14" s="1"/>
  <c r="BX12" i="12" a="1"/>
  <c r="BX12" i="12" s="1"/>
  <c r="K60" i="14" s="1"/>
  <c r="BX5" i="12" a="1"/>
  <c r="BX5" i="12" s="1"/>
  <c r="BX18" i="12" a="1"/>
  <c r="BX18" i="12" s="1"/>
  <c r="BX20" i="12" a="1"/>
  <c r="BX20" i="12" s="1"/>
  <c r="BX4" i="12" a="1"/>
  <c r="BX4" i="12" s="1"/>
  <c r="BX17" i="12" a="1"/>
  <c r="BX17" i="12" s="1"/>
  <c r="BX19" i="12" a="1"/>
  <c r="BX19" i="12" s="1"/>
  <c r="BX21" i="12" a="1"/>
  <c r="BX21" i="12" s="1"/>
  <c r="BX11" i="12" a="1"/>
  <c r="BX11" i="12" s="1"/>
  <c r="J60" i="14" s="1"/>
  <c r="BX7" i="12" a="1"/>
  <c r="BX7" i="12" s="1"/>
  <c r="F60" i="14" s="1"/>
  <c r="BX10" i="12" a="1"/>
  <c r="BX10" i="12" s="1"/>
  <c r="BX6" i="12" a="1"/>
  <c r="BX6" i="12" s="1"/>
  <c r="E60" i="14" s="1"/>
  <c r="BX3" i="12" a="1"/>
  <c r="BX3" i="12" s="1"/>
  <c r="V22" i="12"/>
  <c r="L46" i="12"/>
  <c r="Q46" i="12"/>
  <c r="U46" i="12"/>
  <c r="D13" i="12"/>
  <c r="AD14" i="12"/>
  <c r="E29" i="12"/>
  <c r="V29" i="12"/>
  <c r="E38" i="12"/>
  <c r="V38" i="12"/>
  <c r="W46" i="12"/>
  <c r="V41" i="12"/>
  <c r="E42" i="12"/>
  <c r="AD42" i="12"/>
  <c r="V43" i="12"/>
  <c r="E44" i="12"/>
  <c r="AD44" i="12"/>
  <c r="AD45" i="12"/>
  <c r="K49" i="12"/>
  <c r="D14" i="12"/>
  <c r="K29" i="12"/>
  <c r="AD29" i="12"/>
  <c r="AA34" i="12"/>
  <c r="K38" i="12"/>
  <c r="AD38" i="12"/>
  <c r="C46" i="12"/>
  <c r="J46" i="12"/>
  <c r="P46" i="12"/>
  <c r="AE41" i="12"/>
  <c r="Z46" i="12"/>
  <c r="V42" i="12"/>
  <c r="K43" i="12"/>
  <c r="AE43" i="12"/>
  <c r="V44" i="12"/>
  <c r="K45" i="12"/>
  <c r="AE45" i="12"/>
  <c r="AA45" i="12"/>
  <c r="M49" i="12"/>
  <c r="O12" i="13"/>
  <c r="O6" i="13"/>
  <c r="O4" i="13"/>
  <c r="B33" i="14"/>
  <c r="F37" i="14"/>
  <c r="J56" i="14"/>
  <c r="B57" i="14"/>
  <c r="C32" i="14"/>
  <c r="G36" i="14"/>
  <c r="K55" i="14"/>
  <c r="E53" i="14"/>
  <c r="I34" i="14"/>
  <c r="E58" i="14"/>
  <c r="I57" i="14"/>
  <c r="G56" i="14"/>
  <c r="G55" i="14"/>
  <c r="J53" i="14"/>
  <c r="J45" i="14"/>
  <c r="I42" i="14"/>
  <c r="C40" i="14"/>
  <c r="E37" i="14"/>
  <c r="J33" i="14"/>
  <c r="E30" i="14"/>
  <c r="F57" i="14"/>
  <c r="F56" i="14"/>
  <c r="C55" i="14"/>
  <c r="I53" i="14"/>
  <c r="F45" i="14"/>
  <c r="E42" i="14"/>
  <c r="B40" i="14"/>
  <c r="F29" i="14"/>
  <c r="B29" i="14"/>
  <c r="E57" i="14"/>
  <c r="B56" i="14"/>
  <c r="I54" i="14"/>
  <c r="F53" i="14"/>
  <c r="E45" i="14"/>
  <c r="J41" i="14"/>
  <c r="E38" i="14"/>
  <c r="F36" i="14"/>
  <c r="E29" i="14"/>
  <c r="V11" i="14"/>
  <c r="E54" i="14"/>
  <c r="B45" i="14"/>
  <c r="B41" i="14"/>
  <c r="B32" i="14"/>
  <c r="B53" i="14"/>
  <c r="H32" i="14"/>
  <c r="H36" i="14"/>
  <c r="H40" i="14"/>
  <c r="H29" i="14"/>
  <c r="H33" i="14"/>
  <c r="H37" i="14"/>
  <c r="H41" i="14"/>
  <c r="H30" i="14"/>
  <c r="H38" i="14"/>
  <c r="H56" i="14"/>
  <c r="H31" i="14"/>
  <c r="H39" i="14"/>
  <c r="H45" i="14"/>
  <c r="H53" i="14"/>
  <c r="H57" i="14"/>
  <c r="H34" i="14"/>
  <c r="H42" i="14"/>
  <c r="S63" i="14"/>
  <c r="T62" i="14"/>
  <c r="L62" i="14"/>
  <c r="U61" i="14"/>
  <c r="M61" i="14"/>
  <c r="V60" i="14"/>
  <c r="N60" i="14"/>
  <c r="W59" i="14"/>
  <c r="O59" i="14"/>
  <c r="S55" i="14"/>
  <c r="L54" i="14"/>
  <c r="D54" i="14"/>
  <c r="U53" i="14"/>
  <c r="M53" i="14"/>
  <c r="V52" i="14"/>
  <c r="N52" i="14"/>
  <c r="W51" i="14"/>
  <c r="O51" i="14"/>
  <c r="X50" i="14"/>
  <c r="P50" i="14"/>
  <c r="Y49" i="14"/>
  <c r="Q49" i="14"/>
  <c r="Z48" i="14"/>
  <c r="R48" i="14"/>
  <c r="X47" i="14"/>
  <c r="Q46" i="14"/>
  <c r="Z45" i="14"/>
  <c r="W44" i="14"/>
  <c r="P43" i="14"/>
  <c r="Y42" i="14"/>
  <c r="D39" i="14"/>
  <c r="W36" i="14"/>
  <c r="T23" i="14"/>
  <c r="L59" i="14"/>
  <c r="U58" i="14"/>
  <c r="M58" i="14"/>
  <c r="V57" i="14"/>
  <c r="N57" i="14"/>
  <c r="W56" i="14"/>
  <c r="O56" i="14"/>
  <c r="X55" i="14"/>
  <c r="T51" i="14"/>
  <c r="U50" i="14"/>
  <c r="M50" i="14"/>
  <c r="V49" i="14"/>
  <c r="N49" i="14"/>
  <c r="W48" i="14"/>
  <c r="O48" i="14"/>
  <c r="T47" i="14"/>
  <c r="V45" i="14"/>
  <c r="U38" i="14"/>
  <c r="O36" i="14"/>
  <c r="N29" i="14"/>
  <c r="M12" i="14"/>
  <c r="O63" i="14"/>
  <c r="X62" i="14"/>
  <c r="P62" i="14"/>
  <c r="Y61" i="14"/>
  <c r="Q61" i="14"/>
  <c r="Z60" i="14"/>
  <c r="R60" i="14"/>
  <c r="S59" i="14"/>
  <c r="T58" i="14"/>
  <c r="L58" i="14"/>
  <c r="D58" i="14"/>
  <c r="U57" i="14"/>
  <c r="M57" i="14"/>
  <c r="V56" i="14"/>
  <c r="N56" i="14"/>
  <c r="W55" i="14"/>
  <c r="O55" i="14"/>
  <c r="X54" i="14"/>
  <c r="P54" i="14"/>
  <c r="H54" i="14"/>
  <c r="Y53" i="14"/>
  <c r="Q53" i="14"/>
  <c r="Z52" i="14"/>
  <c r="R52" i="14"/>
  <c r="S51" i="14"/>
  <c r="T50" i="14"/>
  <c r="L50" i="14"/>
  <c r="U49" i="14"/>
  <c r="M49" i="14"/>
  <c r="V48" i="14"/>
  <c r="N48" i="14"/>
  <c r="P47" i="14"/>
  <c r="Y46" i="14"/>
  <c r="R45" i="14"/>
  <c r="O44" i="14"/>
  <c r="X43" i="14"/>
  <c r="Q42" i="14"/>
  <c r="Z41" i="14"/>
  <c r="S40" i="14"/>
  <c r="T39" i="14"/>
  <c r="M38" i="14"/>
  <c r="H35" i="14"/>
  <c r="Z33" i="14"/>
  <c r="S32" i="14"/>
  <c r="T31" i="14"/>
  <c r="M30" i="14"/>
  <c r="Y26" i="14"/>
  <c r="R25" i="14"/>
  <c r="V21" i="14"/>
  <c r="N19" i="14"/>
  <c r="Y16" i="14"/>
  <c r="D32" i="14"/>
  <c r="D36" i="14"/>
  <c r="D40" i="14"/>
  <c r="D29" i="14"/>
  <c r="D33" i="14"/>
  <c r="D37" i="14"/>
  <c r="D41" i="14"/>
  <c r="D34" i="14"/>
  <c r="D56" i="14"/>
  <c r="D35" i="14"/>
  <c r="D45" i="14"/>
  <c r="D53" i="14"/>
  <c r="D57" i="14"/>
  <c r="D30" i="14"/>
  <c r="D38" i="14"/>
  <c r="D42" i="14"/>
  <c r="X58" i="14"/>
  <c r="P58" i="14"/>
  <c r="H58" i="14"/>
  <c r="Y57" i="14"/>
  <c r="Q57" i="14"/>
  <c r="Z56" i="14"/>
  <c r="R56" i="14"/>
  <c r="T54" i="14"/>
  <c r="V37" i="14"/>
  <c r="X35" i="14"/>
  <c r="Q34" i="14"/>
  <c r="D31" i="14"/>
  <c r="V29" i="14"/>
  <c r="W28" i="14"/>
  <c r="P27" i="14"/>
  <c r="M22" i="14"/>
  <c r="U20" i="14"/>
  <c r="R15" i="14"/>
  <c r="O10" i="14"/>
  <c r="X63" i="14"/>
  <c r="P63" i="14"/>
  <c r="Y62" i="14"/>
  <c r="Q62" i="14"/>
  <c r="Z61" i="14"/>
  <c r="R61" i="14"/>
  <c r="S60" i="14"/>
  <c r="T59" i="14"/>
  <c r="P55" i="14"/>
  <c r="H55" i="14"/>
  <c r="Y54" i="14"/>
  <c r="Q54" i="14"/>
  <c r="Z53" i="14"/>
  <c r="R53" i="14"/>
  <c r="S52" i="14"/>
  <c r="L51" i="14"/>
  <c r="M46" i="14"/>
  <c r="S44" i="14"/>
  <c r="L43" i="14"/>
  <c r="U42" i="14"/>
  <c r="N37" i="14"/>
  <c r="P35" i="14"/>
  <c r="U30" i="14"/>
  <c r="O28" i="14"/>
  <c r="Z25" i="14"/>
  <c r="S24" i="14"/>
  <c r="L23" i="14"/>
  <c r="P17" i="14"/>
  <c r="X9" i="14"/>
  <c r="W63" i="14"/>
  <c r="AB9" i="12"/>
  <c r="H24" i="14" s="1"/>
  <c r="P8" i="14"/>
  <c r="W9" i="14"/>
  <c r="N10" i="14"/>
  <c r="U11" i="14"/>
  <c r="L12" i="14"/>
  <c r="S13" i="14"/>
  <c r="Z14" i="14"/>
  <c r="Q15" i="14"/>
  <c r="X16" i="14"/>
  <c r="O17" i="14"/>
  <c r="V18" i="14"/>
  <c r="M19" i="14"/>
  <c r="T20" i="14"/>
  <c r="U21" i="14"/>
  <c r="L22" i="14"/>
  <c r="T22" i="14"/>
  <c r="S23" i="14"/>
  <c r="R24" i="14"/>
  <c r="Z24" i="14"/>
  <c r="Q25" i="14"/>
  <c r="Y25" i="14"/>
  <c r="P26" i="14"/>
  <c r="X26" i="14"/>
  <c r="O27" i="14"/>
  <c r="W27" i="14"/>
  <c r="N28" i="14"/>
  <c r="V28" i="14"/>
  <c r="M29" i="14"/>
  <c r="U29" i="14"/>
  <c r="L30" i="14"/>
  <c r="T30" i="14"/>
  <c r="S31" i="14"/>
  <c r="J32" i="14"/>
  <c r="R32" i="14"/>
  <c r="Z32" i="14"/>
  <c r="I33" i="14"/>
  <c r="Q33" i="14"/>
  <c r="Y33" i="14"/>
  <c r="P34" i="14"/>
  <c r="X34" i="14"/>
  <c r="O35" i="14"/>
  <c r="W35" i="14"/>
  <c r="N36" i="14"/>
  <c r="V36" i="14"/>
  <c r="M37" i="14"/>
  <c r="U37" i="14"/>
  <c r="L38" i="14"/>
  <c r="T38" i="14"/>
  <c r="S39" i="14"/>
  <c r="J40" i="14"/>
  <c r="R40" i="14"/>
  <c r="Z40" i="14"/>
  <c r="I41" i="14"/>
  <c r="Q41" i="14"/>
  <c r="Y41" i="14"/>
  <c r="L42" i="14"/>
  <c r="P42" i="14"/>
  <c r="T42" i="14"/>
  <c r="X42" i="14"/>
  <c r="O43" i="14"/>
  <c r="S43" i="14"/>
  <c r="W43" i="14"/>
  <c r="N44" i="14"/>
  <c r="R44" i="14"/>
  <c r="V44" i="14"/>
  <c r="Z44" i="14"/>
  <c r="I45" i="14"/>
  <c r="M45" i="14"/>
  <c r="Q45" i="14"/>
  <c r="U45" i="14"/>
  <c r="Y45" i="14"/>
  <c r="L46" i="14"/>
  <c r="P46" i="14"/>
  <c r="T46" i="14"/>
  <c r="X46" i="14"/>
  <c r="O47" i="14"/>
  <c r="S47" i="14"/>
  <c r="W47" i="14"/>
  <c r="C29" i="14"/>
  <c r="C33" i="14"/>
  <c r="C37" i="14"/>
  <c r="C41" i="14"/>
  <c r="C30" i="14"/>
  <c r="C34" i="14"/>
  <c r="C38" i="14"/>
  <c r="C35" i="14"/>
  <c r="C45" i="14"/>
  <c r="C53" i="14"/>
  <c r="C57" i="14"/>
  <c r="C36" i="14"/>
  <c r="C42" i="14"/>
  <c r="C54" i="14"/>
  <c r="C58" i="14"/>
  <c r="C31" i="14"/>
  <c r="C39" i="14"/>
  <c r="G29" i="14"/>
  <c r="G33" i="14"/>
  <c r="G37" i="14"/>
  <c r="G41" i="14"/>
  <c r="G30" i="14"/>
  <c r="G34" i="14"/>
  <c r="G38" i="14"/>
  <c r="G31" i="14"/>
  <c r="G39" i="14"/>
  <c r="G45" i="14"/>
  <c r="G53" i="14"/>
  <c r="G57" i="14"/>
  <c r="G32" i="14"/>
  <c r="G40" i="14"/>
  <c r="G42" i="14"/>
  <c r="G54" i="14"/>
  <c r="G58" i="14"/>
  <c r="G35" i="14"/>
  <c r="K29" i="14"/>
  <c r="K33" i="14"/>
  <c r="K37" i="14"/>
  <c r="K41" i="14"/>
  <c r="K30" i="14"/>
  <c r="K34" i="14"/>
  <c r="K38" i="14"/>
  <c r="K35" i="14"/>
  <c r="K45" i="14"/>
  <c r="K53" i="14"/>
  <c r="K57" i="14"/>
  <c r="K36" i="14"/>
  <c r="K42" i="14"/>
  <c r="K54" i="14"/>
  <c r="K58" i="14"/>
  <c r="K31" i="14"/>
  <c r="K39" i="14"/>
  <c r="T63" i="14"/>
  <c r="L63" i="14"/>
  <c r="U62" i="14"/>
  <c r="M62" i="14"/>
  <c r="V61" i="14"/>
  <c r="N61" i="14"/>
  <c r="W60" i="14"/>
  <c r="O60" i="14"/>
  <c r="X59" i="14"/>
  <c r="P59" i="14"/>
  <c r="Y58" i="14"/>
  <c r="Q58" i="14"/>
  <c r="I58" i="14"/>
  <c r="Z57" i="14"/>
  <c r="R57" i="14"/>
  <c r="J57" i="14"/>
  <c r="S56" i="14"/>
  <c r="K56" i="14"/>
  <c r="C56" i="14"/>
  <c r="T55" i="14"/>
  <c r="L55" i="14"/>
  <c r="D55" i="14"/>
  <c r="U54" i="14"/>
  <c r="M54" i="14"/>
  <c r="V53" i="14"/>
  <c r="N53" i="14"/>
  <c r="W52" i="14"/>
  <c r="O52" i="14"/>
  <c r="X51" i="14"/>
  <c r="P51" i="14"/>
  <c r="Y50" i="14"/>
  <c r="Q50" i="14"/>
  <c r="Z49" i="14"/>
  <c r="R49" i="14"/>
  <c r="S48" i="14"/>
  <c r="L47" i="14"/>
  <c r="U46" i="14"/>
  <c r="N45" i="14"/>
  <c r="T43" i="14"/>
  <c r="M42" i="14"/>
  <c r="R41" i="14"/>
  <c r="K40" i="14"/>
  <c r="L39" i="14"/>
  <c r="Y34" i="14"/>
  <c r="R33" i="14"/>
  <c r="K32" i="14"/>
  <c r="L31" i="14"/>
  <c r="X27" i="14"/>
  <c r="Q26" i="14"/>
  <c r="U22" i="14"/>
  <c r="L21" i="14"/>
  <c r="W18" i="14"/>
  <c r="T13" i="14"/>
  <c r="Q8" i="14"/>
  <c r="Z7" i="14"/>
  <c r="N8" i="14"/>
  <c r="R8" i="14"/>
  <c r="V8" i="14"/>
  <c r="Z8" i="14"/>
  <c r="M9" i="14"/>
  <c r="Q9" i="14"/>
  <c r="U9" i="14"/>
  <c r="Y9" i="14"/>
  <c r="L10" i="14"/>
  <c r="P10" i="14"/>
  <c r="T10" i="14"/>
  <c r="X10" i="14"/>
  <c r="O11" i="14"/>
  <c r="S11" i="14"/>
  <c r="W11" i="14"/>
  <c r="N12" i="14"/>
  <c r="R12" i="14"/>
  <c r="V12" i="14"/>
  <c r="Z12" i="14"/>
  <c r="M13" i="14"/>
  <c r="Q13" i="14"/>
  <c r="U13" i="14"/>
  <c r="Y13" i="14"/>
  <c r="L14" i="14"/>
  <c r="P14" i="14"/>
  <c r="T14" i="14"/>
  <c r="X14" i="14"/>
  <c r="O15" i="14"/>
  <c r="S15" i="14"/>
  <c r="W15" i="14"/>
  <c r="N16" i="14"/>
  <c r="R16" i="14"/>
  <c r="V16" i="14"/>
  <c r="Z16" i="14"/>
  <c r="M17" i="14"/>
  <c r="Q17" i="14"/>
  <c r="U17" i="14"/>
  <c r="Y17" i="14"/>
  <c r="L18" i="14"/>
  <c r="P18" i="14"/>
  <c r="T18" i="14"/>
  <c r="X18" i="14"/>
  <c r="O19" i="14"/>
  <c r="S19" i="14"/>
  <c r="W19" i="14"/>
  <c r="N20" i="14"/>
  <c r="R20" i="14"/>
  <c r="V20" i="14"/>
  <c r="Z20" i="14"/>
  <c r="M21" i="14"/>
  <c r="O8" i="14"/>
  <c r="S8" i="14"/>
  <c r="W8" i="14"/>
  <c r="N9" i="14"/>
  <c r="R9" i="14"/>
  <c r="V9" i="14"/>
  <c r="Z9" i="14"/>
  <c r="M10" i="14"/>
  <c r="Q10" i="14"/>
  <c r="U10" i="14"/>
  <c r="Y10" i="14"/>
  <c r="L11" i="14"/>
  <c r="P11" i="14"/>
  <c r="T11" i="14"/>
  <c r="X11" i="14"/>
  <c r="O12" i="14"/>
  <c r="S12" i="14"/>
  <c r="W12" i="14"/>
  <c r="N13" i="14"/>
  <c r="R13" i="14"/>
  <c r="V13" i="14"/>
  <c r="Z13" i="14"/>
  <c r="M14" i="14"/>
  <c r="Q14" i="14"/>
  <c r="U14" i="14"/>
  <c r="Y14" i="14"/>
  <c r="L15" i="14"/>
  <c r="P15" i="14"/>
  <c r="T15" i="14"/>
  <c r="X15" i="14"/>
  <c r="O16" i="14"/>
  <c r="S16" i="14"/>
  <c r="W16" i="14"/>
  <c r="N17" i="14"/>
  <c r="R17" i="14"/>
  <c r="V17" i="14"/>
  <c r="Z17" i="14"/>
  <c r="M18" i="14"/>
  <c r="Q18" i="14"/>
  <c r="U18" i="14"/>
  <c r="Y18" i="14"/>
  <c r="L19" i="14"/>
  <c r="P19" i="14"/>
  <c r="T19" i="14"/>
  <c r="X19" i="14"/>
  <c r="O20" i="14"/>
  <c r="S20" i="14"/>
  <c r="W20" i="14"/>
  <c r="N21" i="14"/>
  <c r="L8" i="14"/>
  <c r="T8" i="14"/>
  <c r="S9" i="14"/>
  <c r="R10" i="14"/>
  <c r="Z10" i="14"/>
  <c r="Q11" i="14"/>
  <c r="Y11" i="14"/>
  <c r="P12" i="14"/>
  <c r="X12" i="14"/>
  <c r="O13" i="14"/>
  <c r="W13" i="14"/>
  <c r="N14" i="14"/>
  <c r="V14" i="14"/>
  <c r="M15" i="14"/>
  <c r="U15" i="14"/>
  <c r="L16" i="14"/>
  <c r="T16" i="14"/>
  <c r="S17" i="14"/>
  <c r="R18" i="14"/>
  <c r="Z18" i="14"/>
  <c r="Q19" i="14"/>
  <c r="Y19" i="14"/>
  <c r="P20" i="14"/>
  <c r="X20" i="14"/>
  <c r="O21" i="14"/>
  <c r="S21" i="14"/>
  <c r="W21" i="14"/>
  <c r="N22" i="14"/>
  <c r="R22" i="14"/>
  <c r="V22" i="14"/>
  <c r="Z22" i="14"/>
  <c r="M23" i="14"/>
  <c r="Q23" i="14"/>
  <c r="U23" i="14"/>
  <c r="Y23" i="14"/>
  <c r="L24" i="14"/>
  <c r="P24" i="14"/>
  <c r="T24" i="14"/>
  <c r="X24" i="14"/>
  <c r="O25" i="14"/>
  <c r="S25" i="14"/>
  <c r="W25" i="14"/>
  <c r="N26" i="14"/>
  <c r="R26" i="14"/>
  <c r="V26" i="14"/>
  <c r="Z26" i="14"/>
  <c r="M27" i="14"/>
  <c r="Q27" i="14"/>
  <c r="U27" i="14"/>
  <c r="Y27" i="14"/>
  <c r="L28" i="14"/>
  <c r="P28" i="14"/>
  <c r="T28" i="14"/>
  <c r="X28" i="14"/>
  <c r="O29" i="14"/>
  <c r="S29" i="14"/>
  <c r="W29" i="14"/>
  <c r="N30" i="14"/>
  <c r="R30" i="14"/>
  <c r="V30" i="14"/>
  <c r="Z30" i="14"/>
  <c r="M31" i="14"/>
  <c r="Q31" i="14"/>
  <c r="U31" i="14"/>
  <c r="Y31" i="14"/>
  <c r="L32" i="14"/>
  <c r="P32" i="14"/>
  <c r="T32" i="14"/>
  <c r="X32" i="14"/>
  <c r="O33" i="14"/>
  <c r="S33" i="14"/>
  <c r="W33" i="14"/>
  <c r="N34" i="14"/>
  <c r="R34" i="14"/>
  <c r="V34" i="14"/>
  <c r="Z34" i="14"/>
  <c r="M35" i="14"/>
  <c r="Q35" i="14"/>
  <c r="U35" i="14"/>
  <c r="Y35" i="14"/>
  <c r="L36" i="14"/>
  <c r="P36" i="14"/>
  <c r="T36" i="14"/>
  <c r="X36" i="14"/>
  <c r="O37" i="14"/>
  <c r="S37" i="14"/>
  <c r="W37" i="14"/>
  <c r="N38" i="14"/>
  <c r="R38" i="14"/>
  <c r="V38" i="14"/>
  <c r="Z38" i="14"/>
  <c r="M39" i="14"/>
  <c r="Q39" i="14"/>
  <c r="U39" i="14"/>
  <c r="Y39" i="14"/>
  <c r="L40" i="14"/>
  <c r="P40" i="14"/>
  <c r="T40" i="14"/>
  <c r="X40" i="14"/>
  <c r="O41" i="14"/>
  <c r="S41" i="14"/>
  <c r="W41" i="14"/>
  <c r="M8" i="14"/>
  <c r="U8" i="14"/>
  <c r="L9" i="14"/>
  <c r="T9" i="14"/>
  <c r="S10" i="14"/>
  <c r="R11" i="14"/>
  <c r="Z11" i="14"/>
  <c r="Q12" i="14"/>
  <c r="Y12" i="14"/>
  <c r="P13" i="14"/>
  <c r="X13" i="14"/>
  <c r="O14" i="14"/>
  <c r="W14" i="14"/>
  <c r="N15" i="14"/>
  <c r="V15" i="14"/>
  <c r="M16" i="14"/>
  <c r="U16" i="14"/>
  <c r="L17" i="14"/>
  <c r="T17" i="14"/>
  <c r="S18" i="14"/>
  <c r="R19" i="14"/>
  <c r="Z19" i="14"/>
  <c r="Q20" i="14"/>
  <c r="Y20" i="14"/>
  <c r="P21" i="14"/>
  <c r="T21" i="14"/>
  <c r="X21" i="14"/>
  <c r="O22" i="14"/>
  <c r="S22" i="14"/>
  <c r="W22" i="14"/>
  <c r="N23" i="14"/>
  <c r="R23" i="14"/>
  <c r="V23" i="14"/>
  <c r="Z23" i="14"/>
  <c r="M24" i="14"/>
  <c r="Q24" i="14"/>
  <c r="U24" i="14"/>
  <c r="Y24" i="14"/>
  <c r="L25" i="14"/>
  <c r="P25" i="14"/>
  <c r="T25" i="14"/>
  <c r="X25" i="14"/>
  <c r="O26" i="14"/>
  <c r="S26" i="14"/>
  <c r="W26" i="14"/>
  <c r="N27" i="14"/>
  <c r="R27" i="14"/>
  <c r="V27" i="14"/>
  <c r="Z27" i="14"/>
  <c r="M28" i="14"/>
  <c r="Q28" i="14"/>
  <c r="U28" i="14"/>
  <c r="Y28" i="14"/>
  <c r="L29" i="14"/>
  <c r="P29" i="14"/>
  <c r="T29" i="14"/>
  <c r="X29" i="14"/>
  <c r="O30" i="14"/>
  <c r="S30" i="14"/>
  <c r="W30" i="14"/>
  <c r="N31" i="14"/>
  <c r="R31" i="14"/>
  <c r="V31" i="14"/>
  <c r="Z31" i="14"/>
  <c r="M32" i="14"/>
  <c r="Q32" i="14"/>
  <c r="U32" i="14"/>
  <c r="Y32" i="14"/>
  <c r="L33" i="14"/>
  <c r="P33" i="14"/>
  <c r="T33" i="14"/>
  <c r="X33" i="14"/>
  <c r="O34" i="14"/>
  <c r="S34" i="14"/>
  <c r="W34" i="14"/>
  <c r="N35" i="14"/>
  <c r="R35" i="14"/>
  <c r="V35" i="14"/>
  <c r="Z35" i="14"/>
  <c r="M36" i="14"/>
  <c r="Q36" i="14"/>
  <c r="U36" i="14"/>
  <c r="Y36" i="14"/>
  <c r="L37" i="14"/>
  <c r="P37" i="14"/>
  <c r="T37" i="14"/>
  <c r="X37" i="14"/>
  <c r="O38" i="14"/>
  <c r="S38" i="14"/>
  <c r="W38" i="14"/>
  <c r="N39" i="14"/>
  <c r="R39" i="14"/>
  <c r="V39" i="14"/>
  <c r="Z39" i="14"/>
  <c r="M40" i="14"/>
  <c r="Q40" i="14"/>
  <c r="U40" i="14"/>
  <c r="Y40" i="14"/>
  <c r="L41" i="14"/>
  <c r="P41" i="14"/>
  <c r="T41" i="14"/>
  <c r="X41" i="14"/>
  <c r="E31" i="14"/>
  <c r="E35" i="14"/>
  <c r="E39" i="14"/>
  <c r="E32" i="14"/>
  <c r="E36" i="14"/>
  <c r="E40" i="14"/>
  <c r="I31" i="14"/>
  <c r="I35" i="14"/>
  <c r="I39" i="14"/>
  <c r="I24" i="14"/>
  <c r="I32" i="14"/>
  <c r="I36" i="14"/>
  <c r="I40" i="14"/>
  <c r="Z63" i="14"/>
  <c r="V63" i="14"/>
  <c r="R63" i="14"/>
  <c r="N63" i="14"/>
  <c r="W62" i="14"/>
  <c r="S62" i="14"/>
  <c r="O62" i="14"/>
  <c r="X61" i="14"/>
  <c r="T61" i="14"/>
  <c r="P61" i="14"/>
  <c r="L61" i="14"/>
  <c r="Y60" i="14"/>
  <c r="U60" i="14"/>
  <c r="Q60" i="14"/>
  <c r="M60" i="14"/>
  <c r="Z59" i="14"/>
  <c r="V59" i="14"/>
  <c r="R59" i="14"/>
  <c r="N59" i="14"/>
  <c r="W58" i="14"/>
  <c r="S58" i="14"/>
  <c r="O58" i="14"/>
  <c r="X57" i="14"/>
  <c r="T57" i="14"/>
  <c r="P57" i="14"/>
  <c r="L57" i="14"/>
  <c r="Y56" i="14"/>
  <c r="U56" i="14"/>
  <c r="Q56" i="14"/>
  <c r="M56" i="14"/>
  <c r="I56" i="14"/>
  <c r="E56" i="14"/>
  <c r="Z55" i="14"/>
  <c r="V55" i="14"/>
  <c r="R55" i="14"/>
  <c r="N55" i="14"/>
  <c r="J55" i="14"/>
  <c r="F55" i="14"/>
  <c r="B55" i="14"/>
  <c r="W54" i="14"/>
  <c r="S54" i="14"/>
  <c r="O54" i="14"/>
  <c r="X53" i="14"/>
  <c r="T53" i="14"/>
  <c r="P53" i="14"/>
  <c r="L53" i="14"/>
  <c r="Y52" i="14"/>
  <c r="U52" i="14"/>
  <c r="Q52" i="14"/>
  <c r="M52" i="14"/>
  <c r="Z51" i="14"/>
  <c r="V51" i="14"/>
  <c r="R51" i="14"/>
  <c r="N51" i="14"/>
  <c r="W50" i="14"/>
  <c r="S50" i="14"/>
  <c r="O50" i="14"/>
  <c r="X49" i="14"/>
  <c r="T49" i="14"/>
  <c r="P49" i="14"/>
  <c r="L49" i="14"/>
  <c r="Y48" i="14"/>
  <c r="U48" i="14"/>
  <c r="Q48" i="14"/>
  <c r="M48" i="14"/>
  <c r="Z47" i="14"/>
  <c r="V47" i="14"/>
  <c r="R47" i="14"/>
  <c r="N47" i="14"/>
  <c r="W46" i="14"/>
  <c r="S46" i="14"/>
  <c r="O46" i="14"/>
  <c r="X45" i="14"/>
  <c r="T45" i="14"/>
  <c r="P45" i="14"/>
  <c r="L45" i="14"/>
  <c r="Y44" i="14"/>
  <c r="U44" i="14"/>
  <c r="Q44" i="14"/>
  <c r="M44" i="14"/>
  <c r="Z43" i="14"/>
  <c r="V43" i="14"/>
  <c r="R43" i="14"/>
  <c r="N43" i="14"/>
  <c r="W42" i="14"/>
  <c r="S42" i="14"/>
  <c r="O42" i="14"/>
  <c r="V41" i="14"/>
  <c r="N41" i="14"/>
  <c r="F41" i="14"/>
  <c r="W40" i="14"/>
  <c r="O40" i="14"/>
  <c r="X39" i="14"/>
  <c r="P39" i="14"/>
  <c r="Y38" i="14"/>
  <c r="Q38" i="14"/>
  <c r="I38" i="14"/>
  <c r="Z37" i="14"/>
  <c r="R37" i="14"/>
  <c r="J37" i="14"/>
  <c r="B37" i="14"/>
  <c r="S36" i="14"/>
  <c r="T35" i="14"/>
  <c r="L35" i="14"/>
  <c r="U34" i="14"/>
  <c r="M34" i="14"/>
  <c r="E34" i="14"/>
  <c r="V33" i="14"/>
  <c r="N33" i="14"/>
  <c r="F33" i="14"/>
  <c r="W32" i="14"/>
  <c r="O32" i="14"/>
  <c r="X31" i="14"/>
  <c r="P31" i="14"/>
  <c r="Y30" i="14"/>
  <c r="Q30" i="14"/>
  <c r="I30" i="14"/>
  <c r="Z29" i="14"/>
  <c r="R29" i="14"/>
  <c r="J29" i="14"/>
  <c r="S28" i="14"/>
  <c r="T27" i="14"/>
  <c r="L27" i="14"/>
  <c r="U26" i="14"/>
  <c r="M26" i="14"/>
  <c r="V25" i="14"/>
  <c r="N25" i="14"/>
  <c r="W24" i="14"/>
  <c r="O24" i="14"/>
  <c r="X23" i="14"/>
  <c r="P23" i="14"/>
  <c r="Y22" i="14"/>
  <c r="Q22" i="14"/>
  <c r="Z21" i="14"/>
  <c r="R21" i="14"/>
  <c r="M20" i="14"/>
  <c r="V19" i="14"/>
  <c r="O18" i="14"/>
  <c r="X17" i="14"/>
  <c r="Q16" i="14"/>
  <c r="Z15" i="14"/>
  <c r="S14" i="14"/>
  <c r="L13" i="14"/>
  <c r="U12" i="14"/>
  <c r="N11" i="14"/>
  <c r="W10" i="14"/>
  <c r="P9" i="14"/>
  <c r="Y8" i="14"/>
  <c r="B30" i="14"/>
  <c r="B34" i="14"/>
  <c r="B38" i="14"/>
  <c r="B31" i="14"/>
  <c r="B35" i="14"/>
  <c r="B39" i="14"/>
  <c r="F30" i="14"/>
  <c r="F34" i="14"/>
  <c r="F38" i="14"/>
  <c r="F31" i="14"/>
  <c r="F35" i="14"/>
  <c r="F39" i="14"/>
  <c r="J18" i="14"/>
  <c r="J30" i="14"/>
  <c r="J34" i="14"/>
  <c r="J38" i="14"/>
  <c r="J31" i="14"/>
  <c r="J35" i="14"/>
  <c r="J39" i="14"/>
  <c r="Y63" i="14"/>
  <c r="U63" i="14"/>
  <c r="Q63" i="14"/>
  <c r="M63" i="14"/>
  <c r="Z62" i="14"/>
  <c r="V62" i="14"/>
  <c r="R62" i="14"/>
  <c r="N62" i="14"/>
  <c r="W61" i="14"/>
  <c r="S61" i="14"/>
  <c r="O61" i="14"/>
  <c r="X60" i="14"/>
  <c r="T60" i="14"/>
  <c r="P60" i="14"/>
  <c r="L60" i="14"/>
  <c r="Y59" i="14"/>
  <c r="U59" i="14"/>
  <c r="Q59" i="14"/>
  <c r="M59" i="14"/>
  <c r="Z58" i="14"/>
  <c r="V58" i="14"/>
  <c r="R58" i="14"/>
  <c r="N58" i="14"/>
  <c r="J58" i="14"/>
  <c r="F58" i="14"/>
  <c r="B58" i="14"/>
  <c r="W57" i="14"/>
  <c r="S57" i="14"/>
  <c r="O57" i="14"/>
  <c r="X56" i="14"/>
  <c r="T56" i="14"/>
  <c r="P56" i="14"/>
  <c r="L56" i="14"/>
  <c r="Y55" i="14"/>
  <c r="U55" i="14"/>
  <c r="Q55" i="14"/>
  <c r="M55" i="14"/>
  <c r="I55" i="14"/>
  <c r="E55" i="14"/>
  <c r="Z54" i="14"/>
  <c r="V54" i="14"/>
  <c r="R54" i="14"/>
  <c r="N54" i="14"/>
  <c r="J54" i="14"/>
  <c r="F54" i="14"/>
  <c r="B54" i="14"/>
  <c r="W53" i="14"/>
  <c r="S53" i="14"/>
  <c r="O53" i="14"/>
  <c r="X52" i="14"/>
  <c r="T52" i="14"/>
  <c r="P52" i="14"/>
  <c r="L52" i="14"/>
  <c r="Y51" i="14"/>
  <c r="U51" i="14"/>
  <c r="Q51" i="14"/>
  <c r="M51" i="14"/>
  <c r="Z50" i="14"/>
  <c r="V50" i="14"/>
  <c r="R50" i="14"/>
  <c r="N50" i="14"/>
  <c r="W49" i="14"/>
  <c r="S49" i="14"/>
  <c r="O49" i="14"/>
  <c r="X48" i="14"/>
  <c r="T48" i="14"/>
  <c r="P48" i="14"/>
  <c r="L48" i="14"/>
  <c r="Y47" i="14"/>
  <c r="U47" i="14"/>
  <c r="Q47" i="14"/>
  <c r="M47" i="14"/>
  <c r="Z46" i="14"/>
  <c r="V46" i="14"/>
  <c r="R46" i="14"/>
  <c r="N46" i="14"/>
  <c r="W45" i="14"/>
  <c r="S45" i="14"/>
  <c r="O45" i="14"/>
  <c r="X44" i="14"/>
  <c r="T44" i="14"/>
  <c r="P44" i="14"/>
  <c r="L44" i="14"/>
  <c r="Y43" i="14"/>
  <c r="U43" i="14"/>
  <c r="Q43" i="14"/>
  <c r="M43" i="14"/>
  <c r="Z42" i="14"/>
  <c r="V42" i="14"/>
  <c r="R42" i="14"/>
  <c r="N42" i="14"/>
  <c r="J42" i="14"/>
  <c r="F42" i="14"/>
  <c r="B42" i="14"/>
  <c r="U41" i="14"/>
  <c r="M41" i="14"/>
  <c r="E41" i="14"/>
  <c r="V40" i="14"/>
  <c r="N40" i="14"/>
  <c r="F40" i="14"/>
  <c r="W39" i="14"/>
  <c r="O39" i="14"/>
  <c r="X38" i="14"/>
  <c r="P38" i="14"/>
  <c r="Y37" i="14"/>
  <c r="Q37" i="14"/>
  <c r="I37" i="14"/>
  <c r="Z36" i="14"/>
  <c r="R36" i="14"/>
  <c r="J36" i="14"/>
  <c r="B36" i="14"/>
  <c r="S35" i="14"/>
  <c r="T34" i="14"/>
  <c r="L34" i="14"/>
  <c r="U33" i="14"/>
  <c r="M33" i="14"/>
  <c r="E33" i="14"/>
  <c r="V32" i="14"/>
  <c r="N32" i="14"/>
  <c r="F32" i="14"/>
  <c r="W31" i="14"/>
  <c r="O31" i="14"/>
  <c r="X30" i="14"/>
  <c r="P30" i="14"/>
  <c r="Y29" i="14"/>
  <c r="Q29" i="14"/>
  <c r="I29" i="14"/>
  <c r="Z28" i="14"/>
  <c r="R28" i="14"/>
  <c r="S27" i="14"/>
  <c r="T26" i="14"/>
  <c r="L26" i="14"/>
  <c r="U25" i="14"/>
  <c r="M25" i="14"/>
  <c r="V24" i="14"/>
  <c r="N24" i="14"/>
  <c r="W23" i="14"/>
  <c r="O23" i="14"/>
  <c r="X22" i="14"/>
  <c r="P22" i="14"/>
  <c r="Y21" i="14"/>
  <c r="Q21" i="14"/>
  <c r="L20" i="14"/>
  <c r="U19" i="14"/>
  <c r="N18" i="14"/>
  <c r="W17" i="14"/>
  <c r="P16" i="14"/>
  <c r="Y15" i="14"/>
  <c r="R14" i="14"/>
  <c r="T12" i="14"/>
  <c r="M11" i="14"/>
  <c r="V10" i="14"/>
  <c r="O9" i="14"/>
  <c r="X8" i="14"/>
  <c r="X7" i="14"/>
  <c r="Y7" i="14"/>
  <c r="W7" i="14"/>
  <c r="U7" i="14"/>
  <c r="V7" i="14"/>
  <c r="T7" i="14"/>
  <c r="P7" i="14"/>
  <c r="Q7" i="14"/>
  <c r="R7" i="14"/>
  <c r="S7" i="14"/>
  <c r="N7" i="14"/>
  <c r="O7" i="14"/>
  <c r="L7" i="14"/>
  <c r="M7" i="14"/>
  <c r="D23" i="15"/>
  <c r="H24" i="15"/>
  <c r="H23" i="15"/>
  <c r="D24" i="15"/>
  <c r="X24" i="15"/>
  <c r="T24" i="15"/>
  <c r="P24" i="15"/>
  <c r="L24" i="15"/>
  <c r="X23" i="15"/>
  <c r="T23" i="15"/>
  <c r="L23" i="15"/>
  <c r="W21" i="15"/>
  <c r="W22" i="15" s="1"/>
  <c r="P21" i="15"/>
  <c r="P22" i="15" s="1"/>
  <c r="X20" i="15"/>
  <c r="P20" i="15"/>
  <c r="Y19" i="15"/>
  <c r="Q18" i="15"/>
  <c r="Y17" i="15"/>
  <c r="Q16" i="15"/>
  <c r="Y15" i="15"/>
  <c r="Q14" i="15"/>
  <c r="Y13" i="15"/>
  <c r="Q12" i="15"/>
  <c r="Y11" i="15"/>
  <c r="Q10" i="15"/>
  <c r="Y9" i="15"/>
  <c r="Q8" i="15"/>
  <c r="AF3" i="12"/>
  <c r="N8" i="15"/>
  <c r="R8" i="15"/>
  <c r="V8" i="15"/>
  <c r="N9" i="15"/>
  <c r="R9" i="15"/>
  <c r="V9" i="15"/>
  <c r="N10" i="15"/>
  <c r="R10" i="15"/>
  <c r="V10" i="15"/>
  <c r="N11" i="15"/>
  <c r="R11" i="15"/>
  <c r="V11" i="15"/>
  <c r="N12" i="15"/>
  <c r="R12" i="15"/>
  <c r="V12" i="15"/>
  <c r="N13" i="15"/>
  <c r="R13" i="15"/>
  <c r="V13" i="15"/>
  <c r="N14" i="15"/>
  <c r="R14" i="15"/>
  <c r="V14" i="15"/>
  <c r="N15" i="15"/>
  <c r="R15" i="15"/>
  <c r="V15" i="15"/>
  <c r="N16" i="15"/>
  <c r="R16" i="15"/>
  <c r="V16" i="15"/>
  <c r="N17" i="15"/>
  <c r="R17" i="15"/>
  <c r="V17" i="15"/>
  <c r="N18" i="15"/>
  <c r="R18" i="15"/>
  <c r="V18" i="15"/>
  <c r="N19" i="15"/>
  <c r="R19" i="15"/>
  <c r="V19" i="15"/>
  <c r="N20" i="15"/>
  <c r="R20" i="15"/>
  <c r="V20" i="15"/>
  <c r="N21" i="15"/>
  <c r="N22" i="15" s="1"/>
  <c r="R21" i="15"/>
  <c r="R22" i="15" s="1"/>
  <c r="V21" i="15"/>
  <c r="V22" i="15" s="1"/>
  <c r="O8" i="15"/>
  <c r="S8" i="15"/>
  <c r="W8" i="15"/>
  <c r="O9" i="15"/>
  <c r="S9" i="15"/>
  <c r="W9" i="15"/>
  <c r="O10" i="15"/>
  <c r="S10" i="15"/>
  <c r="W10" i="15"/>
  <c r="O11" i="15"/>
  <c r="S11" i="15"/>
  <c r="W11" i="15"/>
  <c r="O12" i="15"/>
  <c r="S12" i="15"/>
  <c r="W12" i="15"/>
  <c r="O13" i="15"/>
  <c r="S13" i="15"/>
  <c r="W13" i="15"/>
  <c r="O14" i="15"/>
  <c r="S14" i="15"/>
  <c r="W14" i="15"/>
  <c r="O15" i="15"/>
  <c r="S15" i="15"/>
  <c r="W15" i="15"/>
  <c r="O16" i="15"/>
  <c r="S16" i="15"/>
  <c r="W16" i="15"/>
  <c r="O17" i="15"/>
  <c r="S17" i="15"/>
  <c r="W17" i="15"/>
  <c r="O18" i="15"/>
  <c r="S18" i="15"/>
  <c r="W18" i="15"/>
  <c r="O19" i="15"/>
  <c r="S19" i="15"/>
  <c r="W19" i="15"/>
  <c r="O20" i="15"/>
  <c r="S20" i="15"/>
  <c r="W20" i="15"/>
  <c r="O21" i="15"/>
  <c r="O22" i="15" s="1"/>
  <c r="S21" i="15"/>
  <c r="S22" i="15" s="1"/>
  <c r="L8" i="15"/>
  <c r="P8" i="15"/>
  <c r="T8" i="15"/>
  <c r="X8" i="15"/>
  <c r="L9" i="15"/>
  <c r="P9" i="15"/>
  <c r="T9" i="15"/>
  <c r="X9" i="15"/>
  <c r="L10" i="15"/>
  <c r="P10" i="15"/>
  <c r="T10" i="15"/>
  <c r="X10" i="15"/>
  <c r="L11" i="15"/>
  <c r="P11" i="15"/>
  <c r="T11" i="15"/>
  <c r="X11" i="15"/>
  <c r="L12" i="15"/>
  <c r="P12" i="15"/>
  <c r="T12" i="15"/>
  <c r="X12" i="15"/>
  <c r="L13" i="15"/>
  <c r="P13" i="15"/>
  <c r="T13" i="15"/>
  <c r="X13" i="15"/>
  <c r="L14" i="15"/>
  <c r="P14" i="15"/>
  <c r="T14" i="15"/>
  <c r="X14" i="15"/>
  <c r="L15" i="15"/>
  <c r="P15" i="15"/>
  <c r="T15" i="15"/>
  <c r="X15" i="15"/>
  <c r="L16" i="15"/>
  <c r="P16" i="15"/>
  <c r="T16" i="15"/>
  <c r="X16" i="15"/>
  <c r="L17" i="15"/>
  <c r="P17" i="15"/>
  <c r="T17" i="15"/>
  <c r="X17" i="15"/>
  <c r="L18" i="15"/>
  <c r="P18" i="15"/>
  <c r="T18" i="15"/>
  <c r="X18" i="15"/>
  <c r="L19" i="15"/>
  <c r="P19" i="15"/>
  <c r="T19" i="15"/>
  <c r="X19" i="15"/>
  <c r="L20" i="15"/>
  <c r="B16" i="15"/>
  <c r="F16" i="15"/>
  <c r="J16" i="15"/>
  <c r="W24" i="15"/>
  <c r="S24" i="15"/>
  <c r="O24" i="15"/>
  <c r="K24" i="15"/>
  <c r="G24" i="15"/>
  <c r="C24" i="15"/>
  <c r="W23" i="15"/>
  <c r="S23" i="15"/>
  <c r="O23" i="15"/>
  <c r="K23" i="15"/>
  <c r="G23" i="15"/>
  <c r="C23" i="15"/>
  <c r="U21" i="15"/>
  <c r="U22" i="15" s="1"/>
  <c r="M21" i="15"/>
  <c r="M22" i="15" s="1"/>
  <c r="U20" i="15"/>
  <c r="M20" i="15"/>
  <c r="U19" i="15"/>
  <c r="M18" i="15"/>
  <c r="U17" i="15"/>
  <c r="M16" i="15"/>
  <c r="U15" i="15"/>
  <c r="M14" i="15"/>
  <c r="U13" i="15"/>
  <c r="M12" i="15"/>
  <c r="U11" i="15"/>
  <c r="M10" i="15"/>
  <c r="U9" i="15"/>
  <c r="M8" i="15"/>
  <c r="C16" i="15"/>
  <c r="G16" i="15"/>
  <c r="K16" i="15"/>
  <c r="V24" i="15"/>
  <c r="R24" i="15"/>
  <c r="N24" i="15"/>
  <c r="J24" i="15"/>
  <c r="F24" i="15"/>
  <c r="B24" i="15"/>
  <c r="V23" i="15"/>
  <c r="R23" i="15"/>
  <c r="N23" i="15"/>
  <c r="J23" i="15"/>
  <c r="F23" i="15"/>
  <c r="B23" i="15"/>
  <c r="Y21" i="15"/>
  <c r="Y22" i="15" s="1"/>
  <c r="T21" i="15"/>
  <c r="T22" i="15" s="1"/>
  <c r="L21" i="15"/>
  <c r="L22" i="15" s="1"/>
  <c r="T20" i="15"/>
  <c r="Q19" i="15"/>
  <c r="Y18" i="15"/>
  <c r="Q17" i="15"/>
  <c r="Y16" i="15"/>
  <c r="I16" i="15"/>
  <c r="Q15" i="15"/>
  <c r="Y14" i="15"/>
  <c r="Q13" i="15"/>
  <c r="Y12" i="15"/>
  <c r="Q11" i="15"/>
  <c r="Y10" i="15"/>
  <c r="Q9" i="15"/>
  <c r="Y8" i="15"/>
  <c r="P23" i="15"/>
  <c r="D16" i="15"/>
  <c r="H16" i="15"/>
  <c r="Y24" i="15"/>
  <c r="U24" i="15"/>
  <c r="Q24" i="15"/>
  <c r="M24" i="15"/>
  <c r="I24" i="15"/>
  <c r="E24" i="15"/>
  <c r="Y23" i="15"/>
  <c r="U23" i="15"/>
  <c r="Q23" i="15"/>
  <c r="M23" i="15"/>
  <c r="I23" i="15"/>
  <c r="E23" i="15"/>
  <c r="X21" i="15"/>
  <c r="X22" i="15" s="1"/>
  <c r="Q21" i="15"/>
  <c r="Q22" i="15" s="1"/>
  <c r="Y20" i="15"/>
  <c r="Q20" i="15"/>
  <c r="M19" i="15"/>
  <c r="U18" i="15"/>
  <c r="M17" i="15"/>
  <c r="U16" i="15"/>
  <c r="E16" i="15"/>
  <c r="M15" i="15"/>
  <c r="U14" i="15"/>
  <c r="M13" i="15"/>
  <c r="U12" i="15"/>
  <c r="M11" i="15"/>
  <c r="U10" i="15"/>
  <c r="M9" i="15"/>
  <c r="U8" i="15"/>
  <c r="Y7" i="15"/>
  <c r="X7" i="15"/>
  <c r="W7" i="15"/>
  <c r="U7" i="15"/>
  <c r="V7" i="15"/>
  <c r="T7" i="15"/>
  <c r="S7" i="15"/>
  <c r="R7" i="15"/>
  <c r="Q7" i="15"/>
  <c r="P7" i="15"/>
  <c r="O7" i="15"/>
  <c r="N7" i="15"/>
  <c r="M7" i="15"/>
  <c r="L7" i="15"/>
  <c r="H20" i="12"/>
  <c r="Q20" i="12"/>
  <c r="Y32" i="12"/>
  <c r="F9" i="12"/>
  <c r="H10" i="14" s="1"/>
  <c r="S12" i="12"/>
  <c r="K14" i="15" s="1"/>
  <c r="AD10" i="9"/>
  <c r="BK8" i="12" s="1" a="1"/>
  <c r="BK8" i="12" s="1"/>
  <c r="G46" i="14" s="1"/>
  <c r="U18" i="12"/>
  <c r="F7" i="12"/>
  <c r="Q10" i="12"/>
  <c r="I20" i="14" s="1"/>
  <c r="I11" i="12"/>
  <c r="J11" i="15" s="1"/>
  <c r="C12" i="12"/>
  <c r="K7" i="15" s="1"/>
  <c r="C18" i="12"/>
  <c r="F19" i="12"/>
  <c r="Z20" i="12"/>
  <c r="AA20" i="12" s="1"/>
  <c r="W25" i="12"/>
  <c r="U11" i="12"/>
  <c r="F10" i="12"/>
  <c r="I10" i="14" s="1"/>
  <c r="F11" i="12"/>
  <c r="J10" i="14" s="1"/>
  <c r="Z11" i="12"/>
  <c r="AG12" i="12"/>
  <c r="AB18" i="12"/>
  <c r="I25" i="12"/>
  <c r="AC8" i="9"/>
  <c r="BH11" i="12" s="1" a="1"/>
  <c r="BH11" i="12" s="1"/>
  <c r="J17" i="15" s="1"/>
  <c r="AD14" i="9"/>
  <c r="L12" i="12"/>
  <c r="K16" i="14" s="1"/>
  <c r="O18" i="12"/>
  <c r="AF19" i="12"/>
  <c r="S27" i="12"/>
  <c r="BH3" i="12" a="1"/>
  <c r="BH3" i="12" s="1"/>
  <c r="L5" i="12"/>
  <c r="L7" i="12"/>
  <c r="P11" i="12"/>
  <c r="J19" i="14" s="1"/>
  <c r="Y12" i="12"/>
  <c r="K23" i="14" s="1"/>
  <c r="H17" i="12"/>
  <c r="I18" i="12"/>
  <c r="W18" i="12"/>
  <c r="P19" i="12"/>
  <c r="I20" i="12"/>
  <c r="T20" i="12"/>
  <c r="AB20" i="12"/>
  <c r="H21" i="12"/>
  <c r="O25" i="12"/>
  <c r="AB25" i="12"/>
  <c r="C27" i="12"/>
  <c r="O9" i="13" s="1"/>
  <c r="U27" i="12"/>
  <c r="R5" i="12"/>
  <c r="P17" i="12"/>
  <c r="O20" i="12"/>
  <c r="U20" i="12"/>
  <c r="AC20" i="12"/>
  <c r="S25" i="12"/>
  <c r="AG25" i="12"/>
  <c r="I27" i="12"/>
  <c r="W27" i="12"/>
  <c r="S18" i="12"/>
  <c r="AG18" i="12"/>
  <c r="C20" i="12"/>
  <c r="P20" i="12"/>
  <c r="W20" i="12"/>
  <c r="AG20" i="12"/>
  <c r="C25" i="12"/>
  <c r="O27" i="12"/>
  <c r="AG27" i="12"/>
  <c r="H32" i="12"/>
  <c r="F44" i="12" a="1"/>
  <c r="F44" i="12" s="1"/>
  <c r="H7" i="13" s="1" a="1"/>
  <c r="H7" i="13" s="1"/>
  <c r="AC5" i="9"/>
  <c r="AG5" i="9" s="1"/>
  <c r="AC9" i="9"/>
  <c r="AG9" i="9" s="1"/>
  <c r="AD11" i="9"/>
  <c r="AC12" i="9"/>
  <c r="AG12" i="9" s="1"/>
  <c r="AD15" i="9"/>
  <c r="BK5" i="12" s="1" a="1"/>
  <c r="BK5" i="12" s="1"/>
  <c r="AC16" i="9"/>
  <c r="AG16" i="9" s="1"/>
  <c r="C4" i="12"/>
  <c r="L4" i="12"/>
  <c r="S4" i="12"/>
  <c r="Y4" i="12"/>
  <c r="Q7" i="12"/>
  <c r="C8" i="12"/>
  <c r="G7" i="15" s="1"/>
  <c r="O8" i="12"/>
  <c r="T8" i="12"/>
  <c r="G25" i="14" s="1"/>
  <c r="Z8" i="12"/>
  <c r="P9" i="12"/>
  <c r="H19" i="14" s="1"/>
  <c r="J11" i="12"/>
  <c r="J12" i="15" s="1"/>
  <c r="Q11" i="12"/>
  <c r="J20" i="14" s="1"/>
  <c r="AC11" i="12"/>
  <c r="O12" i="12"/>
  <c r="T12" i="12"/>
  <c r="K25" i="14" s="1"/>
  <c r="Z12" i="12"/>
  <c r="Q18" i="12"/>
  <c r="H19" i="12"/>
  <c r="T19" i="12"/>
  <c r="L20" i="12"/>
  <c r="S20" i="12"/>
  <c r="P21" i="12"/>
  <c r="BS43" i="12" a="1"/>
  <c r="BS43" i="12" s="1"/>
  <c r="G63" i="13" s="1" a="1"/>
  <c r="G63" i="13" s="1"/>
  <c r="Q25" i="12"/>
  <c r="Z25" i="12"/>
  <c r="C26" i="12"/>
  <c r="O7" i="13" s="1"/>
  <c r="O26" i="12"/>
  <c r="T26" i="12"/>
  <c r="Z26" i="12"/>
  <c r="Q27" i="12"/>
  <c r="Z27" i="12"/>
  <c r="C28" i="12"/>
  <c r="O8" i="13" s="1"/>
  <c r="O28" i="12"/>
  <c r="T28" i="12"/>
  <c r="Z28" i="12"/>
  <c r="L32" i="12"/>
  <c r="AC32" i="12"/>
  <c r="C37" i="12"/>
  <c r="S37" i="12"/>
  <c r="AB37" i="12"/>
  <c r="L8" i="12"/>
  <c r="G16" i="14" s="1"/>
  <c r="S8" i="12"/>
  <c r="G14" i="15" s="1"/>
  <c r="Y8" i="12"/>
  <c r="G23" i="14" s="1"/>
  <c r="AG8" i="12"/>
  <c r="L26" i="12"/>
  <c r="S26" i="12"/>
  <c r="Y26" i="12"/>
  <c r="AG26" i="12"/>
  <c r="L28" i="12"/>
  <c r="S28" i="12"/>
  <c r="Y28" i="12"/>
  <c r="AG28" i="12"/>
  <c r="Q37" i="12"/>
  <c r="Z37" i="12"/>
  <c r="AC6" i="9"/>
  <c r="AG6" i="9" s="1"/>
  <c r="AC13" i="9"/>
  <c r="BH10" i="12" s="1" a="1"/>
  <c r="BH10" i="12" s="1"/>
  <c r="I17" i="15" s="1"/>
  <c r="AC17" i="9"/>
  <c r="AG17" i="9" s="1"/>
  <c r="O4" i="12"/>
  <c r="T4" i="12"/>
  <c r="Z4" i="12"/>
  <c r="AG4" i="12"/>
  <c r="H8" i="12"/>
  <c r="G10" i="15" s="1"/>
  <c r="P8" i="12"/>
  <c r="G19" i="14" s="1"/>
  <c r="U8" i="12"/>
  <c r="AB8" i="12"/>
  <c r="AD8" i="12" s="1"/>
  <c r="L11" i="12"/>
  <c r="J16" i="14" s="1"/>
  <c r="T11" i="12"/>
  <c r="J25" i="14" s="1"/>
  <c r="AF11" i="12"/>
  <c r="H12" i="12"/>
  <c r="K10" i="15" s="1"/>
  <c r="P12" i="12"/>
  <c r="K19" i="14" s="1"/>
  <c r="U12" i="12"/>
  <c r="AB12" i="12"/>
  <c r="AD12" i="12" s="1"/>
  <c r="L19" i="12"/>
  <c r="Y19" i="12"/>
  <c r="H26" i="12"/>
  <c r="P26" i="12"/>
  <c r="U26" i="12"/>
  <c r="AB26" i="12"/>
  <c r="AB27" i="12"/>
  <c r="AD27" i="12" s="1"/>
  <c r="H28" i="12"/>
  <c r="P28" i="12"/>
  <c r="U28" i="12"/>
  <c r="AB28" i="12"/>
  <c r="I37" i="12"/>
  <c r="U37" i="12"/>
  <c r="AG37" i="12"/>
  <c r="I4" i="12"/>
  <c r="Q4" i="12"/>
  <c r="W4" i="12"/>
  <c r="C27" i="14" s="1"/>
  <c r="AC4" i="12"/>
  <c r="AD4" i="12" s="1"/>
  <c r="C60" i="14"/>
  <c r="F41" i="12" a="1"/>
  <c r="F41" i="12" s="1"/>
  <c r="E7" i="13" s="1" a="1"/>
  <c r="E7" i="13" s="1"/>
  <c r="H4" i="12"/>
  <c r="P4" i="12"/>
  <c r="U4" i="12"/>
  <c r="I8" i="12"/>
  <c r="G11" i="15" s="1"/>
  <c r="Q8" i="12"/>
  <c r="G20" i="14" s="1"/>
  <c r="W8" i="12"/>
  <c r="G27" i="14" s="1"/>
  <c r="I12" i="12"/>
  <c r="K11" i="15" s="1"/>
  <c r="Q12" i="12"/>
  <c r="K20" i="14" s="1"/>
  <c r="W12" i="12"/>
  <c r="K27" i="14" s="1"/>
  <c r="N19" i="12"/>
  <c r="I26" i="12"/>
  <c r="Q26" i="12"/>
  <c r="W26" i="12"/>
  <c r="AC26" i="12"/>
  <c r="I28" i="12"/>
  <c r="Q28" i="12"/>
  <c r="W28" i="12"/>
  <c r="AC28" i="12"/>
  <c r="BT44" i="12" a="1"/>
  <c r="BT44" i="12" s="1"/>
  <c r="H64" i="13" s="1" a="1"/>
  <c r="H64" i="13" s="1"/>
  <c r="T32" i="12"/>
  <c r="O37" i="12"/>
  <c r="W37" i="12"/>
  <c r="F43" i="12" a="1"/>
  <c r="F43" i="12" s="1"/>
  <c r="G43" i="12" s="1"/>
  <c r="M43" i="12" s="1"/>
  <c r="G14" i="13" s="1" a="1"/>
  <c r="G14" i="13" s="1"/>
  <c r="Q200" i="8"/>
  <c r="P201" i="8"/>
  <c r="S204" i="8"/>
  <c r="O204" i="8"/>
  <c r="S205" i="8"/>
  <c r="Q208" i="8"/>
  <c r="P209" i="8"/>
  <c r="S212" i="8"/>
  <c r="O212" i="8"/>
  <c r="S213" i="8"/>
  <c r="Q216" i="8"/>
  <c r="P217" i="8"/>
  <c r="S220" i="8"/>
  <c r="O220" i="8"/>
  <c r="S221" i="8"/>
  <c r="Q224" i="8"/>
  <c r="P225" i="8"/>
  <c r="S228" i="8"/>
  <c r="O228" i="8"/>
  <c r="S229" i="8"/>
  <c r="Q232" i="8"/>
  <c r="P233" i="8"/>
  <c r="S236" i="8"/>
  <c r="O236" i="8"/>
  <c r="S237" i="8"/>
  <c r="Q240" i="8"/>
  <c r="P241" i="8"/>
  <c r="S244" i="8"/>
  <c r="O244" i="8"/>
  <c r="S245" i="8"/>
  <c r="Q248" i="8"/>
  <c r="P249" i="8"/>
  <c r="S252" i="8"/>
  <c r="O252" i="8"/>
  <c r="S253" i="8"/>
  <c r="Q256" i="8"/>
  <c r="P257" i="8"/>
  <c r="S260" i="8"/>
  <c r="O260" i="8"/>
  <c r="S261" i="8"/>
  <c r="Q264" i="8"/>
  <c r="P265" i="8"/>
  <c r="S268" i="8"/>
  <c r="O268" i="8"/>
  <c r="S269" i="8"/>
  <c r="Q271" i="8"/>
  <c r="P271" i="8"/>
  <c r="S272" i="8"/>
  <c r="O272" i="8"/>
  <c r="P272" i="8"/>
  <c r="P277" i="8"/>
  <c r="Q281" i="8"/>
  <c r="O281" i="8"/>
  <c r="S284" i="8"/>
  <c r="O284" i="8"/>
  <c r="R284" i="8"/>
  <c r="R287" i="8"/>
  <c r="Q293" i="8"/>
  <c r="R293" i="8"/>
  <c r="S294" i="8"/>
  <c r="O294" i="8"/>
  <c r="Q294" i="8"/>
  <c r="R297" i="8"/>
  <c r="Q303" i="8"/>
  <c r="P303" i="8"/>
  <c r="S304" i="8"/>
  <c r="O304" i="8"/>
  <c r="P304" i="8"/>
  <c r="P309" i="8"/>
  <c r="Q313" i="8"/>
  <c r="O313" i="8"/>
  <c r="S316" i="8"/>
  <c r="O316" i="8"/>
  <c r="R316" i="8"/>
  <c r="R319" i="8"/>
  <c r="Q325" i="8"/>
  <c r="R325" i="8"/>
  <c r="S326" i="8"/>
  <c r="O326" i="8"/>
  <c r="Q326" i="8"/>
  <c r="R329" i="8"/>
  <c r="Q335" i="8"/>
  <c r="P335" i="8"/>
  <c r="S336" i="8"/>
  <c r="O336" i="8"/>
  <c r="P336" i="8"/>
  <c r="P341" i="8"/>
  <c r="Q345" i="8"/>
  <c r="O345" i="8"/>
  <c r="S348" i="8"/>
  <c r="O348" i="8"/>
  <c r="R348" i="8"/>
  <c r="R351" i="8"/>
  <c r="Q357" i="8"/>
  <c r="R357" i="8"/>
  <c r="S358" i="8"/>
  <c r="O358" i="8"/>
  <c r="Q358" i="8"/>
  <c r="R361" i="8"/>
  <c r="Q367" i="8"/>
  <c r="P367" i="8"/>
  <c r="S368" i="8"/>
  <c r="O368" i="8"/>
  <c r="P368" i="8"/>
  <c r="P373" i="8"/>
  <c r="Q377" i="8"/>
  <c r="O377" i="8"/>
  <c r="S380" i="8"/>
  <c r="O380" i="8"/>
  <c r="R380" i="8"/>
  <c r="R383" i="8"/>
  <c r="Q389" i="8"/>
  <c r="R389" i="8"/>
  <c r="S390" i="8"/>
  <c r="O390" i="8"/>
  <c r="Q390" i="8"/>
  <c r="R393" i="8"/>
  <c r="Q399" i="8"/>
  <c r="P399" i="8"/>
  <c r="S400" i="8"/>
  <c r="O400" i="8"/>
  <c r="P400" i="8"/>
  <c r="P405" i="8"/>
  <c r="Q409" i="8"/>
  <c r="O409" i="8"/>
  <c r="S412" i="8"/>
  <c r="O412" i="8"/>
  <c r="R412" i="8"/>
  <c r="R415" i="8"/>
  <c r="Q421" i="8"/>
  <c r="R421" i="8"/>
  <c r="S422" i="8"/>
  <c r="O422" i="8"/>
  <c r="Q422" i="8"/>
  <c r="R425" i="8"/>
  <c r="Q431" i="8"/>
  <c r="P431" i="8"/>
  <c r="S432" i="8"/>
  <c r="O432" i="8"/>
  <c r="P432" i="8"/>
  <c r="P437" i="8"/>
  <c r="Q441" i="8"/>
  <c r="O441" i="8"/>
  <c r="S444" i="8"/>
  <c r="O444" i="8"/>
  <c r="R444" i="8"/>
  <c r="R447" i="8"/>
  <c r="Q453" i="8"/>
  <c r="R453" i="8"/>
  <c r="S454" i="8"/>
  <c r="O454" i="8"/>
  <c r="Q454" i="8"/>
  <c r="R457" i="8"/>
  <c r="Q463" i="8"/>
  <c r="P463" i="8"/>
  <c r="S464" i="8"/>
  <c r="O464" i="8"/>
  <c r="P464" i="8"/>
  <c r="P469" i="8"/>
  <c r="S472" i="8"/>
  <c r="O472" i="8"/>
  <c r="R472" i="8"/>
  <c r="P472" i="8"/>
  <c r="S480" i="8"/>
  <c r="O480" i="8"/>
  <c r="R480" i="8"/>
  <c r="P480" i="8"/>
  <c r="S488" i="8"/>
  <c r="O488" i="8"/>
  <c r="R488" i="8"/>
  <c r="P488" i="8"/>
  <c r="S496" i="8"/>
  <c r="O496" i="8"/>
  <c r="R496" i="8"/>
  <c r="P496" i="8"/>
  <c r="S504" i="8"/>
  <c r="O504" i="8"/>
  <c r="R504" i="8"/>
  <c r="P504" i="8"/>
  <c r="S512" i="8"/>
  <c r="O512" i="8"/>
  <c r="R512" i="8"/>
  <c r="P512" i="8"/>
  <c r="S520" i="8"/>
  <c r="O520" i="8"/>
  <c r="R520" i="8"/>
  <c r="P520" i="8"/>
  <c r="S528" i="8"/>
  <c r="O528" i="8"/>
  <c r="R528" i="8"/>
  <c r="P528" i="8"/>
  <c r="S536" i="8"/>
  <c r="O536" i="8"/>
  <c r="R536" i="8"/>
  <c r="P536" i="8"/>
  <c r="S544" i="8"/>
  <c r="O544" i="8"/>
  <c r="R544" i="8"/>
  <c r="P544" i="8"/>
  <c r="S552" i="8"/>
  <c r="O552" i="8"/>
  <c r="R552" i="8"/>
  <c r="P552" i="8"/>
  <c r="S560" i="8"/>
  <c r="O560" i="8"/>
  <c r="R560" i="8"/>
  <c r="P560" i="8"/>
  <c r="S568" i="8"/>
  <c r="O568" i="8"/>
  <c r="R568" i="8"/>
  <c r="P568" i="8"/>
  <c r="S576" i="8"/>
  <c r="O576" i="8"/>
  <c r="R576" i="8"/>
  <c r="P576" i="8"/>
  <c r="S584" i="8"/>
  <c r="O584" i="8"/>
  <c r="R584" i="8"/>
  <c r="P584" i="8"/>
  <c r="Q605" i="8"/>
  <c r="O605" i="8"/>
  <c r="R605" i="8"/>
  <c r="P605" i="8"/>
  <c r="S612" i="8"/>
  <c r="O612" i="8"/>
  <c r="P612" i="8"/>
  <c r="R612" i="8"/>
  <c r="Q612" i="8"/>
  <c r="Q637" i="8"/>
  <c r="O637" i="8"/>
  <c r="R637" i="8"/>
  <c r="P637" i="8"/>
  <c r="S644" i="8"/>
  <c r="O644" i="8"/>
  <c r="P644" i="8"/>
  <c r="R644" i="8"/>
  <c r="Q644" i="8"/>
  <c r="Q669" i="8"/>
  <c r="O669" i="8"/>
  <c r="R669" i="8"/>
  <c r="P669" i="8"/>
  <c r="S676" i="8"/>
  <c r="O676" i="8"/>
  <c r="P676" i="8"/>
  <c r="R676" i="8"/>
  <c r="Q676" i="8"/>
  <c r="Q701" i="8"/>
  <c r="O701" i="8"/>
  <c r="R701" i="8"/>
  <c r="P701" i="8"/>
  <c r="R4" i="8"/>
  <c r="V14" i="13" s="1"/>
  <c r="R6" i="8"/>
  <c r="R8" i="8"/>
  <c r="R10" i="8"/>
  <c r="R12" i="8"/>
  <c r="R14" i="8"/>
  <c r="R16" i="8"/>
  <c r="R18" i="8"/>
  <c r="R20" i="8"/>
  <c r="R22" i="8"/>
  <c r="R24" i="8"/>
  <c r="R26" i="8"/>
  <c r="R28" i="8"/>
  <c r="R30" i="8"/>
  <c r="R32" i="8"/>
  <c r="R34" i="8"/>
  <c r="R36" i="8"/>
  <c r="R38" i="8"/>
  <c r="R40" i="8"/>
  <c r="R42" i="8"/>
  <c r="R44" i="8"/>
  <c r="R46" i="8"/>
  <c r="R48" i="8"/>
  <c r="R50" i="8"/>
  <c r="R52" i="8"/>
  <c r="R54" i="8"/>
  <c r="R56" i="8"/>
  <c r="R58" i="8"/>
  <c r="R60" i="8"/>
  <c r="R62" i="8"/>
  <c r="R64" i="8"/>
  <c r="R66" i="8"/>
  <c r="R68" i="8"/>
  <c r="R70" i="8"/>
  <c r="R72" i="8"/>
  <c r="R74" i="8"/>
  <c r="R76" i="8"/>
  <c r="R78" i="8"/>
  <c r="R80" i="8"/>
  <c r="R82" i="8"/>
  <c r="R84" i="8"/>
  <c r="R86" i="8"/>
  <c r="R88" i="8"/>
  <c r="R90" i="8"/>
  <c r="R92" i="8"/>
  <c r="R94" i="8"/>
  <c r="R96" i="8"/>
  <c r="R98" i="8"/>
  <c r="R100" i="8"/>
  <c r="R102" i="8"/>
  <c r="R104" i="8"/>
  <c r="R106" i="8"/>
  <c r="R108" i="8"/>
  <c r="R110" i="8"/>
  <c r="R112" i="8"/>
  <c r="R114" i="8"/>
  <c r="R116" i="8"/>
  <c r="R118" i="8"/>
  <c r="R120" i="8"/>
  <c r="R122" i="8"/>
  <c r="R124" i="8"/>
  <c r="R126" i="8"/>
  <c r="R128" i="8"/>
  <c r="R130" i="8"/>
  <c r="R132" i="8"/>
  <c r="R134" i="8"/>
  <c r="R136" i="8"/>
  <c r="R138" i="8"/>
  <c r="R140" i="8"/>
  <c r="R142" i="8"/>
  <c r="R144" i="8"/>
  <c r="R146" i="8"/>
  <c r="R148" i="8"/>
  <c r="R150" i="8"/>
  <c r="R152" i="8"/>
  <c r="R154" i="8"/>
  <c r="R156" i="8"/>
  <c r="R158" i="8"/>
  <c r="R160" i="8"/>
  <c r="R162" i="8"/>
  <c r="R164" i="8"/>
  <c r="R166" i="8"/>
  <c r="R168" i="8"/>
  <c r="R170" i="8"/>
  <c r="R172" i="8"/>
  <c r="R174" i="8"/>
  <c r="R176" i="8"/>
  <c r="R178" i="8"/>
  <c r="R180" i="8"/>
  <c r="R182" i="8"/>
  <c r="R184" i="8"/>
  <c r="R186" i="8"/>
  <c r="R188" i="8"/>
  <c r="R190" i="8"/>
  <c r="R192" i="8"/>
  <c r="R194" i="8"/>
  <c r="R196" i="8"/>
  <c r="S198" i="8"/>
  <c r="O198" i="8"/>
  <c r="S199" i="8"/>
  <c r="R201" i="8"/>
  <c r="P204" i="8"/>
  <c r="O205" i="8"/>
  <c r="S206" i="8"/>
  <c r="O206" i="8"/>
  <c r="S207" i="8"/>
  <c r="R209" i="8"/>
  <c r="P212" i="8"/>
  <c r="O213" i="8"/>
  <c r="S214" i="8"/>
  <c r="O214" i="8"/>
  <c r="S215" i="8"/>
  <c r="R217" i="8"/>
  <c r="P220" i="8"/>
  <c r="O221" i="8"/>
  <c r="S222" i="8"/>
  <c r="O222" i="8"/>
  <c r="S223" i="8"/>
  <c r="R225" i="8"/>
  <c r="P228" i="8"/>
  <c r="O229" i="8"/>
  <c r="S230" i="8"/>
  <c r="O230" i="8"/>
  <c r="S231" i="8"/>
  <c r="R233" i="8"/>
  <c r="P236" i="8"/>
  <c r="O237" i="8"/>
  <c r="S238" i="8"/>
  <c r="O238" i="8"/>
  <c r="S239" i="8"/>
  <c r="R241" i="8"/>
  <c r="P244" i="8"/>
  <c r="O245" i="8"/>
  <c r="S246" i="8"/>
  <c r="O246" i="8"/>
  <c r="S247" i="8"/>
  <c r="R249" i="8"/>
  <c r="P252" i="8"/>
  <c r="O253" i="8"/>
  <c r="S254" i="8"/>
  <c r="O254" i="8"/>
  <c r="S255" i="8"/>
  <c r="R257" i="8"/>
  <c r="P260" i="8"/>
  <c r="O261" i="8"/>
  <c r="S262" i="8"/>
  <c r="O262" i="8"/>
  <c r="S263" i="8"/>
  <c r="R265" i="8"/>
  <c r="P268" i="8"/>
  <c r="O269" i="8"/>
  <c r="S270" i="8"/>
  <c r="O270" i="8"/>
  <c r="Q270" i="8"/>
  <c r="O271" i="8"/>
  <c r="Q272" i="8"/>
  <c r="Q279" i="8"/>
  <c r="P279" i="8"/>
  <c r="S280" i="8"/>
  <c r="O280" i="8"/>
  <c r="P280" i="8"/>
  <c r="P281" i="8"/>
  <c r="P284" i="8"/>
  <c r="Q289" i="8"/>
  <c r="O289" i="8"/>
  <c r="S292" i="8"/>
  <c r="O292" i="8"/>
  <c r="R292" i="8"/>
  <c r="O293" i="8"/>
  <c r="P294" i="8"/>
  <c r="Q301" i="8"/>
  <c r="R301" i="8"/>
  <c r="S302" i="8"/>
  <c r="O302" i="8"/>
  <c r="Q302" i="8"/>
  <c r="O303" i="8"/>
  <c r="Q304" i="8"/>
  <c r="Q311" i="8"/>
  <c r="P311" i="8"/>
  <c r="S312" i="8"/>
  <c r="O312" i="8"/>
  <c r="P312" i="8"/>
  <c r="P313" i="8"/>
  <c r="P316" i="8"/>
  <c r="Q321" i="8"/>
  <c r="O321" i="8"/>
  <c r="S324" i="8"/>
  <c r="O324" i="8"/>
  <c r="R324" i="8"/>
  <c r="O325" i="8"/>
  <c r="P326" i="8"/>
  <c r="Q333" i="8"/>
  <c r="R333" i="8"/>
  <c r="S334" i="8"/>
  <c r="O334" i="8"/>
  <c r="Q334" i="8"/>
  <c r="O335" i="8"/>
  <c r="Q336" i="8"/>
  <c r="Q343" i="8"/>
  <c r="P343" i="8"/>
  <c r="S344" i="8"/>
  <c r="O344" i="8"/>
  <c r="P344" i="8"/>
  <c r="P345" i="8"/>
  <c r="P348" i="8"/>
  <c r="Q353" i="8"/>
  <c r="O353" i="8"/>
  <c r="S356" i="8"/>
  <c r="O356" i="8"/>
  <c r="R356" i="8"/>
  <c r="O357" i="8"/>
  <c r="P358" i="8"/>
  <c r="Q365" i="8"/>
  <c r="R365" i="8"/>
  <c r="S366" i="8"/>
  <c r="O366" i="8"/>
  <c r="Q366" i="8"/>
  <c r="O367" i="8"/>
  <c r="Q368" i="8"/>
  <c r="Q375" i="8"/>
  <c r="P375" i="8"/>
  <c r="S376" i="8"/>
  <c r="O376" i="8"/>
  <c r="P376" i="8"/>
  <c r="P377" i="8"/>
  <c r="P380" i="8"/>
  <c r="Q385" i="8"/>
  <c r="O385" i="8"/>
  <c r="S388" i="8"/>
  <c r="O388" i="8"/>
  <c r="R388" i="8"/>
  <c r="O389" i="8"/>
  <c r="P390" i="8"/>
  <c r="Q397" i="8"/>
  <c r="R397" i="8"/>
  <c r="S398" i="8"/>
  <c r="O398" i="8"/>
  <c r="Q398" i="8"/>
  <c r="O399" i="8"/>
  <c r="Q400" i="8"/>
  <c r="Q407" i="8"/>
  <c r="P407" i="8"/>
  <c r="S408" i="8"/>
  <c r="O408" i="8"/>
  <c r="P408" i="8"/>
  <c r="P409" i="8"/>
  <c r="P412" i="8"/>
  <c r="Q417" i="8"/>
  <c r="O417" i="8"/>
  <c r="S420" i="8"/>
  <c r="O420" i="8"/>
  <c r="R420" i="8"/>
  <c r="O421" i="8"/>
  <c r="P422" i="8"/>
  <c r="Q429" i="8"/>
  <c r="R429" i="8"/>
  <c r="S430" i="8"/>
  <c r="O430" i="8"/>
  <c r="Q430" i="8"/>
  <c r="O431" i="8"/>
  <c r="Q432" i="8"/>
  <c r="Q439" i="8"/>
  <c r="P439" i="8"/>
  <c r="S440" i="8"/>
  <c r="O440" i="8"/>
  <c r="P440" i="8"/>
  <c r="P441" i="8"/>
  <c r="P444" i="8"/>
  <c r="Q449" i="8"/>
  <c r="O449" i="8"/>
  <c r="S452" i="8"/>
  <c r="O452" i="8"/>
  <c r="R452" i="8"/>
  <c r="O453" i="8"/>
  <c r="P454" i="8"/>
  <c r="Q461" i="8"/>
  <c r="R461" i="8"/>
  <c r="S462" i="8"/>
  <c r="O462" i="8"/>
  <c r="Q462" i="8"/>
  <c r="O463" i="8"/>
  <c r="Q464" i="8"/>
  <c r="Q472" i="8"/>
  <c r="S476" i="8"/>
  <c r="O476" i="8"/>
  <c r="P476" i="8"/>
  <c r="R476" i="8"/>
  <c r="Q480" i="8"/>
  <c r="S484" i="8"/>
  <c r="O484" i="8"/>
  <c r="P484" i="8"/>
  <c r="R484" i="8"/>
  <c r="Q488" i="8"/>
  <c r="S492" i="8"/>
  <c r="O492" i="8"/>
  <c r="P492" i="8"/>
  <c r="R492" i="8"/>
  <c r="Q496" i="8"/>
  <c r="S500" i="8"/>
  <c r="O500" i="8"/>
  <c r="P500" i="8"/>
  <c r="R500" i="8"/>
  <c r="Q504" i="8"/>
  <c r="S508" i="8"/>
  <c r="O508" i="8"/>
  <c r="P508" i="8"/>
  <c r="R508" i="8"/>
  <c r="Q512" i="8"/>
  <c r="S516" i="8"/>
  <c r="O516" i="8"/>
  <c r="P516" i="8"/>
  <c r="R516" i="8"/>
  <c r="Q520" i="8"/>
  <c r="S524" i="8"/>
  <c r="O524" i="8"/>
  <c r="P524" i="8"/>
  <c r="R524" i="8"/>
  <c r="Q528" i="8"/>
  <c r="S532" i="8"/>
  <c r="O532" i="8"/>
  <c r="P532" i="8"/>
  <c r="R532" i="8"/>
  <c r="Q536" i="8"/>
  <c r="S540" i="8"/>
  <c r="O540" i="8"/>
  <c r="P540" i="8"/>
  <c r="R540" i="8"/>
  <c r="S548" i="8"/>
  <c r="O548" i="8"/>
  <c r="P548" i="8"/>
  <c r="R548" i="8"/>
  <c r="S556" i="8"/>
  <c r="O556" i="8"/>
  <c r="P556" i="8"/>
  <c r="R556" i="8"/>
  <c r="S564" i="8"/>
  <c r="O564" i="8"/>
  <c r="P564" i="8"/>
  <c r="R564" i="8"/>
  <c r="S572" i="8"/>
  <c r="O572" i="8"/>
  <c r="P572" i="8"/>
  <c r="R572" i="8"/>
  <c r="S580" i="8"/>
  <c r="O580" i="8"/>
  <c r="P580" i="8"/>
  <c r="R580" i="8"/>
  <c r="S588" i="8"/>
  <c r="O588" i="8"/>
  <c r="P588" i="8"/>
  <c r="R588" i="8"/>
  <c r="Q588" i="8"/>
  <c r="Q613" i="8"/>
  <c r="O613" i="8"/>
  <c r="R613" i="8"/>
  <c r="P613" i="8"/>
  <c r="S620" i="8"/>
  <c r="O620" i="8"/>
  <c r="P620" i="8"/>
  <c r="R620" i="8"/>
  <c r="Q620" i="8"/>
  <c r="Q645" i="8"/>
  <c r="O645" i="8"/>
  <c r="R645" i="8"/>
  <c r="P645" i="8"/>
  <c r="S652" i="8"/>
  <c r="O652" i="8"/>
  <c r="P652" i="8"/>
  <c r="R652" i="8"/>
  <c r="Q652" i="8"/>
  <c r="Q677" i="8"/>
  <c r="O677" i="8"/>
  <c r="R677" i="8"/>
  <c r="P677" i="8"/>
  <c r="S684" i="8"/>
  <c r="O684" i="8"/>
  <c r="P684" i="8"/>
  <c r="R684" i="8"/>
  <c r="Q684" i="8"/>
  <c r="S200" i="8"/>
  <c r="O200" i="8"/>
  <c r="S201" i="8"/>
  <c r="S208" i="8"/>
  <c r="O208" i="8"/>
  <c r="S209" i="8"/>
  <c r="S216" i="8"/>
  <c r="O216" i="8"/>
  <c r="S217" i="8"/>
  <c r="S224" i="8"/>
  <c r="O224" i="8"/>
  <c r="S225" i="8"/>
  <c r="S232" i="8"/>
  <c r="O232" i="8"/>
  <c r="S233" i="8"/>
  <c r="S240" i="8"/>
  <c r="O240" i="8"/>
  <c r="S241" i="8"/>
  <c r="S248" i="8"/>
  <c r="O248" i="8"/>
  <c r="S249" i="8"/>
  <c r="S256" i="8"/>
  <c r="O256" i="8"/>
  <c r="S257" i="8"/>
  <c r="S264" i="8"/>
  <c r="O264" i="8"/>
  <c r="S265" i="8"/>
  <c r="Q277" i="8"/>
  <c r="R277" i="8"/>
  <c r="S278" i="8"/>
  <c r="O278" i="8"/>
  <c r="Q278" i="8"/>
  <c r="Q287" i="8"/>
  <c r="P287" i="8"/>
  <c r="S288" i="8"/>
  <c r="O288" i="8"/>
  <c r="P288" i="8"/>
  <c r="Q297" i="8"/>
  <c r="O297" i="8"/>
  <c r="S300" i="8"/>
  <c r="O300" i="8"/>
  <c r="R300" i="8"/>
  <c r="Q309" i="8"/>
  <c r="R309" i="8"/>
  <c r="S310" i="8"/>
  <c r="O310" i="8"/>
  <c r="Q310" i="8"/>
  <c r="Q319" i="8"/>
  <c r="P319" i="8"/>
  <c r="S320" i="8"/>
  <c r="O320" i="8"/>
  <c r="P320" i="8"/>
  <c r="Q329" i="8"/>
  <c r="O329" i="8"/>
  <c r="S332" i="8"/>
  <c r="O332" i="8"/>
  <c r="R332" i="8"/>
  <c r="Q341" i="8"/>
  <c r="R341" i="8"/>
  <c r="S342" i="8"/>
  <c r="O342" i="8"/>
  <c r="Q342" i="8"/>
  <c r="Q351" i="8"/>
  <c r="P351" i="8"/>
  <c r="S352" i="8"/>
  <c r="O352" i="8"/>
  <c r="P352" i="8"/>
  <c r="Q361" i="8"/>
  <c r="O361" i="8"/>
  <c r="S364" i="8"/>
  <c r="O364" i="8"/>
  <c r="R364" i="8"/>
  <c r="Q373" i="8"/>
  <c r="R373" i="8"/>
  <c r="S374" i="8"/>
  <c r="O374" i="8"/>
  <c r="Q374" i="8"/>
  <c r="Q383" i="8"/>
  <c r="P383" i="8"/>
  <c r="S384" i="8"/>
  <c r="O384" i="8"/>
  <c r="P384" i="8"/>
  <c r="Q393" i="8"/>
  <c r="O393" i="8"/>
  <c r="S396" i="8"/>
  <c r="O396" i="8"/>
  <c r="R396" i="8"/>
  <c r="Q405" i="8"/>
  <c r="R405" i="8"/>
  <c r="S406" i="8"/>
  <c r="O406" i="8"/>
  <c r="Q406" i="8"/>
  <c r="Q415" i="8"/>
  <c r="P415" i="8"/>
  <c r="S416" i="8"/>
  <c r="O416" i="8"/>
  <c r="P416" i="8"/>
  <c r="Q425" i="8"/>
  <c r="O425" i="8"/>
  <c r="S428" i="8"/>
  <c r="O428" i="8"/>
  <c r="R428" i="8"/>
  <c r="Q437" i="8"/>
  <c r="R437" i="8"/>
  <c r="S438" i="8"/>
  <c r="O438" i="8"/>
  <c r="Q438" i="8"/>
  <c r="Q447" i="8"/>
  <c r="P447" i="8"/>
  <c r="S448" i="8"/>
  <c r="O448" i="8"/>
  <c r="P448" i="8"/>
  <c r="Q457" i="8"/>
  <c r="O457" i="8"/>
  <c r="S460" i="8"/>
  <c r="O460" i="8"/>
  <c r="R460" i="8"/>
  <c r="Q469" i="8"/>
  <c r="R469" i="8"/>
  <c r="S470" i="8"/>
  <c r="O470" i="8"/>
  <c r="Q470" i="8"/>
  <c r="Q473" i="8"/>
  <c r="R473" i="8"/>
  <c r="O473" i="8"/>
  <c r="Q481" i="8"/>
  <c r="R481" i="8"/>
  <c r="O481" i="8"/>
  <c r="Q489" i="8"/>
  <c r="R489" i="8"/>
  <c r="O489" i="8"/>
  <c r="Q497" i="8"/>
  <c r="R497" i="8"/>
  <c r="O497" i="8"/>
  <c r="Q505" i="8"/>
  <c r="R505" i="8"/>
  <c r="O505" i="8"/>
  <c r="Q513" i="8"/>
  <c r="R513" i="8"/>
  <c r="O513" i="8"/>
  <c r="Q521" i="8"/>
  <c r="R521" i="8"/>
  <c r="O521" i="8"/>
  <c r="Q529" i="8"/>
  <c r="R529" i="8"/>
  <c r="O529" i="8"/>
  <c r="Q537" i="8"/>
  <c r="R537" i="8"/>
  <c r="O537" i="8"/>
  <c r="Q545" i="8"/>
  <c r="R545" i="8"/>
  <c r="O545" i="8"/>
  <c r="Q553" i="8"/>
  <c r="R553" i="8"/>
  <c r="O553" i="8"/>
  <c r="Q561" i="8"/>
  <c r="R561" i="8"/>
  <c r="O561" i="8"/>
  <c r="Q569" i="8"/>
  <c r="R569" i="8"/>
  <c r="O569" i="8"/>
  <c r="Q577" i="8"/>
  <c r="R577" i="8"/>
  <c r="O577" i="8"/>
  <c r="Q585" i="8"/>
  <c r="R585" i="8"/>
  <c r="O585" i="8"/>
  <c r="Q589" i="8"/>
  <c r="O589" i="8"/>
  <c r="R589" i="8"/>
  <c r="P589" i="8"/>
  <c r="S596" i="8"/>
  <c r="O596" i="8"/>
  <c r="P596" i="8"/>
  <c r="R596" i="8"/>
  <c r="Q596" i="8"/>
  <c r="Q621" i="8"/>
  <c r="O621" i="8"/>
  <c r="R621" i="8"/>
  <c r="P621" i="8"/>
  <c r="S628" i="8"/>
  <c r="O628" i="8"/>
  <c r="P628" i="8"/>
  <c r="R628" i="8"/>
  <c r="Q628" i="8"/>
  <c r="Q653" i="8"/>
  <c r="O653" i="8"/>
  <c r="R653" i="8"/>
  <c r="P653" i="8"/>
  <c r="S660" i="8"/>
  <c r="O660" i="8"/>
  <c r="P660" i="8"/>
  <c r="R660" i="8"/>
  <c r="Q660" i="8"/>
  <c r="Q685" i="8"/>
  <c r="O685" i="8"/>
  <c r="R685" i="8"/>
  <c r="P685" i="8"/>
  <c r="S692" i="8"/>
  <c r="O692" i="8"/>
  <c r="P692" i="8"/>
  <c r="R692" i="8"/>
  <c r="Q692" i="8"/>
  <c r="F42" i="12" a="1"/>
  <c r="F42" i="12" s="1"/>
  <c r="F7" i="13" s="1" a="1"/>
  <c r="F7" i="13" s="1"/>
  <c r="BP42" i="12" a="1"/>
  <c r="BP42" i="12" s="1"/>
  <c r="F58" i="13" s="1" a="1"/>
  <c r="F58" i="13" s="1"/>
  <c r="BQ41" i="12" a="1"/>
  <c r="BQ41" i="12" s="1"/>
  <c r="E59" i="13" s="1" a="1"/>
  <c r="E59" i="13" s="1"/>
  <c r="BP38" i="12"/>
  <c r="BQ37" i="12"/>
  <c r="BM37" i="12"/>
  <c r="BP33" i="12"/>
  <c r="BN32" i="12"/>
  <c r="BP29" i="12"/>
  <c r="BM42" i="12" a="1"/>
  <c r="BM42" i="12" s="1"/>
  <c r="F55" i="13" s="1" a="1"/>
  <c r="F55" i="13" s="1"/>
  <c r="BN41" i="12" a="1"/>
  <c r="BN41" i="12" s="1"/>
  <c r="E56" i="13" s="1" a="1"/>
  <c r="E56" i="13" s="1"/>
  <c r="BP37" i="12"/>
  <c r="BN34" i="12"/>
  <c r="BQ32" i="12"/>
  <c r="BM32" i="12"/>
  <c r="BP28" i="12"/>
  <c r="BN27" i="12"/>
  <c r="BP26" i="12"/>
  <c r="BN25" i="12"/>
  <c r="BP20" i="12"/>
  <c r="BQ19" i="12"/>
  <c r="BM19" i="12"/>
  <c r="BN18" i="12"/>
  <c r="BP14" i="12"/>
  <c r="BP13" i="12"/>
  <c r="BP12" i="12"/>
  <c r="BQ11" i="12"/>
  <c r="J52" i="14" s="1"/>
  <c r="BM11" i="12"/>
  <c r="BN10" i="12"/>
  <c r="BP8" i="12"/>
  <c r="BQ7" i="12"/>
  <c r="BM7" i="12"/>
  <c r="BN6" i="12"/>
  <c r="BP4" i="12"/>
  <c r="BQ3" i="12"/>
  <c r="BM3" i="12"/>
  <c r="BQ42" i="12" a="1"/>
  <c r="BQ42" i="12" s="1"/>
  <c r="F59" i="13" s="1" a="1"/>
  <c r="F59" i="13" s="1"/>
  <c r="BP41" i="12" a="1"/>
  <c r="BP41" i="12" s="1"/>
  <c r="E58" i="13" s="1" a="1"/>
  <c r="E58" i="13" s="1"/>
  <c r="BN38" i="12"/>
  <c r="BQ34" i="12"/>
  <c r="BM34" i="12"/>
  <c r="BN33" i="12"/>
  <c r="BP32" i="12"/>
  <c r="BO32" i="12" s="1"/>
  <c r="BN29" i="12"/>
  <c r="BQ27" i="12"/>
  <c r="BM27" i="12"/>
  <c r="BQ25" i="12"/>
  <c r="BM25" i="12"/>
  <c r="BN22" i="12"/>
  <c r="BN42" i="12" a="1"/>
  <c r="BN42" i="12" s="1"/>
  <c r="F56" i="13" s="1" a="1"/>
  <c r="F56" i="13" s="1"/>
  <c r="BM41" i="12" a="1"/>
  <c r="BM41" i="12" s="1"/>
  <c r="E55" i="13" s="1" a="1"/>
  <c r="E55" i="13" s="1"/>
  <c r="BQ38" i="12"/>
  <c r="BM38" i="12"/>
  <c r="BN37" i="12"/>
  <c r="BP34" i="12"/>
  <c r="BQ33" i="12"/>
  <c r="BM33" i="12"/>
  <c r="BQ29" i="12"/>
  <c r="BM29" i="12"/>
  <c r="BN28" i="12"/>
  <c r="BP27" i="12"/>
  <c r="BN26" i="12"/>
  <c r="BP25" i="12"/>
  <c r="BQ22" i="12"/>
  <c r="BM22" i="12"/>
  <c r="BQ21" i="12"/>
  <c r="BM21" i="12"/>
  <c r="BN20" i="12"/>
  <c r="BP18" i="12"/>
  <c r="BQ17" i="12"/>
  <c r="BM17" i="12"/>
  <c r="BN14" i="12"/>
  <c r="BQ26" i="12"/>
  <c r="BN21" i="12"/>
  <c r="BQ20" i="12"/>
  <c r="BN17" i="12"/>
  <c r="BQ12" i="12"/>
  <c r="K52" i="14" s="1"/>
  <c r="BP11" i="12"/>
  <c r="J21" i="15" s="1"/>
  <c r="BQ10" i="12"/>
  <c r="I52" i="14" s="1"/>
  <c r="BQ9" i="12"/>
  <c r="H52" i="14" s="1"/>
  <c r="BM8" i="12"/>
  <c r="BM6" i="12"/>
  <c r="BM5" i="12"/>
  <c r="BN4" i="12"/>
  <c r="BN3" i="12"/>
  <c r="BQ28" i="12"/>
  <c r="BM26" i="12"/>
  <c r="BM18" i="12"/>
  <c r="BQ14" i="12"/>
  <c r="BN13" i="12"/>
  <c r="BP10" i="12"/>
  <c r="I21" i="15" s="1"/>
  <c r="BP9" i="12"/>
  <c r="H21" i="15" s="1"/>
  <c r="BQ8" i="12"/>
  <c r="G52" i="14" s="1"/>
  <c r="BP7" i="12"/>
  <c r="BQ6" i="12"/>
  <c r="BQ5" i="12"/>
  <c r="BM4" i="12"/>
  <c r="BM28" i="12"/>
  <c r="BM20" i="12"/>
  <c r="BP19" i="12"/>
  <c r="BM13" i="12"/>
  <c r="BN12" i="12"/>
  <c r="K19" i="15" s="1"/>
  <c r="BN11" i="12"/>
  <c r="J19" i="15" s="1"/>
  <c r="BN9" i="12"/>
  <c r="H19" i="15" s="1"/>
  <c r="BP6" i="12"/>
  <c r="BP5" i="12"/>
  <c r="BQ4" i="12"/>
  <c r="BP22" i="12"/>
  <c r="BP21" i="12"/>
  <c r="BN19" i="12"/>
  <c r="BQ18" i="12"/>
  <c r="BP17" i="12"/>
  <c r="BM14" i="12"/>
  <c r="BQ13" i="12"/>
  <c r="BM12" i="12"/>
  <c r="K18" i="15" s="1"/>
  <c r="BM10" i="12"/>
  <c r="I18" i="15" s="1"/>
  <c r="BM9" i="12"/>
  <c r="H18" i="15" s="1"/>
  <c r="BN5" i="12"/>
  <c r="D19" i="15" s="1"/>
  <c r="BN7" i="12"/>
  <c r="BP3" i="12"/>
  <c r="BO3" i="12" s="1"/>
  <c r="BN8" i="12"/>
  <c r="G19" i="15" s="1"/>
  <c r="Q198" i="8"/>
  <c r="P199" i="8"/>
  <c r="P200" i="8"/>
  <c r="O201" i="8"/>
  <c r="S202" i="8"/>
  <c r="O202" i="8"/>
  <c r="S203" i="8"/>
  <c r="R204" i="8"/>
  <c r="R205" i="8"/>
  <c r="Q206" i="8"/>
  <c r="P207" i="8"/>
  <c r="P208" i="8"/>
  <c r="O209" i="8"/>
  <c r="S210" i="8"/>
  <c r="O210" i="8"/>
  <c r="S211" i="8"/>
  <c r="R212" i="8"/>
  <c r="R213" i="8"/>
  <c r="Q214" i="8"/>
  <c r="P215" i="8"/>
  <c r="P216" i="8"/>
  <c r="O217" i="8"/>
  <c r="S218" i="8"/>
  <c r="O218" i="8"/>
  <c r="S219" i="8"/>
  <c r="R220" i="8"/>
  <c r="R221" i="8"/>
  <c r="Q222" i="8"/>
  <c r="P223" i="8"/>
  <c r="P224" i="8"/>
  <c r="O225" i="8"/>
  <c r="S226" i="8"/>
  <c r="O226" i="8"/>
  <c r="S227" i="8"/>
  <c r="R228" i="8"/>
  <c r="R229" i="8"/>
  <c r="Q230" i="8"/>
  <c r="P231" i="8"/>
  <c r="P232" i="8"/>
  <c r="O233" i="8"/>
  <c r="S234" i="8"/>
  <c r="O234" i="8"/>
  <c r="S235" i="8"/>
  <c r="R236" i="8"/>
  <c r="R237" i="8"/>
  <c r="Q238" i="8"/>
  <c r="P239" i="8"/>
  <c r="P240" i="8"/>
  <c r="O241" i="8"/>
  <c r="S242" i="8"/>
  <c r="O242" i="8"/>
  <c r="S243" i="8"/>
  <c r="R244" i="8"/>
  <c r="R245" i="8"/>
  <c r="Q246" i="8"/>
  <c r="P247" i="8"/>
  <c r="P248" i="8"/>
  <c r="O249" i="8"/>
  <c r="S250" i="8"/>
  <c r="O250" i="8"/>
  <c r="S251" i="8"/>
  <c r="R252" i="8"/>
  <c r="R253" i="8"/>
  <c r="Q254" i="8"/>
  <c r="P255" i="8"/>
  <c r="P256" i="8"/>
  <c r="O257" i="8"/>
  <c r="S258" i="8"/>
  <c r="O258" i="8"/>
  <c r="S259" i="8"/>
  <c r="R260" i="8"/>
  <c r="R261" i="8"/>
  <c r="Q262" i="8"/>
  <c r="P263" i="8"/>
  <c r="P264" i="8"/>
  <c r="O265" i="8"/>
  <c r="S266" i="8"/>
  <c r="O266" i="8"/>
  <c r="S267" i="8"/>
  <c r="R268" i="8"/>
  <c r="R269" i="8"/>
  <c r="R270" i="8"/>
  <c r="S271" i="8"/>
  <c r="Q273" i="8"/>
  <c r="O273" i="8"/>
  <c r="S276" i="8"/>
  <c r="O276" i="8"/>
  <c r="R276" i="8"/>
  <c r="O277" i="8"/>
  <c r="P278" i="8"/>
  <c r="R279" i="8"/>
  <c r="R280" i="8"/>
  <c r="S281" i="8"/>
  <c r="Q285" i="8"/>
  <c r="R285" i="8"/>
  <c r="S286" i="8"/>
  <c r="O286" i="8"/>
  <c r="Q286" i="8"/>
  <c r="O287" i="8"/>
  <c r="Q288" i="8"/>
  <c r="R289" i="8"/>
  <c r="Q292" i="8"/>
  <c r="S293" i="8"/>
  <c r="Q295" i="8"/>
  <c r="P295" i="8"/>
  <c r="S296" i="8"/>
  <c r="O296" i="8"/>
  <c r="P296" i="8"/>
  <c r="P297" i="8"/>
  <c r="P300" i="8"/>
  <c r="P301" i="8"/>
  <c r="R302" i="8"/>
  <c r="S303" i="8"/>
  <c r="Q305" i="8"/>
  <c r="O305" i="8"/>
  <c r="S308" i="8"/>
  <c r="O308" i="8"/>
  <c r="R308" i="8"/>
  <c r="O309" i="8"/>
  <c r="P310" i="8"/>
  <c r="R311" i="8"/>
  <c r="R312" i="8"/>
  <c r="S313" i="8"/>
  <c r="Q317" i="8"/>
  <c r="R317" i="8"/>
  <c r="S318" i="8"/>
  <c r="O318" i="8"/>
  <c r="Q318" i="8"/>
  <c r="O319" i="8"/>
  <c r="Q320" i="8"/>
  <c r="R321" i="8"/>
  <c r="Q324" i="8"/>
  <c r="S325" i="8"/>
  <c r="Q327" i="8"/>
  <c r="P327" i="8"/>
  <c r="S328" i="8"/>
  <c r="O328" i="8"/>
  <c r="P328" i="8"/>
  <c r="P329" i="8"/>
  <c r="P332" i="8"/>
  <c r="P333" i="8"/>
  <c r="R334" i="8"/>
  <c r="S335" i="8"/>
  <c r="Q337" i="8"/>
  <c r="O337" i="8"/>
  <c r="S340" i="8"/>
  <c r="O340" i="8"/>
  <c r="R340" i="8"/>
  <c r="O341" i="8"/>
  <c r="P342" i="8"/>
  <c r="R343" i="8"/>
  <c r="R344" i="8"/>
  <c r="S345" i="8"/>
  <c r="Q349" i="8"/>
  <c r="R349" i="8"/>
  <c r="S350" i="8"/>
  <c r="O350" i="8"/>
  <c r="Q350" i="8"/>
  <c r="O351" i="8"/>
  <c r="Q352" i="8"/>
  <c r="R353" i="8"/>
  <c r="Q356" i="8"/>
  <c r="S357" i="8"/>
  <c r="Q359" i="8"/>
  <c r="P359" i="8"/>
  <c r="S360" i="8"/>
  <c r="O360" i="8"/>
  <c r="P360" i="8"/>
  <c r="P361" i="8"/>
  <c r="P364" i="8"/>
  <c r="P365" i="8"/>
  <c r="R366" i="8"/>
  <c r="S367" i="8"/>
  <c r="Q369" i="8"/>
  <c r="O369" i="8"/>
  <c r="S372" i="8"/>
  <c r="O372" i="8"/>
  <c r="R372" i="8"/>
  <c r="O373" i="8"/>
  <c r="P374" i="8"/>
  <c r="R375" i="8"/>
  <c r="R376" i="8"/>
  <c r="S377" i="8"/>
  <c r="Q381" i="8"/>
  <c r="R381" i="8"/>
  <c r="S382" i="8"/>
  <c r="O382" i="8"/>
  <c r="Q382" i="8"/>
  <c r="O383" i="8"/>
  <c r="Q384" i="8"/>
  <c r="R385" i="8"/>
  <c r="Q388" i="8"/>
  <c r="S389" i="8"/>
  <c r="Q391" i="8"/>
  <c r="P391" i="8"/>
  <c r="S392" i="8"/>
  <c r="O392" i="8"/>
  <c r="P392" i="8"/>
  <c r="P393" i="8"/>
  <c r="P396" i="8"/>
  <c r="P397" i="8"/>
  <c r="R398" i="8"/>
  <c r="S399" i="8"/>
  <c r="Q401" i="8"/>
  <c r="O401" i="8"/>
  <c r="S404" i="8"/>
  <c r="O404" i="8"/>
  <c r="R404" i="8"/>
  <c r="O405" i="8"/>
  <c r="P406" i="8"/>
  <c r="R407" i="8"/>
  <c r="R408" i="8"/>
  <c r="S409" i="8"/>
  <c r="Q413" i="8"/>
  <c r="R413" i="8"/>
  <c r="S414" i="8"/>
  <c r="O414" i="8"/>
  <c r="Q414" i="8"/>
  <c r="O415" i="8"/>
  <c r="Q416" i="8"/>
  <c r="R417" i="8"/>
  <c r="Q420" i="8"/>
  <c r="S421" i="8"/>
  <c r="Q423" i="8"/>
  <c r="P423" i="8"/>
  <c r="S424" i="8"/>
  <c r="O424" i="8"/>
  <c r="P424" i="8"/>
  <c r="P425" i="8"/>
  <c r="P428" i="8"/>
  <c r="P429" i="8"/>
  <c r="R430" i="8"/>
  <c r="S431" i="8"/>
  <c r="Q433" i="8"/>
  <c r="O433" i="8"/>
  <c r="S436" i="8"/>
  <c r="O436" i="8"/>
  <c r="R436" i="8"/>
  <c r="O437" i="8"/>
  <c r="P438" i="8"/>
  <c r="R439" i="8"/>
  <c r="R440" i="8"/>
  <c r="S441" i="8"/>
  <c r="Q445" i="8"/>
  <c r="R445" i="8"/>
  <c r="S446" i="8"/>
  <c r="O446" i="8"/>
  <c r="Q446" i="8"/>
  <c r="O447" i="8"/>
  <c r="Q448" i="8"/>
  <c r="R449" i="8"/>
  <c r="Q452" i="8"/>
  <c r="S453" i="8"/>
  <c r="Q455" i="8"/>
  <c r="P455" i="8"/>
  <c r="S456" i="8"/>
  <c r="O456" i="8"/>
  <c r="P456" i="8"/>
  <c r="P457" i="8"/>
  <c r="P460" i="8"/>
  <c r="P461" i="8"/>
  <c r="R462" i="8"/>
  <c r="S463" i="8"/>
  <c r="Q465" i="8"/>
  <c r="O465" i="8"/>
  <c r="S468" i="8"/>
  <c r="O468" i="8"/>
  <c r="R468" i="8"/>
  <c r="O469" i="8"/>
  <c r="P470" i="8"/>
  <c r="P473" i="8"/>
  <c r="Q477" i="8"/>
  <c r="O477" i="8"/>
  <c r="R477" i="8"/>
  <c r="P481" i="8"/>
  <c r="Q485" i="8"/>
  <c r="O485" i="8"/>
  <c r="R485" i="8"/>
  <c r="P489" i="8"/>
  <c r="Q493" i="8"/>
  <c r="O493" i="8"/>
  <c r="R493" i="8"/>
  <c r="P497" i="8"/>
  <c r="Q501" i="8"/>
  <c r="O501" i="8"/>
  <c r="R501" i="8"/>
  <c r="P505" i="8"/>
  <c r="Q509" i="8"/>
  <c r="O509" i="8"/>
  <c r="R509" i="8"/>
  <c r="P513" i="8"/>
  <c r="Q517" i="8"/>
  <c r="O517" i="8"/>
  <c r="R517" i="8"/>
  <c r="P521" i="8"/>
  <c r="Q525" i="8"/>
  <c r="O525" i="8"/>
  <c r="R525" i="8"/>
  <c r="P529" i="8"/>
  <c r="Q533" i="8"/>
  <c r="O533" i="8"/>
  <c r="R533" i="8"/>
  <c r="P537" i="8"/>
  <c r="Q541" i="8"/>
  <c r="O541" i="8"/>
  <c r="R541" i="8"/>
  <c r="P545" i="8"/>
  <c r="Q549" i="8"/>
  <c r="O549" i="8"/>
  <c r="R549" i="8"/>
  <c r="P553" i="8"/>
  <c r="Q557" i="8"/>
  <c r="O557" i="8"/>
  <c r="R557" i="8"/>
  <c r="P561" i="8"/>
  <c r="Q565" i="8"/>
  <c r="O565" i="8"/>
  <c r="R565" i="8"/>
  <c r="P569" i="8"/>
  <c r="Q573" i="8"/>
  <c r="O573" i="8"/>
  <c r="R573" i="8"/>
  <c r="P577" i="8"/>
  <c r="Q581" i="8"/>
  <c r="O581" i="8"/>
  <c r="R581" i="8"/>
  <c r="P585" i="8"/>
  <c r="S589" i="8"/>
  <c r="Q597" i="8"/>
  <c r="O597" i="8"/>
  <c r="R597" i="8"/>
  <c r="P597" i="8"/>
  <c r="S604" i="8"/>
  <c r="O604" i="8"/>
  <c r="P604" i="8"/>
  <c r="R604" i="8"/>
  <c r="Q604" i="8"/>
  <c r="S621" i="8"/>
  <c r="Q629" i="8"/>
  <c r="O629" i="8"/>
  <c r="R629" i="8"/>
  <c r="P629" i="8"/>
  <c r="S636" i="8"/>
  <c r="O636" i="8"/>
  <c r="P636" i="8"/>
  <c r="R636" i="8"/>
  <c r="Q636" i="8"/>
  <c r="S653" i="8"/>
  <c r="Q661" i="8"/>
  <c r="O661" i="8"/>
  <c r="R661" i="8"/>
  <c r="P661" i="8"/>
  <c r="S668" i="8"/>
  <c r="O668" i="8"/>
  <c r="P668" i="8"/>
  <c r="R668" i="8"/>
  <c r="Q668" i="8"/>
  <c r="S685" i="8"/>
  <c r="Q693" i="8"/>
  <c r="O693" i="8"/>
  <c r="R693" i="8"/>
  <c r="P693" i="8"/>
  <c r="S700" i="8"/>
  <c r="O700" i="8"/>
  <c r="P700" i="8"/>
  <c r="R700" i="8"/>
  <c r="Q700" i="8"/>
  <c r="S592" i="8"/>
  <c r="O592" i="8"/>
  <c r="S593" i="8"/>
  <c r="S600" i="8"/>
  <c r="O600" i="8"/>
  <c r="S601" i="8"/>
  <c r="S608" i="8"/>
  <c r="O608" i="8"/>
  <c r="S609" i="8"/>
  <c r="S616" i="8"/>
  <c r="O616" i="8"/>
  <c r="S617" i="8"/>
  <c r="S624" i="8"/>
  <c r="O624" i="8"/>
  <c r="S625" i="8"/>
  <c r="S632" i="8"/>
  <c r="O632" i="8"/>
  <c r="S633" i="8"/>
  <c r="S640" i="8"/>
  <c r="O640" i="8"/>
  <c r="S641" i="8"/>
  <c r="S648" i="8"/>
  <c r="O648" i="8"/>
  <c r="S649" i="8"/>
  <c r="S656" i="8"/>
  <c r="O656" i="8"/>
  <c r="S657" i="8"/>
  <c r="S664" i="8"/>
  <c r="O664" i="8"/>
  <c r="S665" i="8"/>
  <c r="S672" i="8"/>
  <c r="O672" i="8"/>
  <c r="S673" i="8"/>
  <c r="S680" i="8"/>
  <c r="O680" i="8"/>
  <c r="S681" i="8"/>
  <c r="S688" i="8"/>
  <c r="O688" i="8"/>
  <c r="S689" i="8"/>
  <c r="S696" i="8"/>
  <c r="O696" i="8"/>
  <c r="S697" i="8"/>
  <c r="S704" i="8"/>
  <c r="O704" i="8"/>
  <c r="S705" i="8"/>
  <c r="Q708" i="8"/>
  <c r="P709" i="8"/>
  <c r="S712" i="8"/>
  <c r="O712" i="8"/>
  <c r="S713" i="8"/>
  <c r="Q716" i="8"/>
  <c r="P717" i="8"/>
  <c r="S720" i="8"/>
  <c r="O720" i="8"/>
  <c r="S721" i="8"/>
  <c r="Q724" i="8"/>
  <c r="P725" i="8"/>
  <c r="S728" i="8"/>
  <c r="O728" i="8"/>
  <c r="S729" i="8"/>
  <c r="Q732" i="8"/>
  <c r="P733" i="8"/>
  <c r="S736" i="8"/>
  <c r="O736" i="8"/>
  <c r="S737" i="8"/>
  <c r="Q740" i="8"/>
  <c r="P741" i="8"/>
  <c r="S744" i="8"/>
  <c r="O744" i="8"/>
  <c r="S745" i="8"/>
  <c r="Q748" i="8"/>
  <c r="P749" i="8"/>
  <c r="S752" i="8"/>
  <c r="O752" i="8"/>
  <c r="S753" i="8"/>
  <c r="Q756" i="8"/>
  <c r="P757" i="8"/>
  <c r="S760" i="8"/>
  <c r="O760" i="8"/>
  <c r="S761" i="8"/>
  <c r="Q764" i="8"/>
  <c r="P765" i="8"/>
  <c r="S768" i="8"/>
  <c r="O768" i="8"/>
  <c r="S769" i="8"/>
  <c r="Q772" i="8"/>
  <c r="P773" i="8"/>
  <c r="S776" i="8"/>
  <c r="O776" i="8"/>
  <c r="S777" i="8"/>
  <c r="Q780" i="8"/>
  <c r="P781" i="8"/>
  <c r="S784" i="8"/>
  <c r="O784" i="8"/>
  <c r="S785" i="8"/>
  <c r="Q788" i="8"/>
  <c r="P789" i="8"/>
  <c r="S792" i="8"/>
  <c r="O792" i="8"/>
  <c r="S793" i="8"/>
  <c r="Q796" i="8"/>
  <c r="P797" i="8"/>
  <c r="S800" i="8"/>
  <c r="O800" i="8"/>
  <c r="S801" i="8"/>
  <c r="Q804" i="8"/>
  <c r="P805" i="8"/>
  <c r="S808" i="8"/>
  <c r="O808" i="8"/>
  <c r="S809" i="8"/>
  <c r="Q812" i="8"/>
  <c r="P813" i="8"/>
  <c r="S816" i="8"/>
  <c r="O816" i="8"/>
  <c r="S817" i="8"/>
  <c r="Q820" i="8"/>
  <c r="P821" i="8"/>
  <c r="S824" i="8"/>
  <c r="O824" i="8"/>
  <c r="S825" i="8"/>
  <c r="Q828" i="8"/>
  <c r="P829" i="8"/>
  <c r="S832" i="8"/>
  <c r="O832" i="8"/>
  <c r="S833" i="8"/>
  <c r="Q836" i="8"/>
  <c r="P837" i="8"/>
  <c r="S840" i="8"/>
  <c r="O840" i="8"/>
  <c r="S841" i="8"/>
  <c r="Q844" i="8"/>
  <c r="P845" i="8"/>
  <c r="S848" i="8"/>
  <c r="O848" i="8"/>
  <c r="S849" i="8"/>
  <c r="Q852" i="8"/>
  <c r="P853" i="8"/>
  <c r="S856" i="8"/>
  <c r="O856" i="8"/>
  <c r="S857" i="8"/>
  <c r="Q860" i="8"/>
  <c r="P861" i="8"/>
  <c r="S864" i="8"/>
  <c r="O864" i="8"/>
  <c r="S865" i="8"/>
  <c r="Q868" i="8"/>
  <c r="P869" i="8"/>
  <c r="S872" i="8"/>
  <c r="O872" i="8"/>
  <c r="S873" i="8"/>
  <c r="Q876" i="8"/>
  <c r="P877" i="8"/>
  <c r="S880" i="8"/>
  <c r="O880" i="8"/>
  <c r="S881" i="8"/>
  <c r="Q884" i="8"/>
  <c r="P885" i="8"/>
  <c r="S888" i="8"/>
  <c r="O888" i="8"/>
  <c r="S889" i="8"/>
  <c r="Q892" i="8"/>
  <c r="P893" i="8"/>
  <c r="S896" i="8"/>
  <c r="O896" i="8"/>
  <c r="S897" i="8"/>
  <c r="Q900" i="8"/>
  <c r="P901" i="8"/>
  <c r="S904" i="8"/>
  <c r="O904" i="8"/>
  <c r="S905" i="8"/>
  <c r="Q908" i="8"/>
  <c r="P909" i="8"/>
  <c r="S912" i="8"/>
  <c r="O912" i="8"/>
  <c r="S913" i="8"/>
  <c r="Q916" i="8"/>
  <c r="P917" i="8"/>
  <c r="S920" i="8"/>
  <c r="O920" i="8"/>
  <c r="S921" i="8"/>
  <c r="Q924" i="8"/>
  <c r="P925" i="8"/>
  <c r="S928" i="8"/>
  <c r="O928" i="8"/>
  <c r="S929" i="8"/>
  <c r="Q932" i="8"/>
  <c r="P933" i="8"/>
  <c r="S936" i="8"/>
  <c r="O936" i="8"/>
  <c r="S937" i="8"/>
  <c r="Q940" i="8"/>
  <c r="P941" i="8"/>
  <c r="S944" i="8"/>
  <c r="O944" i="8"/>
  <c r="S945" i="8"/>
  <c r="Q948" i="8"/>
  <c r="P949" i="8"/>
  <c r="S952" i="8"/>
  <c r="O952" i="8"/>
  <c r="S953" i="8"/>
  <c r="Q956" i="8"/>
  <c r="P957" i="8"/>
  <c r="R960" i="8"/>
  <c r="O960" i="8"/>
  <c r="AD7" i="9"/>
  <c r="BK9" i="12" s="1" a="1"/>
  <c r="BK9" i="12" s="1"/>
  <c r="H46" i="14" s="1"/>
  <c r="H3" i="12"/>
  <c r="R3" i="12"/>
  <c r="S274" i="8"/>
  <c r="O274" i="8"/>
  <c r="S275" i="8"/>
  <c r="S282" i="8"/>
  <c r="O282" i="8"/>
  <c r="S283" i="8"/>
  <c r="S290" i="8"/>
  <c r="O290" i="8"/>
  <c r="S291" i="8"/>
  <c r="S298" i="8"/>
  <c r="O298" i="8"/>
  <c r="S299" i="8"/>
  <c r="S306" i="8"/>
  <c r="O306" i="8"/>
  <c r="S307" i="8"/>
  <c r="S314" i="8"/>
  <c r="O314" i="8"/>
  <c r="S315" i="8"/>
  <c r="S322" i="8"/>
  <c r="O322" i="8"/>
  <c r="S323" i="8"/>
  <c r="S330" i="8"/>
  <c r="O330" i="8"/>
  <c r="S331" i="8"/>
  <c r="S338" i="8"/>
  <c r="O338" i="8"/>
  <c r="S339" i="8"/>
  <c r="S346" i="8"/>
  <c r="O346" i="8"/>
  <c r="S347" i="8"/>
  <c r="S354" i="8"/>
  <c r="O354" i="8"/>
  <c r="S355" i="8"/>
  <c r="S362" i="8"/>
  <c r="O362" i="8"/>
  <c r="S363" i="8"/>
  <c r="S370" i="8"/>
  <c r="O370" i="8"/>
  <c r="S371" i="8"/>
  <c r="S378" i="8"/>
  <c r="O378" i="8"/>
  <c r="S379" i="8"/>
  <c r="S386" i="8"/>
  <c r="O386" i="8"/>
  <c r="S387" i="8"/>
  <c r="S394" i="8"/>
  <c r="O394" i="8"/>
  <c r="S395" i="8"/>
  <c r="S402" i="8"/>
  <c r="O402" i="8"/>
  <c r="S403" i="8"/>
  <c r="S410" i="8"/>
  <c r="O410" i="8"/>
  <c r="S411" i="8"/>
  <c r="S418" i="8"/>
  <c r="O418" i="8"/>
  <c r="S419" i="8"/>
  <c r="S426" i="8"/>
  <c r="O426" i="8"/>
  <c r="S427" i="8"/>
  <c r="S434" i="8"/>
  <c r="O434" i="8"/>
  <c r="S435" i="8"/>
  <c r="S442" i="8"/>
  <c r="O442" i="8"/>
  <c r="S443" i="8"/>
  <c r="S450" i="8"/>
  <c r="O450" i="8"/>
  <c r="S451" i="8"/>
  <c r="S458" i="8"/>
  <c r="O458" i="8"/>
  <c r="S459" i="8"/>
  <c r="S466" i="8"/>
  <c r="O466" i="8"/>
  <c r="S467" i="8"/>
  <c r="P471" i="8"/>
  <c r="S474" i="8"/>
  <c r="O474" i="8"/>
  <c r="S475" i="8"/>
  <c r="P479" i="8"/>
  <c r="S482" i="8"/>
  <c r="O482" i="8"/>
  <c r="S483" i="8"/>
  <c r="P487" i="8"/>
  <c r="S490" i="8"/>
  <c r="O490" i="8"/>
  <c r="S491" i="8"/>
  <c r="P495" i="8"/>
  <c r="S498" i="8"/>
  <c r="O498" i="8"/>
  <c r="S499" i="8"/>
  <c r="P503" i="8"/>
  <c r="S506" i="8"/>
  <c r="O506" i="8"/>
  <c r="S507" i="8"/>
  <c r="P511" i="8"/>
  <c r="S514" i="8"/>
  <c r="O514" i="8"/>
  <c r="S515" i="8"/>
  <c r="P519" i="8"/>
  <c r="S522" i="8"/>
  <c r="O522" i="8"/>
  <c r="S523" i="8"/>
  <c r="P527" i="8"/>
  <c r="S530" i="8"/>
  <c r="O530" i="8"/>
  <c r="S531" i="8"/>
  <c r="P535" i="8"/>
  <c r="S538" i="8"/>
  <c r="O538" i="8"/>
  <c r="S539" i="8"/>
  <c r="P543" i="8"/>
  <c r="S546" i="8"/>
  <c r="O546" i="8"/>
  <c r="S547" i="8"/>
  <c r="P551" i="8"/>
  <c r="S554" i="8"/>
  <c r="O554" i="8"/>
  <c r="S555" i="8"/>
  <c r="P559" i="8"/>
  <c r="S562" i="8"/>
  <c r="O562" i="8"/>
  <c r="S563" i="8"/>
  <c r="P567" i="8"/>
  <c r="S570" i="8"/>
  <c r="O570" i="8"/>
  <c r="S571" i="8"/>
  <c r="P575" i="8"/>
  <c r="S578" i="8"/>
  <c r="O578" i="8"/>
  <c r="S579" i="8"/>
  <c r="P583" i="8"/>
  <c r="S586" i="8"/>
  <c r="O586" i="8"/>
  <c r="S587" i="8"/>
  <c r="P591" i="8"/>
  <c r="P592" i="8"/>
  <c r="O593" i="8"/>
  <c r="S594" i="8"/>
  <c r="O594" i="8"/>
  <c r="S595" i="8"/>
  <c r="P599" i="8"/>
  <c r="P600" i="8"/>
  <c r="O601" i="8"/>
  <c r="S602" i="8"/>
  <c r="O602" i="8"/>
  <c r="S603" i="8"/>
  <c r="P607" i="8"/>
  <c r="P608" i="8"/>
  <c r="O609" i="8"/>
  <c r="S610" i="8"/>
  <c r="O610" i="8"/>
  <c r="S611" i="8"/>
  <c r="P615" i="8"/>
  <c r="P616" i="8"/>
  <c r="O617" i="8"/>
  <c r="S618" i="8"/>
  <c r="O618" i="8"/>
  <c r="S619" i="8"/>
  <c r="P623" i="8"/>
  <c r="P624" i="8"/>
  <c r="O625" i="8"/>
  <c r="S626" i="8"/>
  <c r="O626" i="8"/>
  <c r="S627" i="8"/>
  <c r="P631" i="8"/>
  <c r="P632" i="8"/>
  <c r="O633" i="8"/>
  <c r="S634" i="8"/>
  <c r="O634" i="8"/>
  <c r="S635" i="8"/>
  <c r="P639" i="8"/>
  <c r="P640" i="8"/>
  <c r="O641" i="8"/>
  <c r="S642" i="8"/>
  <c r="O642" i="8"/>
  <c r="S643" i="8"/>
  <c r="P647" i="8"/>
  <c r="P648" i="8"/>
  <c r="O649" i="8"/>
  <c r="S650" i="8"/>
  <c r="O650" i="8"/>
  <c r="S651" i="8"/>
  <c r="P655" i="8"/>
  <c r="P656" i="8"/>
  <c r="O657" i="8"/>
  <c r="S658" i="8"/>
  <c r="O658" i="8"/>
  <c r="S659" i="8"/>
  <c r="P663" i="8"/>
  <c r="P664" i="8"/>
  <c r="O665" i="8"/>
  <c r="S666" i="8"/>
  <c r="O666" i="8"/>
  <c r="S667" i="8"/>
  <c r="P671" i="8"/>
  <c r="P672" i="8"/>
  <c r="O673" i="8"/>
  <c r="S674" i="8"/>
  <c r="O674" i="8"/>
  <c r="S675" i="8"/>
  <c r="P679" i="8"/>
  <c r="P680" i="8"/>
  <c r="O681" i="8"/>
  <c r="S682" i="8"/>
  <c r="O682" i="8"/>
  <c r="S683" i="8"/>
  <c r="P687" i="8"/>
  <c r="P688" i="8"/>
  <c r="O689" i="8"/>
  <c r="S690" i="8"/>
  <c r="O690" i="8"/>
  <c r="S691" i="8"/>
  <c r="P695" i="8"/>
  <c r="P696" i="8"/>
  <c r="O697" i="8"/>
  <c r="S698" i="8"/>
  <c r="O698" i="8"/>
  <c r="S699" i="8"/>
  <c r="P703" i="8"/>
  <c r="P704" i="8"/>
  <c r="O705" i="8"/>
  <c r="S706" i="8"/>
  <c r="O706" i="8"/>
  <c r="S707" i="8"/>
  <c r="R709" i="8"/>
  <c r="P711" i="8"/>
  <c r="P712" i="8"/>
  <c r="O713" i="8"/>
  <c r="S714" i="8"/>
  <c r="O714" i="8"/>
  <c r="S715" i="8"/>
  <c r="R717" i="8"/>
  <c r="P719" i="8"/>
  <c r="P720" i="8"/>
  <c r="O721" i="8"/>
  <c r="S722" i="8"/>
  <c r="O722" i="8"/>
  <c r="S723" i="8"/>
  <c r="R725" i="8"/>
  <c r="P727" i="8"/>
  <c r="P728" i="8"/>
  <c r="O729" i="8"/>
  <c r="S730" i="8"/>
  <c r="O730" i="8"/>
  <c r="S731" i="8"/>
  <c r="R733" i="8"/>
  <c r="P735" i="8"/>
  <c r="P736" i="8"/>
  <c r="O737" i="8"/>
  <c r="S738" i="8"/>
  <c r="O738" i="8"/>
  <c r="S739" i="8"/>
  <c r="R741" i="8"/>
  <c r="P743" i="8"/>
  <c r="P744" i="8"/>
  <c r="O745" i="8"/>
  <c r="S746" i="8"/>
  <c r="O746" i="8"/>
  <c r="S747" i="8"/>
  <c r="R749" i="8"/>
  <c r="P751" i="8"/>
  <c r="P752" i="8"/>
  <c r="O753" i="8"/>
  <c r="S754" i="8"/>
  <c r="O754" i="8"/>
  <c r="S755" i="8"/>
  <c r="R757" i="8"/>
  <c r="P759" i="8"/>
  <c r="P760" i="8"/>
  <c r="O761" i="8"/>
  <c r="S762" i="8"/>
  <c r="O762" i="8"/>
  <c r="S763" i="8"/>
  <c r="R765" i="8"/>
  <c r="P767" i="8"/>
  <c r="P768" i="8"/>
  <c r="O769" i="8"/>
  <c r="S770" i="8"/>
  <c r="O770" i="8"/>
  <c r="S771" i="8"/>
  <c r="R773" i="8"/>
  <c r="P775" i="8"/>
  <c r="P776" i="8"/>
  <c r="O777" i="8"/>
  <c r="S778" i="8"/>
  <c r="O778" i="8"/>
  <c r="S779" i="8"/>
  <c r="R781" i="8"/>
  <c r="P783" i="8"/>
  <c r="P784" i="8"/>
  <c r="O785" i="8"/>
  <c r="S786" i="8"/>
  <c r="O786" i="8"/>
  <c r="S787" i="8"/>
  <c r="R789" i="8"/>
  <c r="P791" i="8"/>
  <c r="P792" i="8"/>
  <c r="O793" i="8"/>
  <c r="S794" i="8"/>
  <c r="O794" i="8"/>
  <c r="S795" i="8"/>
  <c r="R797" i="8"/>
  <c r="P799" i="8"/>
  <c r="P800" i="8"/>
  <c r="O801" i="8"/>
  <c r="S802" i="8"/>
  <c r="O802" i="8"/>
  <c r="S803" i="8"/>
  <c r="R805" i="8"/>
  <c r="P807" i="8"/>
  <c r="P808" i="8"/>
  <c r="O809" i="8"/>
  <c r="S810" i="8"/>
  <c r="O810" i="8"/>
  <c r="S811" i="8"/>
  <c r="R813" i="8"/>
  <c r="P815" i="8"/>
  <c r="P816" i="8"/>
  <c r="O817" i="8"/>
  <c r="S818" i="8"/>
  <c r="O818" i="8"/>
  <c r="S819" i="8"/>
  <c r="R821" i="8"/>
  <c r="P823" i="8"/>
  <c r="P824" i="8"/>
  <c r="O825" i="8"/>
  <c r="S826" i="8"/>
  <c r="O826" i="8"/>
  <c r="S827" i="8"/>
  <c r="R829" i="8"/>
  <c r="P831" i="8"/>
  <c r="P832" i="8"/>
  <c r="O833" i="8"/>
  <c r="S834" i="8"/>
  <c r="O834" i="8"/>
  <c r="S835" i="8"/>
  <c r="R837" i="8"/>
  <c r="P839" i="8"/>
  <c r="P840" i="8"/>
  <c r="O841" i="8"/>
  <c r="S842" i="8"/>
  <c r="O842" i="8"/>
  <c r="S843" i="8"/>
  <c r="R845" i="8"/>
  <c r="P847" i="8"/>
  <c r="P848" i="8"/>
  <c r="O849" i="8"/>
  <c r="S850" i="8"/>
  <c r="O850" i="8"/>
  <c r="S851" i="8"/>
  <c r="R853" i="8"/>
  <c r="P855" i="8"/>
  <c r="P856" i="8"/>
  <c r="O857" i="8"/>
  <c r="S858" i="8"/>
  <c r="O858" i="8"/>
  <c r="S859" i="8"/>
  <c r="R861" i="8"/>
  <c r="P863" i="8"/>
  <c r="P864" i="8"/>
  <c r="O865" i="8"/>
  <c r="S866" i="8"/>
  <c r="O866" i="8"/>
  <c r="S867" i="8"/>
  <c r="R869" i="8"/>
  <c r="P871" i="8"/>
  <c r="P872" i="8"/>
  <c r="O873" i="8"/>
  <c r="S874" i="8"/>
  <c r="O874" i="8"/>
  <c r="S875" i="8"/>
  <c r="R877" i="8"/>
  <c r="P879" i="8"/>
  <c r="P880" i="8"/>
  <c r="O881" i="8"/>
  <c r="S882" i="8"/>
  <c r="O882" i="8"/>
  <c r="S883" i="8"/>
  <c r="R885" i="8"/>
  <c r="P887" i="8"/>
  <c r="P888" i="8"/>
  <c r="O889" i="8"/>
  <c r="S890" i="8"/>
  <c r="O890" i="8"/>
  <c r="S891" i="8"/>
  <c r="R893" i="8"/>
  <c r="P895" i="8"/>
  <c r="P896" i="8"/>
  <c r="O897" i="8"/>
  <c r="S898" i="8"/>
  <c r="O898" i="8"/>
  <c r="S899" i="8"/>
  <c r="R901" i="8"/>
  <c r="P903" i="8"/>
  <c r="P904" i="8"/>
  <c r="O905" i="8"/>
  <c r="S906" i="8"/>
  <c r="O906" i="8"/>
  <c r="S907" i="8"/>
  <c r="R909" i="8"/>
  <c r="P911" i="8"/>
  <c r="P912" i="8"/>
  <c r="O913" i="8"/>
  <c r="S914" i="8"/>
  <c r="O914" i="8"/>
  <c r="S915" i="8"/>
  <c r="R917" i="8"/>
  <c r="P919" i="8"/>
  <c r="P920" i="8"/>
  <c r="O921" i="8"/>
  <c r="S922" i="8"/>
  <c r="O922" i="8"/>
  <c r="S923" i="8"/>
  <c r="R925" i="8"/>
  <c r="P927" i="8"/>
  <c r="P928" i="8"/>
  <c r="O929" i="8"/>
  <c r="S930" i="8"/>
  <c r="O930" i="8"/>
  <c r="S931" i="8"/>
  <c r="R933" i="8"/>
  <c r="P935" i="8"/>
  <c r="P936" i="8"/>
  <c r="O937" i="8"/>
  <c r="S938" i="8"/>
  <c r="O938" i="8"/>
  <c r="S939" i="8"/>
  <c r="R941" i="8"/>
  <c r="P943" i="8"/>
  <c r="P944" i="8"/>
  <c r="O945" i="8"/>
  <c r="S946" i="8"/>
  <c r="O946" i="8"/>
  <c r="S947" i="8"/>
  <c r="R949" i="8"/>
  <c r="P951" i="8"/>
  <c r="P952" i="8"/>
  <c r="O953" i="8"/>
  <c r="S954" i="8"/>
  <c r="O954" i="8"/>
  <c r="S955" i="8"/>
  <c r="R957" i="8"/>
  <c r="P959" i="8"/>
  <c r="P960" i="8"/>
  <c r="P963" i="8"/>
  <c r="Q963" i="8"/>
  <c r="P971" i="8"/>
  <c r="Q971" i="8"/>
  <c r="P979" i="8"/>
  <c r="Q979" i="8"/>
  <c r="P987" i="8"/>
  <c r="Q987" i="8"/>
  <c r="P995" i="8"/>
  <c r="Q995" i="8"/>
  <c r="I3" i="12"/>
  <c r="T3" i="12"/>
  <c r="Z5" i="12"/>
  <c r="U5" i="12"/>
  <c r="Q5" i="12"/>
  <c r="I5" i="12"/>
  <c r="AB5" i="12"/>
  <c r="AD5" i="12" s="1"/>
  <c r="P5" i="12"/>
  <c r="F5" i="12"/>
  <c r="AG5" i="12"/>
  <c r="T5" i="12"/>
  <c r="O5" i="12"/>
  <c r="J5" i="12"/>
  <c r="AF5" i="12"/>
  <c r="Y5" i="12"/>
  <c r="S5" i="12"/>
  <c r="N5" i="12"/>
  <c r="H5" i="12"/>
  <c r="C5" i="12"/>
  <c r="W5" i="12"/>
  <c r="S708" i="8"/>
  <c r="O708" i="8"/>
  <c r="S709" i="8"/>
  <c r="S716" i="8"/>
  <c r="O716" i="8"/>
  <c r="S717" i="8"/>
  <c r="S724" i="8"/>
  <c r="O724" i="8"/>
  <c r="S725" i="8"/>
  <c r="S732" i="8"/>
  <c r="O732" i="8"/>
  <c r="S733" i="8"/>
  <c r="S740" i="8"/>
  <c r="O740" i="8"/>
  <c r="S741" i="8"/>
  <c r="S748" i="8"/>
  <c r="O748" i="8"/>
  <c r="S749" i="8"/>
  <c r="S756" i="8"/>
  <c r="O756" i="8"/>
  <c r="S757" i="8"/>
  <c r="S764" i="8"/>
  <c r="O764" i="8"/>
  <c r="S765" i="8"/>
  <c r="S772" i="8"/>
  <c r="O772" i="8"/>
  <c r="S773" i="8"/>
  <c r="S780" i="8"/>
  <c r="O780" i="8"/>
  <c r="S781" i="8"/>
  <c r="S788" i="8"/>
  <c r="O788" i="8"/>
  <c r="S789" i="8"/>
  <c r="S796" i="8"/>
  <c r="O796" i="8"/>
  <c r="S797" i="8"/>
  <c r="S804" i="8"/>
  <c r="O804" i="8"/>
  <c r="S805" i="8"/>
  <c r="S812" i="8"/>
  <c r="O812" i="8"/>
  <c r="S813" i="8"/>
  <c r="S820" i="8"/>
  <c r="O820" i="8"/>
  <c r="S821" i="8"/>
  <c r="S828" i="8"/>
  <c r="O828" i="8"/>
  <c r="S829" i="8"/>
  <c r="S836" i="8"/>
  <c r="O836" i="8"/>
  <c r="S837" i="8"/>
  <c r="S844" i="8"/>
  <c r="O844" i="8"/>
  <c r="S845" i="8"/>
  <c r="S852" i="8"/>
  <c r="O852" i="8"/>
  <c r="S853" i="8"/>
  <c r="S860" i="8"/>
  <c r="O860" i="8"/>
  <c r="S861" i="8"/>
  <c r="S868" i="8"/>
  <c r="O868" i="8"/>
  <c r="S869" i="8"/>
  <c r="S876" i="8"/>
  <c r="O876" i="8"/>
  <c r="S877" i="8"/>
  <c r="S884" i="8"/>
  <c r="O884" i="8"/>
  <c r="S885" i="8"/>
  <c r="S892" i="8"/>
  <c r="O892" i="8"/>
  <c r="S893" i="8"/>
  <c r="S900" i="8"/>
  <c r="O900" i="8"/>
  <c r="S901" i="8"/>
  <c r="S908" i="8"/>
  <c r="O908" i="8"/>
  <c r="S909" i="8"/>
  <c r="S916" i="8"/>
  <c r="O916" i="8"/>
  <c r="S917" i="8"/>
  <c r="S924" i="8"/>
  <c r="O924" i="8"/>
  <c r="S925" i="8"/>
  <c r="S932" i="8"/>
  <c r="O932" i="8"/>
  <c r="S933" i="8"/>
  <c r="S940" i="8"/>
  <c r="O940" i="8"/>
  <c r="S941" i="8"/>
  <c r="S948" i="8"/>
  <c r="O948" i="8"/>
  <c r="S949" i="8"/>
  <c r="S956" i="8"/>
  <c r="O956" i="8"/>
  <c r="S957" i="8"/>
  <c r="K61" i="13" a="1"/>
  <c r="K61" i="13" s="1"/>
  <c r="K49" i="13" a="1"/>
  <c r="K49" i="13" s="1"/>
  <c r="K48" i="13" a="1"/>
  <c r="K48" i="13" s="1"/>
  <c r="K44" i="13" a="1"/>
  <c r="K44" i="13" s="1"/>
  <c r="K43" i="13" a="1"/>
  <c r="K43" i="13" s="1"/>
  <c r="K42" i="13" a="1"/>
  <c r="K42" i="13" s="1"/>
  <c r="K41" i="13" a="1"/>
  <c r="K41" i="13" s="1"/>
  <c r="K39" i="13" a="1"/>
  <c r="K39" i="13" s="1"/>
  <c r="K38" i="13" a="1"/>
  <c r="K38" i="13" s="1"/>
  <c r="K37" i="13" a="1"/>
  <c r="K37" i="13" s="1"/>
  <c r="K35" i="13" a="1"/>
  <c r="K35" i="13" s="1"/>
  <c r="K34" i="13" a="1"/>
  <c r="K34" i="13" s="1"/>
  <c r="K33" i="13" a="1"/>
  <c r="K33" i="13" s="1"/>
  <c r="K32" i="13" a="1"/>
  <c r="K32" i="13" s="1"/>
  <c r="K31" i="13" a="1"/>
  <c r="K31" i="13" s="1"/>
  <c r="V19" i="13" a="1"/>
  <c r="V19" i="13" s="1"/>
  <c r="K17" i="13" a="1"/>
  <c r="K17" i="13" s="1"/>
  <c r="B29" i="13" a="1"/>
  <c r="B29" i="13" s="1"/>
  <c r="B28" i="13" a="1"/>
  <c r="B28" i="13" s="1"/>
  <c r="B27" i="13" a="1"/>
  <c r="B27" i="13" s="1"/>
  <c r="B26" i="13" a="1"/>
  <c r="B26" i="13" s="1"/>
  <c r="K16" i="13" a="1"/>
  <c r="K16" i="13" s="1"/>
  <c r="G16" i="13" a="1"/>
  <c r="G16" i="13" s="1"/>
  <c r="K11" i="13" a="1"/>
  <c r="K11" i="13" s="1"/>
  <c r="G11" i="13" a="1"/>
  <c r="G11" i="13" s="1"/>
  <c r="V10" i="13" a="1"/>
  <c r="V10" i="13" s="1"/>
  <c r="K10" i="13" a="1"/>
  <c r="K10" i="13" s="1"/>
  <c r="G10" i="13" a="1"/>
  <c r="G10" i="13" s="1"/>
  <c r="B55" i="13" a="1"/>
  <c r="B55" i="13" s="1"/>
  <c r="B54" i="13" a="1"/>
  <c r="B54" i="13" s="1"/>
  <c r="B53" i="13" a="1"/>
  <c r="B53" i="13" s="1"/>
  <c r="B52" i="13" a="1"/>
  <c r="B52" i="13" s="1"/>
  <c r="K19" i="13" a="1"/>
  <c r="K19" i="13" s="1"/>
  <c r="K15" i="13" a="1"/>
  <c r="K15" i="13" s="1"/>
  <c r="H59" i="13" a="1"/>
  <c r="H59" i="13" s="1"/>
  <c r="H58" i="13" a="1"/>
  <c r="H58" i="13" s="1"/>
  <c r="H57" i="13" a="1"/>
  <c r="H57" i="13" s="1"/>
  <c r="H56" i="13" a="1"/>
  <c r="H56" i="13" s="1"/>
  <c r="B56" i="13" a="1"/>
  <c r="B56" i="13" s="1"/>
  <c r="B58" i="13" s="1" a="1"/>
  <c r="B58" i="13" s="1"/>
  <c r="K54" i="13" a="1"/>
  <c r="K54" i="13" s="1"/>
  <c r="K52" i="13" a="1"/>
  <c r="K52" i="13" s="1"/>
  <c r="K51" i="13" a="1"/>
  <c r="K51" i="13" s="1"/>
  <c r="B42" i="13" a="1"/>
  <c r="B42" i="13" s="1"/>
  <c r="B39" i="13" a="1"/>
  <c r="B39" i="13" s="1"/>
  <c r="B38" i="13" a="1"/>
  <c r="B38" i="13" s="1"/>
  <c r="B37" i="13" a="1"/>
  <c r="B37" i="13" s="1"/>
  <c r="B36" i="13" a="1"/>
  <c r="B36" i="13" s="1"/>
  <c r="B35" i="13" a="1"/>
  <c r="B35" i="13" s="1"/>
  <c r="B34" i="13" a="1"/>
  <c r="B34" i="13" s="1"/>
  <c r="B33" i="13" a="1"/>
  <c r="B33" i="13" s="1"/>
  <c r="B32" i="13" a="1"/>
  <c r="B32" i="13" s="1"/>
  <c r="B31" i="13" a="1"/>
  <c r="B31" i="13" s="1"/>
  <c r="B30" i="13" a="1"/>
  <c r="B30" i="13" s="1"/>
  <c r="H28" i="13" a="1"/>
  <c r="H28" i="13" s="1"/>
  <c r="K27" i="13" a="1"/>
  <c r="K27" i="13" s="1"/>
  <c r="H27" i="13" a="1"/>
  <c r="H27" i="13" s="1"/>
  <c r="H26" i="13" a="1"/>
  <c r="H26" i="13" s="1"/>
  <c r="H25" i="13" a="1"/>
  <c r="H25" i="13" s="1"/>
  <c r="H24" i="13" a="1"/>
  <c r="H24" i="13" s="1"/>
  <c r="K23" i="13" a="1"/>
  <c r="K23" i="13" s="1"/>
  <c r="H23" i="13" a="1"/>
  <c r="H23" i="13" s="1"/>
  <c r="H22" i="13" a="1"/>
  <c r="H22" i="13" s="1"/>
  <c r="K21" i="13" a="1"/>
  <c r="K21" i="13" s="1"/>
  <c r="H21" i="13" a="1"/>
  <c r="H21" i="13" s="1"/>
  <c r="V20" i="13" a="1"/>
  <c r="V20" i="13" s="1"/>
  <c r="G18" i="13" a="1"/>
  <c r="G18" i="13" s="1"/>
  <c r="H16" i="13" a="1"/>
  <c r="H16" i="13" s="1"/>
  <c r="V6" i="13" a="1"/>
  <c r="V6" i="13" s="1"/>
  <c r="K4" i="13" a="1"/>
  <c r="K4" i="13" s="1"/>
  <c r="BS41" i="12" a="1"/>
  <c r="BS41" i="12" s="1"/>
  <c r="E63" i="13" s="1" a="1"/>
  <c r="E63" i="13" s="1"/>
  <c r="AF41" i="12" a="1"/>
  <c r="AF41" i="12" s="1"/>
  <c r="E18" i="13" a="1"/>
  <c r="E18" i="13" s="1"/>
  <c r="G13" i="13" a="1"/>
  <c r="G13" i="13" s="1"/>
  <c r="H10" i="13" a="1"/>
  <c r="H10" i="13" s="1"/>
  <c r="V7" i="13" a="1"/>
  <c r="V7" i="13" s="1"/>
  <c r="G6" i="13" a="1"/>
  <c r="G6" i="13" s="1"/>
  <c r="AG3" i="12"/>
  <c r="AB3" i="12"/>
  <c r="W3" i="12"/>
  <c r="S3" i="12"/>
  <c r="O3" i="12"/>
  <c r="C3" i="12"/>
  <c r="K18" i="13" a="1"/>
  <c r="K18" i="13" s="1"/>
  <c r="E13" i="13" a="1"/>
  <c r="E13" i="13" s="1"/>
  <c r="H11" i="13" a="1"/>
  <c r="H11" i="13" s="1"/>
  <c r="T7" i="13" a="1"/>
  <c r="T7" i="13" s="1"/>
  <c r="E6" i="13" a="1"/>
  <c r="E6" i="13" s="1"/>
  <c r="T4" i="13" a="1"/>
  <c r="T4" i="13" s="1"/>
  <c r="G4" i="13" a="1"/>
  <c r="G4" i="13" s="1"/>
  <c r="BT41" i="12" a="1"/>
  <c r="BT41" i="12" s="1"/>
  <c r="E64" i="13" s="1" a="1"/>
  <c r="E64" i="13" s="1"/>
  <c r="BR41" i="12" a="1"/>
  <c r="BR41" i="12" s="1"/>
  <c r="E62" i="13" s="1" a="1"/>
  <c r="E62" i="13" s="1"/>
  <c r="AG41" i="12" a="1"/>
  <c r="AG41" i="12" s="1"/>
  <c r="K13" i="13" a="1"/>
  <c r="K13" i="13" s="1"/>
  <c r="S11" i="13" a="1"/>
  <c r="S11" i="13" s="1"/>
  <c r="F11" i="13" a="1"/>
  <c r="F11" i="13" s="1"/>
  <c r="T8" i="13" a="1"/>
  <c r="T8" i="13" s="1"/>
  <c r="E4" i="13" a="1"/>
  <c r="E4" i="13" s="1"/>
  <c r="BV41" i="12" a="1"/>
  <c r="BV41" i="12" s="1"/>
  <c r="E60" i="13" s="1" a="1"/>
  <c r="E60" i="13" s="1"/>
  <c r="AC3" i="12"/>
  <c r="Q3" i="12"/>
  <c r="L3" i="12"/>
  <c r="F3" i="12"/>
  <c r="U3" i="12"/>
  <c r="P3" i="12"/>
  <c r="J3" i="12"/>
  <c r="Y3" i="12"/>
  <c r="AC6" i="12"/>
  <c r="Y6" i="12"/>
  <c r="T6" i="12"/>
  <c r="P6" i="12"/>
  <c r="L6" i="12"/>
  <c r="H6" i="12"/>
  <c r="AB6" i="12"/>
  <c r="Q6" i="12"/>
  <c r="F6" i="12"/>
  <c r="AG6" i="12"/>
  <c r="U6" i="12"/>
  <c r="O6" i="12"/>
  <c r="J6" i="12"/>
  <c r="AF6" i="12"/>
  <c r="Z6" i="12"/>
  <c r="S6" i="12"/>
  <c r="N6" i="12"/>
  <c r="I6" i="12"/>
  <c r="C6" i="12"/>
  <c r="W6" i="12"/>
  <c r="E27" i="14" s="1"/>
  <c r="S471" i="8"/>
  <c r="S478" i="8"/>
  <c r="O478" i="8"/>
  <c r="S479" i="8"/>
  <c r="S486" i="8"/>
  <c r="O486" i="8"/>
  <c r="S487" i="8"/>
  <c r="S494" i="8"/>
  <c r="O494" i="8"/>
  <c r="S495" i="8"/>
  <c r="S502" i="8"/>
  <c r="O502" i="8"/>
  <c r="S503" i="8"/>
  <c r="S510" i="8"/>
  <c r="O510" i="8"/>
  <c r="S511" i="8"/>
  <c r="S518" i="8"/>
  <c r="O518" i="8"/>
  <c r="S519" i="8"/>
  <c r="S526" i="8"/>
  <c r="O526" i="8"/>
  <c r="S527" i="8"/>
  <c r="S534" i="8"/>
  <c r="O534" i="8"/>
  <c r="S535" i="8"/>
  <c r="S542" i="8"/>
  <c r="O542" i="8"/>
  <c r="S543" i="8"/>
  <c r="S550" i="8"/>
  <c r="O550" i="8"/>
  <c r="S551" i="8"/>
  <c r="S558" i="8"/>
  <c r="O558" i="8"/>
  <c r="S559" i="8"/>
  <c r="S566" i="8"/>
  <c r="O566" i="8"/>
  <c r="S567" i="8"/>
  <c r="S574" i="8"/>
  <c r="O574" i="8"/>
  <c r="S575" i="8"/>
  <c r="S582" i="8"/>
  <c r="O582" i="8"/>
  <c r="S583" i="8"/>
  <c r="S590" i="8"/>
  <c r="O590" i="8"/>
  <c r="S591" i="8"/>
  <c r="R592" i="8"/>
  <c r="R593" i="8"/>
  <c r="S598" i="8"/>
  <c r="O598" i="8"/>
  <c r="S599" i="8"/>
  <c r="R600" i="8"/>
  <c r="R601" i="8"/>
  <c r="S606" i="8"/>
  <c r="O606" i="8"/>
  <c r="S607" i="8"/>
  <c r="R608" i="8"/>
  <c r="R609" i="8"/>
  <c r="S614" i="8"/>
  <c r="O614" i="8"/>
  <c r="S615" i="8"/>
  <c r="R616" i="8"/>
  <c r="R617" i="8"/>
  <c r="S622" i="8"/>
  <c r="O622" i="8"/>
  <c r="S623" i="8"/>
  <c r="R624" i="8"/>
  <c r="R625" i="8"/>
  <c r="S630" i="8"/>
  <c r="O630" i="8"/>
  <c r="S631" i="8"/>
  <c r="R632" i="8"/>
  <c r="R633" i="8"/>
  <c r="S638" i="8"/>
  <c r="O638" i="8"/>
  <c r="S639" i="8"/>
  <c r="R640" i="8"/>
  <c r="R641" i="8"/>
  <c r="S646" i="8"/>
  <c r="O646" i="8"/>
  <c r="S647" i="8"/>
  <c r="R648" i="8"/>
  <c r="R649" i="8"/>
  <c r="S654" i="8"/>
  <c r="O654" i="8"/>
  <c r="S655" i="8"/>
  <c r="R656" i="8"/>
  <c r="R657" i="8"/>
  <c r="S662" i="8"/>
  <c r="O662" i="8"/>
  <c r="S663" i="8"/>
  <c r="R664" i="8"/>
  <c r="R665" i="8"/>
  <c r="S670" i="8"/>
  <c r="O670" i="8"/>
  <c r="S671" i="8"/>
  <c r="R672" i="8"/>
  <c r="R673" i="8"/>
  <c r="S678" i="8"/>
  <c r="O678" i="8"/>
  <c r="S679" i="8"/>
  <c r="R680" i="8"/>
  <c r="R681" i="8"/>
  <c r="S686" i="8"/>
  <c r="O686" i="8"/>
  <c r="S687" i="8"/>
  <c r="R688" i="8"/>
  <c r="R689" i="8"/>
  <c r="S694" i="8"/>
  <c r="O694" i="8"/>
  <c r="S695" i="8"/>
  <c r="R696" i="8"/>
  <c r="R697" i="8"/>
  <c r="S702" i="8"/>
  <c r="O702" i="8"/>
  <c r="S703" i="8"/>
  <c r="R704" i="8"/>
  <c r="R705" i="8"/>
  <c r="P708" i="8"/>
  <c r="O709" i="8"/>
  <c r="S710" i="8"/>
  <c r="O710" i="8"/>
  <c r="S711" i="8"/>
  <c r="R712" i="8"/>
  <c r="R713" i="8"/>
  <c r="P716" i="8"/>
  <c r="O717" i="8"/>
  <c r="S718" i="8"/>
  <c r="O718" i="8"/>
  <c r="S719" i="8"/>
  <c r="R720" i="8"/>
  <c r="R721" i="8"/>
  <c r="P724" i="8"/>
  <c r="O725" i="8"/>
  <c r="S726" i="8"/>
  <c r="O726" i="8"/>
  <c r="S727" i="8"/>
  <c r="R728" i="8"/>
  <c r="R729" i="8"/>
  <c r="P732" i="8"/>
  <c r="O733" i="8"/>
  <c r="S734" i="8"/>
  <c r="O734" i="8"/>
  <c r="S735" i="8"/>
  <c r="R736" i="8"/>
  <c r="R737" i="8"/>
  <c r="P740" i="8"/>
  <c r="O741" i="8"/>
  <c r="S742" i="8"/>
  <c r="O742" i="8"/>
  <c r="S743" i="8"/>
  <c r="R744" i="8"/>
  <c r="R745" i="8"/>
  <c r="P748" i="8"/>
  <c r="O749" i="8"/>
  <c r="S750" i="8"/>
  <c r="O750" i="8"/>
  <c r="S751" i="8"/>
  <c r="R752" i="8"/>
  <c r="R753" i="8"/>
  <c r="P756" i="8"/>
  <c r="O757" i="8"/>
  <c r="S758" i="8"/>
  <c r="O758" i="8"/>
  <c r="S759" i="8"/>
  <c r="R760" i="8"/>
  <c r="R761" i="8"/>
  <c r="P764" i="8"/>
  <c r="O765" i="8"/>
  <c r="S766" i="8"/>
  <c r="O766" i="8"/>
  <c r="S767" i="8"/>
  <c r="R768" i="8"/>
  <c r="R769" i="8"/>
  <c r="P772" i="8"/>
  <c r="O773" i="8"/>
  <c r="S774" i="8"/>
  <c r="O774" i="8"/>
  <c r="S775" i="8"/>
  <c r="R776" i="8"/>
  <c r="R777" i="8"/>
  <c r="P780" i="8"/>
  <c r="O781" i="8"/>
  <c r="S782" i="8"/>
  <c r="O782" i="8"/>
  <c r="S783" i="8"/>
  <c r="R784" i="8"/>
  <c r="R785" i="8"/>
  <c r="P788" i="8"/>
  <c r="O789" i="8"/>
  <c r="S790" i="8"/>
  <c r="O790" i="8"/>
  <c r="S791" i="8"/>
  <c r="R792" i="8"/>
  <c r="R793" i="8"/>
  <c r="P796" i="8"/>
  <c r="O797" i="8"/>
  <c r="S798" i="8"/>
  <c r="O798" i="8"/>
  <c r="S799" i="8"/>
  <c r="R800" i="8"/>
  <c r="R801" i="8"/>
  <c r="P804" i="8"/>
  <c r="O805" i="8"/>
  <c r="S806" i="8"/>
  <c r="O806" i="8"/>
  <c r="S807" i="8"/>
  <c r="R808" i="8"/>
  <c r="R809" i="8"/>
  <c r="P812" i="8"/>
  <c r="O813" i="8"/>
  <c r="S814" i="8"/>
  <c r="O814" i="8"/>
  <c r="S815" i="8"/>
  <c r="R816" i="8"/>
  <c r="R817" i="8"/>
  <c r="P820" i="8"/>
  <c r="O821" i="8"/>
  <c r="S822" i="8"/>
  <c r="O822" i="8"/>
  <c r="S823" i="8"/>
  <c r="R824" i="8"/>
  <c r="R825" i="8"/>
  <c r="P828" i="8"/>
  <c r="O829" i="8"/>
  <c r="S830" i="8"/>
  <c r="O830" i="8"/>
  <c r="S831" i="8"/>
  <c r="R832" i="8"/>
  <c r="R833" i="8"/>
  <c r="P836" i="8"/>
  <c r="O837" i="8"/>
  <c r="S838" i="8"/>
  <c r="O838" i="8"/>
  <c r="S839" i="8"/>
  <c r="R840" i="8"/>
  <c r="R841" i="8"/>
  <c r="P844" i="8"/>
  <c r="O845" i="8"/>
  <c r="S846" i="8"/>
  <c r="O846" i="8"/>
  <c r="S847" i="8"/>
  <c r="R848" i="8"/>
  <c r="R849" i="8"/>
  <c r="P852" i="8"/>
  <c r="O853" i="8"/>
  <c r="S854" i="8"/>
  <c r="O854" i="8"/>
  <c r="S855" i="8"/>
  <c r="R856" i="8"/>
  <c r="R857" i="8"/>
  <c r="P860" i="8"/>
  <c r="O861" i="8"/>
  <c r="S862" i="8"/>
  <c r="O862" i="8"/>
  <c r="S863" i="8"/>
  <c r="R864" i="8"/>
  <c r="R865" i="8"/>
  <c r="P868" i="8"/>
  <c r="O869" i="8"/>
  <c r="S870" i="8"/>
  <c r="O870" i="8"/>
  <c r="S871" i="8"/>
  <c r="R872" i="8"/>
  <c r="R873" i="8"/>
  <c r="P876" i="8"/>
  <c r="O877" i="8"/>
  <c r="S878" i="8"/>
  <c r="O878" i="8"/>
  <c r="S879" i="8"/>
  <c r="R880" i="8"/>
  <c r="R881" i="8"/>
  <c r="P884" i="8"/>
  <c r="O885" i="8"/>
  <c r="S886" i="8"/>
  <c r="O886" i="8"/>
  <c r="S887" i="8"/>
  <c r="R888" i="8"/>
  <c r="R889" i="8"/>
  <c r="P892" i="8"/>
  <c r="O893" i="8"/>
  <c r="S894" i="8"/>
  <c r="O894" i="8"/>
  <c r="S895" i="8"/>
  <c r="R896" i="8"/>
  <c r="R897" i="8"/>
  <c r="P900" i="8"/>
  <c r="O901" i="8"/>
  <c r="S902" i="8"/>
  <c r="O902" i="8"/>
  <c r="S903" i="8"/>
  <c r="R904" i="8"/>
  <c r="R905" i="8"/>
  <c r="P908" i="8"/>
  <c r="O909" i="8"/>
  <c r="S910" i="8"/>
  <c r="O910" i="8"/>
  <c r="S911" i="8"/>
  <c r="R912" i="8"/>
  <c r="R913" i="8"/>
  <c r="P916" i="8"/>
  <c r="O917" i="8"/>
  <c r="S918" i="8"/>
  <c r="O918" i="8"/>
  <c r="S919" i="8"/>
  <c r="R920" i="8"/>
  <c r="R921" i="8"/>
  <c r="P924" i="8"/>
  <c r="O925" i="8"/>
  <c r="S926" i="8"/>
  <c r="O926" i="8"/>
  <c r="S927" i="8"/>
  <c r="R928" i="8"/>
  <c r="R929" i="8"/>
  <c r="P932" i="8"/>
  <c r="O933" i="8"/>
  <c r="S934" i="8"/>
  <c r="O934" i="8"/>
  <c r="S935" i="8"/>
  <c r="R936" i="8"/>
  <c r="R937" i="8"/>
  <c r="P940" i="8"/>
  <c r="O941" i="8"/>
  <c r="S942" i="8"/>
  <c r="O942" i="8"/>
  <c r="S943" i="8"/>
  <c r="R944" i="8"/>
  <c r="R945" i="8"/>
  <c r="P948" i="8"/>
  <c r="O949" i="8"/>
  <c r="S950" i="8"/>
  <c r="O950" i="8"/>
  <c r="S951" i="8"/>
  <c r="R952" i="8"/>
  <c r="R953" i="8"/>
  <c r="P956" i="8"/>
  <c r="O957" i="8"/>
  <c r="S958" i="8"/>
  <c r="O958" i="8"/>
  <c r="S959" i="8"/>
  <c r="S960" i="8"/>
  <c r="P967" i="8"/>
  <c r="Q967" i="8"/>
  <c r="P975" i="8"/>
  <c r="Q975" i="8"/>
  <c r="P983" i="8"/>
  <c r="Q983" i="8"/>
  <c r="P991" i="8"/>
  <c r="Q991" i="8"/>
  <c r="P999" i="8"/>
  <c r="Q999" i="8"/>
  <c r="BK38" i="12" a="1"/>
  <c r="BK38" i="12" s="1"/>
  <c r="BK33" i="12" a="1"/>
  <c r="BK33" i="12" s="1"/>
  <c r="BH32" i="12" a="1"/>
  <c r="BH32" i="12" s="1"/>
  <c r="BK29" i="12" a="1"/>
  <c r="BK29" i="12" s="1"/>
  <c r="BK37" i="12" a="1"/>
  <c r="BK37" i="12" s="1"/>
  <c r="BH34" i="12" a="1"/>
  <c r="BH34" i="12" s="1"/>
  <c r="BK28" i="12" a="1"/>
  <c r="BK28" i="12" s="1"/>
  <c r="BH27" i="12" a="1"/>
  <c r="BH27" i="12" s="1"/>
  <c r="BK26" i="12" a="1"/>
  <c r="BK26" i="12" s="1"/>
  <c r="BH25" i="12" a="1"/>
  <c r="BH25" i="12" s="1"/>
  <c r="BK20" i="12" a="1"/>
  <c r="BK20" i="12" s="1"/>
  <c r="BH18" i="12" a="1"/>
  <c r="BH18" i="12" s="1"/>
  <c r="BK14" i="12" a="1"/>
  <c r="BK14" i="12" s="1"/>
  <c r="BK13" i="12" a="1"/>
  <c r="BK13" i="12" s="1"/>
  <c r="BK12" i="12" a="1"/>
  <c r="BK12" i="12" s="1"/>
  <c r="K46" i="14" s="1"/>
  <c r="BH6" i="12" a="1"/>
  <c r="BH6" i="12" s="1"/>
  <c r="BK4" i="12" a="1"/>
  <c r="BK4" i="12" s="1"/>
  <c r="BH38" i="12" a="1"/>
  <c r="BH38" i="12" s="1"/>
  <c r="BH33" i="12" a="1"/>
  <c r="BH33" i="12" s="1"/>
  <c r="BK32" i="12" a="1"/>
  <c r="BK32" i="12" s="1"/>
  <c r="BH29" i="12" a="1"/>
  <c r="BH29" i="12" s="1"/>
  <c r="BH22" i="12" a="1"/>
  <c r="BH22" i="12" s="1"/>
  <c r="BH37" i="12" a="1"/>
  <c r="BH37" i="12" s="1"/>
  <c r="BK34" i="12" a="1"/>
  <c r="BK34" i="12" s="1"/>
  <c r="BH28" i="12" a="1"/>
  <c r="BH28" i="12" s="1"/>
  <c r="BK27" i="12" a="1"/>
  <c r="BK27" i="12" s="1"/>
  <c r="BH26" i="12" a="1"/>
  <c r="BH26" i="12" s="1"/>
  <c r="BK25" i="12" a="1"/>
  <c r="BK25" i="12" s="1"/>
  <c r="BH20" i="12" a="1"/>
  <c r="BH20" i="12" s="1"/>
  <c r="BK18" i="12" a="1"/>
  <c r="BK18" i="12" s="1"/>
  <c r="BH14" i="12" a="1"/>
  <c r="BH14" i="12" s="1"/>
  <c r="BK22" i="12" a="1"/>
  <c r="BK22" i="12" s="1"/>
  <c r="BH13" i="12" a="1"/>
  <c r="BH13" i="12" s="1"/>
  <c r="BK10" i="12" a="1"/>
  <c r="BK10" i="12" s="1"/>
  <c r="I46" i="14" s="1"/>
  <c r="BK7" i="12" a="1"/>
  <c r="BK7" i="12" s="1"/>
  <c r="BK21" i="12" a="1"/>
  <c r="BK21" i="12" s="1"/>
  <c r="BK17" i="12" a="1"/>
  <c r="BK17" i="12" s="1"/>
  <c r="BH12" i="12" a="1"/>
  <c r="BH12" i="12" s="1"/>
  <c r="K17" i="15" s="1"/>
  <c r="BH9" i="12" a="1"/>
  <c r="BH9" i="12" s="1"/>
  <c r="H17" i="15" s="1"/>
  <c r="BK6" i="12" a="1"/>
  <c r="BK6" i="12" s="1"/>
  <c r="BK3" i="12" a="1"/>
  <c r="BK3" i="12" s="1"/>
  <c r="BH21" i="12" a="1"/>
  <c r="BH21" i="12" s="1"/>
  <c r="BH8" i="12" a="1"/>
  <c r="BH8" i="12" s="1"/>
  <c r="G17" i="15" s="1"/>
  <c r="BH5" i="12" a="1"/>
  <c r="BH5" i="12" s="1"/>
  <c r="BK11" i="12" a="1"/>
  <c r="BK11" i="12" s="1"/>
  <c r="J46" i="14" s="1"/>
  <c r="AD18" i="9"/>
  <c r="BK42" i="12" s="1" a="1"/>
  <c r="BK42" i="12" s="1"/>
  <c r="F53" i="13" s="1" a="1"/>
  <c r="F53" i="13" s="1"/>
  <c r="AC18" i="9"/>
  <c r="AG18" i="9" s="1"/>
  <c r="N3" i="12"/>
  <c r="Z3" i="12"/>
  <c r="BH4" i="12" a="1"/>
  <c r="BH4" i="12" s="1"/>
  <c r="M14" i="12"/>
  <c r="AA14" i="12"/>
  <c r="V14" i="12"/>
  <c r="AG7" i="12"/>
  <c r="AB7" i="12"/>
  <c r="AD7" i="12" s="1"/>
  <c r="W7" i="12"/>
  <c r="S7" i="12"/>
  <c r="O7" i="12"/>
  <c r="C7" i="12"/>
  <c r="H7" i="12"/>
  <c r="F10" i="15" s="1"/>
  <c r="R7" i="12"/>
  <c r="Y7" i="12"/>
  <c r="F23" i="14" s="1"/>
  <c r="Z9" i="12"/>
  <c r="U9" i="12"/>
  <c r="Q9" i="12"/>
  <c r="H20" i="14" s="1"/>
  <c r="I9" i="12"/>
  <c r="H11" i="15" s="1"/>
  <c r="L9" i="12"/>
  <c r="H16" i="14" s="1"/>
  <c r="R9" i="12"/>
  <c r="H13" i="15" s="1"/>
  <c r="W9" i="12"/>
  <c r="H27" i="14" s="1"/>
  <c r="AC9" i="12"/>
  <c r="AC10" i="12"/>
  <c r="AD10" i="12" s="1"/>
  <c r="Y10" i="12"/>
  <c r="I23" i="14" s="1"/>
  <c r="T10" i="12"/>
  <c r="I25" i="14" s="1"/>
  <c r="P10" i="12"/>
  <c r="I19" i="14" s="1"/>
  <c r="L10" i="12"/>
  <c r="I16" i="14" s="1"/>
  <c r="H10" i="12"/>
  <c r="I10" i="15" s="1"/>
  <c r="R10" i="12"/>
  <c r="I13" i="15" s="1"/>
  <c r="W10" i="12"/>
  <c r="I27" i="14" s="1"/>
  <c r="I60" i="14"/>
  <c r="E14" i="12"/>
  <c r="BT42" i="12" a="1"/>
  <c r="BT42" i="12" s="1"/>
  <c r="BR42" i="12" a="1"/>
  <c r="BR42" i="12" s="1"/>
  <c r="F62" i="13" s="1" a="1"/>
  <c r="F62" i="13" s="1"/>
  <c r="AG42" i="12" a="1"/>
  <c r="AG42" i="12" s="1"/>
  <c r="F30" i="13" s="1" a="1"/>
  <c r="F30" i="13" s="1"/>
  <c r="BV42" i="12" a="1"/>
  <c r="BV42" i="12" s="1"/>
  <c r="F60" i="13" s="1" a="1"/>
  <c r="F60" i="13" s="1"/>
  <c r="Z17" i="12"/>
  <c r="U17" i="12"/>
  <c r="Q17" i="12"/>
  <c r="I17" i="12"/>
  <c r="BS42" i="12" a="1"/>
  <c r="BS42" i="12" s="1"/>
  <c r="F63" i="13" s="1" a="1"/>
  <c r="F63" i="13" s="1"/>
  <c r="AF42" i="12" a="1"/>
  <c r="AF42" i="12" s="1"/>
  <c r="F29" i="13" s="1" a="1"/>
  <c r="F29" i="13" s="1"/>
  <c r="AG17" i="12"/>
  <c r="AB17" i="12"/>
  <c r="W17" i="12"/>
  <c r="S17" i="12"/>
  <c r="O17" i="12"/>
  <c r="C17" i="12"/>
  <c r="J17" i="12"/>
  <c r="R17" i="12"/>
  <c r="Z21" i="12"/>
  <c r="U21" i="12"/>
  <c r="Q21" i="12"/>
  <c r="I21" i="12"/>
  <c r="AG21" i="12"/>
  <c r="AB21" i="12"/>
  <c r="W21" i="12"/>
  <c r="S21" i="12"/>
  <c r="O21" i="12"/>
  <c r="C21" i="12"/>
  <c r="J21" i="12"/>
  <c r="R21" i="12"/>
  <c r="S961" i="8"/>
  <c r="S965" i="8"/>
  <c r="S969" i="8"/>
  <c r="S973" i="8"/>
  <c r="S977" i="8"/>
  <c r="S981" i="8"/>
  <c r="S985" i="8"/>
  <c r="S989" i="8"/>
  <c r="S993" i="8"/>
  <c r="S997" i="8"/>
  <c r="I7" i="12"/>
  <c r="N7" i="12"/>
  <c r="T7" i="12"/>
  <c r="Z7" i="12"/>
  <c r="AF7" i="12"/>
  <c r="C9" i="12"/>
  <c r="H7" i="15" s="1"/>
  <c r="H9" i="12"/>
  <c r="H10" i="15" s="1"/>
  <c r="N9" i="12"/>
  <c r="H18" i="14" s="1"/>
  <c r="S9" i="12"/>
  <c r="H14" i="15" s="1"/>
  <c r="Y9" i="12"/>
  <c r="H23" i="14" s="1"/>
  <c r="AF9" i="12"/>
  <c r="C10" i="12"/>
  <c r="I7" i="15" s="1"/>
  <c r="I10" i="12"/>
  <c r="I11" i="15" s="1"/>
  <c r="N10" i="12"/>
  <c r="I18" i="14" s="1"/>
  <c r="S10" i="12"/>
  <c r="I14" i="15" s="1"/>
  <c r="Z10" i="12"/>
  <c r="AF10" i="12"/>
  <c r="AG11" i="12"/>
  <c r="AB11" i="12"/>
  <c r="J24" i="14" s="1"/>
  <c r="W11" i="12"/>
  <c r="J27" i="14" s="1"/>
  <c r="S11" i="12"/>
  <c r="J14" i="15" s="1"/>
  <c r="O11" i="12"/>
  <c r="C11" i="12"/>
  <c r="J7" i="15" s="1"/>
  <c r="H11" i="12"/>
  <c r="J10" i="15" s="1"/>
  <c r="R11" i="12"/>
  <c r="J13" i="15" s="1"/>
  <c r="Y11" i="12"/>
  <c r="J23" i="14" s="1"/>
  <c r="K13" i="12"/>
  <c r="L17" i="12"/>
  <c r="T17" i="12"/>
  <c r="AC17" i="12"/>
  <c r="AG19" i="12"/>
  <c r="AB19" i="12"/>
  <c r="AD19" i="12" s="1"/>
  <c r="W19" i="12"/>
  <c r="S19" i="12"/>
  <c r="O19" i="12"/>
  <c r="C19" i="12"/>
  <c r="Z19" i="12"/>
  <c r="U19" i="12"/>
  <c r="Q19" i="12"/>
  <c r="I19" i="12"/>
  <c r="J19" i="12"/>
  <c r="R19" i="12"/>
  <c r="L21" i="12"/>
  <c r="T21" i="12"/>
  <c r="AC21" i="12"/>
  <c r="K46" i="12"/>
  <c r="K12" i="13" s="1" a="1"/>
  <c r="K12" i="13" s="1"/>
  <c r="G45" i="12"/>
  <c r="M45" i="12" s="1"/>
  <c r="I14" i="13" s="1" a="1"/>
  <c r="I14" i="13" s="1"/>
  <c r="J7" i="12"/>
  <c r="P7" i="12"/>
  <c r="U7" i="12"/>
  <c r="J9" i="12"/>
  <c r="H12" i="15" s="1"/>
  <c r="O9" i="12"/>
  <c r="T9" i="12"/>
  <c r="H25" i="14" s="1"/>
  <c r="AG9" i="12"/>
  <c r="J10" i="12"/>
  <c r="I12" i="15" s="1"/>
  <c r="O10" i="12"/>
  <c r="U10" i="12"/>
  <c r="AG10" i="12"/>
  <c r="AA13" i="12"/>
  <c r="V13" i="12"/>
  <c r="F17" i="12"/>
  <c r="N17" i="12"/>
  <c r="AF17" i="12"/>
  <c r="F21" i="12"/>
  <c r="N21" i="12"/>
  <c r="AF21" i="12"/>
  <c r="E22" i="12"/>
  <c r="G22" i="12"/>
  <c r="M22" i="12" s="1"/>
  <c r="F18" i="12"/>
  <c r="J18" i="12"/>
  <c r="N18" i="12"/>
  <c r="R18" i="12"/>
  <c r="AF18" i="12"/>
  <c r="F25" i="12"/>
  <c r="J25" i="12"/>
  <c r="N25" i="12"/>
  <c r="R25" i="12"/>
  <c r="AF25" i="12"/>
  <c r="F27" i="12"/>
  <c r="J27" i="12"/>
  <c r="N27" i="12"/>
  <c r="R27" i="12"/>
  <c r="AF27" i="12"/>
  <c r="G29" i="12"/>
  <c r="M29" i="12" s="1"/>
  <c r="I32" i="12"/>
  <c r="Q32" i="12"/>
  <c r="U32" i="12"/>
  <c r="Z32" i="12"/>
  <c r="C33" i="12"/>
  <c r="O11" i="13" s="1"/>
  <c r="O33" i="12"/>
  <c r="S33" i="12"/>
  <c r="W33" i="12"/>
  <c r="AB33" i="12"/>
  <c r="AG33" i="12"/>
  <c r="V34" i="12"/>
  <c r="H37" i="12"/>
  <c r="L37" i="12"/>
  <c r="P37" i="12"/>
  <c r="T37" i="12"/>
  <c r="Y37" i="12"/>
  <c r="AC37" i="12"/>
  <c r="G38" i="12"/>
  <c r="M38" i="12" s="1"/>
  <c r="AD41" i="12"/>
  <c r="E26" i="13" s="1" a="1"/>
  <c r="E26" i="13" s="1"/>
  <c r="AL41" i="12"/>
  <c r="D42" i="12"/>
  <c r="F5" i="13" s="1" a="1"/>
  <c r="F5" i="13" s="1"/>
  <c r="K42" i="12"/>
  <c r="F12" i="13" s="1" a="1"/>
  <c r="F12" i="13" s="1"/>
  <c r="AD43" i="12"/>
  <c r="G26" i="13" s="1" a="1"/>
  <c r="G26" i="13" s="1"/>
  <c r="BV43" i="12" a="1"/>
  <c r="BV43" i="12" s="1"/>
  <c r="G60" i="13" s="1" a="1"/>
  <c r="G60" i="13" s="1"/>
  <c r="D44" i="12"/>
  <c r="K44" i="12"/>
  <c r="H12" i="13" s="1" a="1"/>
  <c r="H12" i="13" s="1"/>
  <c r="BV45" i="12" a="1"/>
  <c r="BV45" i="12" s="1"/>
  <c r="I60" i="13" s="1" a="1"/>
  <c r="I60" i="13" s="1"/>
  <c r="H46" i="12"/>
  <c r="K9" i="13" s="1" a="1"/>
  <c r="K9" i="13" s="1"/>
  <c r="T46" i="12"/>
  <c r="AE46" i="12" s="1"/>
  <c r="Y46" i="12"/>
  <c r="K20" i="13" s="1" a="1"/>
  <c r="K20" i="13" s="1"/>
  <c r="AC46" i="12"/>
  <c r="AD46" i="12" s="1"/>
  <c r="K26" i="13" s="1" a="1"/>
  <c r="K26" i="13" s="1"/>
  <c r="AX46" i="12"/>
  <c r="AN46" i="12" s="1"/>
  <c r="K36" i="13" s="1" a="1"/>
  <c r="K36" i="13" s="1"/>
  <c r="I70" i="13" a="1"/>
  <c r="I70" i="13" s="1"/>
  <c r="I68" i="13" a="1"/>
  <c r="I68" i="13" s="1"/>
  <c r="I66" i="13" a="1"/>
  <c r="I66" i="13" s="1"/>
  <c r="I67" i="13" a="1"/>
  <c r="I67" i="13" s="1"/>
  <c r="I63" i="13" a="1"/>
  <c r="I63" i="13" s="1"/>
  <c r="I61" i="13" a="1"/>
  <c r="I61" i="13" s="1"/>
  <c r="I20" i="13" a="1"/>
  <c r="I20" i="13" s="1"/>
  <c r="I17" i="13" a="1"/>
  <c r="I17" i="13" s="1"/>
  <c r="I9" i="13" a="1"/>
  <c r="I9" i="13" s="1"/>
  <c r="I50" i="13" a="1"/>
  <c r="I50" i="13" s="1"/>
  <c r="I16" i="13" a="1"/>
  <c r="I16" i="13" s="1"/>
  <c r="I11" i="13" a="1"/>
  <c r="I11" i="13" s="1"/>
  <c r="I10" i="13" a="1"/>
  <c r="I10" i="13" s="1"/>
  <c r="I59" i="13" a="1"/>
  <c r="I59" i="13" s="1"/>
  <c r="I58" i="13" a="1"/>
  <c r="I58" i="13" s="1"/>
  <c r="I57" i="13" a="1"/>
  <c r="I57" i="13" s="1"/>
  <c r="I56" i="13" a="1"/>
  <c r="I56" i="13" s="1"/>
  <c r="I55" i="13" a="1"/>
  <c r="I55" i="13" s="1"/>
  <c r="I54" i="13" a="1"/>
  <c r="I54" i="13" s="1"/>
  <c r="I53" i="13" a="1"/>
  <c r="I53" i="13" s="1"/>
  <c r="I52" i="13" a="1"/>
  <c r="I52" i="13" s="1"/>
  <c r="I51" i="13" a="1"/>
  <c r="I51" i="13" s="1"/>
  <c r="I28" i="13" a="1"/>
  <c r="I28" i="13" s="1"/>
  <c r="I27" i="13" a="1"/>
  <c r="I27" i="13" s="1"/>
  <c r="I26" i="13" a="1"/>
  <c r="I26" i="13" s="1"/>
  <c r="I25" i="13" a="1"/>
  <c r="I25" i="13" s="1"/>
  <c r="I23" i="13" a="1"/>
  <c r="I23" i="13" s="1"/>
  <c r="I22" i="13" a="1"/>
  <c r="I22" i="13" s="1"/>
  <c r="I21" i="13" a="1"/>
  <c r="I21" i="13" s="1"/>
  <c r="I19" i="13" a="1"/>
  <c r="I19" i="13" s="1"/>
  <c r="I15" i="13" a="1"/>
  <c r="I15" i="13" s="1"/>
  <c r="I12" i="13" a="1"/>
  <c r="I12" i="13" s="1"/>
  <c r="I69" i="13" a="1"/>
  <c r="I69" i="13" s="1"/>
  <c r="I49" i="13" a="1"/>
  <c r="I49" i="13" s="1"/>
  <c r="I48" i="13" a="1"/>
  <c r="I48" i="13" s="1"/>
  <c r="I47" i="13" a="1"/>
  <c r="I47" i="13" s="1"/>
  <c r="I46" i="13" a="1"/>
  <c r="I46" i="13" s="1"/>
  <c r="I45" i="13" a="1"/>
  <c r="I45" i="13" s="1"/>
  <c r="I44" i="13" a="1"/>
  <c r="I44" i="13" s="1"/>
  <c r="I43" i="13" a="1"/>
  <c r="I43" i="13" s="1"/>
  <c r="I42" i="13" a="1"/>
  <c r="I42" i="13" s="1"/>
  <c r="I41" i="13" a="1"/>
  <c r="I41" i="13" s="1"/>
  <c r="I40" i="13" a="1"/>
  <c r="I40" i="13" s="1"/>
  <c r="I39" i="13" a="1"/>
  <c r="I39" i="13" s="1"/>
  <c r="I38" i="13" a="1"/>
  <c r="I38" i="13" s="1"/>
  <c r="I37" i="13" a="1"/>
  <c r="I37" i="13" s="1"/>
  <c r="I36" i="13" a="1"/>
  <c r="I36" i="13" s="1"/>
  <c r="I35" i="13" a="1"/>
  <c r="I35" i="13" s="1"/>
  <c r="I34" i="13" a="1"/>
  <c r="I34" i="13" s="1"/>
  <c r="I33" i="13" a="1"/>
  <c r="I33" i="13" s="1"/>
  <c r="I32" i="13" a="1"/>
  <c r="I32" i="13" s="1"/>
  <c r="I31" i="13" a="1"/>
  <c r="I31" i="13" s="1"/>
  <c r="J65" i="13" a="1"/>
  <c r="J65" i="13" s="1"/>
  <c r="J63" i="13" a="1"/>
  <c r="J63" i="13" s="1"/>
  <c r="J61" i="13" a="1"/>
  <c r="J61" i="13" s="1"/>
  <c r="J64" i="13" a="1"/>
  <c r="J64" i="13" s="1"/>
  <c r="J26" i="13" a="1"/>
  <c r="J26" i="13" s="1"/>
  <c r="J25" i="13" a="1"/>
  <c r="J25" i="13" s="1"/>
  <c r="J23" i="13" a="1"/>
  <c r="J23" i="13" s="1"/>
  <c r="J22" i="13" a="1"/>
  <c r="J22" i="13" s="1"/>
  <c r="J21" i="13" a="1"/>
  <c r="J21" i="13" s="1"/>
  <c r="J19" i="13" a="1"/>
  <c r="J19" i="13" s="1"/>
  <c r="J15" i="13" a="1"/>
  <c r="J15" i="13" s="1"/>
  <c r="J12" i="13" a="1"/>
  <c r="J12" i="13" s="1"/>
  <c r="J5" i="13" a="1"/>
  <c r="J5" i="13" s="1"/>
  <c r="J62" i="13" a="1"/>
  <c r="J62" i="13" s="1"/>
  <c r="J54" i="13" a="1"/>
  <c r="J54" i="13" s="1"/>
  <c r="J52" i="13" a="1"/>
  <c r="J52" i="13" s="1"/>
  <c r="J51" i="13" a="1"/>
  <c r="J51" i="13" s="1"/>
  <c r="J18" i="13" a="1"/>
  <c r="J18" i="13" s="1"/>
  <c r="J13" i="13" a="1"/>
  <c r="J13" i="13" s="1"/>
  <c r="J8" i="13" a="1"/>
  <c r="J8" i="13" s="1"/>
  <c r="J7" i="13" a="1"/>
  <c r="J7" i="13" s="1"/>
  <c r="J6" i="13" a="1"/>
  <c r="J6" i="13" s="1"/>
  <c r="J4" i="13" a="1"/>
  <c r="J4" i="13" s="1"/>
  <c r="J49" i="13" a="1"/>
  <c r="J49" i="13" s="1"/>
  <c r="J48" i="13" a="1"/>
  <c r="J48" i="13" s="1"/>
  <c r="J47" i="13" a="1"/>
  <c r="J47" i="13" s="1"/>
  <c r="J44" i="13" a="1"/>
  <c r="J44" i="13" s="1"/>
  <c r="J43" i="13" a="1"/>
  <c r="J43" i="13" s="1"/>
  <c r="J42" i="13" a="1"/>
  <c r="J42" i="13" s="1"/>
  <c r="J41" i="13" a="1"/>
  <c r="J41" i="13" s="1"/>
  <c r="J40" i="13" a="1"/>
  <c r="J40" i="13" s="1"/>
  <c r="J39" i="13" a="1"/>
  <c r="J39" i="13" s="1"/>
  <c r="J38" i="13" a="1"/>
  <c r="J38" i="13" s="1"/>
  <c r="J37" i="13" a="1"/>
  <c r="J37" i="13" s="1"/>
  <c r="J36" i="13" a="1"/>
  <c r="J36" i="13" s="1"/>
  <c r="J35" i="13" a="1"/>
  <c r="J35" i="13" s="1"/>
  <c r="J34" i="13" a="1"/>
  <c r="J34" i="13" s="1"/>
  <c r="J33" i="13" a="1"/>
  <c r="J33" i="13" s="1"/>
  <c r="J32" i="13" a="1"/>
  <c r="J32" i="13" s="1"/>
  <c r="J31" i="13" a="1"/>
  <c r="J31" i="13" s="1"/>
  <c r="J30" i="13" a="1"/>
  <c r="J30" i="13" s="1"/>
  <c r="J29" i="13" a="1"/>
  <c r="J29" i="13" s="1"/>
  <c r="J20" i="13" a="1"/>
  <c r="J20" i="13" s="1"/>
  <c r="J17" i="13" a="1"/>
  <c r="J17" i="13" s="1"/>
  <c r="J9" i="13" a="1"/>
  <c r="J9" i="13" s="1"/>
  <c r="J16" i="13" a="1"/>
  <c r="J16" i="13" s="1"/>
  <c r="I18" i="13" a="1"/>
  <c r="I18" i="13" s="1"/>
  <c r="F32" i="12"/>
  <c r="J32" i="12"/>
  <c r="N32" i="12"/>
  <c r="R32" i="12"/>
  <c r="AF32" i="12"/>
  <c r="H33" i="12"/>
  <c r="L33" i="12"/>
  <c r="P33" i="12"/>
  <c r="T33" i="12"/>
  <c r="Y33" i="12"/>
  <c r="AC33" i="12"/>
  <c r="K34" i="12"/>
  <c r="AG43" i="12" a="1"/>
  <c r="AG43" i="12" s="1"/>
  <c r="G30" i="13" s="1" a="1"/>
  <c r="G30" i="13" s="1"/>
  <c r="BR43" i="12" a="1"/>
  <c r="BR43" i="12" s="1"/>
  <c r="G62" i="13" s="1" a="1"/>
  <c r="G62" i="13" s="1"/>
  <c r="BT43" i="12" a="1"/>
  <c r="BT43" i="12" s="1"/>
  <c r="AF44" i="12" a="1"/>
  <c r="AF44" i="12" s="1"/>
  <c r="H29" i="13" s="1" a="1"/>
  <c r="H29" i="13" s="1"/>
  <c r="BS44" i="12" a="1"/>
  <c r="BS44" i="12" s="1"/>
  <c r="V45" i="12"/>
  <c r="I24" i="13" s="1" a="1"/>
  <c r="I24" i="13" s="1"/>
  <c r="AG45" i="12" a="1"/>
  <c r="AG45" i="12" s="1"/>
  <c r="I30" i="13" s="1" a="1"/>
  <c r="I30" i="13" s="1"/>
  <c r="BR45" i="12" a="1"/>
  <c r="BR45" i="12" s="1"/>
  <c r="I62" i="13" s="1" a="1"/>
  <c r="I62" i="13" s="1"/>
  <c r="BT45" i="12" a="1"/>
  <c r="BT45" i="12" s="1"/>
  <c r="BU45" i="12" s="1"/>
  <c r="BX45" i="12" s="1" a="1"/>
  <c r="BX45" i="12" s="1"/>
  <c r="BZ45" i="12" s="1"/>
  <c r="CA45" i="12" s="1" a="1"/>
  <c r="CA45" i="12" s="1"/>
  <c r="E46" i="12"/>
  <c r="K6" i="13" s="1" a="1"/>
  <c r="K6" i="13" s="1"/>
  <c r="V49" i="12"/>
  <c r="J24" i="13" s="1" a="1"/>
  <c r="J24" i="13" s="1"/>
  <c r="F61" i="13" a="1"/>
  <c r="F61" i="13" s="1"/>
  <c r="F49" i="13" a="1"/>
  <c r="F49" i="13" s="1"/>
  <c r="F48" i="13" a="1"/>
  <c r="F48" i="13" s="1"/>
  <c r="F47" i="13" a="1"/>
  <c r="F47" i="13" s="1"/>
  <c r="F44" i="13" a="1"/>
  <c r="F44" i="13" s="1"/>
  <c r="F43" i="13" a="1"/>
  <c r="F43" i="13" s="1"/>
  <c r="F42" i="13" a="1"/>
  <c r="F42" i="13" s="1"/>
  <c r="F41" i="13" a="1"/>
  <c r="F41" i="13" s="1"/>
  <c r="F40" i="13" a="1"/>
  <c r="F40" i="13" s="1"/>
  <c r="F39" i="13" a="1"/>
  <c r="F39" i="13" s="1"/>
  <c r="F38" i="13" a="1"/>
  <c r="F38" i="13" s="1"/>
  <c r="F37" i="13" a="1"/>
  <c r="F37" i="13" s="1"/>
  <c r="F36" i="13" a="1"/>
  <c r="F36" i="13" s="1"/>
  <c r="F35" i="13" a="1"/>
  <c r="F35" i="13" s="1"/>
  <c r="F34" i="13" a="1"/>
  <c r="F34" i="13" s="1"/>
  <c r="F33" i="13" a="1"/>
  <c r="F33" i="13" s="1"/>
  <c r="F32" i="13" a="1"/>
  <c r="F32" i="13" s="1"/>
  <c r="F31" i="13" a="1"/>
  <c r="F31" i="13" s="1"/>
  <c r="F19" i="13" a="1"/>
  <c r="F19" i="13" s="1"/>
  <c r="F15" i="13" a="1"/>
  <c r="F15" i="13" s="1"/>
  <c r="F18" i="13" a="1"/>
  <c r="F18" i="13" s="1"/>
  <c r="F13" i="13" a="1"/>
  <c r="F13" i="13" s="1"/>
  <c r="F6" i="13" a="1"/>
  <c r="F6" i="13" s="1"/>
  <c r="F4" i="13" a="1"/>
  <c r="F4" i="13" s="1"/>
  <c r="F27" i="13" a="1"/>
  <c r="F27" i="13" s="1"/>
  <c r="F26" i="13" a="1"/>
  <c r="F26" i="13" s="1"/>
  <c r="F25" i="13" a="1"/>
  <c r="F25" i="13" s="1"/>
  <c r="F24" i="13" a="1"/>
  <c r="F24" i="13" s="1"/>
  <c r="F23" i="13" a="1"/>
  <c r="F23" i="13" s="1"/>
  <c r="F22" i="13" a="1"/>
  <c r="F22" i="13" s="1"/>
  <c r="F21" i="13" a="1"/>
  <c r="F21" i="13" s="1"/>
  <c r="F20" i="13" a="1"/>
  <c r="F20" i="13" s="1"/>
  <c r="F17" i="13" a="1"/>
  <c r="F17" i="13" s="1"/>
  <c r="F9" i="13" a="1"/>
  <c r="F9" i="13" s="1"/>
  <c r="F54" i="13" a="1"/>
  <c r="F54" i="13" s="1"/>
  <c r="F52" i="13" a="1"/>
  <c r="F52" i="13" s="1"/>
  <c r="F51" i="13" a="1"/>
  <c r="F51" i="13" s="1"/>
  <c r="S20" i="13" a="1"/>
  <c r="S20" i="13" s="1"/>
  <c r="S12" i="13" a="1"/>
  <c r="S12" i="13" s="1"/>
  <c r="S5" i="13" a="1"/>
  <c r="S5" i="13" s="1"/>
  <c r="S7" i="13" a="1"/>
  <c r="S7" i="13" s="1"/>
  <c r="S6" i="13" a="1"/>
  <c r="S6" i="13" s="1"/>
  <c r="S4" i="13" a="1"/>
  <c r="S4" i="13" s="1"/>
  <c r="S19" i="13" a="1"/>
  <c r="S19" i="13" s="1"/>
  <c r="S15" i="13" a="1"/>
  <c r="S15" i="13" s="1"/>
  <c r="F10" i="13" a="1"/>
  <c r="F10" i="13" s="1"/>
  <c r="S10" i="13" a="1"/>
  <c r="S10" i="13" s="1"/>
  <c r="S14" i="13" a="1"/>
  <c r="S14" i="13" s="1"/>
  <c r="F4" i="12"/>
  <c r="J4" i="12"/>
  <c r="N4" i="12"/>
  <c r="R4" i="12"/>
  <c r="AF4" i="12"/>
  <c r="F8" i="12"/>
  <c r="G10" i="14" s="1"/>
  <c r="J8" i="12"/>
  <c r="G12" i="15" s="1"/>
  <c r="N8" i="12"/>
  <c r="G18" i="14" s="1"/>
  <c r="R8" i="12"/>
  <c r="G13" i="15" s="1"/>
  <c r="AF8" i="12"/>
  <c r="F12" i="12"/>
  <c r="K10" i="14" s="1"/>
  <c r="J12" i="12"/>
  <c r="K12" i="15" s="1"/>
  <c r="N12" i="12"/>
  <c r="K18" i="14" s="1"/>
  <c r="R12" i="12"/>
  <c r="K13" i="15" s="1"/>
  <c r="AF12" i="12"/>
  <c r="H18" i="12"/>
  <c r="L18" i="12"/>
  <c r="P18" i="12"/>
  <c r="T18" i="12"/>
  <c r="Y18" i="12"/>
  <c r="AA18" i="12" s="1"/>
  <c r="AC18" i="12"/>
  <c r="F20" i="12"/>
  <c r="J20" i="12"/>
  <c r="N20" i="12"/>
  <c r="R20" i="12"/>
  <c r="AF20" i="12"/>
  <c r="H25" i="12"/>
  <c r="L25" i="12"/>
  <c r="P25" i="12"/>
  <c r="T25" i="12"/>
  <c r="Y25" i="12"/>
  <c r="AC25" i="12"/>
  <c r="F26" i="12"/>
  <c r="J26" i="12"/>
  <c r="N26" i="12"/>
  <c r="R26" i="12"/>
  <c r="H27" i="12"/>
  <c r="L27" i="12"/>
  <c r="P27" i="12"/>
  <c r="T27" i="12"/>
  <c r="Y27" i="12"/>
  <c r="F28" i="12"/>
  <c r="J28" i="12"/>
  <c r="N28" i="12"/>
  <c r="R28" i="12"/>
  <c r="C32" i="12"/>
  <c r="O10" i="13" s="1"/>
  <c r="O32" i="12"/>
  <c r="S32" i="12"/>
  <c r="W32" i="12"/>
  <c r="AB32" i="12"/>
  <c r="AG32" i="12"/>
  <c r="I33" i="12"/>
  <c r="Q33" i="12"/>
  <c r="U33" i="12"/>
  <c r="Z33" i="12"/>
  <c r="F37" i="12"/>
  <c r="J37" i="12"/>
  <c r="N37" i="12"/>
  <c r="R37" i="12"/>
  <c r="AF37" i="12"/>
  <c r="D41" i="12"/>
  <c r="E5" i="13" s="1" a="1"/>
  <c r="E5" i="13" s="1"/>
  <c r="K41" i="12"/>
  <c r="D43" i="12"/>
  <c r="G5" i="13" s="1" a="1"/>
  <c r="G5" i="13" s="1"/>
  <c r="BV44" i="12" a="1"/>
  <c r="BV44" i="12" s="1"/>
  <c r="H60" i="13" s="1" a="1"/>
  <c r="H60" i="13" s="1"/>
  <c r="D45" i="12"/>
  <c r="I5" i="13" s="1" a="1"/>
  <c r="I5" i="13" s="1"/>
  <c r="BB46" i="12"/>
  <c r="K47" i="13" s="1" a="1"/>
  <c r="K47" i="13" s="1"/>
  <c r="W49" i="12"/>
  <c r="AE49" i="12" s="1"/>
  <c r="T19" i="13" a="1"/>
  <c r="T19" i="13" s="1"/>
  <c r="T15" i="13" a="1"/>
  <c r="T15" i="13" s="1"/>
  <c r="T13" i="13" a="1"/>
  <c r="T13" i="13" s="1"/>
  <c r="T9" i="13" a="1"/>
  <c r="T9" i="13" s="1"/>
  <c r="T18" i="13" a="1"/>
  <c r="T18" i="13" s="1"/>
  <c r="T14" i="13" a="1"/>
  <c r="T14" i="13" s="1"/>
  <c r="T11" i="13" a="1"/>
  <c r="T11" i="13" s="1"/>
  <c r="T10" i="13" a="1"/>
  <c r="T10" i="13" s="1"/>
  <c r="T20" i="13" a="1"/>
  <c r="T20" i="13" s="1"/>
  <c r="T17" i="13" a="1"/>
  <c r="T17" i="13" s="1"/>
  <c r="T12" i="13" a="1"/>
  <c r="T12" i="13" s="1"/>
  <c r="T5" i="13" a="1"/>
  <c r="T5" i="13" s="1"/>
  <c r="I4" i="13" a="1"/>
  <c r="I4" i="13" s="1"/>
  <c r="T6" i="13" a="1"/>
  <c r="T6" i="13" s="1"/>
  <c r="I7" i="13" a="1"/>
  <c r="I7" i="13" s="1"/>
  <c r="J11" i="13" a="1"/>
  <c r="J11" i="13" s="1"/>
  <c r="F16" i="13" a="1"/>
  <c r="F16" i="13" s="1"/>
  <c r="T16" i="13" a="1"/>
  <c r="T16" i="13" s="1"/>
  <c r="F33" i="12"/>
  <c r="J33" i="12"/>
  <c r="N33" i="12"/>
  <c r="R33" i="12"/>
  <c r="AF43" i="12" a="1"/>
  <c r="AF43" i="12" s="1"/>
  <c r="G29" i="13" s="1" a="1"/>
  <c r="G29" i="13" s="1"/>
  <c r="AG44" i="12" a="1"/>
  <c r="AG44" i="12" s="1"/>
  <c r="H30" i="13" s="1" a="1"/>
  <c r="H30" i="13" s="1"/>
  <c r="BR44" i="12" a="1"/>
  <c r="BR44" i="12" s="1"/>
  <c r="H62" i="13" s="1" a="1"/>
  <c r="H62" i="13" s="1"/>
  <c r="AF45" i="12" a="1"/>
  <c r="AF45" i="12" s="1"/>
  <c r="H68" i="13" a="1"/>
  <c r="H68" i="13" s="1"/>
  <c r="I6" i="13" a="1"/>
  <c r="I6" i="13" s="1"/>
  <c r="J10" i="13" a="1"/>
  <c r="J10" i="13" s="1"/>
  <c r="I13" i="13" a="1"/>
  <c r="I13" i="13" s="1"/>
  <c r="J14" i="13" a="1"/>
  <c r="J14" i="13" s="1"/>
  <c r="G70" i="13" a="1"/>
  <c r="G70" i="13" s="1"/>
  <c r="G68" i="13" a="1"/>
  <c r="G68" i="13" s="1"/>
  <c r="G66" i="13" a="1"/>
  <c r="G66" i="13" s="1"/>
  <c r="G69" i="13" a="1"/>
  <c r="G69" i="13" s="1"/>
  <c r="G61" i="13" a="1"/>
  <c r="G61" i="13" s="1"/>
  <c r="R2" i="13"/>
  <c r="U2" i="13"/>
  <c r="H9" i="13" a="1"/>
  <c r="H9" i="13" s="1"/>
  <c r="E12" i="13" a="1"/>
  <c r="E12" i="13" s="1"/>
  <c r="G12" i="13" a="1"/>
  <c r="G12" i="13" s="1"/>
  <c r="E15" i="13" a="1"/>
  <c r="E15" i="13" s="1"/>
  <c r="G15" i="13" a="1"/>
  <c r="G15" i="13" s="1"/>
  <c r="H17" i="13" a="1"/>
  <c r="H17" i="13" s="1"/>
  <c r="E19" i="13" a="1"/>
  <c r="E19" i="13" s="1"/>
  <c r="G19" i="13" a="1"/>
  <c r="G19" i="13" s="1"/>
  <c r="H20" i="13" a="1"/>
  <c r="H20" i="13" s="1"/>
  <c r="G31" i="13" a="1"/>
  <c r="G31" i="13" s="1"/>
  <c r="G32" i="13" a="1"/>
  <c r="G32" i="13" s="1"/>
  <c r="G33" i="13" a="1"/>
  <c r="G33" i="13" s="1"/>
  <c r="G34" i="13" a="1"/>
  <c r="G34" i="13" s="1"/>
  <c r="G35" i="13" a="1"/>
  <c r="G35" i="13" s="1"/>
  <c r="G36" i="13" a="1"/>
  <c r="G36" i="13" s="1"/>
  <c r="G37" i="13" a="1"/>
  <c r="G37" i="13" s="1"/>
  <c r="G38" i="13" a="1"/>
  <c r="G38" i="13" s="1"/>
  <c r="G39" i="13" a="1"/>
  <c r="G39" i="13" s="1"/>
  <c r="G40" i="13" a="1"/>
  <c r="G40" i="13" s="1"/>
  <c r="G41" i="13" a="1"/>
  <c r="G41" i="13" s="1"/>
  <c r="G42" i="13" a="1"/>
  <c r="G42" i="13" s="1"/>
  <c r="G43" i="13" a="1"/>
  <c r="G43" i="13" s="1"/>
  <c r="G44" i="13" a="1"/>
  <c r="G44" i="13" s="1"/>
  <c r="G45" i="13" a="1"/>
  <c r="G45" i="13" s="1"/>
  <c r="G46" i="13" a="1"/>
  <c r="G46" i="13" s="1"/>
  <c r="G47" i="13" a="1"/>
  <c r="G47" i="13" s="1"/>
  <c r="G48" i="13" a="1"/>
  <c r="G48" i="13" s="1"/>
  <c r="G49" i="13" a="1"/>
  <c r="G49" i="13" s="1"/>
  <c r="H50" i="13" a="1"/>
  <c r="H50" i="13" s="1"/>
  <c r="E61" i="13" a="1"/>
  <c r="E61" i="13" s="1"/>
  <c r="H69" i="13" a="1"/>
  <c r="H69" i="13" s="1"/>
  <c r="H67" i="13" a="1"/>
  <c r="H67" i="13" s="1"/>
  <c r="H61" i="13" a="1"/>
  <c r="H61" i="13" s="1"/>
  <c r="H66" i="13" a="1"/>
  <c r="H66" i="13" s="1"/>
  <c r="H70" i="13" a="1"/>
  <c r="H70" i="13" s="1"/>
  <c r="H4" i="13" a="1"/>
  <c r="H4" i="13" s="1"/>
  <c r="H6" i="13" a="1"/>
  <c r="H6" i="13" s="1"/>
  <c r="E10" i="13" a="1"/>
  <c r="E10" i="13" s="1"/>
  <c r="E11" i="13" a="1"/>
  <c r="E11" i="13" s="1"/>
  <c r="H13" i="13" a="1"/>
  <c r="H13" i="13" s="1"/>
  <c r="E16" i="13" a="1"/>
  <c r="E16" i="13" s="1"/>
  <c r="H18" i="13" a="1"/>
  <c r="H18" i="13" s="1"/>
  <c r="G21" i="13" a="1"/>
  <c r="G21" i="13" s="1"/>
  <c r="G22" i="13" a="1"/>
  <c r="G22" i="13" s="1"/>
  <c r="G23" i="13" a="1"/>
  <c r="G23" i="13" s="1"/>
  <c r="G24" i="13" a="1"/>
  <c r="G24" i="13" s="1"/>
  <c r="G25" i="13" a="1"/>
  <c r="G25" i="13" s="1"/>
  <c r="G27" i="13" a="1"/>
  <c r="G27" i="13" s="1"/>
  <c r="G28" i="13" a="1"/>
  <c r="G28" i="13" s="1"/>
  <c r="E31" i="13" a="1"/>
  <c r="E31" i="13" s="1"/>
  <c r="H31" i="13" a="1"/>
  <c r="H31" i="13" s="1"/>
  <c r="E32" i="13" a="1"/>
  <c r="E32" i="13" s="1"/>
  <c r="H32" i="13" a="1"/>
  <c r="H32" i="13" s="1"/>
  <c r="E33" i="13" a="1"/>
  <c r="E33" i="13" s="1"/>
  <c r="H33" i="13" a="1"/>
  <c r="H33" i="13" s="1"/>
  <c r="E34" i="13" a="1"/>
  <c r="E34" i="13" s="1"/>
  <c r="H34" i="13" a="1"/>
  <c r="H34" i="13" s="1"/>
  <c r="E35" i="13" a="1"/>
  <c r="E35" i="13" s="1"/>
  <c r="H35" i="13" a="1"/>
  <c r="H35" i="13" s="1"/>
  <c r="E36" i="13" a="1"/>
  <c r="E36" i="13" s="1"/>
  <c r="H36" i="13" a="1"/>
  <c r="H36" i="13" s="1"/>
  <c r="E37" i="13" a="1"/>
  <c r="E37" i="13" s="1"/>
  <c r="H37" i="13" a="1"/>
  <c r="H37" i="13" s="1"/>
  <c r="E38" i="13" a="1"/>
  <c r="E38" i="13" s="1"/>
  <c r="H38" i="13" a="1"/>
  <c r="H38" i="13" s="1"/>
  <c r="E39" i="13" a="1"/>
  <c r="E39" i="13" s="1"/>
  <c r="H39" i="13" a="1"/>
  <c r="H39" i="13" s="1"/>
  <c r="E40" i="13" a="1"/>
  <c r="E40" i="13" s="1"/>
  <c r="H40" i="13" a="1"/>
  <c r="H40" i="13" s="1"/>
  <c r="E41" i="13" a="1"/>
  <c r="E41" i="13" s="1"/>
  <c r="H41" i="13" a="1"/>
  <c r="H41" i="13" s="1"/>
  <c r="E42" i="13" a="1"/>
  <c r="E42" i="13" s="1"/>
  <c r="H42" i="13" a="1"/>
  <c r="H42" i="13" s="1"/>
  <c r="E43" i="13" a="1"/>
  <c r="E43" i="13" s="1"/>
  <c r="H43" i="13" a="1"/>
  <c r="H43" i="13" s="1"/>
  <c r="E44" i="13" a="1"/>
  <c r="E44" i="13" s="1"/>
  <c r="H44" i="13" a="1"/>
  <c r="H44" i="13" s="1"/>
  <c r="H45" i="13" a="1"/>
  <c r="H45" i="13" s="1"/>
  <c r="H46" i="13" a="1"/>
  <c r="H46" i="13" s="1"/>
  <c r="E47" i="13" a="1"/>
  <c r="E47" i="13" s="1"/>
  <c r="H47" i="13" a="1"/>
  <c r="H47" i="13" s="1"/>
  <c r="E48" i="13" a="1"/>
  <c r="E48" i="13" s="1"/>
  <c r="H48" i="13" a="1"/>
  <c r="H48" i="13" s="1"/>
  <c r="E49" i="13" a="1"/>
  <c r="E49" i="13" s="1"/>
  <c r="H49" i="13" a="1"/>
  <c r="H49" i="13" s="1"/>
  <c r="G51" i="13" a="1"/>
  <c r="G51" i="13" s="1"/>
  <c r="G52" i="13" a="1"/>
  <c r="G52" i="13" s="1"/>
  <c r="G53" i="13" a="1"/>
  <c r="G53" i="13" s="1"/>
  <c r="G54" i="13" a="1"/>
  <c r="G54" i="13" s="1"/>
  <c r="G55" i="13" a="1"/>
  <c r="G55" i="13" s="1"/>
  <c r="G67" i="13" a="1"/>
  <c r="G67" i="13" s="1"/>
  <c r="H5" i="13" a="1"/>
  <c r="H5" i="13" s="1"/>
  <c r="E9" i="13" a="1"/>
  <c r="E9" i="13" s="1"/>
  <c r="G9" i="13" a="1"/>
  <c r="G9" i="13" s="1"/>
  <c r="H15" i="13" a="1"/>
  <c r="H15" i="13" s="1"/>
  <c r="E17" i="13" a="1"/>
  <c r="E17" i="13" s="1"/>
  <c r="G17" i="13" a="1"/>
  <c r="G17" i="13" s="1"/>
  <c r="H19" i="13" a="1"/>
  <c r="H19" i="13" s="1"/>
  <c r="E20" i="13" a="1"/>
  <c r="E20" i="13" s="1"/>
  <c r="G20" i="13" a="1"/>
  <c r="G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7" i="13" a="1"/>
  <c r="E27" i="13" s="1"/>
  <c r="G50" i="13" a="1"/>
  <c r="G50" i="13" s="1"/>
  <c r="E51" i="13" a="1"/>
  <c r="E51" i="13" s="1"/>
  <c r="H51" i="13" a="1"/>
  <c r="H51" i="13" s="1"/>
  <c r="E52" i="13" a="1"/>
  <c r="E52" i="13" s="1"/>
  <c r="H52" i="13" a="1"/>
  <c r="H52" i="13" s="1"/>
  <c r="H53" i="13" a="1"/>
  <c r="H53" i="13" s="1"/>
  <c r="E54" i="13" a="1"/>
  <c r="E54" i="13" s="1"/>
  <c r="H54" i="13" a="1"/>
  <c r="H54" i="13" s="1"/>
  <c r="H55" i="13" a="1"/>
  <c r="H55" i="13" s="1"/>
  <c r="G56" i="13" a="1"/>
  <c r="G56" i="13" s="1"/>
  <c r="G57" i="13" a="1"/>
  <c r="G57" i="13" s="1"/>
  <c r="G58" i="13" a="1"/>
  <c r="G58" i="13" s="1"/>
  <c r="G59" i="13" a="1"/>
  <c r="G59" i="13" s="1"/>
  <c r="AG13" i="9" l="1"/>
  <c r="AG8" i="9"/>
  <c r="B60" i="14"/>
  <c r="E7" i="14"/>
  <c r="B20" i="14"/>
  <c r="H22" i="15"/>
  <c r="D52" i="14"/>
  <c r="C47" i="14"/>
  <c r="B46" i="14"/>
  <c r="E20" i="14"/>
  <c r="D25" i="14"/>
  <c r="E52" i="14"/>
  <c r="D48" i="14"/>
  <c r="C24" i="14"/>
  <c r="D19" i="14"/>
  <c r="B52" i="14"/>
  <c r="E21" i="14"/>
  <c r="E19" i="14"/>
  <c r="B23" i="14"/>
  <c r="B12" i="14"/>
  <c r="E23" i="14"/>
  <c r="C46" i="14"/>
  <c r="D7" i="14"/>
  <c r="D23" i="14"/>
  <c r="C20" i="14"/>
  <c r="C23" i="14"/>
  <c r="C14" i="14"/>
  <c r="C10" i="14"/>
  <c r="E46" i="14"/>
  <c r="E24" i="14"/>
  <c r="B10" i="14"/>
  <c r="D12" i="14"/>
  <c r="D51" i="14"/>
  <c r="C51" i="14"/>
  <c r="C25" i="14"/>
  <c r="D21" i="14"/>
  <c r="D60" i="14"/>
  <c r="E12" i="14"/>
  <c r="D10" i="14"/>
  <c r="E47" i="14"/>
  <c r="B7" i="14"/>
  <c r="B25" i="14"/>
  <c r="E48" i="14"/>
  <c r="C13" i="14"/>
  <c r="C22" i="14"/>
  <c r="B27" i="14"/>
  <c r="C52" i="14"/>
  <c r="E25" i="14"/>
  <c r="B14" i="14"/>
  <c r="D13" i="14"/>
  <c r="C21" i="14"/>
  <c r="B18" i="14"/>
  <c r="E13" i="14"/>
  <c r="B19" i="14"/>
  <c r="B16" i="14"/>
  <c r="D18" i="14"/>
  <c r="D14" i="14"/>
  <c r="D20" i="14"/>
  <c r="B13" i="14"/>
  <c r="E51" i="14"/>
  <c r="C48" i="14"/>
  <c r="B49" i="14"/>
  <c r="E49" i="14"/>
  <c r="C19" i="14"/>
  <c r="C16" i="14"/>
  <c r="D16" i="14"/>
  <c r="B24" i="14"/>
  <c r="C18" i="14"/>
  <c r="F7" i="14"/>
  <c r="E18" i="14"/>
  <c r="E14" i="14"/>
  <c r="E10" i="14"/>
  <c r="E16" i="14"/>
  <c r="B22" i="14"/>
  <c r="D27" i="14"/>
  <c r="D22" i="14"/>
  <c r="B21" i="14"/>
  <c r="C49" i="14"/>
  <c r="B48" i="14"/>
  <c r="C12" i="14"/>
  <c r="C7" i="14"/>
  <c r="B20" i="13" a="1"/>
  <c r="B20" i="13" s="1"/>
  <c r="B21" i="13" a="1"/>
  <c r="B21" i="13" s="1"/>
  <c r="B48" i="13" a="1"/>
  <c r="B48" i="13" s="1"/>
  <c r="B18" i="13" a="1"/>
  <c r="B18" i="13" s="1"/>
  <c r="B15" i="13" a="1"/>
  <c r="B15" i="13" s="1"/>
  <c r="B13" i="13" a="1"/>
  <c r="B13" i="13" s="1"/>
  <c r="B22" i="13" a="1"/>
  <c r="B22" i="13" s="1"/>
  <c r="B24" i="13" a="1"/>
  <c r="B24" i="13" s="1"/>
  <c r="B19" i="13" a="1"/>
  <c r="B19" i="13" s="1"/>
  <c r="B12" i="13" a="1"/>
  <c r="B12" i="13" s="1"/>
  <c r="B9" i="13" a="1"/>
  <c r="B9" i="13" s="1"/>
  <c r="V46" i="12"/>
  <c r="K24" i="13" s="1" a="1"/>
  <c r="K24" i="13" s="1"/>
  <c r="O5" i="13"/>
  <c r="AA46" i="12"/>
  <c r="K25" i="13" s="1" a="1"/>
  <c r="K25" i="13" s="1"/>
  <c r="K22" i="13" a="1"/>
  <c r="K22" i="13" s="1"/>
  <c r="O14" i="13" a="1"/>
  <c r="O14" i="13" s="1"/>
  <c r="I48" i="14"/>
  <c r="B51" i="14"/>
  <c r="D49" i="14"/>
  <c r="K14" i="14"/>
  <c r="F19" i="14"/>
  <c r="F24" i="14"/>
  <c r="F20" i="14"/>
  <c r="I21" i="14"/>
  <c r="K12" i="14"/>
  <c r="G49" i="14"/>
  <c r="F10" i="14"/>
  <c r="F27" i="14"/>
  <c r="I22" i="14"/>
  <c r="G24" i="14"/>
  <c r="D24" i="14"/>
  <c r="H47" i="14"/>
  <c r="F14" i="14"/>
  <c r="H51" i="14"/>
  <c r="K47" i="14"/>
  <c r="H49" i="14"/>
  <c r="H21" i="14"/>
  <c r="H12" i="14"/>
  <c r="B17" i="13" a="1"/>
  <c r="B17" i="13" s="1"/>
  <c r="F18" i="14"/>
  <c r="E14" i="15"/>
  <c r="E22" i="14"/>
  <c r="G14" i="14"/>
  <c r="K21" i="15"/>
  <c r="K22" i="15" s="1"/>
  <c r="K51" i="14"/>
  <c r="H48" i="14"/>
  <c r="H22" i="14"/>
  <c r="H13" i="14"/>
  <c r="H14" i="14"/>
  <c r="B49" i="13" a="1"/>
  <c r="B49" i="13" s="1"/>
  <c r="F52" i="14"/>
  <c r="B46" i="13" a="1"/>
  <c r="B46" i="13" s="1"/>
  <c r="F49" i="14"/>
  <c r="G21" i="15"/>
  <c r="G51" i="14"/>
  <c r="J21" i="14"/>
  <c r="F21" i="14"/>
  <c r="F51" i="14"/>
  <c r="I12" i="14"/>
  <c r="K48" i="14"/>
  <c r="K21" i="14"/>
  <c r="K49" i="14"/>
  <c r="K13" i="14"/>
  <c r="AD9" i="12"/>
  <c r="G18" i="15"/>
  <c r="G48" i="14"/>
  <c r="I19" i="15"/>
  <c r="I22" i="15" s="1"/>
  <c r="I49" i="14"/>
  <c r="I47" i="14"/>
  <c r="I51" i="14"/>
  <c r="J22" i="14"/>
  <c r="F16" i="14"/>
  <c r="J47" i="14"/>
  <c r="J51" i="14"/>
  <c r="I14" i="14"/>
  <c r="I13" i="14"/>
  <c r="K22" i="14"/>
  <c r="G21" i="14"/>
  <c r="G12" i="14"/>
  <c r="J14" i="14"/>
  <c r="K24" i="14"/>
  <c r="B45" i="13" a="1"/>
  <c r="B45" i="13" s="1"/>
  <c r="F48" i="14"/>
  <c r="J18" i="15"/>
  <c r="J22" i="15" s="1"/>
  <c r="J48" i="14"/>
  <c r="F46" i="14"/>
  <c r="J13" i="14"/>
  <c r="J12" i="14"/>
  <c r="F22" i="14"/>
  <c r="F13" i="14"/>
  <c r="F12" i="14"/>
  <c r="F25" i="14"/>
  <c r="J49" i="14"/>
  <c r="G47" i="14"/>
  <c r="G22" i="14"/>
  <c r="G13" i="14"/>
  <c r="G20" i="12"/>
  <c r="M20" i="12" s="1"/>
  <c r="K7" i="14"/>
  <c r="J7" i="14"/>
  <c r="I7" i="14"/>
  <c r="H7" i="14"/>
  <c r="G7" i="14"/>
  <c r="D10" i="15"/>
  <c r="E11" i="15"/>
  <c r="E7" i="15"/>
  <c r="C12" i="15"/>
  <c r="B10" i="15"/>
  <c r="E13" i="15"/>
  <c r="C13" i="15"/>
  <c r="E10" i="15"/>
  <c r="G8" i="12"/>
  <c r="D12" i="15"/>
  <c r="E18" i="15"/>
  <c r="C21" i="15"/>
  <c r="C17" i="15"/>
  <c r="D7" i="15"/>
  <c r="B13" i="15"/>
  <c r="C19" i="15"/>
  <c r="B18" i="15"/>
  <c r="B7" i="15"/>
  <c r="B14" i="15"/>
  <c r="D21" i="15"/>
  <c r="C11" i="15"/>
  <c r="F7" i="15"/>
  <c r="B12" i="15"/>
  <c r="D14" i="15"/>
  <c r="B11" i="15"/>
  <c r="E21" i="15"/>
  <c r="C18" i="15"/>
  <c r="B19" i="15"/>
  <c r="E19" i="15"/>
  <c r="C7" i="15"/>
  <c r="C10" i="15"/>
  <c r="E17" i="15"/>
  <c r="E12" i="15"/>
  <c r="D11" i="15"/>
  <c r="D18" i="15"/>
  <c r="C14" i="15"/>
  <c r="D13" i="15"/>
  <c r="G41" i="12"/>
  <c r="E8" i="13" s="1" a="1"/>
  <c r="E8" i="13" s="1"/>
  <c r="BH7" i="12" a="1"/>
  <c r="BH7" i="12" s="1"/>
  <c r="BH41" i="12" a="1"/>
  <c r="BH41" i="12" s="1"/>
  <c r="E50" i="13" s="1" a="1"/>
  <c r="E50" i="13" s="1"/>
  <c r="AD37" i="12"/>
  <c r="BU43" i="12"/>
  <c r="BX43" i="12" s="1" a="1"/>
  <c r="BX43" i="12" s="1"/>
  <c r="BZ43" i="12" s="1"/>
  <c r="CA43" i="12" s="1" a="1"/>
  <c r="CA43" i="12" s="1"/>
  <c r="G42" i="12"/>
  <c r="M42" i="12" s="1"/>
  <c r="F14" i="13" s="1" a="1"/>
  <c r="F14" i="13" s="1"/>
  <c r="G4" i="12"/>
  <c r="D19" i="12"/>
  <c r="F11" i="15"/>
  <c r="BC37" i="12"/>
  <c r="BD37" i="12" s="1"/>
  <c r="G21" i="12"/>
  <c r="M21" i="12" s="1"/>
  <c r="V20" i="12"/>
  <c r="F19" i="15"/>
  <c r="F18" i="15"/>
  <c r="F14" i="15"/>
  <c r="B21" i="15"/>
  <c r="F21" i="15"/>
  <c r="F13" i="15"/>
  <c r="G7" i="13" a="1"/>
  <c r="G7" i="13" s="1"/>
  <c r="K18" i="12"/>
  <c r="F12" i="15"/>
  <c r="V8" i="12"/>
  <c r="G26" i="14" s="1"/>
  <c r="BC9" i="12"/>
  <c r="BC27" i="12"/>
  <c r="BD27" i="12" s="1"/>
  <c r="AD25" i="12"/>
  <c r="BU44" i="12"/>
  <c r="BX44" i="12" s="1" a="1"/>
  <c r="BX44" i="12" s="1"/>
  <c r="BZ44" i="12" s="1"/>
  <c r="CA44" i="12" s="1" a="1"/>
  <c r="CA44" i="12" s="1"/>
  <c r="G32" i="12"/>
  <c r="M32" i="12" s="1"/>
  <c r="D32" i="12"/>
  <c r="BH17" i="12" a="1"/>
  <c r="BH17" i="12" s="1"/>
  <c r="BC17" i="12" s="1"/>
  <c r="BD17" i="12" s="1"/>
  <c r="AA27" i="12"/>
  <c r="AD18" i="12"/>
  <c r="AD11" i="12"/>
  <c r="G12" i="12"/>
  <c r="AA37" i="12"/>
  <c r="BC22" i="12"/>
  <c r="BE22" i="12" s="1"/>
  <c r="BY22" i="12" s="1" a="1"/>
  <c r="BY22" i="12" s="1"/>
  <c r="K3" i="12"/>
  <c r="AA8" i="12"/>
  <c r="AA12" i="12"/>
  <c r="S18" i="13" a="1"/>
  <c r="S18" i="13" s="1"/>
  <c r="K4" i="12"/>
  <c r="G44" i="12"/>
  <c r="M44" i="12" s="1"/>
  <c r="H14" i="13" s="1" a="1"/>
  <c r="H14" i="13" s="1"/>
  <c r="D21" i="12"/>
  <c r="G26" i="12"/>
  <c r="M26" i="12" s="1"/>
  <c r="S17" i="13" a="1"/>
  <c r="S17" i="13" s="1"/>
  <c r="K25" i="12"/>
  <c r="BC13" i="12"/>
  <c r="BD13" i="12" s="1"/>
  <c r="BC28" i="12"/>
  <c r="BD28" i="12" s="1"/>
  <c r="K27" i="12"/>
  <c r="BC33" i="12"/>
  <c r="BD33" i="12" s="1"/>
  <c r="S16" i="13" a="1"/>
  <c r="S16" i="13" s="1"/>
  <c r="BC8" i="12"/>
  <c r="D8" i="12"/>
  <c r="G19" i="12"/>
  <c r="M19" i="12" s="1"/>
  <c r="D20" i="12"/>
  <c r="V28" i="12"/>
  <c r="V26" i="12"/>
  <c r="BK41" i="12" a="1"/>
  <c r="BK41" i="12" s="1"/>
  <c r="E53" i="13" s="1" a="1"/>
  <c r="E53" i="13" s="1"/>
  <c r="G17" i="12"/>
  <c r="M17" i="12" s="1"/>
  <c r="D17" i="12"/>
  <c r="V12" i="12"/>
  <c r="K26" i="14" s="1"/>
  <c r="AD32" i="12"/>
  <c r="K37" i="12"/>
  <c r="G28" i="12"/>
  <c r="M28" i="12" s="1"/>
  <c r="AA25" i="12"/>
  <c r="K8" i="12"/>
  <c r="G15" i="14" s="1"/>
  <c r="K11" i="12"/>
  <c r="J15" i="14" s="1"/>
  <c r="BC5" i="12"/>
  <c r="BC11" i="12"/>
  <c r="BC26" i="12"/>
  <c r="BD26" i="12" s="1"/>
  <c r="BC25" i="12"/>
  <c r="BD25" i="12" s="1"/>
  <c r="BC32" i="12"/>
  <c r="BE32" i="12" s="1"/>
  <c r="BC12" i="12"/>
  <c r="BC20" i="12"/>
  <c r="BD20" i="12" s="1"/>
  <c r="BC38" i="12"/>
  <c r="BE38" i="12" s="1"/>
  <c r="BC10" i="12"/>
  <c r="BC18" i="12"/>
  <c r="BD18" i="12" s="1"/>
  <c r="BC4" i="12"/>
  <c r="BC14" i="12"/>
  <c r="BD14" i="12" s="1"/>
  <c r="BC6" i="12"/>
  <c r="BC34" i="12"/>
  <c r="BD34" i="12" s="1"/>
  <c r="BC21" i="12"/>
  <c r="BD21" i="12" s="1"/>
  <c r="BC29" i="12"/>
  <c r="BD29" i="12" s="1"/>
  <c r="AA4" i="12"/>
  <c r="AD20" i="12"/>
  <c r="BC3" i="12"/>
  <c r="BO18" i="12"/>
  <c r="BO21" i="12"/>
  <c r="BQ49" i="12"/>
  <c r="J59" i="13" s="1" a="1"/>
  <c r="J59" i="13" s="1"/>
  <c r="BO29" i="12"/>
  <c r="F46" i="12"/>
  <c r="K7" i="13" s="1" a="1"/>
  <c r="K7" i="13" s="1"/>
  <c r="AD26" i="12"/>
  <c r="V37" i="12"/>
  <c r="G64" i="13" a="1"/>
  <c r="G64" i="13" s="1"/>
  <c r="H63" i="13" a="1"/>
  <c r="H63" i="13" s="1"/>
  <c r="K32" i="12"/>
  <c r="I65" i="13" a="1"/>
  <c r="I65" i="13" s="1"/>
  <c r="BH19" i="12" a="1"/>
  <c r="BH19" i="12" s="1"/>
  <c r="BC19" i="12" s="1"/>
  <c r="BE19" i="12" s="1"/>
  <c r="BY19" i="12" s="1" a="1"/>
  <c r="BY19" i="12" s="1"/>
  <c r="BU42" i="12"/>
  <c r="BX42" i="12" s="1" a="1"/>
  <c r="BX42" i="12" s="1"/>
  <c r="F64" i="13" a="1"/>
  <c r="F64" i="13" s="1"/>
  <c r="I64" i="13" a="1"/>
  <c r="I64" i="13" s="1"/>
  <c r="K10" i="12"/>
  <c r="I15" i="14" s="1"/>
  <c r="K9" i="12"/>
  <c r="H15" i="14" s="1"/>
  <c r="BH42" i="12" a="1"/>
  <c r="BH42" i="12" s="1"/>
  <c r="BC42" i="12" s="1"/>
  <c r="K6" i="12"/>
  <c r="BV46" i="12"/>
  <c r="K60" i="13" s="1" a="1"/>
  <c r="K60" i="13" s="1"/>
  <c r="BO6" i="12"/>
  <c r="BO27" i="12"/>
  <c r="AD33" i="12"/>
  <c r="K5" i="12"/>
  <c r="D28" i="12"/>
  <c r="D26" i="12"/>
  <c r="D4" i="12"/>
  <c r="D12" i="12"/>
  <c r="AA26" i="12"/>
  <c r="AF46" i="12"/>
  <c r="K29" i="13" s="1" a="1"/>
  <c r="K29" i="13" s="1"/>
  <c r="AA28" i="12"/>
  <c r="AD6" i="12"/>
  <c r="AG46" i="12"/>
  <c r="K30" i="13" s="1" a="1"/>
  <c r="K30" i="13" s="1"/>
  <c r="BO10" i="12"/>
  <c r="BO25" i="12"/>
  <c r="K19" i="12"/>
  <c r="AD17" i="12"/>
  <c r="V4" i="12"/>
  <c r="BO5" i="12"/>
  <c r="BO7" i="12"/>
  <c r="F50" i="14" s="1"/>
  <c r="BO11" i="12"/>
  <c r="BO12" i="12"/>
  <c r="BO26" i="12"/>
  <c r="AD28" i="12"/>
  <c r="D25" i="12"/>
  <c r="G25" i="12"/>
  <c r="M25" i="12" s="1"/>
  <c r="E25" i="12"/>
  <c r="V25" i="12"/>
  <c r="V17" i="12"/>
  <c r="AA17" i="12"/>
  <c r="D10" i="12"/>
  <c r="E10" i="12"/>
  <c r="G10" i="12"/>
  <c r="G7" i="12"/>
  <c r="F11" i="14" s="1"/>
  <c r="E7" i="12"/>
  <c r="D7" i="12"/>
  <c r="V3" i="12"/>
  <c r="AA3" i="12"/>
  <c r="G8" i="13" a="1"/>
  <c r="G8" i="13" s="1"/>
  <c r="K40" i="13" a="1"/>
  <c r="K40" i="13" s="1"/>
  <c r="BK49" i="12"/>
  <c r="J53" i="13" s="1" a="1"/>
  <c r="J53" i="13" s="1"/>
  <c r="BO13" i="12"/>
  <c r="R19" i="13" a="1"/>
  <c r="R19" i="13" s="1"/>
  <c r="R15" i="13" a="1"/>
  <c r="R15" i="13" s="1"/>
  <c r="R18" i="13" a="1"/>
  <c r="R18" i="13" s="1"/>
  <c r="R14" i="13" a="1"/>
  <c r="R14" i="13" s="1"/>
  <c r="R11" i="13" a="1"/>
  <c r="R11" i="13" s="1"/>
  <c r="V11" i="13" s="1"/>
  <c r="R10" i="13" a="1"/>
  <c r="R10" i="13" s="1"/>
  <c r="R20" i="13" a="1"/>
  <c r="R20" i="13" s="1"/>
  <c r="R17" i="13" a="1"/>
  <c r="R17" i="13" s="1"/>
  <c r="R12" i="13" a="1"/>
  <c r="R12" i="13" s="1"/>
  <c r="R5" i="13" a="1"/>
  <c r="R5" i="13" s="1"/>
  <c r="R16" i="13" a="1"/>
  <c r="R16" i="13" s="1"/>
  <c r="R6" i="13" a="1"/>
  <c r="R6" i="13" s="1"/>
  <c r="R7" i="13" a="1"/>
  <c r="R7" i="13" s="1"/>
  <c r="R4" i="13" a="1"/>
  <c r="R4" i="13" s="1"/>
  <c r="D27" i="12"/>
  <c r="G27" i="12"/>
  <c r="M27" i="12" s="1"/>
  <c r="E27" i="12"/>
  <c r="V11" i="12"/>
  <c r="J26" i="14" s="1"/>
  <c r="AA11" i="12"/>
  <c r="AA10" i="12"/>
  <c r="V10" i="12"/>
  <c r="I26" i="14" s="1"/>
  <c r="V5" i="12"/>
  <c r="AA5" i="12"/>
  <c r="BO17" i="12"/>
  <c r="B50" i="14" s="1"/>
  <c r="BO22" i="12"/>
  <c r="BO19" i="12"/>
  <c r="BO9" i="12"/>
  <c r="BO14" i="12"/>
  <c r="BO20" i="12"/>
  <c r="BO28" i="12"/>
  <c r="BO37" i="12"/>
  <c r="BO38" i="12"/>
  <c r="K20" i="12"/>
  <c r="E20" i="12"/>
  <c r="BW20" i="12" s="1" a="1"/>
  <c r="BW20" i="12" s="1"/>
  <c r="E33" i="12"/>
  <c r="D33" i="12"/>
  <c r="G33" i="12"/>
  <c r="M33" i="12" s="1"/>
  <c r="D6" i="12"/>
  <c r="E6" i="12"/>
  <c r="G6" i="12"/>
  <c r="E19" i="12"/>
  <c r="BW19" i="12" s="1" a="1"/>
  <c r="BW19" i="12" s="1"/>
  <c r="B11" i="13" a="1"/>
  <c r="B11" i="13" s="1"/>
  <c r="E8" i="12"/>
  <c r="E5" i="12"/>
  <c r="D5" i="12"/>
  <c r="G5" i="12"/>
  <c r="G3" i="12"/>
  <c r="E3" i="12"/>
  <c r="D3" i="12"/>
  <c r="BO34" i="12"/>
  <c r="BM49" i="12"/>
  <c r="J55" i="13" s="1" a="1"/>
  <c r="J55" i="13" s="1"/>
  <c r="BM46" i="12"/>
  <c r="K55" i="13" s="1" a="1"/>
  <c r="K55" i="13" s="1"/>
  <c r="BN49" i="12"/>
  <c r="J56" i="13" s="1" a="1"/>
  <c r="J56" i="13" s="1"/>
  <c r="BN46" i="12"/>
  <c r="K56" i="13" s="1" a="1"/>
  <c r="K56" i="13" s="1"/>
  <c r="BO33" i="12"/>
  <c r="BQ46" i="12"/>
  <c r="K59" i="13" s="1" a="1"/>
  <c r="K59" i="13" s="1"/>
  <c r="U20" i="13" a="1"/>
  <c r="U20" i="13" s="1"/>
  <c r="U17" i="13" a="1"/>
  <c r="U17" i="13" s="1"/>
  <c r="U12" i="13" a="1"/>
  <c r="U12" i="13" s="1"/>
  <c r="U5" i="13" a="1"/>
  <c r="U5" i="13" s="1"/>
  <c r="U16" i="13" a="1"/>
  <c r="U16" i="13" s="1"/>
  <c r="U8" i="13" a="1"/>
  <c r="U8" i="13" s="1"/>
  <c r="U7" i="13" a="1"/>
  <c r="U7" i="13" s="1"/>
  <c r="U6" i="13" a="1"/>
  <c r="U6" i="13" s="1"/>
  <c r="U4" i="13" a="1"/>
  <c r="U4" i="13" s="1"/>
  <c r="U19" i="13" a="1"/>
  <c r="U19" i="13" s="1"/>
  <c r="U15" i="13" a="1"/>
  <c r="U15" i="13" s="1"/>
  <c r="U13" i="13" a="1"/>
  <c r="U13" i="13" s="1"/>
  <c r="U9" i="13" a="1"/>
  <c r="U9" i="13" s="1"/>
  <c r="U18" i="13" a="1"/>
  <c r="U18" i="13" s="1"/>
  <c r="U14" i="13" a="1"/>
  <c r="U14" i="13" s="1"/>
  <c r="U10" i="13" a="1"/>
  <c r="U10" i="13" s="1"/>
  <c r="U11" i="13" a="1"/>
  <c r="U11" i="13" s="1"/>
  <c r="E26" i="12"/>
  <c r="K26" i="12"/>
  <c r="AA7" i="12"/>
  <c r="V7" i="12"/>
  <c r="BS46" i="12"/>
  <c r="K63" i="13" s="1" a="1"/>
  <c r="K63" i="13" s="1"/>
  <c r="B6" i="13" a="1"/>
  <c r="B6" i="13" s="1"/>
  <c r="E29" i="13" a="1"/>
  <c r="E29" i="13" s="1"/>
  <c r="E30" i="13" a="1"/>
  <c r="E30" i="13" s="1"/>
  <c r="AA33" i="12"/>
  <c r="V33" i="12"/>
  <c r="AD21" i="12"/>
  <c r="AA19" i="12"/>
  <c r="V19" i="12"/>
  <c r="K17" i="12"/>
  <c r="AA9" i="12"/>
  <c r="V9" i="12"/>
  <c r="H26" i="14" s="1"/>
  <c r="V27" i="12"/>
  <c r="E21" i="12"/>
  <c r="BW21" i="12" s="1" a="1"/>
  <c r="BW21" i="12" s="1"/>
  <c r="V6" i="12"/>
  <c r="E26" i="14" s="1"/>
  <c r="AA6" i="12"/>
  <c r="BR46" i="12"/>
  <c r="K62" i="13" s="1" a="1"/>
  <c r="K62" i="13" s="1"/>
  <c r="K33" i="12"/>
  <c r="D46" i="12"/>
  <c r="K5" i="13" s="1" a="1"/>
  <c r="K5" i="13" s="1"/>
  <c r="E28" i="12"/>
  <c r="K28" i="12"/>
  <c r="D18" i="12"/>
  <c r="G18" i="12"/>
  <c r="M18" i="12" s="1"/>
  <c r="E18" i="12"/>
  <c r="BW18" i="12" s="1" a="1"/>
  <c r="BW18" i="12" s="1"/>
  <c r="K12" i="12"/>
  <c r="K15" i="14" s="1"/>
  <c r="E12" i="12"/>
  <c r="I8" i="13" a="1"/>
  <c r="I8" i="13" s="1"/>
  <c r="J27" i="13" a="1"/>
  <c r="J27" i="13" s="1"/>
  <c r="G37" i="12"/>
  <c r="M37" i="12" s="1"/>
  <c r="E37" i="12"/>
  <c r="D37" i="12"/>
  <c r="AA32" i="12"/>
  <c r="V32" i="12"/>
  <c r="E32" i="12"/>
  <c r="K7" i="12"/>
  <c r="G11" i="12"/>
  <c r="D11" i="12"/>
  <c r="E11" i="12"/>
  <c r="E9" i="12"/>
  <c r="D9" i="12"/>
  <c r="G9" i="12"/>
  <c r="K21" i="12"/>
  <c r="V21" i="12"/>
  <c r="AA21" i="12"/>
  <c r="V18" i="12"/>
  <c r="E17" i="12"/>
  <c r="BW17" i="12" s="1" a="1"/>
  <c r="BW17" i="12" s="1"/>
  <c r="BK19" i="12" a="1"/>
  <c r="BK19" i="12" s="1"/>
  <c r="B43" i="13" s="1" a="1"/>
  <c r="B43" i="13" s="1"/>
  <c r="AD3" i="12"/>
  <c r="BT46" i="12"/>
  <c r="BU46" i="12" s="1"/>
  <c r="BU41" i="12"/>
  <c r="BX41" i="12" s="1" a="1"/>
  <c r="BX41" i="12" s="1"/>
  <c r="E4" i="12"/>
  <c r="BP49" i="12"/>
  <c r="BP46" i="12"/>
  <c r="BO41" i="12"/>
  <c r="E57" i="13" s="1" a="1"/>
  <c r="E57" i="13" s="1"/>
  <c r="BO4" i="12"/>
  <c r="BO8" i="12"/>
  <c r="BO42" i="12"/>
  <c r="F57" i="13" s="1" a="1"/>
  <c r="F57" i="13" s="1"/>
  <c r="F8" i="14" l="1"/>
  <c r="G22" i="15"/>
  <c r="E22" i="15"/>
  <c r="C22" i="15"/>
  <c r="B8" i="14"/>
  <c r="D8" i="14"/>
  <c r="C15" i="14"/>
  <c r="B26" i="14"/>
  <c r="D50" i="14"/>
  <c r="C8" i="14"/>
  <c r="D47" i="14"/>
  <c r="D46" i="14"/>
  <c r="E15" i="14"/>
  <c r="C26" i="14"/>
  <c r="B15" i="14"/>
  <c r="E50" i="14"/>
  <c r="B47" i="14"/>
  <c r="D26" i="14"/>
  <c r="D15" i="14"/>
  <c r="BZ19" i="12"/>
  <c r="CA19" i="12" s="1" a="1"/>
  <c r="CA19" i="12" s="1"/>
  <c r="J9" i="14"/>
  <c r="BW11" i="12" a="1"/>
  <c r="BW11" i="12" s="1"/>
  <c r="K9" i="14"/>
  <c r="BW12" i="12" a="1"/>
  <c r="BW12" i="12" s="1"/>
  <c r="G9" i="14"/>
  <c r="BW8" i="12" a="1"/>
  <c r="BW8" i="12" s="1"/>
  <c r="E9" i="14"/>
  <c r="BW6" i="12" a="1"/>
  <c r="BW6" i="12" s="1"/>
  <c r="F9" i="14"/>
  <c r="BW7" i="12" a="1"/>
  <c r="BW7" i="12" s="1"/>
  <c r="I9" i="14"/>
  <c r="BW10" i="12" a="1"/>
  <c r="BW10" i="12" s="1"/>
  <c r="C9" i="14"/>
  <c r="BW4" i="12" a="1"/>
  <c r="BW4" i="12" s="1"/>
  <c r="H9" i="14"/>
  <c r="BW9" i="12" a="1"/>
  <c r="BW9" i="12" s="1"/>
  <c r="D9" i="14"/>
  <c r="BW5" i="12" a="1"/>
  <c r="BW5" i="12" s="1"/>
  <c r="B9" i="14"/>
  <c r="BW3" i="12" a="1"/>
  <c r="BW3" i="12" s="1"/>
  <c r="B23" i="13" a="1"/>
  <c r="B23" i="13" s="1"/>
  <c r="F26" i="14"/>
  <c r="M9" i="12"/>
  <c r="H17" i="14" s="1"/>
  <c r="H11" i="14"/>
  <c r="J8" i="15"/>
  <c r="J8" i="14"/>
  <c r="M5" i="12"/>
  <c r="D17" i="14" s="1"/>
  <c r="D11" i="14"/>
  <c r="E8" i="15"/>
  <c r="E8" i="14"/>
  <c r="M10" i="12"/>
  <c r="I17" i="14" s="1"/>
  <c r="I11" i="14"/>
  <c r="J20" i="15"/>
  <c r="J50" i="14"/>
  <c r="BE9" i="12"/>
  <c r="H44" i="14"/>
  <c r="M8" i="12"/>
  <c r="G17" i="14" s="1"/>
  <c r="G11" i="14"/>
  <c r="M4" i="12"/>
  <c r="C17" i="14" s="1"/>
  <c r="C11" i="14"/>
  <c r="G20" i="15"/>
  <c r="G50" i="14"/>
  <c r="H8" i="15"/>
  <c r="H8" i="14"/>
  <c r="M11" i="12"/>
  <c r="J17" i="14" s="1"/>
  <c r="J11" i="14"/>
  <c r="K8" i="15"/>
  <c r="K8" i="14"/>
  <c r="BD3" i="12"/>
  <c r="B44" i="14"/>
  <c r="BD4" i="12"/>
  <c r="C28" i="14" s="1"/>
  <c r="C44" i="14"/>
  <c r="C20" i="15"/>
  <c r="C50" i="14"/>
  <c r="B14" i="13" a="1"/>
  <c r="B14" i="13" s="1"/>
  <c r="F15" i="14"/>
  <c r="M6" i="12"/>
  <c r="E17" i="14" s="1"/>
  <c r="E11" i="14"/>
  <c r="I8" i="15"/>
  <c r="I8" i="14"/>
  <c r="BD12" i="12"/>
  <c r="K28" i="14" s="1"/>
  <c r="K44" i="14"/>
  <c r="BE11" i="12"/>
  <c r="J44" i="14"/>
  <c r="G8" i="15"/>
  <c r="G8" i="14"/>
  <c r="M12" i="12"/>
  <c r="K17" i="14" s="1"/>
  <c r="K11" i="14"/>
  <c r="F17" i="15"/>
  <c r="F22" i="15" s="1"/>
  <c r="F47" i="14"/>
  <c r="M3" i="12"/>
  <c r="B17" i="14" s="1"/>
  <c r="B11" i="14"/>
  <c r="H20" i="15"/>
  <c r="H50" i="14"/>
  <c r="K20" i="15"/>
  <c r="K50" i="14"/>
  <c r="I20" i="15"/>
  <c r="I50" i="14"/>
  <c r="BE6" i="12"/>
  <c r="E44" i="14"/>
  <c r="BD10" i="12"/>
  <c r="I28" i="14" s="1"/>
  <c r="I44" i="14"/>
  <c r="BD5" i="12"/>
  <c r="D44" i="14"/>
  <c r="BD8" i="12"/>
  <c r="G28" i="14" s="1"/>
  <c r="G44" i="14"/>
  <c r="G65" i="13" a="1"/>
  <c r="G65" i="13" s="1"/>
  <c r="D8" i="15"/>
  <c r="F9" i="15"/>
  <c r="B27" i="15"/>
  <c r="C27" i="15" s="1"/>
  <c r="BD9" i="12"/>
  <c r="H28" i="14" s="1"/>
  <c r="BD22" i="12"/>
  <c r="BE33" i="12"/>
  <c r="B8" i="15"/>
  <c r="R13" i="13" a="1"/>
  <c r="R13" i="13" s="1"/>
  <c r="B20" i="15"/>
  <c r="B44" i="13" a="1"/>
  <c r="B44" i="13" s="1"/>
  <c r="G46" i="12"/>
  <c r="K8" i="13" s="1" a="1"/>
  <c r="K8" i="13" s="1"/>
  <c r="BC7" i="12"/>
  <c r="B41" i="13" s="1" a="1"/>
  <c r="B41" i="13" s="1"/>
  <c r="F8" i="13" a="1"/>
  <c r="F8" i="13" s="1"/>
  <c r="B9" i="15"/>
  <c r="B17" i="15"/>
  <c r="B22" i="15" s="1"/>
  <c r="D20" i="15"/>
  <c r="C8" i="15"/>
  <c r="D17" i="15"/>
  <c r="D22" i="15" s="1"/>
  <c r="V18" i="13"/>
  <c r="E20" i="15"/>
  <c r="M41" i="12"/>
  <c r="E14" i="13" s="1" a="1"/>
  <c r="E14" i="13" s="1"/>
  <c r="BD32" i="12"/>
  <c r="H65" i="13" a="1"/>
  <c r="H65" i="13" s="1"/>
  <c r="BC41" i="12"/>
  <c r="BE41" i="12" s="1"/>
  <c r="BE37" i="12"/>
  <c r="BK46" i="12"/>
  <c r="K53" i="13" s="1" a="1"/>
  <c r="K53" i="13" s="1"/>
  <c r="C9" i="15"/>
  <c r="E9" i="15"/>
  <c r="H9" i="15"/>
  <c r="D9" i="15"/>
  <c r="B7" i="13" a="1"/>
  <c r="B7" i="13" s="1"/>
  <c r="F8" i="15"/>
  <c r="I9" i="15"/>
  <c r="J9" i="15"/>
  <c r="K9" i="15"/>
  <c r="G9" i="15"/>
  <c r="B47" i="13" a="1"/>
  <c r="B47" i="13" s="1"/>
  <c r="F20" i="15"/>
  <c r="BE27" i="12"/>
  <c r="BE28" i="12"/>
  <c r="BE13" i="12"/>
  <c r="BY13" i="12" s="1" a="1"/>
  <c r="BY13" i="12" s="1"/>
  <c r="H8" i="13" a="1"/>
  <c r="H8" i="13" s="1"/>
  <c r="BE29" i="12"/>
  <c r="BE8" i="12"/>
  <c r="BD38" i="12"/>
  <c r="BE26" i="12"/>
  <c r="V16" i="13"/>
  <c r="BE5" i="12"/>
  <c r="BD6" i="12"/>
  <c r="E28" i="14" s="1"/>
  <c r="V17" i="13"/>
  <c r="BE20" i="12"/>
  <c r="BY20" i="12" s="1" a="1"/>
  <c r="BY20" i="12" s="1"/>
  <c r="BZ20" i="12" s="1"/>
  <c r="CA20" i="12" s="1" a="1"/>
  <c r="CA20" i="12" s="1"/>
  <c r="BD11" i="12"/>
  <c r="J28" i="14" s="1"/>
  <c r="BE17" i="12"/>
  <c r="BY17" i="12" s="1" a="1"/>
  <c r="BY17" i="12" s="1"/>
  <c r="BZ17" i="12" s="1"/>
  <c r="CA17" i="12" s="1" a="1"/>
  <c r="CA17" i="12" s="1"/>
  <c r="BH49" i="12"/>
  <c r="J50" i="13" s="1" a="1"/>
  <c r="J50" i="13" s="1"/>
  <c r="BE25" i="12"/>
  <c r="BE3" i="12"/>
  <c r="BE4" i="12"/>
  <c r="BE12" i="12"/>
  <c r="BE18" i="12"/>
  <c r="BY18" i="12" s="1" a="1"/>
  <c r="BY18" i="12" s="1"/>
  <c r="BZ18" i="12" s="1"/>
  <c r="CA18" i="12" s="1" a="1"/>
  <c r="CA18" i="12" s="1"/>
  <c r="BE21" i="12"/>
  <c r="BY21" i="12" s="1" a="1"/>
  <c r="BY21" i="12" s="1"/>
  <c r="BZ21" i="12" s="1"/>
  <c r="CA21" i="12" s="1" a="1"/>
  <c r="CA21" i="12" s="1"/>
  <c r="BH46" i="12"/>
  <c r="K50" i="13" s="1" a="1"/>
  <c r="K50" i="13" s="1"/>
  <c r="BE10" i="12"/>
  <c r="BE14" i="12"/>
  <c r="BY14" i="12" s="1" a="1"/>
  <c r="BY14" i="12" s="1"/>
  <c r="BE34" i="12"/>
  <c r="BD19" i="12"/>
  <c r="BE42" i="12"/>
  <c r="S13" i="13" a="1"/>
  <c r="S13" i="13" s="1"/>
  <c r="F50" i="13" a="1"/>
  <c r="F50" i="13" s="1"/>
  <c r="F65" i="13" a="1"/>
  <c r="F65" i="13" s="1"/>
  <c r="BD42" i="12"/>
  <c r="F28" i="13" s="1" a="1"/>
  <c r="F28" i="13" s="1"/>
  <c r="F46" i="13" a="1"/>
  <c r="F46" i="13" s="1"/>
  <c r="S9" i="13" a="1"/>
  <c r="S9" i="13" s="1"/>
  <c r="BO46" i="12"/>
  <c r="K57" i="13" s="1" a="1"/>
  <c r="K57" i="13" s="1"/>
  <c r="K58" i="13" a="1"/>
  <c r="K58" i="13" s="1"/>
  <c r="E65" i="13" a="1"/>
  <c r="E65" i="13" s="1"/>
  <c r="V5" i="13"/>
  <c r="BO49" i="12"/>
  <c r="J57" i="13" s="1" a="1"/>
  <c r="J57" i="13" s="1"/>
  <c r="J58" i="13" a="1"/>
  <c r="J58" i="13" s="1"/>
  <c r="K64" i="13" a="1"/>
  <c r="K64" i="13" s="1"/>
  <c r="B8" i="13" a="1"/>
  <c r="B8" i="13" s="1"/>
  <c r="B57" i="13" s="1" a="1"/>
  <c r="B57" i="13" s="1"/>
  <c r="B60" i="13" s="1"/>
  <c r="B61" i="13" s="1" a="1"/>
  <c r="B61" i="13" s="1"/>
  <c r="V4" i="13"/>
  <c r="M7" i="12"/>
  <c r="B10" i="13" a="1"/>
  <c r="B10" i="13" s="1"/>
  <c r="B29" i="15" l="1"/>
  <c r="C29" i="15" s="1"/>
  <c r="B28" i="14"/>
  <c r="D28" i="14"/>
  <c r="K65" i="13" a="1"/>
  <c r="K65" i="13" s="1"/>
  <c r="BX46" i="12" a="1"/>
  <c r="BX46" i="12" s="1"/>
  <c r="F45" i="13" a="1"/>
  <c r="F45" i="13" s="1"/>
  <c r="BY42" i="12" a="1"/>
  <c r="BY42" i="12" s="1"/>
  <c r="BZ42" i="12" s="1"/>
  <c r="CA42" i="12" s="1" a="1"/>
  <c r="CA42" i="12" s="1"/>
  <c r="R8" i="13" a="1"/>
  <c r="R8" i="13" s="1"/>
  <c r="BY41" i="12" a="1"/>
  <c r="BY41" i="12" s="1"/>
  <c r="BZ41" i="12" s="1"/>
  <c r="CA41" i="12" s="1" a="1"/>
  <c r="CA41" i="12" s="1"/>
  <c r="CF42" i="12"/>
  <c r="F70" i="13" s="1" a="1"/>
  <c r="F70" i="13" s="1"/>
  <c r="CE42" i="12"/>
  <c r="F69" i="13" s="1" a="1"/>
  <c r="F69" i="13" s="1"/>
  <c r="CB42" i="12"/>
  <c r="F66" i="13" s="1" a="1"/>
  <c r="F66" i="13" s="1"/>
  <c r="CC42" i="12"/>
  <c r="F67" i="13" s="1" a="1"/>
  <c r="F67" i="13" s="1"/>
  <c r="CD42" i="12"/>
  <c r="F68" i="13" s="1" a="1"/>
  <c r="F68" i="13" s="1"/>
  <c r="H43" i="14"/>
  <c r="BY9" i="12" a="1"/>
  <c r="BY9" i="12" s="1"/>
  <c r="BZ9" i="12" s="1"/>
  <c r="CA9" i="12" s="1" a="1"/>
  <c r="CA9" i="12" s="1"/>
  <c r="C43" i="14"/>
  <c r="BY4" i="12" a="1"/>
  <c r="BY4" i="12" s="1"/>
  <c r="BZ4" i="12" s="1"/>
  <c r="CA4" i="12" s="1" a="1"/>
  <c r="CA4" i="12" s="1"/>
  <c r="D43" i="14"/>
  <c r="BY5" i="12" a="1"/>
  <c r="BY5" i="12" s="1"/>
  <c r="BZ5" i="12" s="1"/>
  <c r="CA5" i="12" s="1" a="1"/>
  <c r="CA5" i="12" s="1"/>
  <c r="G43" i="14"/>
  <c r="BY8" i="12" a="1"/>
  <c r="BY8" i="12" s="1"/>
  <c r="BZ8" i="12" s="1"/>
  <c r="CA8" i="12" s="1" a="1"/>
  <c r="CA8" i="12" s="1"/>
  <c r="E43" i="14"/>
  <c r="BY6" i="12" a="1"/>
  <c r="BY6" i="12" s="1"/>
  <c r="BZ6" i="12" s="1"/>
  <c r="CA6" i="12" s="1" a="1"/>
  <c r="CA6" i="12" s="1"/>
  <c r="J43" i="14"/>
  <c r="BY11" i="12" a="1"/>
  <c r="BY11" i="12" s="1"/>
  <c r="BZ11" i="12" s="1"/>
  <c r="CA11" i="12" s="1" a="1"/>
  <c r="CA11" i="12" s="1"/>
  <c r="I43" i="14"/>
  <c r="BY10" i="12" a="1"/>
  <c r="BY10" i="12" s="1"/>
  <c r="BZ10" i="12" s="1"/>
  <c r="CA10" i="12" s="1" a="1"/>
  <c r="CA10" i="12" s="1"/>
  <c r="K43" i="14"/>
  <c r="BY12" i="12" a="1"/>
  <c r="BY12" i="12" s="1"/>
  <c r="BZ12" i="12" s="1"/>
  <c r="CA12" i="12" s="1" a="1"/>
  <c r="CA12" i="12" s="1"/>
  <c r="B43" i="14"/>
  <c r="BY3" i="12" a="1"/>
  <c r="BY3" i="12" s="1"/>
  <c r="BZ3" i="12" s="1"/>
  <c r="CA3" i="12" s="1" a="1"/>
  <c r="CA3" i="12" s="1"/>
  <c r="H15" i="15"/>
  <c r="J15" i="15"/>
  <c r="B16" i="13" a="1"/>
  <c r="B16" i="13" s="1"/>
  <c r="F17" i="14"/>
  <c r="G59" i="14"/>
  <c r="J59" i="14"/>
  <c r="I59" i="14"/>
  <c r="D59" i="14"/>
  <c r="E59" i="14"/>
  <c r="BD7" i="12"/>
  <c r="F44" i="14"/>
  <c r="F59" i="14"/>
  <c r="B59" i="14"/>
  <c r="K59" i="14"/>
  <c r="H59" i="14"/>
  <c r="C59" i="14"/>
  <c r="BE7" i="12"/>
  <c r="R9" i="13" a="1"/>
  <c r="R9" i="13" s="1"/>
  <c r="V9" i="13" s="1"/>
  <c r="V8" i="13" s="1"/>
  <c r="V13" i="13"/>
  <c r="M46" i="12"/>
  <c r="K14" i="13" s="1" a="1"/>
  <c r="K14" i="13" s="1"/>
  <c r="E15" i="15"/>
  <c r="BC46" i="12"/>
  <c r="BD46" i="12" s="1"/>
  <c r="K28" i="13" s="1" a="1"/>
  <c r="K28" i="13" s="1"/>
  <c r="E45" i="13" a="1"/>
  <c r="E45" i="13" s="1"/>
  <c r="BD41" i="12"/>
  <c r="E28" i="13" s="1" a="1"/>
  <c r="E28" i="13" s="1"/>
  <c r="E46" i="13" a="1"/>
  <c r="E46" i="13" s="1"/>
  <c r="B28" i="15"/>
  <c r="C28" i="15" s="1"/>
  <c r="K15" i="15"/>
  <c r="C15" i="15"/>
  <c r="I15" i="15"/>
  <c r="D15" i="15"/>
  <c r="G15" i="15"/>
  <c r="B15" i="15"/>
  <c r="S8" i="13" a="1"/>
  <c r="S8" i="13" s="1"/>
  <c r="BC49" i="12"/>
  <c r="BD49" i="12" s="1"/>
  <c r="J28" i="13" s="1" a="1"/>
  <c r="J28" i="13" s="1"/>
  <c r="G61" i="14" l="1"/>
  <c r="K61" i="14"/>
  <c r="E61" i="14"/>
  <c r="B61" i="14"/>
  <c r="D61" i="14"/>
  <c r="H61" i="14"/>
  <c r="C61" i="14"/>
  <c r="J61" i="14"/>
  <c r="F43" i="14"/>
  <c r="BY7" i="12" a="1"/>
  <c r="BY7" i="12" s="1"/>
  <c r="BZ7" i="12" s="1"/>
  <c r="CA7" i="12" s="1" a="1"/>
  <c r="CA7" i="12" s="1"/>
  <c r="F63" i="14" s="1"/>
  <c r="I61" i="14"/>
  <c r="B40" i="13" a="1"/>
  <c r="B40" i="13" s="1"/>
  <c r="B59" i="13" s="1" a="1"/>
  <c r="B59" i="13" s="1"/>
  <c r="F15" i="15"/>
  <c r="C63" i="14"/>
  <c r="C62" i="14"/>
  <c r="K63" i="14"/>
  <c r="K62" i="14"/>
  <c r="E63" i="14"/>
  <c r="E62" i="14"/>
  <c r="I63" i="14"/>
  <c r="I62" i="14"/>
  <c r="G63" i="14"/>
  <c r="G62" i="14"/>
  <c r="H63" i="14"/>
  <c r="H62" i="14"/>
  <c r="B62" i="14"/>
  <c r="B25" i="13" a="1"/>
  <c r="B25" i="13" s="1"/>
  <c r="F28" i="14"/>
  <c r="D63" i="14"/>
  <c r="D62" i="14"/>
  <c r="J63" i="14"/>
  <c r="J62" i="14"/>
  <c r="BE46" i="12"/>
  <c r="BY46" i="12" s="1" a="1"/>
  <c r="BY46" i="12" s="1"/>
  <c r="BZ46" i="12" s="1"/>
  <c r="CA46" i="12" s="1" a="1"/>
  <c r="CA46" i="12" s="1"/>
  <c r="K46" i="13" a="1"/>
  <c r="K46" i="13" s="1"/>
  <c r="J46" i="13" a="1"/>
  <c r="J46" i="13" s="1"/>
  <c r="BE49" i="12"/>
  <c r="J45" i="13" l="1" a="1"/>
  <c r="J45" i="13" s="1"/>
  <c r="BY49" i="12" a="1"/>
  <c r="BY49" i="12" s="1"/>
  <c r="F62" i="14"/>
  <c r="F61" i="14"/>
  <c r="B63" i="14"/>
  <c r="CB41" i="12"/>
  <c r="CC41" i="12"/>
  <c r="CD41" i="12"/>
  <c r="CE41" i="12"/>
  <c r="CF41" i="12"/>
  <c r="K45" i="13" a="1"/>
  <c r="K45" i="13" s="1"/>
  <c r="BZ49" i="12" l="1"/>
  <c r="CA49" i="12" s="1" a="1"/>
  <c r="CA49" i="12" s="1"/>
  <c r="CD46" i="12"/>
  <c r="K68" i="13" s="1" a="1"/>
  <c r="K68" i="13" s="1"/>
  <c r="E68" i="13" a="1"/>
  <c r="E68" i="13" s="1"/>
  <c r="CD49" i="12"/>
  <c r="J68" i="13" s="1" a="1"/>
  <c r="J68" i="13" s="1"/>
  <c r="CE49" i="12"/>
  <c r="J69" i="13" s="1" a="1"/>
  <c r="J69" i="13" s="1"/>
  <c r="CE46" i="12"/>
  <c r="K69" i="13" s="1" a="1"/>
  <c r="K69" i="13" s="1"/>
  <c r="E69" i="13" a="1"/>
  <c r="E69" i="13" s="1"/>
  <c r="CC49" i="12"/>
  <c r="J67" i="13" s="1" a="1"/>
  <c r="J67" i="13" s="1"/>
  <c r="CC46" i="12"/>
  <c r="K67" i="13" s="1" a="1"/>
  <c r="K67" i="13" s="1"/>
  <c r="E67" i="13" a="1"/>
  <c r="E67" i="13" s="1"/>
  <c r="E70" i="13" a="1"/>
  <c r="E70" i="13" s="1"/>
  <c r="CF49" i="12"/>
  <c r="J70" i="13" s="1" a="1"/>
  <c r="J70" i="13" s="1"/>
  <c r="CF46" i="12"/>
  <c r="K70" i="13" s="1" a="1"/>
  <c r="K70" i="13" s="1"/>
  <c r="CB49" i="12"/>
  <c r="J66" i="13" s="1" a="1"/>
  <c r="J66" i="13" s="1"/>
  <c r="E66" i="13" a="1"/>
  <c r="E66" i="13" s="1"/>
  <c r="CB46" i="12"/>
  <c r="K66" i="13" s="1" a="1"/>
  <c r="K6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<sst xmlns="http://schemas.openxmlformats.org/spreadsheetml/2006/main" count="11228" uniqueCount="1092">
  <si>
    <t>KPI Automation (Sheets Direct Links &amp; Source URLs)</t>
  </si>
  <si>
    <t>Sheets Name</t>
  </si>
  <si>
    <t>Sheet Link</t>
  </si>
  <si>
    <t>Source URLs</t>
  </si>
  <si>
    <t>Sales Returns</t>
  </si>
  <si>
    <t>https://teams.microsoft.com/_?culture=en-in&amp;country=in#/tab::76cdf54c-c89c-4e7e-9baf-f8d602c7805a/Data%20Dashboard%20Report?threadId=19:5803c6c020f941caa0b993d66edb94da@thread.skype&amp;ctx=channel</t>
  </si>
  <si>
    <t>Y2Y sales</t>
  </si>
  <si>
    <t>https://teams.microsoft.com/_?culture=en-in&amp;country=in#/tab::c9ad7e59-f6d6-4a8e-98a1-616bc7f378db/Yard%20To%20Yard%20Sales%20Report?threadId=19:3039e622390946e3ba6a42ed14ecd9a7@thread.skype&amp;ctx=channel</t>
  </si>
  <si>
    <t>Inventory Lookup</t>
  </si>
  <si>
    <t>https://teams.microsoft.com/_?culture=en-in&amp;country=in#/tab::a46fb534-8480-4280-9276-9fe9fcce74ea/Inventory%20look%20up%20Report?threadId=19:8d73cad698844af69678b18d2e1e8f34@thread.skype&amp;ctx=channel</t>
  </si>
  <si>
    <t>Emp.Lookup</t>
  </si>
  <si>
    <t>RingCentral - Office</t>
  </si>
  <si>
    <t>https://analytics.ringcentral.com/performance-report/default/users</t>
  </si>
  <si>
    <t>Gate Statistics</t>
  </si>
  <si>
    <t>https://engage.ringcentral.com/analytics/voice/reporting/config/Gate_Statistic_Report/report/</t>
  </si>
  <si>
    <t>Agent Activity</t>
  </si>
  <si>
    <t>Agent Activity Overview</t>
  </si>
  <si>
    <t>https://engage.ringcentral.com/analytics/voice/reporting/config/Agent_Activity_Overview/report/</t>
  </si>
  <si>
    <t>https://docs.google.com/spreadsheets/d/1ABrgHoDvI_16g5wpxSwWZEgoYZD2Davk1P_3GO3zvVk/edit#gid=347778353</t>
  </si>
  <si>
    <t>WO &amp; Quote</t>
  </si>
  <si>
    <t>https://teams.microsoft.com/_?culture=en-in&amp;country=in#/tab::b0f3610b-a5e8-4520-906b-fb468a720133/WorkOrder%20And%20Quote%20Report?threadId=19:f47c3bc3e4da42a8b04370f0bcfddac6@thread.skype&amp;ctx=channel</t>
  </si>
  <si>
    <t>Calculated Fields</t>
  </si>
  <si>
    <t>https://docs.google.com/spreadsheets/d/1ABrgHoDvI_16g5wpxSwWZEgoYZD2Davk1P_3GO3zvVk/edit#gid=1207866268</t>
  </si>
  <si>
    <t>https://docs.google.com/spreadsheets/d/1ABrgHoDvI_16g5wpxSwWZEgoYZD2Davk1P_3GO3zvVk/edit#gid=1763285756</t>
  </si>
  <si>
    <t>https://docs.google.com/spreadsheets/d/1ABrgHoDvI_16g5wpxSwWZEgoYZD2Davk1P_3GO3zvVk/edit#gid=1267527510</t>
  </si>
  <si>
    <t>https://docs.google.com/spreadsheets/d/1B-tQIUCu6aUPXGAXZxiorumeF_Dk7QET9oeltPwLqw0/edit?gid=1409207032#gid=1409207032</t>
  </si>
  <si>
    <t>Dropdown</t>
  </si>
  <si>
    <t>TOTAL_Agents</t>
  </si>
  <si>
    <t>USA_Agents</t>
  </si>
  <si>
    <t>INDIA_Agents</t>
  </si>
  <si>
    <t>DEPARTMENT_Agents</t>
  </si>
  <si>
    <t>USA_Department</t>
  </si>
  <si>
    <t>INDIA_Department</t>
  </si>
  <si>
    <t>DIGITAL_Department</t>
  </si>
  <si>
    <t>MANAGED_Department</t>
  </si>
  <si>
    <t>OTHER_Department</t>
  </si>
  <si>
    <t>USA_Department_Agents</t>
  </si>
  <si>
    <t>James Smith</t>
  </si>
  <si>
    <t>Amanda Harris</t>
  </si>
  <si>
    <t>INDIA_Department_Agents</t>
  </si>
  <si>
    <t>Emily Johnson</t>
  </si>
  <si>
    <t>Matthew Clark</t>
  </si>
  <si>
    <t>DIGITAL_Department_Agents</t>
  </si>
  <si>
    <t>Michael Brown</t>
  </si>
  <si>
    <t>Ashley Lewis</t>
  </si>
  <si>
    <t>MANAGED_Department_Agents</t>
  </si>
  <si>
    <t>Sarah Davis</t>
  </si>
  <si>
    <t>Daniel Walker</t>
  </si>
  <si>
    <t>OTHER_Department_Agents</t>
  </si>
  <si>
    <t>David Wilson</t>
  </si>
  <si>
    <t>Jennifer Hall</t>
  </si>
  <si>
    <t>Jessica Miller</t>
  </si>
  <si>
    <t>Andrew Young</t>
  </si>
  <si>
    <t>John Anderson</t>
  </si>
  <si>
    <t>Kimberly King</t>
  </si>
  <si>
    <t>Laura Taylor</t>
  </si>
  <si>
    <t>Joshua Wright</t>
  </si>
  <si>
    <t>Robert Thomas</t>
  </si>
  <si>
    <t>Megan Martinez</t>
  </si>
  <si>
    <t>Christopher Moore</t>
  </si>
  <si>
    <t>Stephanie Scott</t>
  </si>
  <si>
    <t>Digital_Department</t>
  </si>
  <si>
    <t>Managed_Department</t>
  </si>
  <si>
    <t>Teams</t>
  </si>
  <si>
    <t>W.Order</t>
  </si>
  <si>
    <t>Type</t>
  </si>
  <si>
    <t>Emp. Name</t>
  </si>
  <si>
    <t>Date</t>
  </si>
  <si>
    <t>Gross</t>
  </si>
  <si>
    <t>Freight</t>
  </si>
  <si>
    <t>Tax</t>
  </si>
  <si>
    <t>InStock</t>
  </si>
  <si>
    <t>I. Part Sold</t>
  </si>
  <si>
    <t>I. Part Return</t>
  </si>
  <si>
    <t>GrossBroker</t>
  </si>
  <si>
    <t>Net Broker</t>
  </si>
  <si>
    <t>Broker(%)</t>
  </si>
  <si>
    <t>B. Part Sold</t>
  </si>
  <si>
    <t>B. Part Return</t>
  </si>
  <si>
    <t>WTY</t>
  </si>
  <si>
    <t>Core</t>
  </si>
  <si>
    <t>Sum of ManualPriceAdjustment</t>
  </si>
  <si>
    <t>Discount</t>
  </si>
  <si>
    <t>Sales Agent</t>
  </si>
  <si>
    <t>Pay</t>
  </si>
  <si>
    <t>Sales</t>
  </si>
  <si>
    <t>Abigail Adams</t>
  </si>
  <si>
    <t>USA Agent</t>
  </si>
  <si>
    <t>Deposit</t>
  </si>
  <si>
    <t>Alexander Robinson</t>
  </si>
  <si>
    <t>Anthony White</t>
  </si>
  <si>
    <t>INDIA Agent</t>
  </si>
  <si>
    <t>Site</t>
  </si>
  <si>
    <t>DIGITAL Agent</t>
  </si>
  <si>
    <t>AutoZonePro</t>
  </si>
  <si>
    <t>MANAGED Agent</t>
  </si>
  <si>
    <t>Shop-Ware</t>
  </si>
  <si>
    <t>OEConnection</t>
  </si>
  <si>
    <t>Hannah Gonzalez</t>
  </si>
  <si>
    <t>Nicholas Hill</t>
  </si>
  <si>
    <t>Other</t>
  </si>
  <si>
    <t>NAPA ProLink</t>
  </si>
  <si>
    <t>NA</t>
  </si>
  <si>
    <t>Credit</t>
  </si>
  <si>
    <t>Returns</t>
  </si>
  <si>
    <t>Cancel Jobs</t>
  </si>
  <si>
    <t>Samantha Green</t>
  </si>
  <si>
    <t>Core Return</t>
  </si>
  <si>
    <t>Invoice#</t>
  </si>
  <si>
    <t>Item Type</t>
  </si>
  <si>
    <t>Invoice Date</t>
  </si>
  <si>
    <t>Part Price</t>
  </si>
  <si>
    <t>Discount Amount</t>
  </si>
  <si>
    <t>Percent(%)</t>
  </si>
  <si>
    <t>Sold Price</t>
  </si>
  <si>
    <t>State</t>
  </si>
  <si>
    <t>Ro#</t>
  </si>
  <si>
    <t>Employee Name</t>
  </si>
  <si>
    <t>WO Number</t>
  </si>
  <si>
    <t>Age</t>
  </si>
  <si>
    <t>SKU</t>
  </si>
  <si>
    <t>Stock</t>
  </si>
  <si>
    <t>Model</t>
  </si>
  <si>
    <t>Year</t>
  </si>
  <si>
    <t>Grade</t>
  </si>
  <si>
    <t>Location</t>
  </si>
  <si>
    <t>Sale</t>
  </si>
  <si>
    <t>AZ</t>
  </si>
  <si>
    <t>600-00233</t>
  </si>
  <si>
    <t>40850O</t>
  </si>
  <si>
    <t>X5</t>
  </si>
  <si>
    <t>A</t>
  </si>
  <si>
    <t>NPACKAGED</t>
  </si>
  <si>
    <t>NE</t>
  </si>
  <si>
    <t>300-94032A</t>
  </si>
  <si>
    <t>41107G</t>
  </si>
  <si>
    <t>XC60</t>
  </si>
  <si>
    <t>CA</t>
  </si>
  <si>
    <t>253-67983L</t>
  </si>
  <si>
    <t>40258Y</t>
  </si>
  <si>
    <t>MACAN</t>
  </si>
  <si>
    <t>CUSTOMER</t>
  </si>
  <si>
    <t>253-67990L</t>
  </si>
  <si>
    <t>253-67985R</t>
  </si>
  <si>
    <t>253-67987R</t>
  </si>
  <si>
    <t>253-67991R</t>
  </si>
  <si>
    <t>560-09137B</t>
  </si>
  <si>
    <t>10385R</t>
  </si>
  <si>
    <t>GRANDCHER</t>
  </si>
  <si>
    <t>B</t>
  </si>
  <si>
    <t>TN</t>
  </si>
  <si>
    <t>114-60488R</t>
  </si>
  <si>
    <t>40697P</t>
  </si>
  <si>
    <t>CLA250</t>
  </si>
  <si>
    <t>Return</t>
  </si>
  <si>
    <t>210-53840</t>
  </si>
  <si>
    <t>40821W</t>
  </si>
  <si>
    <t>Q50</t>
  </si>
  <si>
    <t>675-10007</t>
  </si>
  <si>
    <t>31328B</t>
  </si>
  <si>
    <t>ACADIA</t>
  </si>
  <si>
    <t>679-10048</t>
  </si>
  <si>
    <t>329-02078</t>
  </si>
  <si>
    <t>40263P</t>
  </si>
  <si>
    <t>400-11121</t>
  </si>
  <si>
    <t>30807R</t>
  </si>
  <si>
    <t>SONATA</t>
  </si>
  <si>
    <t>DELIVERED</t>
  </si>
  <si>
    <t>253-51079L</t>
  </si>
  <si>
    <t>40645B</t>
  </si>
  <si>
    <t>SIENNA</t>
  </si>
  <si>
    <t>40722B</t>
  </si>
  <si>
    <t>253-58563L</t>
  </si>
  <si>
    <t>41126R</t>
  </si>
  <si>
    <t>253-58562R</t>
  </si>
  <si>
    <t>253-58561L</t>
  </si>
  <si>
    <t>41130W</t>
  </si>
  <si>
    <t>400-10395</t>
  </si>
  <si>
    <t>21817O</t>
  </si>
  <si>
    <t>XE</t>
  </si>
  <si>
    <t>300-10366A</t>
  </si>
  <si>
    <t>41168R</t>
  </si>
  <si>
    <t>CHALLENGE</t>
  </si>
  <si>
    <t>257-08423</t>
  </si>
  <si>
    <t>40950R</t>
  </si>
  <si>
    <t>ATS</t>
  </si>
  <si>
    <t>253-11679L</t>
  </si>
  <si>
    <t>40521O</t>
  </si>
  <si>
    <t>CT4</t>
  </si>
  <si>
    <t>679-59518</t>
  </si>
  <si>
    <t>21775O</t>
  </si>
  <si>
    <t>AVALON</t>
  </si>
  <si>
    <t>WILLCALL1</t>
  </si>
  <si>
    <t>675-59643</t>
  </si>
  <si>
    <t>40676P</t>
  </si>
  <si>
    <t>CAMRY</t>
  </si>
  <si>
    <t>110-61338L</t>
  </si>
  <si>
    <t>40131R</t>
  </si>
  <si>
    <t>HR-V</t>
  </si>
  <si>
    <t>C</t>
  </si>
  <si>
    <t>KY</t>
  </si>
  <si>
    <t>128-50848L</t>
  </si>
  <si>
    <t>40843O</t>
  </si>
  <si>
    <t>TOUAREG</t>
  </si>
  <si>
    <t>OR</t>
  </si>
  <si>
    <t>117-50217</t>
  </si>
  <si>
    <t>40976O</t>
  </si>
  <si>
    <t>A5 AUDI</t>
  </si>
  <si>
    <t>NCUSTOMER</t>
  </si>
  <si>
    <t>NM</t>
  </si>
  <si>
    <t>545-50924</t>
  </si>
  <si>
    <t>30525O</t>
  </si>
  <si>
    <t>LX470</t>
  </si>
  <si>
    <t>NSHIPPING</t>
  </si>
  <si>
    <t>202-60132AL</t>
  </si>
  <si>
    <t>40847G</t>
  </si>
  <si>
    <t>COROLLA</t>
  </si>
  <si>
    <t>253-68376L</t>
  </si>
  <si>
    <t>40787O</t>
  </si>
  <si>
    <t>435-00212C</t>
  </si>
  <si>
    <t>30099Y</t>
  </si>
  <si>
    <t>F150</t>
  </si>
  <si>
    <t>CO</t>
  </si>
  <si>
    <t>257-67456</t>
  </si>
  <si>
    <t>21971O</t>
  </si>
  <si>
    <t>LEGACY</t>
  </si>
  <si>
    <t>400-05009</t>
  </si>
  <si>
    <t>P29015</t>
  </si>
  <si>
    <t>SPARK</t>
  </si>
  <si>
    <t>NRETURN</t>
  </si>
  <si>
    <t>170-10021</t>
  </si>
  <si>
    <t>40851P</t>
  </si>
  <si>
    <t>SIERRA150</t>
  </si>
  <si>
    <t>447-10386</t>
  </si>
  <si>
    <t>30555R</t>
  </si>
  <si>
    <t>COMPASNEW</t>
  </si>
  <si>
    <t>40209Y</t>
  </si>
  <si>
    <t>300-09269</t>
  </si>
  <si>
    <t>40855B</t>
  </si>
  <si>
    <t>EXPLORER</t>
  </si>
  <si>
    <t>UT</t>
  </si>
  <si>
    <t>638-10513</t>
  </si>
  <si>
    <t>00488O</t>
  </si>
  <si>
    <t>FUSION</t>
  </si>
  <si>
    <t>Part#</t>
  </si>
  <si>
    <t>PartType Name</t>
  </si>
  <si>
    <t>Last Activity</t>
  </si>
  <si>
    <t>TTL</t>
  </si>
  <si>
    <t>Avg. Sold</t>
  </si>
  <si>
    <t>Quote</t>
  </si>
  <si>
    <t>Wo-Open</t>
  </si>
  <si>
    <t>Wo-Close</t>
  </si>
  <si>
    <t>DT</t>
  </si>
  <si>
    <t>PartTypeCategory</t>
  </si>
  <si>
    <t>EmployeeCountry</t>
  </si>
  <si>
    <t>EmployeeName</t>
  </si>
  <si>
    <t>InStockLookUp</t>
  </si>
  <si>
    <t>TableName</t>
  </si>
  <si>
    <t>AC COMPRESSOR</t>
  </si>
  <si>
    <t>LOOKUP</t>
  </si>
  <si>
    <t>QUOTE</t>
  </si>
  <si>
    <t>$50.00</t>
  </si>
  <si>
    <t>INVOICE - InStock Parts</t>
  </si>
  <si>
    <t>WORKORDER</t>
  </si>
  <si>
    <t>AC CONDENSER</t>
  </si>
  <si>
    <t>$85.00</t>
  </si>
  <si>
    <t>AC EVAPORATOR HOUSI</t>
  </si>
  <si>
    <t>AC HOSES</t>
  </si>
  <si>
    <t>AIR BAG</t>
  </si>
  <si>
    <t>$75.00</t>
  </si>
  <si>
    <t>$115.00</t>
  </si>
  <si>
    <t>$183.33</t>
  </si>
  <si>
    <t>$100.00</t>
  </si>
  <si>
    <t>$90.00</t>
  </si>
  <si>
    <t>AIR CLEANER</t>
  </si>
  <si>
    <t>$60.00</t>
  </si>
  <si>
    <t>AIR FLOW METER</t>
  </si>
  <si>
    <t>AIR INJECTION PUMP</t>
  </si>
  <si>
    <t>Air Shutter</t>
  </si>
  <si>
    <t>$200.00</t>
  </si>
  <si>
    <t>ALTERNATOR</t>
  </si>
  <si>
    <t>Antenna</t>
  </si>
  <si>
    <t>Anti-lock Brake Pts</t>
  </si>
  <si>
    <t>$70.00</t>
  </si>
  <si>
    <t>DELIVERY_TICKET</t>
  </si>
  <si>
    <t>AUTO HEADLAMP DIM</t>
  </si>
  <si>
    <t>AXLE ASSEMBLY, RR</t>
  </si>
  <si>
    <t>Drive Train</t>
  </si>
  <si>
    <t>$300.00</t>
  </si>
  <si>
    <t>AXLE SHAFT</t>
  </si>
  <si>
    <t>Suspension</t>
  </si>
  <si>
    <t>$55.00</t>
  </si>
  <si>
    <t>BACK GLASS</t>
  </si>
  <si>
    <t>BATTERY</t>
  </si>
  <si>
    <t>$650.00</t>
  </si>
  <si>
    <t>BUMPER ASSY, FRONT</t>
  </si>
  <si>
    <t>Body Parts</t>
  </si>
  <si>
    <t>$400.00</t>
  </si>
  <si>
    <t>$550.00</t>
  </si>
  <si>
    <t>$634.00</t>
  </si>
  <si>
    <t>BUMPER ASSY, REAR</t>
  </si>
  <si>
    <t>$450.00</t>
  </si>
  <si>
    <t>$265.00</t>
  </si>
  <si>
    <t>$150.00</t>
  </si>
  <si>
    <t>$275.00</t>
  </si>
  <si>
    <t>BUMPER REIN, REAR</t>
  </si>
  <si>
    <t>$195.00</t>
  </si>
  <si>
    <t>$72.50</t>
  </si>
  <si>
    <t>BUMPER REINF, FRONT</t>
  </si>
  <si>
    <t>Sandeep</t>
  </si>
  <si>
    <t>$225.00</t>
  </si>
  <si>
    <t>CALIPER</t>
  </si>
  <si>
    <t>Camera Projector</t>
  </si>
  <si>
    <t>CARRIER ASSEMBLY</t>
  </si>
  <si>
    <t>$625.00</t>
  </si>
  <si>
    <t>$532.50</t>
  </si>
  <si>
    <t>Chassis Cont Mod</t>
  </si>
  <si>
    <t>$135.00</t>
  </si>
  <si>
    <t>Electrical</t>
  </si>
  <si>
    <t>CLOCK SPRING</t>
  </si>
  <si>
    <t>Coil/Air Spring</t>
  </si>
  <si>
    <t>COLUMN SWITCH</t>
  </si>
  <si>
    <t>Console, Front</t>
  </si>
  <si>
    <t>Coolant Pump</t>
  </si>
  <si>
    <t>Coolant Reservoir</t>
  </si>
  <si>
    <t>COWL VENT PANEL</t>
  </si>
  <si>
    <t>CYLINDER BLOCK</t>
  </si>
  <si>
    <t>CYLINDER HEAD</t>
  </si>
  <si>
    <t>DASH PANEL</t>
  </si>
  <si>
    <t>$175.00</t>
  </si>
  <si>
    <t>Decklid  Tailgate</t>
  </si>
  <si>
    <t>$307.50</t>
  </si>
  <si>
    <t>$153.33</t>
  </si>
  <si>
    <t>$310.00</t>
  </si>
  <si>
    <t>$434.00</t>
  </si>
  <si>
    <t>$950.00</t>
  </si>
  <si>
    <t>DOOR ASSEMBLY, FR</t>
  </si>
  <si>
    <t>$665.00</t>
  </si>
  <si>
    <t>$417.50</t>
  </si>
  <si>
    <t>$720.00</t>
  </si>
  <si>
    <t>$425.00</t>
  </si>
  <si>
    <t>$800.00</t>
  </si>
  <si>
    <t>$380.00</t>
  </si>
  <si>
    <t>DOOR GLASS, FRONT</t>
  </si>
  <si>
    <t>DOOR GLASS, REAR</t>
  </si>
  <si>
    <t>Dr Assm, Rear Back</t>
  </si>
  <si>
    <t>Dr Assm, Rear Side</t>
  </si>
  <si>
    <t>$280.00</t>
  </si>
  <si>
    <t>$270.00</t>
  </si>
  <si>
    <t>DRIVE SHAFT, REAR</t>
  </si>
  <si>
    <t>ELECTRIC DOOR MOTOR</t>
  </si>
  <si>
    <t>$125.00</t>
  </si>
  <si>
    <t>Eng/Motor Cont Mod</t>
  </si>
  <si>
    <t>ENGINE ASSEMBLY</t>
  </si>
  <si>
    <t>$2,075.00</t>
  </si>
  <si>
    <t>$2,676.67</t>
  </si>
  <si>
    <t>$1,600.00</t>
  </si>
  <si>
    <t>$1,900.00</t>
  </si>
  <si>
    <t>$2,835.14</t>
  </si>
  <si>
    <t>$2,265.75</t>
  </si>
  <si>
    <t>$2,222.50</t>
  </si>
  <si>
    <t>$2,700.00</t>
  </si>
  <si>
    <t>INVOICE - Vendor Parts</t>
  </si>
  <si>
    <t>Engine Cover</t>
  </si>
  <si>
    <t>ENGINE WIRE HARNESS</t>
  </si>
  <si>
    <t>EXHAUST MANIFOLD</t>
  </si>
  <si>
    <t>EXHAUST PIPE</t>
  </si>
  <si>
    <t>EXHAUST RESONATOR</t>
  </si>
  <si>
    <t>FAN BLADE</t>
  </si>
  <si>
    <t>FAN CLUTCH</t>
  </si>
  <si>
    <t>FENDER</t>
  </si>
  <si>
    <t>$215.00</t>
  </si>
  <si>
    <t>$375.00</t>
  </si>
  <si>
    <t>FRAME</t>
  </si>
  <si>
    <t>Front Door Switch</t>
  </si>
  <si>
    <t>FRONT LAMP</t>
  </si>
  <si>
    <t>FUEL PUMP</t>
  </si>
  <si>
    <t>FUEL TANK</t>
  </si>
  <si>
    <t>FUEL VAPOR CANISTER</t>
  </si>
  <si>
    <t>Fuse Box, Cabin</t>
  </si>
  <si>
    <t>Fuse Box, Engine</t>
  </si>
  <si>
    <t>GLOVE BOX</t>
  </si>
  <si>
    <t>GRILLE</t>
  </si>
  <si>
    <t>HATCHBACK STRUT</t>
  </si>
  <si>
    <t>HEADLAMP ASSEMBLY</t>
  </si>
  <si>
    <t>$370.00</t>
  </si>
  <si>
    <t>HEADLINER</t>
  </si>
  <si>
    <t>HEADREST</t>
  </si>
  <si>
    <t>$25.00</t>
  </si>
  <si>
    <t>Hitch/Tow Hook/Winc</t>
  </si>
  <si>
    <t>HOOD</t>
  </si>
  <si>
    <t>$315.00</t>
  </si>
  <si>
    <t>$615.00</t>
  </si>
  <si>
    <t>IGNITION SWITCH</t>
  </si>
  <si>
    <t>IND RR SUSP ASSY</t>
  </si>
  <si>
    <t>Info-GPS-TV Screen</t>
  </si>
  <si>
    <t>INNER FENDER</t>
  </si>
  <si>
    <t>Int Rr View Mirror</t>
  </si>
  <si>
    <t>INTAKE MANIFOLD</t>
  </si>
  <si>
    <t>INTERCOOLER</t>
  </si>
  <si>
    <t>Knee, Front</t>
  </si>
  <si>
    <t>LEAF SPRING REAR</t>
  </si>
  <si>
    <t>Lid Motor and Pump</t>
  </si>
  <si>
    <t>LOCK ACTUATOR</t>
  </si>
  <si>
    <t>LOWER CNTRL ARM, FR</t>
  </si>
  <si>
    <t>$65.00</t>
  </si>
  <si>
    <t>LOWER CNTRL ARM, RR</t>
  </si>
  <si>
    <t>MUFFLER</t>
  </si>
  <si>
    <t>Parts Cars Trucks</t>
  </si>
  <si>
    <t>PICKUP BOX</t>
  </si>
  <si>
    <t>Pickup Cab (Shell)</t>
  </si>
  <si>
    <t>POWER BRAKE BOOSTER</t>
  </si>
  <si>
    <t>QUARTER PANEL ASSY</t>
  </si>
  <si>
    <t>RAD COND FAN MOTOR</t>
  </si>
  <si>
    <t>$137.50</t>
  </si>
  <si>
    <t>RADIATOR CORE SUPP</t>
  </si>
  <si>
    <t>$339.00</t>
  </si>
  <si>
    <t>Radiators</t>
  </si>
  <si>
    <t>Radio Audio</t>
  </si>
  <si>
    <t>$166.14</t>
  </si>
  <si>
    <t>$130.00</t>
  </si>
  <si>
    <t>Rear Knuckle/Stub</t>
  </si>
  <si>
    <t>ROCKER PNL MOULDING</t>
  </si>
  <si>
    <t>ROOF ASSEMBLY</t>
  </si>
  <si>
    <t>$900.00</t>
  </si>
  <si>
    <t>ROOF GLASS</t>
  </si>
  <si>
    <t>RUNNING BOARD</t>
  </si>
  <si>
    <t>$95.00</t>
  </si>
  <si>
    <t>Seat Belt, Front</t>
  </si>
  <si>
    <t>Seat Belt, Rear</t>
  </si>
  <si>
    <t>SEAT, FRONT</t>
  </si>
  <si>
    <t>$140.00</t>
  </si>
  <si>
    <t>$91.01</t>
  </si>
  <si>
    <t>SHOCK ABSORBER</t>
  </si>
  <si>
    <t>SIDE VIEW MIRROR</t>
  </si>
  <si>
    <t>$80.00</t>
  </si>
  <si>
    <t>Solvent - Lubricant</t>
  </si>
  <si>
    <t>Speedo Head/Cluster</t>
  </si>
  <si>
    <t>SPINDLE KNUCKLE, FR</t>
  </si>
  <si>
    <t>SPOILER, REAR</t>
  </si>
  <si>
    <t>STABILIZER BAR</t>
  </si>
  <si>
    <t>STARTER MOTOR</t>
  </si>
  <si>
    <t>STEERING COLUMN</t>
  </si>
  <si>
    <t>STEERING GEAR RACK</t>
  </si>
  <si>
    <t>$365.00</t>
  </si>
  <si>
    <t>STEERING WHEEL</t>
  </si>
  <si>
    <t>STRUT</t>
  </si>
  <si>
    <t>$116.67</t>
  </si>
  <si>
    <t>Sun Visor</t>
  </si>
  <si>
    <t>Susp Crossm K-Frame</t>
  </si>
  <si>
    <t>TAIL LAMP</t>
  </si>
  <si>
    <t>$63.00</t>
  </si>
  <si>
    <t>TEMP CONTROL</t>
  </si>
  <si>
    <t>Trans Shift Assy</t>
  </si>
  <si>
    <t>TRANSFER CASE ASSY</t>
  </si>
  <si>
    <t>$1,100.00</t>
  </si>
  <si>
    <t>Transmiss,Transaxle</t>
  </si>
  <si>
    <t>$385.00</t>
  </si>
  <si>
    <t>$600.00</t>
  </si>
  <si>
    <t>$1,940.00</t>
  </si>
  <si>
    <t>$1,235.00</t>
  </si>
  <si>
    <t>$1,683.50</t>
  </si>
  <si>
    <t>$281.00</t>
  </si>
  <si>
    <t>$440.00</t>
  </si>
  <si>
    <t>$942.00</t>
  </si>
  <si>
    <t>TRIM PANEL, FR DR</t>
  </si>
  <si>
    <t>$292.00</t>
  </si>
  <si>
    <t>TRIM PANEL, RR DR</t>
  </si>
  <si>
    <t>Turbo-Supercharger</t>
  </si>
  <si>
    <t>$290.00</t>
  </si>
  <si>
    <t>UPPER CNTRL ARM, FR</t>
  </si>
  <si>
    <t>Wash Reservoir Assy</t>
  </si>
  <si>
    <t>WHEEL</t>
  </si>
  <si>
    <t>$110.00</t>
  </si>
  <si>
    <t>$260.00</t>
  </si>
  <si>
    <t>WINDSHIELD GLASS</t>
  </si>
  <si>
    <t>Total TTL</t>
  </si>
  <si>
    <t>Sales#</t>
  </si>
  <si>
    <t>InStock Close Rate</t>
  </si>
  <si>
    <t>Close Rate WO</t>
  </si>
  <si>
    <t>Total Close Rate</t>
  </si>
  <si>
    <t>Name</t>
  </si>
  <si>
    <t>Ext</t>
  </si>
  <si>
    <t>Total Calls</t>
  </si>
  <si>
    <t>Avg. Calls/Day</t>
  </si>
  <si>
    <t># Inbound</t>
  </si>
  <si>
    <t># Outbound</t>
  </si>
  <si>
    <t>% Missed (w/VM)</t>
  </si>
  <si>
    <t># Missed (w/VM)</t>
  </si>
  <si>
    <t>Total Handle Time</t>
  </si>
  <si>
    <t>Madison Allen</t>
  </si>
  <si>
    <t>Joseph Baker</t>
  </si>
  <si>
    <t>Natalie Parker</t>
  </si>
  <si>
    <t>Daily Report</t>
  </si>
  <si>
    <t>Jonathan Mitchell</t>
  </si>
  <si>
    <t>Total</t>
  </si>
  <si>
    <t>Missed #</t>
  </si>
  <si>
    <t>Auto Parts</t>
  </si>
  <si>
    <t>Auto Sales</t>
  </si>
  <si>
    <t>Leads</t>
  </si>
  <si>
    <t>Data Collections</t>
  </si>
  <si>
    <t>Facebook Facebook</t>
  </si>
  <si>
    <t>Grace Campbell</t>
  </si>
  <si>
    <t>Ryan Rivera</t>
  </si>
  <si>
    <t>IT Testing 2</t>
  </si>
  <si>
    <t>IT Testing IT Testing</t>
  </si>
  <si>
    <t>Samuel Turner</t>
  </si>
  <si>
    <t>Victoria Carter</t>
  </si>
  <si>
    <t>Ethan Phillips</t>
  </si>
  <si>
    <t>Sophia Evans</t>
  </si>
  <si>
    <t>William Jackson</t>
  </si>
  <si>
    <t>Chloe Collins</t>
  </si>
  <si>
    <t>******* All Gates *******</t>
  </si>
  <si>
    <t>Presented</t>
  </si>
  <si>
    <t>Accepted</t>
  </si>
  <si>
    <t>Abandoned</t>
  </si>
  <si>
    <t>Short Abandons</t>
  </si>
  <si>
    <t>Deflected</t>
  </si>
  <si>
    <t>Manual No</t>
  </si>
  <si>
    <t>Avg Queue</t>
  </si>
  <si>
    <t>Total Queue</t>
  </si>
  <si>
    <t>Avg Abandon</t>
  </si>
  <si>
    <t>Avg Answer</t>
  </si>
  <si>
    <t>Avg Talk</t>
  </si>
  <si>
    <t>22-08-2024</t>
  </si>
  <si>
    <t>150031 - Accounting</t>
  </si>
  <si>
    <t>150033 - *********Wholesale Base</t>
  </si>
  <si>
    <t>Agent Activity Overview Report</t>
  </si>
  <si>
    <t>Date Range: 08-10-2024 00:00:00 - 08-22-2024 23:59:59</t>
  </si>
  <si>
    <t>Team: []</t>
  </si>
  <si>
    <t>Agent ID</t>
  </si>
  <si>
    <t>Team</t>
  </si>
  <si>
    <t>Manual No Connect</t>
  </si>
  <si>
    <t>RNA</t>
  </si>
  <si>
    <t>Talk Time</t>
  </si>
  <si>
    <t>Login Time</t>
  </si>
  <si>
    <t>Login Utilization</t>
  </si>
  <si>
    <t>Off Hook Time</t>
  </si>
  <si>
    <t>Off Hook Utilization</t>
  </si>
  <si>
    <t>Work Time</t>
  </si>
  <si>
    <t>Break Time</t>
  </si>
  <si>
    <t>Away Time</t>
  </si>
  <si>
    <t>Lunch Time</t>
  </si>
  <si>
    <t>Training Time</t>
  </si>
  <si>
    <t>P.D. Time</t>
  </si>
  <si>
    <t>Ring Time</t>
  </si>
  <si>
    <t>Engaged Time</t>
  </si>
  <si>
    <t>RNA Time</t>
  </si>
  <si>
    <t>Hold Time</t>
  </si>
  <si>
    <t>Wrap Time</t>
  </si>
  <si>
    <t>Agents</t>
  </si>
  <si>
    <t>Engage</t>
  </si>
  <si>
    <t>Smith, James</t>
  </si>
  <si>
    <t>[No Team Name]</t>
  </si>
  <si>
    <t>Smith</t>
  </si>
  <si>
    <t>Call Type</t>
  </si>
  <si>
    <t>Source Name</t>
  </si>
  <si>
    <t>Calls</t>
  </si>
  <si>
    <t>Johnson</t>
  </si>
  <si>
    <t>Inbound</t>
  </si>
  <si>
    <t>Brown</t>
  </si>
  <si>
    <t>Totals</t>
  </si>
  <si>
    <t>Davis</t>
  </si>
  <si>
    <t>Wilson</t>
  </si>
  <si>
    <t>Johnson, Emily</t>
  </si>
  <si>
    <t>Miller</t>
  </si>
  <si>
    <t>Anderson</t>
  </si>
  <si>
    <t>Taylor</t>
  </si>
  <si>
    <t>Thomas</t>
  </si>
  <si>
    <t>Martinez</t>
  </si>
  <si>
    <t>Brown, Michael</t>
  </si>
  <si>
    <t>Moore</t>
  </si>
  <si>
    <t>Harris</t>
  </si>
  <si>
    <t>Clark</t>
  </si>
  <si>
    <t>Lewis</t>
  </si>
  <si>
    <t>Davis, Sarah</t>
  </si>
  <si>
    <t>Wilson, David</t>
  </si>
  <si>
    <t>Miller, Jessica</t>
  </si>
  <si>
    <t>Anderson, John</t>
  </si>
  <si>
    <t>Taylor, Laura</t>
  </si>
  <si>
    <t>Thomas, Robert</t>
  </si>
  <si>
    <t>Martinez, Megan</t>
  </si>
  <si>
    <t>Moore, Christopher</t>
  </si>
  <si>
    <t>Harris, Amanda</t>
  </si>
  <si>
    <t>Clark, Matthew</t>
  </si>
  <si>
    <t>Lewis, Ashley</t>
  </si>
  <si>
    <t>Total Orders</t>
  </si>
  <si>
    <t># audited Orders</t>
  </si>
  <si>
    <t>Passed</t>
  </si>
  <si>
    <t>Failed</t>
  </si>
  <si>
    <t>Bad calls</t>
  </si>
  <si>
    <t>Calls Reviewed</t>
  </si>
  <si>
    <t>Calls Scored 11/11</t>
  </si>
  <si>
    <t>Call Score Percentage</t>
  </si>
  <si>
    <t>Jason Peterson</t>
  </si>
  <si>
    <t>Alyssa Brooks</t>
  </si>
  <si>
    <t>Kevin Hughes</t>
  </si>
  <si>
    <t>Mia Ward</t>
  </si>
  <si>
    <t>Emma Perry</t>
  </si>
  <si>
    <t>Steven Bryant</t>
  </si>
  <si>
    <t>Heather Bennett</t>
  </si>
  <si>
    <t>Brandon Howard</t>
  </si>
  <si>
    <t>WO#</t>
  </si>
  <si>
    <t>WorkOrder Created Date</t>
  </si>
  <si>
    <t>Last Revision Date</t>
  </si>
  <si>
    <t>Status</t>
  </si>
  <si>
    <t>Item#</t>
  </si>
  <si>
    <t>Sum of Amount</t>
  </si>
  <si>
    <t>Deposit Amount</t>
  </si>
  <si>
    <t>Parts Amount</t>
  </si>
  <si>
    <t>InStock Amount</t>
  </si>
  <si>
    <t>Vendor Amount</t>
  </si>
  <si>
    <t>Blank Stock</t>
  </si>
  <si>
    <t>LI. Freight</t>
  </si>
  <si>
    <t>Services</t>
  </si>
  <si>
    <t>Sum of Warranty</t>
  </si>
  <si>
    <t>22-08-2024 12:11</t>
  </si>
  <si>
    <t>22-08-2024 13:10</t>
  </si>
  <si>
    <t>Open</t>
  </si>
  <si>
    <t>22-08-2024 13:12</t>
  </si>
  <si>
    <t>22-08-2024 13:16</t>
  </si>
  <si>
    <t>22-08-2024 09:36</t>
  </si>
  <si>
    <t>22-08-2024 10:50</t>
  </si>
  <si>
    <t>22-08-2024 16:00</t>
  </si>
  <si>
    <t>22-08-2024 16:17</t>
  </si>
  <si>
    <t>22-08-2024 14:13</t>
  </si>
  <si>
    <t>22-08-2024 15:42</t>
  </si>
  <si>
    <t>22-08-2024 12:17</t>
  </si>
  <si>
    <t>22-08-2024 14:01</t>
  </si>
  <si>
    <t>22-08-2024 15:47</t>
  </si>
  <si>
    <t>22-08-2024 16:22</t>
  </si>
  <si>
    <t>22-08-2024 13:37</t>
  </si>
  <si>
    <t>22-08-2024 13:46</t>
  </si>
  <si>
    <t>22-08-2024 11:58</t>
  </si>
  <si>
    <t>22-08-2024 12:29</t>
  </si>
  <si>
    <t>22-08-2024 08:56</t>
  </si>
  <si>
    <t>22-08-2024 10:04</t>
  </si>
  <si>
    <t>22-08-2024 16:44</t>
  </si>
  <si>
    <t>22-08-2024 16:50</t>
  </si>
  <si>
    <t>22-08-2024 16:31</t>
  </si>
  <si>
    <t>22-08-2024 16:35</t>
  </si>
  <si>
    <t>22-08-2024 12:13</t>
  </si>
  <si>
    <t>22-08-2024 13:11</t>
  </si>
  <si>
    <t>22-08-2024 08:23</t>
  </si>
  <si>
    <t>22-08-2024 08:43</t>
  </si>
  <si>
    <t>Close</t>
  </si>
  <si>
    <t>22-08-2024 14:33</t>
  </si>
  <si>
    <t>22-08-2024 14:41</t>
  </si>
  <si>
    <t>22-08-2024 14:49</t>
  </si>
  <si>
    <t>22-08-2024 14:55</t>
  </si>
  <si>
    <t>22-08-2024 12:31</t>
  </si>
  <si>
    <t>22-08-2024 13:41</t>
  </si>
  <si>
    <t>22-08-2024 09:02</t>
  </si>
  <si>
    <t>22-08-2024 14:28</t>
  </si>
  <si>
    <t>22-08-2024 09:34</t>
  </si>
  <si>
    <t>22-08-2024 10:36</t>
  </si>
  <si>
    <t>22-08-2024 11:19</t>
  </si>
  <si>
    <t>22-08-2024 12:09</t>
  </si>
  <si>
    <t>22-08-2024 10:56</t>
  </si>
  <si>
    <t>22-08-2024 11:05</t>
  </si>
  <si>
    <t>22-08-2024 12:06</t>
  </si>
  <si>
    <t>22-08-2024 12:24</t>
  </si>
  <si>
    <t>22-08-2024 12:00</t>
  </si>
  <si>
    <t>22-08-2024 17:26</t>
  </si>
  <si>
    <t>22-08-2024 13:32</t>
  </si>
  <si>
    <t>22-08-2024 13:35</t>
  </si>
  <si>
    <t>22-08-2024 10:41</t>
  </si>
  <si>
    <t>22-08-2024 16:41</t>
  </si>
  <si>
    <t>22-08-2024 16:43</t>
  </si>
  <si>
    <t>22-08-2024 08:28</t>
  </si>
  <si>
    <t>22-08-2024 09:49</t>
  </si>
  <si>
    <t>22-08-2024 13:20</t>
  </si>
  <si>
    <t>22-08-2024 13:29</t>
  </si>
  <si>
    <t>22-08-2024 15:09</t>
  </si>
  <si>
    <t>22-08-2024 15:48</t>
  </si>
  <si>
    <t>22-08-2024 09:51</t>
  </si>
  <si>
    <t>22-08-2024 10:13</t>
  </si>
  <si>
    <t>22-08-2024 11:47</t>
  </si>
  <si>
    <t>22-08-2024 12:44</t>
  </si>
  <si>
    <t>22-08-2024 16:11</t>
  </si>
  <si>
    <t>22-08-2024 16:24</t>
  </si>
  <si>
    <t>Olivia Lee</t>
  </si>
  <si>
    <t>22-08-2024 08:08</t>
  </si>
  <si>
    <t>22-08-2024 08:34</t>
  </si>
  <si>
    <t>22-08-2024 13:39</t>
  </si>
  <si>
    <t>22-08-2024 15:07</t>
  </si>
  <si>
    <t>22-08-2024 15:38</t>
  </si>
  <si>
    <t>22-08-2024 16:18</t>
  </si>
  <si>
    <t>22-08-2024 10:25</t>
  </si>
  <si>
    <t>22-08-2024 11:06</t>
  </si>
  <si>
    <t>22-08-2024 10:48</t>
  </si>
  <si>
    <t>22-08-2024 11:24</t>
  </si>
  <si>
    <t>22-08-2024 15:35</t>
  </si>
  <si>
    <t>22-08-2024 08:48</t>
  </si>
  <si>
    <t>22-08-2024 15:59</t>
  </si>
  <si>
    <t>22-08-2024 16:20</t>
  </si>
  <si>
    <t>22-08-2024 12:37</t>
  </si>
  <si>
    <t>22-08-2024 13:48</t>
  </si>
  <si>
    <t>22-08-2024 08:16</t>
  </si>
  <si>
    <t>22-08-2024 08:36</t>
  </si>
  <si>
    <t>22-08-2024 10:27</t>
  </si>
  <si>
    <t>22-08-2024 09:48</t>
  </si>
  <si>
    <t>22-08-2024 09:37</t>
  </si>
  <si>
    <t>22-08-2024 10:52</t>
  </si>
  <si>
    <t>22-08-2024 15:51</t>
  </si>
  <si>
    <t>22-08-2024 16:10</t>
  </si>
  <si>
    <t>22-08-2024 16:34</t>
  </si>
  <si>
    <t>22-08-2024 16:42</t>
  </si>
  <si>
    <t>22-08-2024 10:46</t>
  </si>
  <si>
    <t>22-08-2024 11:23</t>
  </si>
  <si>
    <t>22-08-2024 16:14</t>
  </si>
  <si>
    <t>22-08-2024 12:23</t>
  </si>
  <si>
    <t>22-08-2024 16:56</t>
  </si>
  <si>
    <t>22-08-2024 10:03</t>
  </si>
  <si>
    <t>22-08-2024 10:20</t>
  </si>
  <si>
    <t>22-08-2024 11:59</t>
  </si>
  <si>
    <t>22-08-2024 12:26</t>
  </si>
  <si>
    <t>22-08-2024 15:17</t>
  </si>
  <si>
    <t>22-08-2024 16:07</t>
  </si>
  <si>
    <t>22-08-2024 13:54</t>
  </si>
  <si>
    <t>22-08-2024 16:37</t>
  </si>
  <si>
    <t>22-08-2024 12:42</t>
  </si>
  <si>
    <t>22-08-2024 13:50</t>
  </si>
  <si>
    <t>22-08-2024 12:14</t>
  </si>
  <si>
    <t>22-08-2024 13:02</t>
  </si>
  <si>
    <t>22-08-2024 13:14</t>
  </si>
  <si>
    <t>22-08-2024 12:19</t>
  </si>
  <si>
    <t>22-08-2024 12:05</t>
  </si>
  <si>
    <t>22-08-2024 12:15</t>
  </si>
  <si>
    <t>22-08-2024 13:22</t>
  </si>
  <si>
    <t>22-08-2024 12:30</t>
  </si>
  <si>
    <t>22-08-2024 13:40</t>
  </si>
  <si>
    <t>22-08-2024 13:43</t>
  </si>
  <si>
    <t>22-08-2024 12:48</t>
  </si>
  <si>
    <t>22-08-2024 13:53</t>
  </si>
  <si>
    <t>22-08-2024 16:32</t>
  </si>
  <si>
    <t>22-08-2024 16:36</t>
  </si>
  <si>
    <t>22-08-2024 08:10</t>
  </si>
  <si>
    <t>22-08-2024 08:35</t>
  </si>
  <si>
    <t>22-08-2024 09:44</t>
  </si>
  <si>
    <t>22-08-2024 10:53</t>
  </si>
  <si>
    <t>22-08-2024 10:35</t>
  </si>
  <si>
    <t>22-08-2024 15:49</t>
  </si>
  <si>
    <t>22-08-2024 09:27</t>
  </si>
  <si>
    <t>22-08-2024 10:18</t>
  </si>
  <si>
    <t>22-08-2024 15:41</t>
  </si>
  <si>
    <t>22-08-2024 15:50</t>
  </si>
  <si>
    <t>22-08-2024 12:12</t>
  </si>
  <si>
    <t>22-08-2024 12:41</t>
  </si>
  <si>
    <t>22-08-2024 13:49</t>
  </si>
  <si>
    <t>22-08-2024 10:40</t>
  </si>
  <si>
    <t>22-08-2024 12:46</t>
  </si>
  <si>
    <t>22-08-2024 13:56</t>
  </si>
  <si>
    <t>22-08-2024 14:32</t>
  </si>
  <si>
    <t>22-08-2024 14:54</t>
  </si>
  <si>
    <t>22-08-2024 15:36</t>
  </si>
  <si>
    <t>22-08-2024 10:07</t>
  </si>
  <si>
    <t>22-08-2024 10:23</t>
  </si>
  <si>
    <t>22-08-2024 15:13</t>
  </si>
  <si>
    <t>22-08-2024 16:04</t>
  </si>
  <si>
    <t>22-08-2024 09:46</t>
  </si>
  <si>
    <t>22-08-2024 10:55</t>
  </si>
  <si>
    <t>22-08-2024 14:17</t>
  </si>
  <si>
    <t>22-08-2024 14:47</t>
  </si>
  <si>
    <t>22-08-2024 10:11</t>
  </si>
  <si>
    <t>22-08-2024 10:26</t>
  </si>
  <si>
    <t>22-08-2024 12:58</t>
  </si>
  <si>
    <t>22-08-2024 10:22</t>
  </si>
  <si>
    <t>22-08-2024 10:43</t>
  </si>
  <si>
    <t>22-08-2024 11:44</t>
  </si>
  <si>
    <t>22-08-2024 11:08</t>
  </si>
  <si>
    <t>22-08-2024 11:20</t>
  </si>
  <si>
    <t>22-08-2024 12:53</t>
  </si>
  <si>
    <t>22-08-2024 13:13</t>
  </si>
  <si>
    <t>22-08-2024 13:15</t>
  </si>
  <si>
    <t>22-08-2024 13:17</t>
  </si>
  <si>
    <t>22-08-2024 16:02</t>
  </si>
  <si>
    <t>22-08-2024 16:19</t>
  </si>
  <si>
    <t>22-08-2024 15:00</t>
  </si>
  <si>
    <t>22-08-2024 15:05</t>
  </si>
  <si>
    <t>22-08-2024 09:09</t>
  </si>
  <si>
    <t>22-08-2024 09:45</t>
  </si>
  <si>
    <t>22-08-2024 10:19</t>
  </si>
  <si>
    <t>22-08-2024 12:01</t>
  </si>
  <si>
    <t>22-08-2024 12:16</t>
  </si>
  <si>
    <t>22-08-2024 13:23</t>
  </si>
  <si>
    <t>22-08-2024 12:35</t>
  </si>
  <si>
    <t>22-08-2024 14:31</t>
  </si>
  <si>
    <t>22-08-2024 14:53</t>
  </si>
  <si>
    <t>22-08-2024 16:09</t>
  </si>
  <si>
    <t>22-08-2024 09:26</t>
  </si>
  <si>
    <t>22-08-2024 10:14</t>
  </si>
  <si>
    <t>22-08-2024 14:43</t>
  </si>
  <si>
    <t>22-08-2024 14:44</t>
  </si>
  <si>
    <t>22-08-2024 14:21</t>
  </si>
  <si>
    <t>22-08-2024 15:23</t>
  </si>
  <si>
    <t>22-08-2024 08:31</t>
  </si>
  <si>
    <t>22-08-2024 09:13</t>
  </si>
  <si>
    <t>22-08-2024 13:28</t>
  </si>
  <si>
    <t>22-08-2024 13:45</t>
  </si>
  <si>
    <t>22-08-2024 14:07</t>
  </si>
  <si>
    <t>22-08-2024 15:16</t>
  </si>
  <si>
    <t>22-08-2024 08:26</t>
  </si>
  <si>
    <t>22-08-2024 08:46</t>
  </si>
  <si>
    <t>22-08-2024 16:23</t>
  </si>
  <si>
    <t>22-08-2024 11:29</t>
  </si>
  <si>
    <t>22-08-2024 11:40</t>
  </si>
  <si>
    <t>22-08-2024 11:30</t>
  </si>
  <si>
    <t>22-08-2024 09:24</t>
  </si>
  <si>
    <t>22-08-2024 16:53</t>
  </si>
  <si>
    <t>22-08-2024 09:55</t>
  </si>
  <si>
    <t>22-08-2024 15:01</t>
  </si>
  <si>
    <t>22-08-2024 09:20</t>
  </si>
  <si>
    <t>22-08-2024 15:28</t>
  </si>
  <si>
    <t>22-08-2024 02:14</t>
  </si>
  <si>
    <t>22-08-2024 02:16</t>
  </si>
  <si>
    <t>22-08-2024 03:57</t>
  </si>
  <si>
    <t>22-08-2024 04:02</t>
  </si>
  <si>
    <t>22-08-2024 04:08</t>
  </si>
  <si>
    <t>Sanamdeep</t>
  </si>
  <si>
    <t>22-08-2024 08:13</t>
  </si>
  <si>
    <t>22-08-2024 08:15</t>
  </si>
  <si>
    <t>22-08-2024 08:17</t>
  </si>
  <si>
    <t>22-08-2024 08:37</t>
  </si>
  <si>
    <t>22-08-2024 08:19</t>
  </si>
  <si>
    <t>22-08-2024 08:38</t>
  </si>
  <si>
    <t>22-08-2024 08:27</t>
  </si>
  <si>
    <t>22-08-2024 08:30</t>
  </si>
  <si>
    <t>22-08-2024 08:49</t>
  </si>
  <si>
    <t>22-08-2024 09:01</t>
  </si>
  <si>
    <t>22-08-2024 08:40</t>
  </si>
  <si>
    <t>22-08-2024 09:10</t>
  </si>
  <si>
    <t>22-08-2024 09:12</t>
  </si>
  <si>
    <t>22-08-2024 09:23</t>
  </si>
  <si>
    <t>22-08-2024 09:59</t>
  </si>
  <si>
    <t>22-08-2024 09:25</t>
  </si>
  <si>
    <t>22-08-2024 10:12</t>
  </si>
  <si>
    <t>22-08-2024 09:57</t>
  </si>
  <si>
    <t>22-08-2024 09:58</t>
  </si>
  <si>
    <t>22-08-2024 10:06</t>
  </si>
  <si>
    <t>22-08-2024 10:24</t>
  </si>
  <si>
    <t>22-08-2024 10:16</t>
  </si>
  <si>
    <t>22-08-2024 10:37</t>
  </si>
  <si>
    <t>22-08-2024 09:30</t>
  </si>
  <si>
    <t>22-08-2024 09:31</t>
  </si>
  <si>
    <t>22-08-2024 09:40</t>
  </si>
  <si>
    <t>22-08-2024 11:02</t>
  </si>
  <si>
    <t>22-08-2024 10:34</t>
  </si>
  <si>
    <t>22-08-2024 11:13</t>
  </si>
  <si>
    <t>22-08-2024 11:18</t>
  </si>
  <si>
    <t>22-08-2024 11:11</t>
  </si>
  <si>
    <t>22-08-2024 11:21</t>
  </si>
  <si>
    <t>22-08-2024 11:22</t>
  </si>
  <si>
    <t>22-08-2024 11:27</t>
  </si>
  <si>
    <t>22-08-2024 10:54</t>
  </si>
  <si>
    <t>22-08-2024 11:28</t>
  </si>
  <si>
    <t>22-08-2024 11:46</t>
  </si>
  <si>
    <t>22-08-2024 11:39</t>
  </si>
  <si>
    <t>22-08-2024 12:04</t>
  </si>
  <si>
    <t>22-08-2024 09:06</t>
  </si>
  <si>
    <t>22-08-2024 11:57</t>
  </si>
  <si>
    <t>22-08-2024 11:54</t>
  </si>
  <si>
    <t>22-08-2024 12:43</t>
  </si>
  <si>
    <t>22-08-2024 11:53</t>
  </si>
  <si>
    <t>22-08-2024 12:45</t>
  </si>
  <si>
    <t>22-08-2024 11:41</t>
  </si>
  <si>
    <t>22-08-2024 13:24</t>
  </si>
  <si>
    <t>22-08-2024 13:30</t>
  </si>
  <si>
    <t>22-08-2024 13:34</t>
  </si>
  <si>
    <t>22-08-2024 13:36</t>
  </si>
  <si>
    <t>22-08-2024 13:42</t>
  </si>
  <si>
    <t>22-08-2024 13:47</t>
  </si>
  <si>
    <t>22-08-2024 14:04</t>
  </si>
  <si>
    <t>22-08-2024 14:20</t>
  </si>
  <si>
    <t>22-08-2024 14:24</t>
  </si>
  <si>
    <t>22-08-2024 14:05</t>
  </si>
  <si>
    <t>22-08-2024 14:26</t>
  </si>
  <si>
    <t>22-08-2024 14:36</t>
  </si>
  <si>
    <t>22-08-2024 14:42</t>
  </si>
  <si>
    <t>22-08-2024 14:09</t>
  </si>
  <si>
    <t>22-08-2024 14:12</t>
  </si>
  <si>
    <t>22-08-2024 11:25</t>
  </si>
  <si>
    <t>22-08-2024 14:19</t>
  </si>
  <si>
    <t>22-08-2024 14:48</t>
  </si>
  <si>
    <t>22-08-2024 14:29</t>
  </si>
  <si>
    <t>22-08-2024 14:52</t>
  </si>
  <si>
    <t>22-08-2024 14:59</t>
  </si>
  <si>
    <t>22-08-2024 14:57</t>
  </si>
  <si>
    <t>22-08-2024 14:58</t>
  </si>
  <si>
    <t>22-08-2024 15:08</t>
  </si>
  <si>
    <t>22-08-2024 15:27</t>
  </si>
  <si>
    <t>22-08-2024 15:29</t>
  </si>
  <si>
    <t>22-08-2024 15:12</t>
  </si>
  <si>
    <t>22-08-2024 09:35</t>
  </si>
  <si>
    <t>22-08-2024 15:58</t>
  </si>
  <si>
    <t>22-08-2024 15:31</t>
  </si>
  <si>
    <t>22-08-2024 16:01</t>
  </si>
  <si>
    <t>22-08-2024 15:57</t>
  </si>
  <si>
    <t>22-08-2024 16:12</t>
  </si>
  <si>
    <t>22-08-2024 14:45</t>
  </si>
  <si>
    <t>22-08-2024 16:29</t>
  </si>
  <si>
    <t>22-08-2024 14:23</t>
  </si>
  <si>
    <t>22-08-2024 16:33</t>
  </si>
  <si>
    <t>22-08-2024 16:48</t>
  </si>
  <si>
    <t>22-08-2024 16:49</t>
  </si>
  <si>
    <t>22-08-2024 16:52</t>
  </si>
  <si>
    <t>22-08-2024 16:45</t>
  </si>
  <si>
    <t>22-08-2024 16:55</t>
  </si>
  <si>
    <t>22-08-2024 16:51</t>
  </si>
  <si>
    <t>22-08-2024 17:00</t>
  </si>
  <si>
    <t>22-08-2024 01:09</t>
  </si>
  <si>
    <t>22-08-2024 20:32</t>
  </si>
  <si>
    <t>22-08-2024 06:00</t>
  </si>
  <si>
    <t>22-08-2024 20:34</t>
  </si>
  <si>
    <t>22-08-2024 06:18</t>
  </si>
  <si>
    <t>22-08-2024 20:36</t>
  </si>
  <si>
    <t>22-08-2024 06:37</t>
  </si>
  <si>
    <t>22-08-2024 20:37</t>
  </si>
  <si>
    <t>22-08-2024 06:55</t>
  </si>
  <si>
    <t>22-08-2024 20:39</t>
  </si>
  <si>
    <t>22-08-2024 20:41</t>
  </si>
  <si>
    <t>22-08-2024 07:13</t>
  </si>
  <si>
    <t>22-08-2024 20:44</t>
  </si>
  <si>
    <t>22-08-2024 07:29</t>
  </si>
  <si>
    <t>22-08-2024 20:47</t>
  </si>
  <si>
    <t>22-08-2024 20:49</t>
  </si>
  <si>
    <t>22-08-2024 08:47</t>
  </si>
  <si>
    <t>22-08-2024 20:52</t>
  </si>
  <si>
    <t>22-08-2024 09:05</t>
  </si>
  <si>
    <t>22-08-2024 20:53</t>
  </si>
  <si>
    <t>22-08-2024 20:55</t>
  </si>
  <si>
    <t>22-08-2024 20:59</t>
  </si>
  <si>
    <t>22-08-2024 21:00</t>
  </si>
  <si>
    <t>22-08-2024 21:04</t>
  </si>
  <si>
    <t>22-08-2024 21:06</t>
  </si>
  <si>
    <t>22-08-2024 21:07</t>
  </si>
  <si>
    <t>22-08-2024 21:08</t>
  </si>
  <si>
    <t>22-08-2024 11:10</t>
  </si>
  <si>
    <t>22-08-2024 21:10</t>
  </si>
  <si>
    <t>22-08-2024 21:11</t>
  </si>
  <si>
    <t>22-08-2024 21:14</t>
  </si>
  <si>
    <t>22-08-2024 21:17</t>
  </si>
  <si>
    <t>22-08-2024 21:22</t>
  </si>
  <si>
    <t>22-08-2024 21:24</t>
  </si>
  <si>
    <t>22-08-2024 12:22</t>
  </si>
  <si>
    <t>22-08-2024 21:33</t>
  </si>
  <si>
    <t>22-08-2024 21:35</t>
  </si>
  <si>
    <t>22-08-2024 12:40</t>
  </si>
  <si>
    <t>22-08-2024 21:37</t>
  </si>
  <si>
    <t>22-08-2024 21:41</t>
  </si>
  <si>
    <t>22-08-2024 21:43</t>
  </si>
  <si>
    <t>22-08-2024 21:47</t>
  </si>
  <si>
    <t>22-08-2024 15:55</t>
  </si>
  <si>
    <t>22-08-2024 21:49</t>
  </si>
  <si>
    <t>22-08-2024 21:54</t>
  </si>
  <si>
    <t>22-08-2024 22:33</t>
  </si>
  <si>
    <t>22-08-2024 13:52</t>
  </si>
  <si>
    <t>22-08-2024 22:35</t>
  </si>
  <si>
    <t>22-08-2024 22:43</t>
  </si>
  <si>
    <t>22-08-2024 22:59</t>
  </si>
  <si>
    <t>22-08-2024 23:00</t>
  </si>
  <si>
    <t>22-08-2024 23:02</t>
  </si>
  <si>
    <t>22-08-2024 14:27</t>
  </si>
  <si>
    <t>22-08-2024 23:03</t>
  </si>
  <si>
    <t>22-08-2024 23:04</t>
  </si>
  <si>
    <t>22-08-2024 23:07</t>
  </si>
  <si>
    <t>22-08-2024 15:03</t>
  </si>
  <si>
    <t>22-08-2024 23:08</t>
  </si>
  <si>
    <t>22-08-2024 23:09</t>
  </si>
  <si>
    <t>22-08-2024 23:12</t>
  </si>
  <si>
    <t>22-08-2024 17:10</t>
  </si>
  <si>
    <t>22-08-2024 23:13</t>
  </si>
  <si>
    <t>22-08-2024 17:28</t>
  </si>
  <si>
    <t>22-08-2024 23:15</t>
  </si>
  <si>
    <t>22-08-2024 20:10</t>
  </si>
  <si>
    <t>22-08-2024 23:18</t>
  </si>
  <si>
    <t>22-08-2024 17:46</t>
  </si>
  <si>
    <t>22-08-2024 23:19</t>
  </si>
  <si>
    <t>22-08-2024 23:21</t>
  </si>
  <si>
    <t>22-08-2024 18:22</t>
  </si>
  <si>
    <t>22-08-2024 23:23</t>
  </si>
  <si>
    <t>22-08-2024 18:40</t>
  </si>
  <si>
    <t>22-08-2024 23:25</t>
  </si>
  <si>
    <t>22-08-2024 18:58</t>
  </si>
  <si>
    <t>22-08-2024 23:27</t>
  </si>
  <si>
    <t>22-08-2024 19:15</t>
  </si>
  <si>
    <t>22-08-2024 23:43</t>
  </si>
  <si>
    <t>22-08-2024 20:28</t>
  </si>
  <si>
    <t>22-08-2024 23:45</t>
  </si>
  <si>
    <t>22-08-2024 23:46</t>
  </si>
  <si>
    <t>22-08-2024 23:47</t>
  </si>
  <si>
    <t>22-08-2024 11:43</t>
  </si>
  <si>
    <t>23-08-2024 00:33</t>
  </si>
  <si>
    <t>22-08-2024 10:00</t>
  </si>
  <si>
    <t>Total Gross</t>
  </si>
  <si>
    <t>Gross Sales</t>
  </si>
  <si>
    <t>Net Sales</t>
  </si>
  <si>
    <t>Y2Y Sales</t>
  </si>
  <si>
    <t>Parts Sold End User</t>
  </si>
  <si>
    <t>In-Stock Sales</t>
  </si>
  <si>
    <t>Gross Broker</t>
  </si>
  <si>
    <t>PO Profit</t>
  </si>
  <si>
    <t>Warranty Sales</t>
  </si>
  <si>
    <t>Warranty % Sold End User</t>
  </si>
  <si>
    <t>Adjusted Price</t>
  </si>
  <si>
    <t>Returns $ (-)</t>
  </si>
  <si>
    <t>Return %</t>
  </si>
  <si>
    <t>Invoice Count</t>
  </si>
  <si>
    <t>Manager Reviews</t>
  </si>
  <si>
    <t>I. part Return</t>
  </si>
  <si>
    <t>Return Instock %</t>
  </si>
  <si>
    <t>B. part Return</t>
  </si>
  <si>
    <t>Return Broker %</t>
  </si>
  <si>
    <t>Return Total %</t>
  </si>
  <si>
    <t>Wo Pending Instock</t>
  </si>
  <si>
    <t>Wo Pending Vendor/Blank</t>
  </si>
  <si>
    <t>Close Rate</t>
  </si>
  <si>
    <t>Close Rate Drive Train</t>
  </si>
  <si>
    <t>Close Rate Body</t>
  </si>
  <si>
    <t>Close Rate Suspension</t>
  </si>
  <si>
    <t>Close Rate Electrical</t>
  </si>
  <si>
    <t>Instock Close Rate</t>
  </si>
  <si>
    <t>DriveTrain Lookup</t>
  </si>
  <si>
    <t>Body Parts Lookup</t>
  </si>
  <si>
    <t>Suspension Lookup</t>
  </si>
  <si>
    <t>Electrical Lookup</t>
  </si>
  <si>
    <t>Others Lookup</t>
  </si>
  <si>
    <t>DriveTrain Sold</t>
  </si>
  <si>
    <t>Body Parts Sold</t>
  </si>
  <si>
    <t>Suspension Sold</t>
  </si>
  <si>
    <t>Electrical Sold</t>
  </si>
  <si>
    <t>Others Sold</t>
  </si>
  <si>
    <t>Walkin Customers</t>
  </si>
  <si>
    <t>Total Interactions</t>
  </si>
  <si>
    <t>Interactions to Invoice #</t>
  </si>
  <si>
    <t>Dollar Per Interaction</t>
  </si>
  <si>
    <t>Average Hold Time - Engage</t>
  </si>
  <si>
    <t>Presented Calls - Engage</t>
  </si>
  <si>
    <t>Inbound Calls - Engage</t>
  </si>
  <si>
    <t>Abandoned - Engage</t>
  </si>
  <si>
    <t>Deflected - Engage</t>
  </si>
  <si>
    <t>Talk Time - Engage HR</t>
  </si>
  <si>
    <t>Abandoned Rate</t>
  </si>
  <si>
    <t>Inbound Calls - Office</t>
  </si>
  <si>
    <t>Outbound Calls - Office</t>
  </si>
  <si>
    <t>Missed Calls - Office%</t>
  </si>
  <si>
    <t>Missed Calls - Office#</t>
  </si>
  <si>
    <t>Talk Time - Office HR</t>
  </si>
  <si>
    <t>Audit Failed WO</t>
  </si>
  <si>
    <t>Net Sales Score</t>
  </si>
  <si>
    <t>Quality Score</t>
  </si>
  <si>
    <t>$ per Call Score</t>
  </si>
  <si>
    <t>Total Score</t>
  </si>
  <si>
    <t>A (5) Grade Sales Agents</t>
  </si>
  <si>
    <t>B (4) Grade Sales Agents</t>
  </si>
  <si>
    <t>C (3) Grade Sales Agents</t>
  </si>
  <si>
    <t>D (2) Grade Sales Agents</t>
  </si>
  <si>
    <t>E (1) Grade Sales Agents</t>
  </si>
  <si>
    <t>❌</t>
  </si>
  <si>
    <t>Accepted Calls -Engage</t>
  </si>
  <si>
    <t>DIGITAL_Agents</t>
  </si>
  <si>
    <t>MANAGED_Agents</t>
  </si>
  <si>
    <t>OTHER_Agents</t>
  </si>
  <si>
    <t>DEPARTMENT</t>
  </si>
  <si>
    <t>Total Agents</t>
  </si>
  <si>
    <t>Other_Department</t>
  </si>
  <si>
    <t>USA/INDIA_Department</t>
  </si>
  <si>
    <t>Teams_Total</t>
  </si>
  <si>
    <t>For Individual Agent</t>
  </si>
  <si>
    <t>For Total/Department</t>
  </si>
  <si>
    <t>For DIGITAL</t>
  </si>
  <si>
    <t>Daily</t>
  </si>
  <si>
    <t>TeamS</t>
  </si>
  <si>
    <t>DIGITAL_DEPARTMENT</t>
  </si>
  <si>
    <t>Po Profit</t>
  </si>
  <si>
    <t>Mitchell Parts</t>
  </si>
  <si>
    <t>Others</t>
  </si>
  <si>
    <t>Other Gross Sales</t>
  </si>
  <si>
    <t>Close rate</t>
  </si>
  <si>
    <t>Last Sold &gt;30 %</t>
  </si>
  <si>
    <t># of Oustanding Quotes</t>
  </si>
  <si>
    <t>Bad Calls</t>
  </si>
  <si>
    <t>Max Gross</t>
  </si>
  <si>
    <t>Max Net</t>
  </si>
  <si>
    <t>Max Calls</t>
  </si>
  <si>
    <t>RAW DATA &amp; AUTOMATION</t>
  </si>
  <si>
    <t>FULLY DYNAMICALLY AUTOMATED</t>
  </si>
  <si>
    <t>RAW DATA ONLY</t>
  </si>
  <si>
    <t>Department_KPIs</t>
  </si>
  <si>
    <t>Agent_wise</t>
  </si>
  <si>
    <t>Daily_KPI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</si>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</sst>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dd\-mm\-yyyy\ hh:mm"/>
    <numFmt numFmtId="165" formatCode="&quot;$&quot;#,##0"/>
    <numFmt numFmtId="166" formatCode="&quot;$&quot;#,##0.00"/>
    <numFmt numFmtId="167" formatCode="mm\-dd\-yyyy\ h:mm"/>
    <numFmt numFmtId="168" formatCode="dd\-mm\-yyyy"/>
    <numFmt numFmtId="169" formatCode="hh&quot;:&quot;mm&quot;:&quot;ss&quot; &quot;"/>
    <numFmt numFmtId="170" formatCode="mm\-dd\-yyyy"/>
    <numFmt numFmtId="171" formatCode="0.0%"/>
    <numFmt numFmtId="172" formatCode="[$-F400]h:mm:ss\ AM/PM"/>
    <numFmt numFmtId="173" formatCode="0.0"/>
    <numFmt numFmtId="174" formatCode="_-[$$-409]* #,##0_ ;_-[$$-409]* \-#,##0\ ;_-[$$-409]* &quot;-&quot;??_ ;_-@_ "/>
  </numFmts>
  <fonts count="36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rgb="FF222222"/>
      <name val="Google Sans"/>
    </font>
    <font>
      <b/>
      <sz val="11"/>
      <color rgb="FFFFFFFF"/>
      <name val="Google Sans"/>
    </font>
    <font>
      <u/>
      <sz val="11"/>
      <color rgb="FF0000FF"/>
      <name val="Arial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Quattrocento Sans"/>
    </font>
    <font>
      <sz val="10"/>
      <color rgb="FF333333"/>
      <name val="Quattrocento Sans"/>
    </font>
    <font>
      <sz val="11"/>
      <color theme="1"/>
      <name val="Quattrocento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Google Sans Mono"/>
    </font>
    <font>
      <sz val="11"/>
      <color rgb="FF9C0006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rgb="FF9C5700"/>
      <name val="Calibri"/>
      <family val="2"/>
    </font>
    <font>
      <sz val="9"/>
      <color theme="1"/>
      <name val="Roboto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i/>
      <sz val="11"/>
      <color rgb="FFFFFFFF"/>
      <name val="Calibri"/>
      <family val="2"/>
    </font>
    <font>
      <b/>
      <sz val="9"/>
      <color theme="1"/>
      <name val="Google Sans Mono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  <scheme val="minor"/>
    </font>
    <font>
      <u/>
      <sz val="11"/>
      <color rgb="FF0000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002060"/>
        <bgColor rgb="FF002060"/>
      </patternFill>
    </fill>
    <fill>
      <patternFill patternType="solid">
        <fgColor rgb="FFED7D31"/>
        <bgColor rgb="FFED7D31"/>
      </patternFill>
    </fill>
    <fill>
      <patternFill patternType="solid">
        <fgColor rgb="FFFFEB9C"/>
        <bgColor rgb="FFFFEB9C"/>
      </patternFill>
    </fill>
    <fill>
      <patternFill patternType="solid">
        <fgColor rgb="FF548135"/>
        <bgColor rgb="FF548135"/>
      </patternFill>
    </fill>
    <fill>
      <patternFill patternType="solid">
        <fgColor rgb="FFF2F2F2"/>
        <bgColor rgb="FFF2F2F2"/>
      </patternFill>
    </fill>
    <fill>
      <patternFill patternType="solid">
        <fgColor rgb="FF7030A0"/>
        <bgColor rgb="FF7030A0"/>
      </patternFill>
    </fill>
    <fill>
      <patternFill patternType="solid">
        <fgColor rgb="FFFAF9F9"/>
        <bgColor rgb="FFFAF9F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D8E5F8"/>
      </patternFill>
    </fill>
    <fill>
      <patternFill patternType="solid">
        <fgColor theme="6"/>
        <bgColor rgb="FFD8E5F8"/>
      </patternFill>
    </fill>
    <fill>
      <patternFill patternType="solid">
        <fgColor theme="2" tint="-0.14999847407452621"/>
        <bgColor rgb="FFD8E5F8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30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0" applyFont="1"/>
    <xf numFmtId="0" fontId="6" fillId="4" borderId="1" xfId="0" applyFont="1" applyFill="1" applyBorder="1"/>
    <xf numFmtId="0" fontId="1" fillId="5" borderId="0" xfId="0" applyFont="1" applyFill="1"/>
    <xf numFmtId="0" fontId="6" fillId="6" borderId="1" xfId="0" applyFont="1" applyFill="1" applyBorder="1"/>
    <xf numFmtId="0" fontId="1" fillId="7" borderId="1" xfId="0" applyFont="1" applyFill="1" applyBorder="1"/>
    <xf numFmtId="0" fontId="7" fillId="7" borderId="1" xfId="0" applyFont="1" applyFill="1" applyBorder="1"/>
    <xf numFmtId="0" fontId="1" fillId="0" borderId="1" xfId="0" applyFont="1" applyBorder="1"/>
    <xf numFmtId="0" fontId="8" fillId="7" borderId="1" xfId="0" applyFont="1" applyFill="1" applyBorder="1"/>
    <xf numFmtId="0" fontId="9" fillId="5" borderId="0" xfId="0" applyFont="1" applyFill="1"/>
    <xf numFmtId="0" fontId="6" fillId="8" borderId="2" xfId="0" applyFont="1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1" fillId="9" borderId="2" xfId="0" applyFont="1" applyFill="1" applyBorder="1" applyAlignment="1">
      <alignment horizontal="right"/>
    </xf>
    <xf numFmtId="0" fontId="1" fillId="9" borderId="3" xfId="0" applyFont="1" applyFill="1" applyBorder="1"/>
    <xf numFmtId="165" fontId="1" fillId="9" borderId="3" xfId="0" applyNumberFormat="1" applyFont="1" applyFill="1" applyBorder="1" applyAlignment="1">
      <alignment horizontal="right"/>
    </xf>
    <xf numFmtId="166" fontId="1" fillId="9" borderId="3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165" fontId="1" fillId="9" borderId="4" xfId="0" applyNumberFormat="1" applyFont="1" applyFill="1" applyBorder="1" applyAlignment="1">
      <alignment horizontal="right"/>
    </xf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65" fontId="1" fillId="9" borderId="3" xfId="0" applyNumberFormat="1" applyFont="1" applyFill="1" applyBorder="1"/>
    <xf numFmtId="0" fontId="1" fillId="0" borderId="2" xfId="0" applyFont="1" applyBorder="1" applyAlignment="1">
      <alignment horizontal="right"/>
    </xf>
    <xf numFmtId="165" fontId="1" fillId="0" borderId="3" xfId="0" applyNumberFormat="1" applyFont="1" applyBorder="1"/>
    <xf numFmtId="0" fontId="1" fillId="0" borderId="2" xfId="0" applyFont="1" applyBorder="1"/>
    <xf numFmtId="0" fontId="1" fillId="9" borderId="2" xfId="0" applyFont="1" applyFill="1" applyBorder="1"/>
    <xf numFmtId="16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9" borderId="3" xfId="0" applyNumberFormat="1" applyFont="1" applyFill="1" applyBorder="1" applyAlignment="1">
      <alignment horizontal="center"/>
    </xf>
    <xf numFmtId="166" fontId="1" fillId="9" borderId="3" xfId="0" applyNumberFormat="1" applyFont="1" applyFill="1" applyBorder="1"/>
    <xf numFmtId="0" fontId="1" fillId="9" borderId="4" xfId="0" applyFont="1" applyFill="1" applyBorder="1"/>
    <xf numFmtId="168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0" fontId="1" fillId="0" borderId="4" xfId="0" applyFont="1" applyBorder="1"/>
    <xf numFmtId="0" fontId="10" fillId="0" borderId="1" xfId="0" applyFont="1" applyBorder="1"/>
    <xf numFmtId="0" fontId="11" fillId="0" borderId="1" xfId="0" applyFont="1" applyBorder="1"/>
    <xf numFmtId="10" fontId="11" fillId="0" borderId="1" xfId="0" applyNumberFormat="1" applyFont="1" applyBorder="1"/>
    <xf numFmtId="2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21" fontId="1" fillId="0" borderId="0" xfId="0" applyNumberFormat="1" applyFont="1"/>
    <xf numFmtId="0" fontId="13" fillId="2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4" fillId="11" borderId="8" xfId="0" applyFont="1" applyFill="1" applyBorder="1" applyAlignment="1">
      <alignment horizontal="center"/>
    </xf>
    <xf numFmtId="0" fontId="14" fillId="11" borderId="9" xfId="0" applyFont="1" applyFill="1" applyBorder="1" applyAlignment="1">
      <alignment horizontal="center"/>
    </xf>
    <xf numFmtId="0" fontId="11" fillId="0" borderId="0" xfId="0" applyFont="1"/>
    <xf numFmtId="21" fontId="1" fillId="5" borderId="10" xfId="0" applyNumberFormat="1" applyFont="1" applyFill="1" applyBorder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right"/>
    </xf>
    <xf numFmtId="170" fontId="1" fillId="0" borderId="0" xfId="0" applyNumberFormat="1" applyFont="1"/>
    <xf numFmtId="46" fontId="1" fillId="0" borderId="0" xfId="0" applyNumberFormat="1" applyFont="1" applyAlignment="1">
      <alignment horizontal="right"/>
    </xf>
    <xf numFmtId="10" fontId="1" fillId="0" borderId="0" xfId="0" applyNumberFormat="1" applyFont="1"/>
    <xf numFmtId="0" fontId="1" fillId="12" borderId="10" xfId="0" applyFont="1" applyFill="1" applyBorder="1"/>
    <xf numFmtId="46" fontId="1" fillId="0" borderId="0" xfId="0" applyNumberFormat="1" applyFont="1"/>
    <xf numFmtId="0" fontId="16" fillId="12" borderId="10" xfId="0" applyFont="1" applyFill="1" applyBorder="1"/>
    <xf numFmtId="0" fontId="16" fillId="12" borderId="5" xfId="0" applyFont="1" applyFill="1" applyBorder="1"/>
    <xf numFmtId="0" fontId="17" fillId="0" borderId="1" xfId="0" applyFont="1" applyBorder="1" applyAlignment="1">
      <alignment horizontal="center"/>
    </xf>
    <xf numFmtId="46" fontId="17" fillId="0" borderId="1" xfId="0" applyNumberFormat="1" applyFont="1" applyBorder="1" applyAlignment="1">
      <alignment horizontal="center"/>
    </xf>
    <xf numFmtId="0" fontId="18" fillId="0" borderId="0" xfId="0" applyFont="1"/>
    <xf numFmtId="46" fontId="1" fillId="0" borderId="1" xfId="0" applyNumberFormat="1" applyFont="1" applyBorder="1" applyAlignment="1">
      <alignment horizontal="right"/>
    </xf>
    <xf numFmtId="0" fontId="1" fillId="12" borderId="5" xfId="0" applyFont="1" applyFill="1" applyBorder="1"/>
    <xf numFmtId="0" fontId="19" fillId="15" borderId="1" xfId="0" applyFont="1" applyFill="1" applyBorder="1" applyAlignment="1">
      <alignment horizontal="center"/>
    </xf>
    <xf numFmtId="0" fontId="1" fillId="0" borderId="13" xfId="0" applyFont="1" applyBorder="1"/>
    <xf numFmtId="0" fontId="21" fillId="11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3" fontId="14" fillId="0" borderId="8" xfId="0" applyNumberFormat="1" applyFont="1" applyBorder="1" applyAlignment="1">
      <alignment horizontal="center"/>
    </xf>
    <xf numFmtId="9" fontId="22" fillId="5" borderId="8" xfId="0" applyNumberFormat="1" applyFont="1" applyFill="1" applyBorder="1" applyAlignment="1">
      <alignment horizontal="center"/>
    </xf>
    <xf numFmtId="0" fontId="21" fillId="11" borderId="12" xfId="0" applyFont="1" applyFill="1" applyBorder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166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0" fontId="1" fillId="5" borderId="10" xfId="0" applyFont="1" applyFill="1" applyBorder="1"/>
    <xf numFmtId="9" fontId="1" fillId="0" borderId="0" xfId="0" applyNumberFormat="1" applyFont="1"/>
    <xf numFmtId="9" fontId="1" fillId="5" borderId="10" xfId="0" applyNumberFormat="1" applyFont="1" applyFill="1" applyBorder="1"/>
    <xf numFmtId="0" fontId="6" fillId="15" borderId="1" xfId="0" applyFont="1" applyFill="1" applyBorder="1"/>
    <xf numFmtId="0" fontId="6" fillId="15" borderId="1" xfId="0" applyFont="1" applyFill="1" applyBorder="1" applyAlignment="1">
      <alignment horizontal="center"/>
    </xf>
    <xf numFmtId="9" fontId="6" fillId="15" borderId="1" xfId="0" applyNumberFormat="1" applyFont="1" applyFill="1" applyBorder="1" applyAlignment="1">
      <alignment horizontal="center"/>
    </xf>
    <xf numFmtId="0" fontId="6" fillId="16" borderId="10" xfId="0" applyFont="1" applyFill="1" applyBorder="1"/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171" fontId="1" fillId="5" borderId="1" xfId="0" applyNumberFormat="1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6" fillId="16" borderId="1" xfId="0" applyFont="1" applyFill="1" applyBorder="1"/>
    <xf numFmtId="9" fontId="1" fillId="5" borderId="1" xfId="0" applyNumberFormat="1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46" fontId="1" fillId="5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16" borderId="1" xfId="0" applyFont="1" applyFill="1" applyBorder="1"/>
    <xf numFmtId="0" fontId="1" fillId="5" borderId="5" xfId="0" applyFont="1" applyFill="1" applyBorder="1"/>
    <xf numFmtId="2" fontId="1" fillId="5" borderId="10" xfId="0" applyNumberFormat="1" applyFont="1" applyFill="1" applyBorder="1"/>
    <xf numFmtId="10" fontId="1" fillId="5" borderId="10" xfId="0" applyNumberFormat="1" applyFont="1" applyFill="1" applyBorder="1"/>
    <xf numFmtId="171" fontId="1" fillId="5" borderId="10" xfId="0" applyNumberFormat="1" applyFont="1" applyFill="1" applyBorder="1"/>
    <xf numFmtId="172" fontId="1" fillId="5" borderId="10" xfId="0" applyNumberFormat="1" applyFont="1" applyFill="1" applyBorder="1"/>
    <xf numFmtId="0" fontId="6" fillId="15" borderId="14" xfId="0" applyFont="1" applyFill="1" applyBorder="1"/>
    <xf numFmtId="0" fontId="6" fillId="15" borderId="14" xfId="0" applyFont="1" applyFill="1" applyBorder="1" applyAlignment="1">
      <alignment horizontal="center"/>
    </xf>
    <xf numFmtId="9" fontId="23" fillId="5" borderId="1" xfId="0" applyNumberFormat="1" applyFont="1" applyFill="1" applyBorder="1" applyAlignment="1">
      <alignment horizontal="center"/>
    </xf>
    <xf numFmtId="173" fontId="1" fillId="5" borderId="10" xfId="0" applyNumberFormat="1" applyFont="1" applyFill="1" applyBorder="1"/>
    <xf numFmtId="0" fontId="26" fillId="0" borderId="0" xfId="0" applyFont="1"/>
    <xf numFmtId="0" fontId="6" fillId="6" borderId="1" xfId="0" applyFont="1" applyFill="1" applyBorder="1" applyAlignment="1">
      <alignment horizontal="center"/>
    </xf>
    <xf numFmtId="0" fontId="27" fillId="19" borderId="1" xfId="0" applyFont="1" applyFill="1" applyBorder="1"/>
    <xf numFmtId="0" fontId="28" fillId="6" borderId="1" xfId="0" applyFont="1" applyFill="1" applyBorder="1" applyAlignment="1">
      <alignment horizontal="center"/>
    </xf>
    <xf numFmtId="0" fontId="17" fillId="0" borderId="1" xfId="0" applyFont="1" applyBorder="1"/>
    <xf numFmtId="0" fontId="27" fillId="19" borderId="1" xfId="0" applyFont="1" applyFill="1" applyBorder="1" applyAlignment="1">
      <alignment horizontal="center"/>
    </xf>
    <xf numFmtId="174" fontId="1" fillId="0" borderId="1" xfId="0" applyNumberFormat="1" applyFont="1" applyBorder="1" applyAlignment="1">
      <alignment horizontal="center"/>
    </xf>
    <xf numFmtId="174" fontId="1" fillId="0" borderId="0" xfId="0" applyNumberFormat="1" applyFont="1"/>
    <xf numFmtId="17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1" fontId="1" fillId="0" borderId="0" xfId="0" applyNumberFormat="1" applyFont="1"/>
    <xf numFmtId="2" fontId="1" fillId="0" borderId="1" xfId="0" applyNumberFormat="1" applyFont="1" applyBorder="1" applyAlignment="1">
      <alignment horizontal="right"/>
    </xf>
    <xf numFmtId="171" fontId="1" fillId="5" borderId="1" xfId="0" applyNumberFormat="1" applyFont="1" applyFill="1" applyBorder="1" applyAlignment="1">
      <alignment horizontal="right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173" fontId="1" fillId="0" borderId="0" xfId="0" applyNumberFormat="1" applyFont="1"/>
    <xf numFmtId="1" fontId="1" fillId="5" borderId="1" xfId="0" applyNumberFormat="1" applyFont="1" applyFill="1" applyBorder="1" applyAlignment="1">
      <alignment horizontal="center"/>
    </xf>
    <xf numFmtId="172" fontId="1" fillId="0" borderId="0" xfId="0" applyNumberFormat="1" applyFont="1"/>
    <xf numFmtId="46" fontId="1" fillId="0" borderId="1" xfId="0" applyNumberFormat="1" applyFont="1" applyBorder="1" applyAlignment="1">
      <alignment horizontal="center"/>
    </xf>
    <xf numFmtId="46" fontId="1" fillId="0" borderId="1" xfId="0" applyNumberFormat="1" applyFont="1" applyBorder="1"/>
    <xf numFmtId="0" fontId="17" fillId="0" borderId="0" xfId="0" applyFont="1"/>
    <xf numFmtId="0" fontId="25" fillId="0" borderId="1" xfId="0" applyFont="1" applyBorder="1"/>
    <xf numFmtId="0" fontId="6" fillId="18" borderId="10" xfId="0" applyFont="1" applyFill="1" applyBorder="1" applyAlignment="1">
      <alignment horizontal="center"/>
    </xf>
    <xf numFmtId="3" fontId="1" fillId="0" borderId="0" xfId="0" applyNumberFormat="1" applyFont="1"/>
    <xf numFmtId="0" fontId="6" fillId="20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" fillId="0" borderId="15" xfId="0" applyFont="1" applyBorder="1"/>
    <xf numFmtId="0" fontId="6" fillId="0" borderId="1" xfId="0" applyFont="1" applyBorder="1" applyAlignment="1">
      <alignment horizontal="center"/>
    </xf>
    <xf numFmtId="174" fontId="1" fillId="0" borderId="1" xfId="0" applyNumberFormat="1" applyFont="1" applyBorder="1"/>
    <xf numFmtId="174" fontId="15" fillId="5" borderId="1" xfId="0" applyNumberFormat="1" applyFont="1" applyFill="1" applyBorder="1"/>
    <xf numFmtId="1" fontId="15" fillId="5" borderId="1" xfId="0" applyNumberFormat="1" applyFont="1" applyFill="1" applyBorder="1"/>
    <xf numFmtId="0" fontId="1" fillId="21" borderId="0" xfId="0" applyFont="1" applyFill="1"/>
    <xf numFmtId="0" fontId="14" fillId="13" borderId="16" xfId="0" applyFont="1" applyFill="1" applyBorder="1" applyAlignment="1">
      <alignment horizontal="center" wrapText="1"/>
    </xf>
    <xf numFmtId="0" fontId="14" fillId="14" borderId="16" xfId="0" applyFont="1" applyFill="1" applyBorder="1" applyAlignment="1">
      <alignment horizontal="center" wrapText="1"/>
    </xf>
    <xf numFmtId="0" fontId="1" fillId="0" borderId="16" xfId="0" applyFont="1" applyBorder="1"/>
    <xf numFmtId="0" fontId="20" fillId="0" borderId="16" xfId="0" applyFont="1" applyBorder="1" applyAlignment="1">
      <alignment horizontal="center"/>
    </xf>
    <xf numFmtId="0" fontId="18" fillId="0" borderId="16" xfId="0" applyFont="1" applyBorder="1"/>
    <xf numFmtId="0" fontId="3" fillId="3" borderId="16" xfId="0" applyFont="1" applyFill="1" applyBorder="1"/>
    <xf numFmtId="0" fontId="4" fillId="0" borderId="16" xfId="0" applyFont="1" applyBorder="1"/>
    <xf numFmtId="0" fontId="1" fillId="22" borderId="0" xfId="0" applyFont="1" applyFill="1"/>
    <xf numFmtId="0" fontId="9" fillId="23" borderId="0" xfId="0" applyFont="1" applyFill="1"/>
    <xf numFmtId="0" fontId="1" fillId="23" borderId="0" xfId="0" applyFont="1" applyFill="1"/>
    <xf numFmtId="0" fontId="6" fillId="15" borderId="17" xfId="0" applyFont="1" applyFill="1" applyBorder="1" applyAlignment="1">
      <alignment horizontal="center"/>
    </xf>
    <xf numFmtId="9" fontId="6" fillId="15" borderId="1" xfId="1" applyFont="1" applyFill="1" applyBorder="1" applyAlignment="1">
      <alignment horizontal="center"/>
    </xf>
    <xf numFmtId="9" fontId="23" fillId="5" borderId="1" xfId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9" fontId="1" fillId="5" borderId="10" xfId="1" applyFont="1" applyFill="1" applyBorder="1" applyAlignment="1">
      <alignment horizontal="center"/>
    </xf>
    <xf numFmtId="9" fontId="1" fillId="5" borderId="10" xfId="0" applyNumberFormat="1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9" fontId="1" fillId="5" borderId="15" xfId="1" applyFont="1" applyFill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31" fillId="0" borderId="16" xfId="0" applyFont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10" fontId="32" fillId="5" borderId="1" xfId="0" applyNumberFormat="1" applyFont="1" applyFill="1" applyBorder="1" applyAlignment="1">
      <alignment horizontal="center"/>
    </xf>
    <xf numFmtId="171" fontId="32" fillId="5" borderId="1" xfId="0" applyNumberFormat="1" applyFont="1" applyFill="1" applyBorder="1" applyAlignment="1">
      <alignment horizontal="center"/>
    </xf>
    <xf numFmtId="0" fontId="29" fillId="5" borderId="1" xfId="0" applyFont="1" applyFill="1" applyBorder="1"/>
    <xf numFmtId="0" fontId="26" fillId="0" borderId="16" xfId="0" applyFont="1" applyBorder="1"/>
    <xf numFmtId="0" fontId="17" fillId="0" borderId="16" xfId="0" applyFont="1" applyBorder="1"/>
    <xf numFmtId="174" fontId="1" fillId="0" borderId="16" xfId="0" applyNumberFormat="1" applyFont="1" applyBorder="1" applyAlignment="1">
      <alignment horizontal="right"/>
    </xf>
    <xf numFmtId="174" fontId="1" fillId="0" borderId="16" xfId="0" applyNumberFormat="1" applyFont="1" applyBorder="1"/>
    <xf numFmtId="3" fontId="17" fillId="0" borderId="16" xfId="0" applyNumberFormat="1" applyFont="1" applyBorder="1"/>
    <xf numFmtId="0" fontId="6" fillId="20" borderId="16" xfId="0" applyFont="1" applyFill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33" fillId="6" borderId="1" xfId="0" applyFont="1" applyFill="1" applyBorder="1"/>
    <xf numFmtId="0" fontId="6" fillId="20" borderId="10" xfId="0" applyFont="1" applyFill="1" applyBorder="1" applyAlignment="1">
      <alignment horizontal="center"/>
    </xf>
    <xf numFmtId="21" fontId="1" fillId="0" borderId="16" xfId="0" applyNumberFormat="1" applyFont="1" applyBorder="1"/>
    <xf numFmtId="21" fontId="1" fillId="0" borderId="16" xfId="0" applyNumberFormat="1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4" borderId="16" xfId="0" applyFont="1" applyFill="1" applyBorder="1"/>
    <xf numFmtId="0" fontId="2" fillId="25" borderId="16" xfId="0" applyFont="1" applyFill="1" applyBorder="1"/>
    <xf numFmtId="0" fontId="35" fillId="0" borderId="16" xfId="0" applyFont="1" applyBorder="1"/>
    <xf numFmtId="0" fontId="34" fillId="0" borderId="16" xfId="0" applyFont="1" applyBorder="1"/>
    <xf numFmtId="0" fontId="2" fillId="26" borderId="16" xfId="0" applyFont="1" applyFill="1" applyBorder="1"/>
    <xf numFmtId="0" fontId="5" fillId="0" borderId="16" xfId="0" applyFont="1" applyBorder="1" applyAlignment="1">
      <alignment horizontal="center" wrapText="1"/>
    </xf>
    <xf numFmtId="0" fontId="2" fillId="2" borderId="16" xfId="0" applyFont="1" applyFill="1" applyBorder="1" applyAlignment="1">
      <alignment horizontal="center"/>
    </xf>
    <xf numFmtId="0" fontId="0" fillId="0" borderId="16" xfId="0" applyBorder="1"/>
    <xf numFmtId="0" fontId="6" fillId="18" borderId="15" xfId="0" applyFont="1" applyFill="1" applyBorder="1" applyAlignment="1">
      <alignment horizontal="center"/>
    </xf>
    <xf numFmtId="0" fontId="12" fillId="0" borderId="8" xfId="0" applyFont="1" applyBorder="1"/>
    <xf numFmtId="0" fontId="12" fillId="0" borderId="11" xfId="0" applyFont="1" applyBorder="1"/>
    <xf numFmtId="0" fontId="6" fillId="10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/>
    <xf numFmtId="0" fontId="3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1">
    <dxf>
      <fill>
        <patternFill patternType="solid">
          <fgColor theme="4"/>
          <bgColor theme="4"/>
        </patternFill>
      </fill>
    </dxf>
    <dxf>
      <font>
        <b/>
      </font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Agents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Agents-style 2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Agents-style 3" pivot="0" count="3" xr9:uid="{00000000-0011-0000-FFFF-FFFF02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152400</xdr:rowOff>
    </xdr:from>
    <xdr:to>
      <xdr:col>2</xdr:col>
      <xdr:colOff>1493520</xdr:colOff>
      <xdr:row>2</xdr:row>
      <xdr:rowOff>60960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1A38C64-FCCF-0E9C-FFC8-A4EE4CFFD081}"/>
            </a:ext>
          </a:extLst>
        </xdr:cNvPr>
        <xdr:cNvSpPr/>
      </xdr:nvSpPr>
      <xdr:spPr>
        <a:xfrm>
          <a:off x="2331720" y="15240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  <xdr:twoCellAnchor>
    <xdr:from>
      <xdr:col>2</xdr:col>
      <xdr:colOff>198120</xdr:colOff>
      <xdr:row>2</xdr:row>
      <xdr:rowOff>167640</xdr:rowOff>
    </xdr:from>
    <xdr:to>
      <xdr:col>2</xdr:col>
      <xdr:colOff>1493520</xdr:colOff>
      <xdr:row>4</xdr:row>
      <xdr:rowOff>76200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FCF04076-0478-4350-8C0C-D69F7C70FEAB}"/>
            </a:ext>
          </a:extLst>
        </xdr:cNvPr>
        <xdr:cNvSpPr/>
      </xdr:nvSpPr>
      <xdr:spPr>
        <a:xfrm>
          <a:off x="2331720" y="56388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53340</xdr:rowOff>
    </xdr:from>
    <xdr:to>
      <xdr:col>3</xdr:col>
      <xdr:colOff>236220</xdr:colOff>
      <xdr:row>2</xdr:row>
      <xdr:rowOff>160020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3D61F9D-5380-4833-B851-7A16CF94AEA6}"/>
            </a:ext>
          </a:extLst>
        </xdr:cNvPr>
        <xdr:cNvSpPr/>
      </xdr:nvSpPr>
      <xdr:spPr>
        <a:xfrm rot="1124804">
          <a:off x="3131820" y="251460"/>
          <a:ext cx="1295400" cy="304800"/>
        </a:xfrm>
        <a:prstGeom prst="lef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Dropdown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45720</xdr:rowOff>
    </xdr:from>
    <xdr:to>
      <xdr:col>7</xdr:col>
      <xdr:colOff>441960</xdr:colOff>
      <xdr:row>3</xdr:row>
      <xdr:rowOff>129540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868D39B4-9B85-5B90-153F-76FBB1F7DCB2}"/>
            </a:ext>
          </a:extLst>
        </xdr:cNvPr>
        <xdr:cNvSpPr/>
      </xdr:nvSpPr>
      <xdr:spPr>
        <a:xfrm>
          <a:off x="3162300" y="243840"/>
          <a:ext cx="6324600" cy="4800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Click</a:t>
          </a:r>
          <a:r>
            <a:rPr lang="en-IN" sz="1100" b="1" baseline="0"/>
            <a:t> here for Dropdown Menu</a:t>
          </a:r>
          <a:endParaRPr lang="en-IN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C20">
  <tableColumns count="1">
    <tableColumn id="1" xr3:uid="{00000000-0010-0000-0000-000001000000}" name="TOTAL_Agents"/>
  </tableColumns>
  <tableStyleInfo name="Agen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1:F1000" headerRowCount="0">
  <tableColumns count="2">
    <tableColumn id="1" xr3:uid="{00000000-0010-0000-0100-000001000000}" name="Column1"/>
    <tableColumn id="2" xr3:uid="{00000000-0010-0000-0100-000002000000}" name="Column2"/>
  </tableColumns>
  <tableStyleInfo name="Agent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1:G9">
  <tableColumns count="1">
    <tableColumn id="1" xr3:uid="{00000000-0010-0000-0200-000001000000}" name="INDIA_Agents"/>
  </tableColumns>
  <tableStyleInfo name="Agent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ABrgHoDvI_16g5wpxSwWZEgoYZD2Davk1P_3GO3zvVk/edit" TargetMode="External"/><Relationship Id="rId13" Type="http://schemas.openxmlformats.org/officeDocument/2006/relationships/hyperlink" Target="https://docs.google.com/spreadsheets/d/1B-tQIUCu6aUPXGAXZxiorumeF_Dk7QET9oeltPwLqw0/edit?gid=1409207032" TargetMode="External"/><Relationship Id="rId3" Type="http://schemas.openxmlformats.org/officeDocument/2006/relationships/hyperlink" Target="https://teams.microsoft.com/_?culture=en-in&amp;country=in" TargetMode="External"/><Relationship Id="rId7" Type="http://schemas.openxmlformats.org/officeDocument/2006/relationships/hyperlink" Target="https://engage.ringcentral.com/analytics/voice/reporting/config/Agent_Activity_Overview/report/" TargetMode="External"/><Relationship Id="rId12" Type="http://schemas.openxmlformats.org/officeDocument/2006/relationships/hyperlink" Target="https://docs.google.com/spreadsheets/d/1ABrgHoDvI_16g5wpxSwWZEgoYZD2Davk1P_3GO3zvVk/edit" TargetMode="External"/><Relationship Id="rId2" Type="http://schemas.openxmlformats.org/officeDocument/2006/relationships/hyperlink" Target="https://teams.microsoft.com/_?culture=en-in&amp;country=in" TargetMode="External"/><Relationship Id="rId1" Type="http://schemas.openxmlformats.org/officeDocument/2006/relationships/hyperlink" Target="https://teams.microsoft.com/_?culture=en-in&amp;country=in" TargetMode="External"/><Relationship Id="rId6" Type="http://schemas.openxmlformats.org/officeDocument/2006/relationships/hyperlink" Target="https://engage.ringcentral.com/analytics/voice/reporting/config/Gate_Statistic_Report/report/" TargetMode="External"/><Relationship Id="rId11" Type="http://schemas.openxmlformats.org/officeDocument/2006/relationships/hyperlink" Target="https://docs.google.com/spreadsheets/d/1ABrgHoDvI_16g5wpxSwWZEgoYZD2Davk1P_3GO3zvVk/edit" TargetMode="External"/><Relationship Id="rId5" Type="http://schemas.openxmlformats.org/officeDocument/2006/relationships/hyperlink" Target="https://analytics.ringcentral.com/performance-report/default/users" TargetMode="External"/><Relationship Id="rId10" Type="http://schemas.openxmlformats.org/officeDocument/2006/relationships/hyperlink" Target="https://docs.google.com/spreadsheets/d/1ABrgHoDvI_16g5wpxSwWZEgoYZD2Davk1P_3GO3zvVk/edit" TargetMode="External"/><Relationship Id="rId4" Type="http://schemas.openxmlformats.org/officeDocument/2006/relationships/hyperlink" Target="https://teams.microsoft.com/_?culture=en-in&amp;country=in" TargetMode="External"/><Relationship Id="rId9" Type="http://schemas.openxmlformats.org/officeDocument/2006/relationships/hyperlink" Target="https://teams.microsoft.com/_?culture=en-in&amp;country=in" TargetMode="External"/><Relationship Id="rId14" Type="http://schemas.openxmlformats.org/officeDocument/2006/relationships/hyperlink" Target="https://teams.microsoft.com/_?culture=en-in&amp;country=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outlinePr summaryBelow="0" summaryRight="0"/>
  </sheetPr>
  <dimension ref="A1:F17"/>
  <sheetViews>
    <sheetView workbookViewId="0">
      <selection activeCell="F15" sqref="F15"/>
    </sheetView>
  </sheetViews>
  <sheetFormatPr defaultColWidth="12.6640625" defaultRowHeight="15.75" customHeight="1"/>
  <cols>
    <col min="1" max="1" width="34.6640625" customWidth="1"/>
    <col min="2" max="2" width="30.21875" customWidth="1"/>
    <col min="3" max="3" width="51.6640625" customWidth="1"/>
    <col min="6" max="6" width="32" customWidth="1"/>
  </cols>
  <sheetData>
    <row r="1" spans="1:6" ht="15.75" customHeight="1">
      <c r="A1" s="1"/>
      <c r="B1" s="1"/>
      <c r="C1" s="1"/>
      <c r="D1" s="1"/>
      <c r="E1" s="1"/>
    </row>
    <row r="2" spans="1:6" ht="15.75" customHeight="1">
      <c r="A2" s="199" t="s">
        <v>0</v>
      </c>
      <c r="B2" s="200"/>
      <c r="C2" s="200"/>
      <c r="D2" s="1"/>
      <c r="E2" s="1"/>
    </row>
    <row r="3" spans="1:6" ht="15.75" customHeight="1">
      <c r="A3" s="153" t="s">
        <v>1</v>
      </c>
      <c r="B3" s="153" t="s">
        <v>2</v>
      </c>
      <c r="C3" s="153" t="s">
        <v>3</v>
      </c>
      <c r="D3" s="1"/>
      <c r="E3" s="1"/>
    </row>
    <row r="4" spans="1:6" ht="15.75" customHeight="1">
      <c r="A4" s="193" t="s">
        <v>21</v>
      </c>
      <c r="B4" s="154" t="s">
        <v>21</v>
      </c>
      <c r="C4" s="198" t="s">
        <v>22</v>
      </c>
      <c r="D4" s="1"/>
      <c r="E4" s="1"/>
    </row>
    <row r="5" spans="1:6" ht="15.75" customHeight="1">
      <c r="A5" s="193" t="s">
        <v>1088</v>
      </c>
      <c r="B5" s="154" t="s">
        <v>1088</v>
      </c>
      <c r="C5" s="198" t="s">
        <v>23</v>
      </c>
      <c r="D5" s="1"/>
      <c r="E5" s="1"/>
    </row>
    <row r="6" spans="1:6" ht="15.75" customHeight="1">
      <c r="A6" s="193" t="s">
        <v>1089</v>
      </c>
      <c r="B6" s="154" t="s">
        <v>1089</v>
      </c>
      <c r="C6" s="198" t="s">
        <v>24</v>
      </c>
      <c r="D6" s="1"/>
      <c r="E6" s="197"/>
      <c r="F6" s="196" t="s">
        <v>1087</v>
      </c>
    </row>
    <row r="7" spans="1:6" ht="15.75" customHeight="1">
      <c r="A7" s="193" t="s">
        <v>1090</v>
      </c>
      <c r="B7" s="154" t="s">
        <v>1090</v>
      </c>
      <c r="C7" s="198" t="s">
        <v>25</v>
      </c>
      <c r="D7" s="1"/>
      <c r="E7" s="194"/>
      <c r="F7" s="196" t="s">
        <v>1085</v>
      </c>
    </row>
    <row r="8" spans="1:6" ht="15.75" customHeight="1">
      <c r="A8" s="194" t="s">
        <v>11</v>
      </c>
      <c r="B8" s="154" t="s">
        <v>11</v>
      </c>
      <c r="C8" s="198" t="s">
        <v>12</v>
      </c>
      <c r="D8" s="1"/>
      <c r="E8" s="193"/>
      <c r="F8" s="196" t="s">
        <v>1086</v>
      </c>
    </row>
    <row r="9" spans="1:6" ht="15.75" customHeight="1">
      <c r="A9" s="194" t="s">
        <v>13</v>
      </c>
      <c r="B9" s="154" t="s">
        <v>13</v>
      </c>
      <c r="C9" s="198" t="s">
        <v>14</v>
      </c>
      <c r="D9" s="1"/>
      <c r="E9" s="1"/>
    </row>
    <row r="10" spans="1:6" ht="15.75" customHeight="1">
      <c r="A10" s="194" t="s">
        <v>15</v>
      </c>
      <c r="B10" s="154" t="s">
        <v>16</v>
      </c>
      <c r="C10" s="198" t="s">
        <v>17</v>
      </c>
      <c r="D10" s="1"/>
      <c r="E10" s="1"/>
    </row>
    <row r="11" spans="1:6" ht="15.75" customHeight="1">
      <c r="A11" s="197" t="s">
        <v>550</v>
      </c>
      <c r="B11" s="195" t="s">
        <v>550</v>
      </c>
      <c r="C11" s="198" t="s">
        <v>5</v>
      </c>
      <c r="D11" s="1"/>
      <c r="E11" s="1"/>
    </row>
    <row r="12" spans="1:6" ht="15.75" customHeight="1">
      <c r="A12" s="197" t="s">
        <v>4</v>
      </c>
      <c r="B12" s="154" t="s">
        <v>4</v>
      </c>
      <c r="C12" s="198" t="s">
        <v>5</v>
      </c>
      <c r="D12" s="1"/>
      <c r="E12" s="1"/>
    </row>
    <row r="13" spans="1:6" ht="15.75" customHeight="1">
      <c r="A13" s="197" t="s">
        <v>6</v>
      </c>
      <c r="B13" s="154" t="s">
        <v>6</v>
      </c>
      <c r="C13" s="198" t="s">
        <v>7</v>
      </c>
      <c r="D13" s="1"/>
      <c r="E13" s="1"/>
    </row>
    <row r="14" spans="1:6" ht="15.75" customHeight="1">
      <c r="A14" s="197" t="s">
        <v>8</v>
      </c>
      <c r="B14" s="154" t="s">
        <v>8</v>
      </c>
      <c r="C14" s="198" t="s">
        <v>9</v>
      </c>
      <c r="D14" s="1"/>
      <c r="E14" s="1"/>
    </row>
    <row r="15" spans="1:6" ht="15.75" customHeight="1">
      <c r="A15" s="197" t="s">
        <v>10</v>
      </c>
      <c r="B15" s="154" t="s">
        <v>10</v>
      </c>
      <c r="C15" s="198" t="s">
        <v>9</v>
      </c>
      <c r="D15" s="1"/>
      <c r="E15" s="1"/>
    </row>
    <row r="16" spans="1:6" ht="15.75" customHeight="1">
      <c r="A16" s="197" t="s">
        <v>1091</v>
      </c>
      <c r="B16" s="154" t="s">
        <v>1091</v>
      </c>
      <c r="C16" s="198" t="s">
        <v>18</v>
      </c>
    </row>
    <row r="17" spans="1:3" ht="15.75" customHeight="1">
      <c r="A17" s="197" t="s">
        <v>19</v>
      </c>
      <c r="B17" s="154" t="s">
        <v>19</v>
      </c>
      <c r="C17" s="198" t="s">
        <v>20</v>
      </c>
    </row>
  </sheetData>
  <mergeCells count="1">
    <mergeCell ref="A2:C2"/>
  </mergeCells>
  <hyperlinks>
    <hyperlink ref="B12" location="'Sales  Returns'!A1" display="Sales Returns" xr:uid="{00000000-0004-0000-0000-000000000000}"/>
    <hyperlink ref="C12" r:id="rId1" location="/tab::76cdf54c-c89c-4e7e-9baf-f8d602c7805a/Data%20Dashboard%20Report?threadId=19:5803c6c020f941caa0b993d66edb94da@thread.skype&amp;ctx=channel" xr:uid="{00000000-0004-0000-0000-000001000000}"/>
    <hyperlink ref="B13" location="'Y2Y sales'!A1" display="Y2Y sales" xr:uid="{00000000-0004-0000-0000-000002000000}"/>
    <hyperlink ref="C13" r:id="rId2" location="/tab::c9ad7e59-f6d6-4a8e-98a1-616bc7f378db/Yard%20To%20Yard%20Sales%20Report?threadId=19:3039e622390946e3ba6a42ed14ecd9a7@thread.skype&amp;ctx=channel" xr:uid="{00000000-0004-0000-0000-000003000000}"/>
    <hyperlink ref="B14" location="'Inventory Lookup'!A1" display="Inventory Lookup" xr:uid="{00000000-0004-0000-0000-000004000000}"/>
    <hyperlink ref="C14" r:id="rId3" location="/tab::a46fb534-8480-4280-9276-9fe9fcce74ea/Inventory%20look%20up%20Report?threadId=19:8d73cad698844af69678b18d2e1e8f34@thread.skype&amp;ctx=channel" xr:uid="{00000000-0004-0000-0000-000005000000}"/>
    <hyperlink ref="B15" location="Emp.Lookup!A1" display="Emp.Lookup" xr:uid="{00000000-0004-0000-0000-000006000000}"/>
    <hyperlink ref="C15" r:id="rId4" location="/tab::a46fb534-8480-4280-9276-9fe9fcce74ea/Inventory%20look%20up%20Report?threadId=19:8d73cad698844af69678b18d2e1e8f34@thread.skype&amp;ctx=channel" xr:uid="{00000000-0004-0000-0000-000007000000}"/>
    <hyperlink ref="B8" location="'RingCentral - Office'!A1" display="RingCentral - Office" xr:uid="{00000000-0004-0000-0000-000008000000}"/>
    <hyperlink ref="C8" r:id="rId5" xr:uid="{00000000-0004-0000-0000-000009000000}"/>
    <hyperlink ref="B9" location="'Gate Statistics'!A1" display="Gate Statistics" xr:uid="{00000000-0004-0000-0000-00000A000000}"/>
    <hyperlink ref="C9" r:id="rId6" xr:uid="{00000000-0004-0000-0000-00000B000000}"/>
    <hyperlink ref="B10" location="'Agent Activity'!A1" display="Agent Activity Overview" xr:uid="{00000000-0004-0000-0000-00000C000000}"/>
    <hyperlink ref="C10" r:id="rId7" xr:uid="{00000000-0004-0000-0000-00000D000000}"/>
    <hyperlink ref="B16" location="Audits!A1" display="Audits" xr:uid="{00000000-0004-0000-0000-00000E000000}"/>
    <hyperlink ref="C16" r:id="rId8" location="gid=347778353" xr:uid="{00000000-0004-0000-0000-00000F000000}"/>
    <hyperlink ref="B17" location="'WO &amp; Quote'!A1" display="WO &amp; Quote" xr:uid="{00000000-0004-0000-0000-000010000000}"/>
    <hyperlink ref="C17" r:id="rId9" location="/tab::b0f3610b-a5e8-4520-906b-fb468a720133/WorkOrder%20And%20Quote%20Report?threadId=19:f47c3bc3e4da42a8b04370f0bcfddac6@thread.skype&amp;ctx=channel" xr:uid="{00000000-0004-0000-0000-000011000000}"/>
    <hyperlink ref="B4" location="'Calculated Fields'!A1" display="Calculated Fields" xr:uid="{00000000-0004-0000-0000-000012000000}"/>
    <hyperlink ref="C4" r:id="rId10" location="gid=1207866268" xr:uid="{00000000-0004-0000-0000-000013000000}"/>
    <hyperlink ref="B5" location="Department_KPIs!A1" display="Department_KPIs" xr:uid="{00000000-0004-0000-0000-000014000000}"/>
    <hyperlink ref="C5" r:id="rId11" location="gid=1763285756" xr:uid="{00000000-0004-0000-0000-000015000000}"/>
    <hyperlink ref="B6" location="Agent_wise!A1" display="Agent_wise" xr:uid="{00000000-0004-0000-0000-000016000000}"/>
    <hyperlink ref="C6" r:id="rId12" location="gid=1267527510" xr:uid="{00000000-0004-0000-0000-000017000000}"/>
    <hyperlink ref="B7" location="Daily_KPI!A1" display="Daily_KPI" xr:uid="{00000000-0004-0000-0000-000018000000}"/>
    <hyperlink ref="C7" r:id="rId13" location="gid=1409207032" xr:uid="{00000000-0004-0000-0000-000019000000}"/>
    <hyperlink ref="C11" r:id="rId14" location="/tab::76cdf54c-c89c-4e7e-9baf-f8d602c7805a/Data%20Dashboard%20Report?threadId=19:5803c6c020f941caa0b993d66edb94da@thread.skype&amp;ctx=channel" xr:uid="{D2821B1A-C1F2-4A6C-81EB-C868C2714853}"/>
    <hyperlink ref="B11" location="Agents!A1" display="Agents!A1" xr:uid="{EB84E4DC-0369-4899-96EF-5488204FD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outlinePr summaryBelow="0" summaryRight="0"/>
  </sheetPr>
  <dimension ref="A1:CN933"/>
  <sheetViews>
    <sheetView workbookViewId="0"/>
  </sheetViews>
  <sheetFormatPr defaultColWidth="12.6640625" defaultRowHeight="15.75" customHeight="1"/>
  <cols>
    <col min="2" max="2" width="21.44140625" customWidth="1"/>
    <col min="7" max="7" width="17.44140625" bestFit="1" customWidth="1"/>
    <col min="12" max="12" width="13.6640625" bestFit="1" customWidth="1"/>
    <col min="13" max="13" width="23.109375" bestFit="1" customWidth="1"/>
    <col min="24" max="24" width="15.88671875" style="169" bestFit="1" customWidth="1"/>
    <col min="27" max="27" width="15.21875" bestFit="1" customWidth="1"/>
    <col min="30" max="30" width="14.6640625" bestFit="1" customWidth="1"/>
    <col min="32" max="32" width="18" bestFit="1" customWidth="1"/>
    <col min="33" max="33" width="23.77734375" bestFit="1" customWidth="1"/>
    <col min="35" max="35" width="19.33203125" customWidth="1"/>
    <col min="37" max="37" width="19.33203125" bestFit="1" customWidth="1"/>
    <col min="38" max="38" width="14.5546875" bestFit="1" customWidth="1"/>
    <col min="39" max="39" width="19.88671875" bestFit="1" customWidth="1"/>
    <col min="40" max="40" width="17.77734375" bestFit="1" customWidth="1"/>
    <col min="41" max="41" width="16.33203125" bestFit="1" customWidth="1"/>
    <col min="42" max="42" width="16.44140625" bestFit="1" customWidth="1"/>
    <col min="43" max="43" width="16.88671875" bestFit="1" customWidth="1"/>
    <col min="44" max="44" width="17.5546875" bestFit="1" customWidth="1"/>
    <col min="45" max="45" width="15.33203125" bestFit="1" customWidth="1"/>
    <col min="46" max="46" width="13.44140625" bestFit="1" customWidth="1"/>
    <col min="47" max="47" width="13.77734375" bestFit="1" customWidth="1"/>
    <col min="48" max="48" width="14.21875" bestFit="1" customWidth="1"/>
    <col min="49" max="49" width="14.77734375" bestFit="1" customWidth="1"/>
    <col min="50" max="50" width="12.5546875" bestFit="1" customWidth="1"/>
    <col min="51" max="51" width="10.6640625" bestFit="1" customWidth="1"/>
    <col min="53" max="53" width="19.6640625" customWidth="1"/>
    <col min="54" max="54" width="16.21875" bestFit="1" customWidth="1"/>
    <col min="55" max="55" width="15.77734375" bestFit="1" customWidth="1"/>
    <col min="56" max="56" width="21.5546875" bestFit="1" customWidth="1"/>
    <col min="57" max="57" width="19" bestFit="1" customWidth="1"/>
    <col min="58" max="58" width="24.77734375" bestFit="1" customWidth="1"/>
    <col min="59" max="59" width="21.6640625" bestFit="1" customWidth="1"/>
    <col min="60" max="60" width="20.5546875" bestFit="1" customWidth="1"/>
    <col min="61" max="61" width="18.77734375" bestFit="1" customWidth="1"/>
    <col min="62" max="62" width="16.77734375" bestFit="1" customWidth="1"/>
    <col min="63" max="63" width="19.6640625" bestFit="1" customWidth="1"/>
    <col min="64" max="64" width="15.21875" bestFit="1" customWidth="1"/>
    <col min="65" max="65" width="19.21875" bestFit="1" customWidth="1"/>
    <col min="66" max="66" width="20.6640625" bestFit="1" customWidth="1"/>
    <col min="67" max="67" width="19.33203125" bestFit="1" customWidth="1"/>
    <col min="68" max="68" width="18.88671875" bestFit="1" customWidth="1"/>
    <col min="69" max="69" width="18.5546875" bestFit="1" customWidth="1"/>
    <col min="70" max="70" width="8.21875" style="169" bestFit="1" customWidth="1"/>
    <col min="71" max="71" width="13.44140625" style="169" bestFit="1" customWidth="1"/>
    <col min="72" max="72" width="16.44140625" style="169" bestFit="1" customWidth="1"/>
    <col min="73" max="73" width="19.21875" style="170" bestFit="1" customWidth="1"/>
    <col min="74" max="74" width="14.5546875" style="169" bestFit="1" customWidth="1"/>
    <col min="75" max="75" width="13.88671875" style="169" bestFit="1" customWidth="1"/>
    <col min="76" max="76" width="12.109375" style="169" bestFit="1" customWidth="1"/>
    <col min="77" max="77" width="13.88671875" style="169" bestFit="1" customWidth="1"/>
    <col min="78" max="78" width="10.33203125" style="169" bestFit="1" customWidth="1"/>
    <col min="79" max="79" width="8" style="169" bestFit="1" customWidth="1"/>
    <col min="80" max="80" width="21.6640625" style="169" bestFit="1" customWidth="1"/>
    <col min="81" max="82" width="21.5546875" style="169" bestFit="1" customWidth="1"/>
    <col min="83" max="83" width="21.6640625" style="169" bestFit="1" customWidth="1"/>
    <col min="84" max="84" width="21.44140625" style="169" bestFit="1" customWidth="1"/>
  </cols>
  <sheetData>
    <row r="1" spans="1:92" ht="15.75" customHeight="1">
      <c r="A1" s="78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5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79"/>
      <c r="AP1" s="1"/>
      <c r="AQ1" s="1"/>
      <c r="AR1" s="1"/>
      <c r="AS1" s="1"/>
      <c r="AT1" s="1"/>
      <c r="AU1" s="1"/>
      <c r="AV1" s="1"/>
      <c r="AW1" s="1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161"/>
      <c r="BS1" s="161"/>
      <c r="BT1" s="161"/>
      <c r="BU1" s="162"/>
      <c r="BV1" s="163"/>
      <c r="BW1" s="163"/>
      <c r="BX1" s="163"/>
      <c r="BY1" s="163"/>
      <c r="BZ1" s="163"/>
      <c r="CA1" s="163"/>
      <c r="CB1" s="161"/>
      <c r="CC1" s="161"/>
      <c r="CD1" s="161"/>
      <c r="CE1" s="161"/>
      <c r="CF1" s="161"/>
      <c r="CG1" s="3"/>
      <c r="CH1" s="3"/>
      <c r="CI1" s="3"/>
      <c r="CJ1" s="3"/>
      <c r="CK1" s="3"/>
      <c r="CL1" s="3"/>
      <c r="CM1" s="3"/>
      <c r="CN1" s="3"/>
    </row>
    <row r="2" spans="1:92" ht="15.75" customHeight="1">
      <c r="A2" s="78"/>
      <c r="B2" s="81" t="s">
        <v>28</v>
      </c>
      <c r="C2" s="82" t="s">
        <v>994</v>
      </c>
      <c r="D2" s="82" t="s">
        <v>995</v>
      </c>
      <c r="E2" s="82" t="s">
        <v>996</v>
      </c>
      <c r="F2" s="82" t="s">
        <v>997</v>
      </c>
      <c r="G2" s="82" t="s">
        <v>998</v>
      </c>
      <c r="H2" s="82" t="s">
        <v>999</v>
      </c>
      <c r="I2" s="82" t="s">
        <v>1000</v>
      </c>
      <c r="J2" s="82" t="s">
        <v>75</v>
      </c>
      <c r="K2" s="82" t="s">
        <v>1001</v>
      </c>
      <c r="L2" s="82" t="s">
        <v>1002</v>
      </c>
      <c r="M2" s="82" t="s">
        <v>1003</v>
      </c>
      <c r="N2" s="82" t="s">
        <v>80</v>
      </c>
      <c r="O2" s="82" t="s">
        <v>70</v>
      </c>
      <c r="P2" s="82" t="s">
        <v>84</v>
      </c>
      <c r="Q2" s="82" t="s">
        <v>69</v>
      </c>
      <c r="R2" s="82" t="s">
        <v>82</v>
      </c>
      <c r="S2" s="82" t="s">
        <v>1004</v>
      </c>
      <c r="T2" s="82" t="s">
        <v>104</v>
      </c>
      <c r="U2" s="82" t="s">
        <v>1005</v>
      </c>
      <c r="V2" s="82" t="s">
        <v>1006</v>
      </c>
      <c r="W2" s="82" t="s">
        <v>1007</v>
      </c>
      <c r="X2" s="82" t="s">
        <v>1008</v>
      </c>
      <c r="Y2" s="82" t="s">
        <v>72</v>
      </c>
      <c r="Z2" s="82" t="s">
        <v>1009</v>
      </c>
      <c r="AA2" s="82" t="s">
        <v>1010</v>
      </c>
      <c r="AB2" s="82" t="s">
        <v>77</v>
      </c>
      <c r="AC2" s="82" t="s">
        <v>1011</v>
      </c>
      <c r="AD2" s="82" t="s">
        <v>1012</v>
      </c>
      <c r="AE2" s="82" t="s">
        <v>1013</v>
      </c>
      <c r="AF2" s="82" t="s">
        <v>1014</v>
      </c>
      <c r="AG2" s="82" t="s">
        <v>1015</v>
      </c>
      <c r="AH2" s="78"/>
      <c r="AI2" s="81" t="s">
        <v>28</v>
      </c>
      <c r="AJ2" s="82" t="s">
        <v>1016</v>
      </c>
      <c r="AK2" s="82" t="s">
        <v>1017</v>
      </c>
      <c r="AL2" s="82" t="s">
        <v>1018</v>
      </c>
      <c r="AM2" s="82" t="s">
        <v>1019</v>
      </c>
      <c r="AN2" s="82" t="s">
        <v>1020</v>
      </c>
      <c r="AO2" s="83" t="s">
        <v>1021</v>
      </c>
      <c r="AP2" s="82" t="s">
        <v>1022</v>
      </c>
      <c r="AQ2" s="82" t="s">
        <v>1023</v>
      </c>
      <c r="AR2" s="82" t="s">
        <v>1024</v>
      </c>
      <c r="AS2" s="82" t="s">
        <v>1025</v>
      </c>
      <c r="AT2" s="82" t="s">
        <v>1026</v>
      </c>
      <c r="AU2" s="82" t="s">
        <v>1027</v>
      </c>
      <c r="AV2" s="82" t="s">
        <v>1028</v>
      </c>
      <c r="AW2" s="82" t="s">
        <v>1029</v>
      </c>
      <c r="AX2" s="82" t="s">
        <v>1030</v>
      </c>
      <c r="AY2" s="82" t="s">
        <v>1031</v>
      </c>
      <c r="AZ2" s="78"/>
      <c r="BA2" s="81" t="s">
        <v>28</v>
      </c>
      <c r="BB2" s="82" t="s">
        <v>1032</v>
      </c>
      <c r="BC2" s="82" t="s">
        <v>1033</v>
      </c>
      <c r="BD2" s="82" t="s">
        <v>1034</v>
      </c>
      <c r="BE2" s="82" t="s">
        <v>1035</v>
      </c>
      <c r="BF2" s="82" t="s">
        <v>1036</v>
      </c>
      <c r="BG2" s="82" t="s">
        <v>1037</v>
      </c>
      <c r="BH2" s="82" t="s">
        <v>1038</v>
      </c>
      <c r="BI2" s="82" t="s">
        <v>1039</v>
      </c>
      <c r="BJ2" s="82" t="s">
        <v>1040</v>
      </c>
      <c r="BK2" s="82" t="s">
        <v>1041</v>
      </c>
      <c r="BL2" s="82" t="s">
        <v>1042</v>
      </c>
      <c r="BM2" s="82" t="s">
        <v>1043</v>
      </c>
      <c r="BN2" s="82" t="s">
        <v>1044</v>
      </c>
      <c r="BO2" s="82" t="s">
        <v>1045</v>
      </c>
      <c r="BP2" s="82" t="s">
        <v>1046</v>
      </c>
      <c r="BQ2" s="82" t="s">
        <v>1047</v>
      </c>
      <c r="BR2" s="82" t="s">
        <v>590</v>
      </c>
      <c r="BS2" s="82" t="s">
        <v>591</v>
      </c>
      <c r="BT2" s="82" t="s">
        <v>592</v>
      </c>
      <c r="BU2" s="159" t="s">
        <v>593</v>
      </c>
      <c r="BV2" s="82" t="s">
        <v>1048</v>
      </c>
      <c r="BW2" s="83" t="s">
        <v>1049</v>
      </c>
      <c r="BX2" s="83" t="s">
        <v>1050</v>
      </c>
      <c r="BY2" s="83" t="s">
        <v>1051</v>
      </c>
      <c r="BZ2" s="83" t="s">
        <v>1052</v>
      </c>
      <c r="CA2" s="83" t="s">
        <v>124</v>
      </c>
      <c r="CB2" s="83" t="s">
        <v>1053</v>
      </c>
      <c r="CC2" s="83" t="s">
        <v>1054</v>
      </c>
      <c r="CD2" s="83" t="s">
        <v>1055</v>
      </c>
      <c r="CE2" s="83" t="s">
        <v>1056</v>
      </c>
      <c r="CF2" s="83" t="s">
        <v>1057</v>
      </c>
      <c r="CG2" s="3"/>
      <c r="CH2" s="3"/>
      <c r="CI2" s="3"/>
      <c r="CJ2" s="3"/>
      <c r="CK2" s="3"/>
      <c r="CL2" s="3"/>
      <c r="CM2" s="3"/>
      <c r="CN2" s="3"/>
    </row>
    <row r="3" spans="1:92" ht="15.75" customHeight="1">
      <c r="A3" s="78"/>
      <c r="B3" s="84" t="str">
        <f ca="1">IFERROR(__xludf.DUMMYFUNCTION("SORT(UNIQUE(FILTER('Sales  Returns'!$C$1:$C$19968,'Sales  Returns'!$T$1:$T$19968=""USA Agent"")))"),"Abigail Adams")</f>
        <v>Abigail Adams</v>
      </c>
      <c r="C3" s="85">
        <f ca="1">SUMIF('Sales  Returns'!$C$1:$C$19998,'Calculated Fields'!B3,'Sales  Returns'!$D$1:$D$19998)</f>
        <v>5972</v>
      </c>
      <c r="D3" s="85">
        <f t="shared" ref="D3:D14" ca="1" si="0">H3+I3</f>
        <v>9598</v>
      </c>
      <c r="E3" s="85">
        <f t="shared" ref="E3:E14" ca="1" si="1">H3+J3+L3+N3</f>
        <v>9598</v>
      </c>
      <c r="F3" s="85">
        <f ca="1">SUMIF('Y2Y sales'!$J$2:$J$2000,$B3,'Y2Y sales'!$G$2:$G$2000)</f>
        <v>2448</v>
      </c>
      <c r="G3" s="85">
        <f t="shared" ref="G3:G14" ca="1" si="2">H3-F3</f>
        <v>7150</v>
      </c>
      <c r="H3" s="85">
        <f ca="1">SUMIF('Sales  Returns'!$C$1:$C$19998,'Calculated Fields'!B3,'Sales  Returns'!$G$1:$G$19998)</f>
        <v>9598</v>
      </c>
      <c r="I3" s="85">
        <f ca="1">SUMIF('Sales  Returns'!$C$1:$C$19998,'Calculated Fields'!B3,'Sales  Returns'!$J$1:$J$19998)</f>
        <v>0</v>
      </c>
      <c r="J3" s="85">
        <f ca="1">SUMIF('Sales  Returns'!$C$1:$C$19998,'Calculated Fields'!B3,'Sales  Returns'!$K$1:$K$19998)</f>
        <v>0</v>
      </c>
      <c r="K3" s="86">
        <f t="shared" ref="K3:K14" ca="1" si="3">IFERROR(J3/I3,0%)</f>
        <v>0</v>
      </c>
      <c r="L3" s="85">
        <f ca="1">SUMIF('Sales  Returns'!$C$1:$C$19998,'Calculated Fields'!B3,'Sales  Returns'!$O$1:$O$19998)</f>
        <v>0</v>
      </c>
      <c r="M3" s="87">
        <f t="shared" ref="M3:M14" ca="1" si="4">IFERROR(L3/G3,0)</f>
        <v>0</v>
      </c>
      <c r="N3" s="85">
        <f ca="1">SUMIF('Sales  Returns'!$C$1:$C$19998,'Calculated Fields'!B3,'Sales  Returns'!$P$1:$P$19998)</f>
        <v>0</v>
      </c>
      <c r="O3" s="85">
        <f ca="1">SUMIF('Sales  Returns'!$C$1:$C$19998,'Calculated Fields'!B3,'Sales  Returns'!$F$1:$F$19998)</f>
        <v>24</v>
      </c>
      <c r="P3" s="85">
        <f ca="1">SUMIF('Sales  Returns'!$C$1:$C$19998,'Calculated Fields'!B3,'Sales  Returns'!$T$1:$T$19998)</f>
        <v>434</v>
      </c>
      <c r="Q3" s="85">
        <f ca="1">SUMIF('Sales  Returns'!$C$1:$C$19998,'Calculated Fields'!B3,'Sales  Returns'!$E$1:$E$19998)</f>
        <v>1075</v>
      </c>
      <c r="R3" s="85">
        <f ca="1">SUMIF('Sales  Returns'!$C$1:$C$19998,'Calculated Fields'!B3,'Sales  Returns'!$R$1:$R$19998)</f>
        <v>645</v>
      </c>
      <c r="S3" s="85">
        <f ca="1">SUMIF('Sales  Returns'!$C$1:$C$19998,'Calculated Fields'!B3,'Sales  Returns'!$Q$1:$Q$19998)</f>
        <v>935</v>
      </c>
      <c r="T3" s="85">
        <f ca="1">-COUNTIFS('Sales  Returns'!$C$1:$C$19998,'Calculated Fields'!$B3, 'Sales  Returns'!$B$1:$B$19998,'Calculated Fields'!$T$2)</f>
        <v>-5</v>
      </c>
      <c r="U3" s="85">
        <f ca="1">SUMIFS('Sales  Returns'!$D$1:$D$19998,'Sales  Returns'!$C$1:$C$19998,'Calculated Fields'!$B3,'Sales  Returns'!$B$1:$B$19998,'Calculated Fields'!$T$2)</f>
        <v>-1835</v>
      </c>
      <c r="V3" s="86">
        <f t="shared" ref="V3:V14" ca="1" si="5">IFERROR(((Z3+AC3)/(Y3+AB3)),0)</f>
        <v>0.31578947368421051</v>
      </c>
      <c r="W3" s="85">
        <f ca="1">COUNTIFS('Sales  Returns'!$C$1:$C$19998,'Calculated Fields'!$B3, 'Sales  Returns'!$B$1:$B$19998,"Sales")</f>
        <v>17</v>
      </c>
      <c r="X3" s="188">
        <v>0</v>
      </c>
      <c r="Y3" s="85">
        <f ca="1">SUMIF('Sales  Returns'!$C$1:$C$19998,'Calculated Fields'!$B3,'Sales  Returns'!$H$1:$H$19998)</f>
        <v>19</v>
      </c>
      <c r="Z3" s="85">
        <f ca="1">SUMIF('Sales  Returns'!$C$1:$C$19998,'Calculated Fields'!$B3,'Sales  Returns'!$I$1:$I$19998)</f>
        <v>6</v>
      </c>
      <c r="AA3" s="86">
        <f t="shared" ref="AA3:AA14" ca="1" si="6">IFERROR(Z3/Y3,0%)</f>
        <v>0.31578947368421051</v>
      </c>
      <c r="AB3" s="85">
        <f ca="1">SUMIF('Sales  Returns'!$C$1:$C$19998,'Calculated Fields'!$B3,'Sales  Returns'!$M$1:$M$19998)</f>
        <v>0</v>
      </c>
      <c r="AC3" s="85">
        <f ca="1">SUMIF('Sales  Returns'!$C$1:$C$19998,'Calculated Fields'!$B3,'Sales  Returns'!$N$1:$N$19998)</f>
        <v>0</v>
      </c>
      <c r="AD3" s="86">
        <f t="shared" ref="AD3:AD14" ca="1" si="7">IFERROR(AC3/AB3,0%)</f>
        <v>0</v>
      </c>
      <c r="AE3" s="88" t="s">
        <v>1058</v>
      </c>
      <c r="AF3" s="85">
        <f ca="1">SUMIF('WO &amp; Quote'!$S:$S,TRIM('Calculated Fields'!$B3),'WO &amp; Quote'!$I:$I)</f>
        <v>5880</v>
      </c>
      <c r="AG3" s="85">
        <f ca="1">SUMIF('WO &amp; Quote'!$S:$S,TRIM('Calculated Fields'!$B3),'WO &amp; Quote'!$J:$J) + SUMIF('WO &amp; Quote'!$S:$S,TRIM('Calculated Fields'!$B3),'WO &amp; Quote'!$K:$K)</f>
        <v>0</v>
      </c>
      <c r="AH3" s="78"/>
      <c r="AI3" s="89" t="s">
        <v>86</v>
      </c>
      <c r="AJ3" s="90">
        <f>IFERROR(SUMIF('Inventory Lookup'!$O$2:$O$20765,'Calculated Fields'!$AI3,'Inventory Lookup'!$E$2:$E$20765)/SUMIF('Inventory Lookup'!$O$2:$O$20765,'Calculated Fields'!$AI3,'Inventory Lookup'!$D$2:$D$20765),0)</f>
        <v>0.12582781456953643</v>
      </c>
      <c r="AK3" s="90">
        <f>IFERROR(AU3/SUMIFS('Inventory Lookup'!$D$2:$D$20765,'Inventory Lookup'!$O$2:$O$20765,'Calculated Fields'!$AI3,'Inventory Lookup'!$M$2:$M$20765,"Drive Train"),0)</f>
        <v>0.1</v>
      </c>
      <c r="AL3" s="90">
        <f>IFERROR(AV3/SUMIFS('Inventory Lookup'!$D$2:$D$20765,'Inventory Lookup'!$O$2:$O$20765,'Calculated Fields'!$AI3,'Inventory Lookup'!$M$2:$M$20765,"Body Parts"),0)</f>
        <v>0.10526315789473684</v>
      </c>
      <c r="AM3" s="90">
        <f>IFERROR(AW3/SUMIFS('Inventory Lookup'!$D$2:$D$20765,'Inventory Lookup'!$O$2:$O$20765,'Calculated Fields'!$AI3,'Inventory Lookup'!$M$2:$M$20765,"Suspension"),0)</f>
        <v>6.6666666666666666E-2</v>
      </c>
      <c r="AN3" s="90">
        <f>IFERROR(AX3/SUMIFS('Inventory Lookup'!$D$2:$D$20765,'Inventory Lookup'!$O$2:$O$20765,'Calculated Fields'!$AI3,'Inventory Lookup'!$M$2:$M$20765,"Electrical"),0)</f>
        <v>0.5</v>
      </c>
      <c r="AO3" s="86">
        <f>IFERROR(VLOOKUP(AI3,Emp.Lookup!$A$1:$E$40,5,0),0)</f>
        <v>0.33929999999999999</v>
      </c>
      <c r="AP3" s="85">
        <f>IFERROR(SUMIFS('Inventory Lookup'!$D$2:$D$20765,'Inventory Lookup'!$O$2:$O$20765,'Calculated Fields'!$AI3,'Inventory Lookup'!$M$2:$M$20765,"Drive Train"),"")</f>
        <v>60</v>
      </c>
      <c r="AQ3" s="85">
        <f>IFERROR(SUMIFS('Inventory Lookup'!$D$2:$D$20765,'Inventory Lookup'!$O$2:$O$20765,'Calculated Fields'!$AI3,'Inventory Lookup'!$M$2:$M$20765,"Body Parts"),"")</f>
        <v>19</v>
      </c>
      <c r="AR3" s="85">
        <f>IFERROR(SUMIFS('Inventory Lookup'!$D$2:$D$20765,'Inventory Lookup'!$O$2:$O$20765,'Calculated Fields'!$AI3,'Inventory Lookup'!$M$2:$M$20765,"Suspension"),"")</f>
        <v>15</v>
      </c>
      <c r="AS3" s="85">
        <f>IFERROR(SUMIFS('Inventory Lookup'!$D$2:$D$20765,'Inventory Lookup'!$O$2:$O$20765,'Calculated Fields'!$AI3,'Inventory Lookup'!$M$2:$M$20765,"Electrical"),"")</f>
        <v>2</v>
      </c>
      <c r="AT3" s="85">
        <f>IFERROR(SUMIFS('Inventory Lookup'!$D$2:$D$20765,'Inventory Lookup'!$O$2:$O$20765,'Calculated Fields'!$AI3,'Inventory Lookup'!$M$2:$M$20765,"Other"),"")</f>
        <v>55</v>
      </c>
      <c r="AU3" s="85">
        <f>IFERROR(SUMIFS('Inventory Lookup'!$E$2:$E$20765,'Inventory Lookup'!$O$2:$O$20765,'Calculated Fields'!$AI3,'Inventory Lookup'!$M$2:$M$20765,"Drive Train"),"")</f>
        <v>6</v>
      </c>
      <c r="AV3" s="85">
        <f>IFERROR(SUMIFS('Inventory Lookup'!$E$2:$E$20765,'Inventory Lookup'!$O$2:$O$20765,'Calculated Fields'!$AI3,'Inventory Lookup'!$M$2:$M$20765,"Body Parts"),"")</f>
        <v>2</v>
      </c>
      <c r="AW3" s="85">
        <f>IFERROR(SUMIFS('Inventory Lookup'!$E$2:$E$20765,'Inventory Lookup'!$O$2:$O$20765,'Calculated Fields'!$AI3,'Inventory Lookup'!$M$2:$M$20765,"Suspension"),"")</f>
        <v>1</v>
      </c>
      <c r="AX3" s="85">
        <f>IFERROR(SUMIFS('Inventory Lookup'!$E$2:$E$20765,'Inventory Lookup'!$O$2:$O$20765,'Calculated Fields'!$AI3,'Inventory Lookup'!$M$2:$M$20765,"Electrical"),"")</f>
        <v>1</v>
      </c>
      <c r="AY3" s="85">
        <f>IFERROR(SUMIFS('Inventory Lookup'!$E$2:$E$20765,'Inventory Lookup'!$O$2:$O$20765,'Calculated Fields'!$AI3,'Inventory Lookup'!$M$2:$M$20765,"Other"),"")</f>
        <v>9</v>
      </c>
      <c r="AZ3" s="78"/>
      <c r="BA3" s="89" t="s">
        <v>86</v>
      </c>
      <c r="BB3" s="91">
        <v>0</v>
      </c>
      <c r="BC3" s="85">
        <f t="shared" ref="BC3:BC14" ca="1" si="8">SUBTOTAL(9,BB3,BH3,BM3,BN3,BP3)</f>
        <v>48</v>
      </c>
      <c r="BD3" s="92">
        <f ca="1">IFERROR(BC3/'Calculated Fields'!$W3,0)</f>
        <v>2.8235294117647061</v>
      </c>
      <c r="BE3" s="92">
        <f ca="1">IFERROR('Calculated Fields'!$C3/BC3,0)</f>
        <v>124.41666666666667</v>
      </c>
      <c r="BF3" s="93"/>
      <c r="BG3" s="93"/>
      <c r="BH3" s="85">
        <f t="array" aca="1" ref="BH3" ca="1">IFERROR(INDEX('Agent Activity'!$AC$5:$AD$51,MATCH('Calculated Fields'!$BA3,'Agent Activity'!$AB$5:$AB$51,0),1),0)</f>
        <v>0</v>
      </c>
      <c r="BI3" s="93"/>
      <c r="BJ3" s="93"/>
      <c r="BK3" s="94">
        <f t="array" aca="1" ref="BK3" ca="1">IFERROR(INDEX('Agent Activity'!$AC$5:$AD$51,MATCH('Calculated Fields'!$BA3,'Agent Activity'!$AB$5:AB$51,0),2),0)</f>
        <v>0</v>
      </c>
      <c r="BL3" s="93"/>
      <c r="BM3" s="85">
        <f>SUMIF('RingCentral - Office'!$A$2:$A$482,$BA3,'RingCentral - Office'!$E$2:$E$482)</f>
        <v>38</v>
      </c>
      <c r="BN3" s="85">
        <f>SUMIF('RingCentral - Office'!$A$2:$A$482,$BA3,'RingCentral - Office'!$F$2:$F$482)</f>
        <v>13</v>
      </c>
      <c r="BO3" s="87">
        <f t="shared" ref="BO3:BO14" si="9">IFERROR(BP3/BM3,0)</f>
        <v>-7.8947368421052627E-2</v>
      </c>
      <c r="BP3" s="85">
        <f>-SUMIF('RingCentral - Office'!$A$2:$A$482,$BA3,'RingCentral - Office'!$H$2:$H$482)</f>
        <v>-3</v>
      </c>
      <c r="BQ3" s="94">
        <f>SUMIF('RingCentral - Office'!$A$2:$A$482,$BA3,'RingCentral - Office'!$I$2:$I$482)</f>
        <v>0.10310185185185185</v>
      </c>
      <c r="BR3" s="85">
        <f>_xlfn.IFNA(INDEX(Audits!$B$2:$E$19,MATCH($BA3,Audits!$A$2:$A$19,0),MATCH('Calculated Fields'!BR$2,Audits!$B$1:$E$1,0)),0)</f>
        <v>0</v>
      </c>
      <c r="BS3" s="85">
        <f>_xlfn.IFNA(INDEX(Audits!$B$2:$E$19,MATCH($BA3,Audits!$A$2:$A$19,0),MATCH('Calculated Fields'!BS$2,Audits!$B$1:$E$1,0)),0)</f>
        <v>20</v>
      </c>
      <c r="BT3" s="85">
        <f>_xlfn.IFNA(INDEX(Audits!$B$2:$E$19,MATCH($BA3,Audits!$A$2:$A$19,0),MATCH('Calculated Fields'!BT$2,Audits!$B$1:$E$1,0)),0)</f>
        <v>0</v>
      </c>
      <c r="BU3" s="164">
        <f>_xlfn.IFNA(INDEX(Audits!$B$2:$E$19,MATCH($BA3,Audits!$A$2:$A$19,0),MATCH('Calculated Fields'!BU$2,Audits!$B$1:$E$1,0)),0)</f>
        <v>0</v>
      </c>
      <c r="BV3" s="85">
        <f>_xlfn.IFNA(INDEX(Audits!$B$2:$E$19,MATCH($BA3,Audits!$A$2:$A$19,0),MATCH('Calculated Fields'!BV$2,Audits!$B$1:$E$1,0)),0)</f>
        <v>0</v>
      </c>
      <c r="BW3" s="165" cm="1">
        <f t="array" aca="1" ref="BW3" ca="1">_xlfn.IFS($B3="","",E3="","", E3&lt;=15000,1, E3&lt;=20000,2, E3&lt;=30000,3, E3&lt;=40000,4, E3&gt;40000,5)</f>
        <v>1</v>
      </c>
      <c r="BX3" s="132" cm="1">
        <f t="array" aca="1" ref="BX3" ca="1">_xlfn.IFS($B3="","",BU3="","", BU3&lt;=60%,1, BU3&lt;=70%,2, BU3&lt;=80%,3, BU3&lt;=90%,4, BU3&gt;90%,5)</f>
        <v>1</v>
      </c>
      <c r="BY3" s="132" cm="1">
        <f t="array" aca="1" ref="BY3" ca="1">_xlfn.IFS($B3="","",BE3="","", BE3&lt;=60,1, BE3&lt;=70,2, BE3&lt;=80,3, BE3&lt;=90,4, BE3&gt;90,5)</f>
        <v>5</v>
      </c>
      <c r="BZ3" s="92">
        <f ca="1">IF($B3="","",AVERAGE(BW3:BY3))</f>
        <v>2.3333333333333335</v>
      </c>
      <c r="CA3" s="90" t="str" cm="1">
        <f t="array" aca="1" ref="CA3" ca="1">_xlfn.IFS($B3="","",BZ3="","CHECK", BZ3&gt;=5,"A", BZ3&gt;=4,"B", BZ3&gt;=3,"C", BZ3&gt;=2,"D", BZ3&gt;=1,"E")</f>
        <v>D</v>
      </c>
      <c r="CB3" s="88" t="s">
        <v>1058</v>
      </c>
      <c r="CC3" s="88" t="s">
        <v>1058</v>
      </c>
      <c r="CD3" s="88" t="s">
        <v>1058</v>
      </c>
      <c r="CE3" s="88" t="s">
        <v>1058</v>
      </c>
      <c r="CF3" s="88" t="s">
        <v>1058</v>
      </c>
      <c r="CG3" s="3"/>
      <c r="CH3" s="3"/>
      <c r="CI3" s="3"/>
      <c r="CJ3" s="3"/>
      <c r="CK3" s="3"/>
      <c r="CL3" s="3"/>
      <c r="CM3" s="3"/>
      <c r="CN3" s="3"/>
    </row>
    <row r="4" spans="1:92" ht="15.75" customHeight="1">
      <c r="A4" s="78"/>
      <c r="B4" s="89" t="str">
        <f ca="1">IFERROR(__xludf.DUMMYFUNCTION("""COMPUTED_VALUE"""),"Alexander Robinson")</f>
        <v>Alexander Robinson</v>
      </c>
      <c r="C4" s="85">
        <f ca="1">SUMIF('Sales  Returns'!$C$1:$C$19998,'Calculated Fields'!B4,'Sales  Returns'!$D$1:$D$19998)</f>
        <v>7443</v>
      </c>
      <c r="D4" s="85">
        <f t="shared" ca="1" si="0"/>
        <v>5102</v>
      </c>
      <c r="E4" s="85">
        <f t="shared" ca="1" si="1"/>
        <v>5202</v>
      </c>
      <c r="F4" s="85">
        <f ca="1">SUMIF('Y2Y sales'!$J$2:$J$2000,$B4,'Y2Y sales'!$G$2:$G$2000)</f>
        <v>0</v>
      </c>
      <c r="G4" s="85">
        <f t="shared" ca="1" si="2"/>
        <v>5102</v>
      </c>
      <c r="H4" s="85">
        <f ca="1">SUMIF('Sales  Returns'!$C$1:$C$19998,'Calculated Fields'!B4,'Sales  Returns'!$G$1:$G$19998)</f>
        <v>5102</v>
      </c>
      <c r="I4" s="85">
        <f ca="1">SUMIF('Sales  Returns'!$C$1:$C$19998,'Calculated Fields'!B4,'Sales  Returns'!$J$1:$J$19998)</f>
        <v>0</v>
      </c>
      <c r="J4" s="85">
        <f ca="1">SUMIF('Sales  Returns'!$C$1:$C$19998,'Calculated Fields'!B4,'Sales  Returns'!$K$1:$K$19998)</f>
        <v>0</v>
      </c>
      <c r="K4" s="86">
        <f t="shared" ca="1" si="3"/>
        <v>0</v>
      </c>
      <c r="L4" s="85">
        <f ca="1">SUMIF('Sales  Returns'!$C$1:$C$19998,'Calculated Fields'!B4,'Sales  Returns'!$O$1:$O$19998)</f>
        <v>100</v>
      </c>
      <c r="M4" s="87">
        <f t="shared" ca="1" si="4"/>
        <v>1.9600156801254411E-2</v>
      </c>
      <c r="N4" s="85">
        <f ca="1">SUMIF('Sales  Returns'!$C$1:$C$19998,'Calculated Fields'!B4,'Sales  Returns'!$P$1:$P$19998)</f>
        <v>0</v>
      </c>
      <c r="O4" s="85">
        <f ca="1">SUMIF('Sales  Returns'!$C$1:$C$19998,'Calculated Fields'!B4,'Sales  Returns'!$F$1:$F$19998)</f>
        <v>118</v>
      </c>
      <c r="P4" s="85">
        <f ca="1">SUMIF('Sales  Returns'!$C$1:$C$19998,'Calculated Fields'!B4,'Sales  Returns'!$T$1:$T$19998)</f>
        <v>250</v>
      </c>
      <c r="Q4" s="85">
        <f ca="1">SUMIF('Sales  Returns'!$C$1:$C$19998,'Calculated Fields'!B4,'Sales  Returns'!$E$1:$E$19998)</f>
        <v>646</v>
      </c>
      <c r="R4" s="85">
        <f ca="1">SUMIF('Sales  Returns'!$C$1:$C$19998,'Calculated Fields'!B4,'Sales  Returns'!$R$1:$R$19998)</f>
        <v>16</v>
      </c>
      <c r="S4" s="85">
        <f ca="1">SUMIF('Sales  Returns'!$C$1:$C$19998,'Calculated Fields'!B4,'Sales  Returns'!$Q$1:$Q$19998)</f>
        <v>400</v>
      </c>
      <c r="T4" s="85">
        <f ca="1">-COUNTIFS('Sales  Returns'!$C$1:$C$19998,'Calculated Fields'!$B4, 'Sales  Returns'!$B$1:$B$19998,'Calculated Fields'!$T$2)</f>
        <v>-2</v>
      </c>
      <c r="U4" s="85">
        <f ca="1">SUMIFS('Sales  Returns'!$D$1:$D$19998,'Sales  Returns'!$C$1:$C$19998,'Calculated Fields'!$B4,'Sales  Returns'!$B$1:$B$19998,'Calculated Fields'!$T$2)</f>
        <v>-142</v>
      </c>
      <c r="V4" s="86">
        <f t="shared" ca="1" si="5"/>
        <v>6.4516129032258063E-2</v>
      </c>
      <c r="W4" s="85">
        <f ca="1">COUNTIFS('Sales  Returns'!$C$1:$C$19998,'Calculated Fields'!$B4, 'Sales  Returns'!$B$1:$B$19998,"Sales")</f>
        <v>15</v>
      </c>
      <c r="X4" s="188">
        <v>0</v>
      </c>
      <c r="Y4" s="85">
        <f ca="1">SUMIF('Sales  Returns'!$C$1:$C$19998,'Calculated Fields'!$B4,'Sales  Returns'!$H$1:$H$19998)</f>
        <v>31</v>
      </c>
      <c r="Z4" s="85">
        <f ca="1">SUMIF('Sales  Returns'!$C$1:$C$19998,'Calculated Fields'!$B4,'Sales  Returns'!$I$1:$I$19998)</f>
        <v>2</v>
      </c>
      <c r="AA4" s="86">
        <f t="shared" ca="1" si="6"/>
        <v>6.4516129032258063E-2</v>
      </c>
      <c r="AB4" s="85">
        <f ca="1">SUMIF('Sales  Returns'!$C$1:$C$19998,'Calculated Fields'!$B4,'Sales  Returns'!$M$1:$M$19998)</f>
        <v>0</v>
      </c>
      <c r="AC4" s="85">
        <f ca="1">SUMIF('Sales  Returns'!$C$1:$C$19998,'Calculated Fields'!$B4,'Sales  Returns'!$N$1:$N$19998)</f>
        <v>0</v>
      </c>
      <c r="AD4" s="86">
        <f t="shared" ca="1" si="7"/>
        <v>0</v>
      </c>
      <c r="AE4" s="88" t="s">
        <v>1058</v>
      </c>
      <c r="AF4" s="85">
        <f ca="1">SUMIF('WO &amp; Quote'!$S:$S,TRIM('Calculated Fields'!$B4),'WO &amp; Quote'!$I:$I)</f>
        <v>11765</v>
      </c>
      <c r="AG4" s="85">
        <f ca="1">SUMIF('WO &amp; Quote'!$S:$S,TRIM('Calculated Fields'!$B4),'WO &amp; Quote'!$J:$J) + SUMIF('WO &amp; Quote'!$S:$S,TRIM('Calculated Fields'!$B4),'WO &amp; Quote'!$K:$K)</f>
        <v>0</v>
      </c>
      <c r="AH4" s="78"/>
      <c r="AI4" s="89" t="s">
        <v>89</v>
      </c>
      <c r="AJ4" s="87">
        <f>IFERROR(SUMIF('Inventory Lookup'!$O$2:$O$20765,'Calculated Fields'!$AI4,'Inventory Lookup'!$E$2:$E$20765)/SUMIF('Inventory Lookup'!$O$2:$O$20765,'Calculated Fields'!$AI4,'Inventory Lookup'!$D$2:$D$20765),0)</f>
        <v>0.10877192982456141</v>
      </c>
      <c r="AK4" s="90">
        <f>IFERROR(AU4/SUMIFS('Inventory Lookup'!$D$2:$D$20765,'Inventory Lookup'!$O$2:$O$20765,'Calculated Fields'!$AI4,'Inventory Lookup'!$M$2:$M$20765,"Drive Train"),0)</f>
        <v>4.1666666666666664E-2</v>
      </c>
      <c r="AL4" s="90">
        <f>IFERROR(AV4/SUMIFS('Inventory Lookup'!$D$2:$D$20765,'Inventory Lookup'!$O$2:$O$20765,'Calculated Fields'!$AI4,'Inventory Lookup'!$M$2:$M$20765,"Body Parts"),0)</f>
        <v>0.11267605633802817</v>
      </c>
      <c r="AM4" s="90">
        <f>IFERROR(AW4/SUMIFS('Inventory Lookup'!$D$2:$D$20765,'Inventory Lookup'!$O$2:$O$20765,'Calculated Fields'!$AI4,'Inventory Lookup'!$M$2:$M$20765,"Suspension"),0)</f>
        <v>0.5</v>
      </c>
      <c r="AN4" s="90">
        <f>IFERROR(AX4/SUMIFS('Inventory Lookup'!$D$2:$D$20765,'Inventory Lookup'!$O$2:$O$20765,'Calculated Fields'!$AI4,'Inventory Lookup'!$M$2:$M$20765,"Electrical"),0)</f>
        <v>0</v>
      </c>
      <c r="AO4" s="86">
        <f>IFERROR(VLOOKUP(AI4,Emp.Lookup!$A$1:$E$40,5,0),0)</f>
        <v>0.36470000000000002</v>
      </c>
      <c r="AP4" s="85">
        <f>IFERROR(SUMIFS('Inventory Lookup'!$D$2:$D$20765,'Inventory Lookup'!$O$2:$O$20765,'Calculated Fields'!$AI4,'Inventory Lookup'!$M$2:$M$20765,"Drive Train"),"")</f>
        <v>24</v>
      </c>
      <c r="AQ4" s="85">
        <f>IFERROR(SUMIFS('Inventory Lookup'!$D$2:$D$20765,'Inventory Lookup'!$O$2:$O$20765,'Calculated Fields'!$AI4,'Inventory Lookup'!$M$2:$M$20765,"Body Parts"),"")</f>
        <v>71</v>
      </c>
      <c r="AR4" s="85">
        <f>IFERROR(SUMIFS('Inventory Lookup'!$D$2:$D$20765,'Inventory Lookup'!$O$2:$O$20765,'Calculated Fields'!$AI4,'Inventory Lookup'!$M$2:$M$20765,"Suspension"),"")</f>
        <v>4</v>
      </c>
      <c r="AS4" s="85">
        <f>IFERROR(SUMIFS('Inventory Lookup'!$D$2:$D$20765,'Inventory Lookup'!$O$2:$O$20765,'Calculated Fields'!$AI4,'Inventory Lookup'!$M$2:$M$20765,"Electrical"),"")</f>
        <v>6</v>
      </c>
      <c r="AT4" s="85">
        <f>IFERROR(SUMIFS('Inventory Lookup'!$D$2:$D$20765,'Inventory Lookup'!$O$2:$O$20765,'Calculated Fields'!$AI4,'Inventory Lookup'!$M$2:$M$20765,"Other"),"")</f>
        <v>180</v>
      </c>
      <c r="AU4" s="85">
        <f>IFERROR(SUMIFS('Inventory Lookup'!$E$2:$E$20765,'Inventory Lookup'!$O$2:$O$20765,'Calculated Fields'!$AI4,'Inventory Lookup'!$M$2:$M$20765,"Drive Train"),"")</f>
        <v>1</v>
      </c>
      <c r="AV4" s="85">
        <f>IFERROR(SUMIFS('Inventory Lookup'!$E$2:$E$20765,'Inventory Lookup'!$O$2:$O$20765,'Calculated Fields'!$AI4,'Inventory Lookup'!$M$2:$M$20765,"Body Parts"),"")</f>
        <v>8</v>
      </c>
      <c r="AW4" s="85">
        <f>IFERROR(SUMIFS('Inventory Lookup'!$E$2:$E$20765,'Inventory Lookup'!$O$2:$O$20765,'Calculated Fields'!$AI4,'Inventory Lookup'!$M$2:$M$20765,"Suspension"),"")</f>
        <v>2</v>
      </c>
      <c r="AX4" s="85">
        <f>IFERROR(SUMIFS('Inventory Lookup'!$E$2:$E$20765,'Inventory Lookup'!$O$2:$O$20765,'Calculated Fields'!$AI4,'Inventory Lookup'!$M$2:$M$20765,"Electrical"),"")</f>
        <v>0</v>
      </c>
      <c r="AY4" s="85">
        <f>IFERROR(SUMIFS('Inventory Lookup'!$E$2:$E$20765,'Inventory Lookup'!$O$2:$O$20765,'Calculated Fields'!$AI4,'Inventory Lookup'!$M$2:$M$20765,"Other"),"")</f>
        <v>20</v>
      </c>
      <c r="AZ4" s="78"/>
      <c r="BA4" s="89" t="s">
        <v>89</v>
      </c>
      <c r="BB4" s="91">
        <v>5</v>
      </c>
      <c r="BC4" s="85">
        <f t="shared" ca="1" si="8"/>
        <v>57</v>
      </c>
      <c r="BD4" s="92">
        <f ca="1">IFERROR(BC4/'Calculated Fields'!$W4,0)</f>
        <v>3.8</v>
      </c>
      <c r="BE4" s="92">
        <f ca="1">IFERROR('Calculated Fields'!$C4/BC4,0)</f>
        <v>130.57894736842104</v>
      </c>
      <c r="BF4" s="93"/>
      <c r="BG4" s="93"/>
      <c r="BH4" s="85">
        <f t="array" aca="1" ref="BH4" ca="1">IFERROR(INDEX('Agent Activity'!$AC$5:$AD$51,MATCH('Calculated Fields'!$BA4,'Agent Activity'!$AB$5:$AB$51,0),1),0)</f>
        <v>0</v>
      </c>
      <c r="BI4" s="93"/>
      <c r="BJ4" s="93"/>
      <c r="BK4" s="94">
        <f t="array" aca="1" ref="BK4" ca="1">IFERROR(INDEX('Agent Activity'!$AC$5:$AD$51,MATCH('Calculated Fields'!$BA4,'Agent Activity'!$AB$5:AB$51,0),2),0)</f>
        <v>0</v>
      </c>
      <c r="BL4" s="93"/>
      <c r="BM4" s="85">
        <f>SUMIF('RingCentral - Office'!$A$2:$A$482,$BA4,'RingCentral - Office'!$E$2:$E$482)</f>
        <v>50</v>
      </c>
      <c r="BN4" s="85">
        <f>SUMIF('RingCentral - Office'!$A$2:$A$482,$BA4,'RingCentral - Office'!$F$2:$F$482)</f>
        <v>15</v>
      </c>
      <c r="BO4" s="87">
        <f t="shared" si="9"/>
        <v>-0.26</v>
      </c>
      <c r="BP4" s="85">
        <f>-SUMIF('RingCentral - Office'!$A$2:$A$482,$BA4,'RingCentral - Office'!$H$2:$H$482)</f>
        <v>-13</v>
      </c>
      <c r="BQ4" s="94">
        <f>SUMIF('RingCentral - Office'!$A$2:$A$482,$BA4,'RingCentral - Office'!$I$2:$I$482)</f>
        <v>0.14208333333333334</v>
      </c>
      <c r="BR4" s="85">
        <f>_xlfn.IFNA(INDEX(Audits!$B$2:$E$19,MATCH($BA4,Audits!$A$2:$A$19,0),MATCH('Calculated Fields'!BR$2,Audits!$B$1:$E$1,0)),0)</f>
        <v>1</v>
      </c>
      <c r="BS4" s="85">
        <f>_xlfn.IFNA(INDEX(Audits!$B$2:$E$19,MATCH($BA4,Audits!$A$2:$A$19,0),MATCH('Calculated Fields'!BS$2,Audits!$B$1:$E$1,0)),0)</f>
        <v>22</v>
      </c>
      <c r="BT4" s="85">
        <f>_xlfn.IFNA(INDEX(Audits!$B$2:$E$19,MATCH($BA4,Audits!$A$2:$A$19,0),MATCH('Calculated Fields'!BT$2,Audits!$B$1:$E$1,0)),0)</f>
        <v>0</v>
      </c>
      <c r="BU4" s="164">
        <f>_xlfn.IFNA(INDEX(Audits!$B$2:$E$19,MATCH($BA4,Audits!$A$2:$A$19,0),MATCH('Calculated Fields'!BU$2,Audits!$B$1:$E$1,0)),0)</f>
        <v>0</v>
      </c>
      <c r="BV4" s="85">
        <f>_xlfn.IFNA(INDEX(Audits!$B$2:$E$19,MATCH($BA4,Audits!$A$2:$A$19,0),MATCH('Calculated Fields'!BV$2,Audits!$B$1:$E$1,0)),0)</f>
        <v>0</v>
      </c>
      <c r="BW4" s="165" cm="1">
        <f t="array" aca="1" ref="BW4" ca="1">_xlfn.IFS($B4="","",E4="","", E4&lt;=15000,1, E4&lt;=20000,2, E4&lt;=30000,3, E4&lt;=40000,4, E4&gt;40000,5)</f>
        <v>1</v>
      </c>
      <c r="BX4" s="132" cm="1">
        <f t="array" aca="1" ref="BX4" ca="1">_xlfn.IFS($B4="","",BU4="","", BU4&lt;=60%,1, BU4&lt;=70%,2, BU4&lt;=80%,3, BU4&lt;=90%,4, BU4&gt;90%,5)</f>
        <v>1</v>
      </c>
      <c r="BY4" s="132" cm="1">
        <f t="array" aca="1" ref="BY4" ca="1">_xlfn.IFS($B4="","",BE4="","", BE4&lt;=60,1, BE4&lt;=70,2, BE4&lt;=80,3, BE4&lt;=90,4, BE4&gt;90,5)</f>
        <v>5</v>
      </c>
      <c r="BZ4" s="92">
        <f t="shared" ref="BZ4:BZ14" ca="1" si="10">IF($B4="","",AVERAGE(BW4:BY4))</f>
        <v>2.3333333333333335</v>
      </c>
      <c r="CA4" s="90" t="str" cm="1">
        <f t="array" aca="1" ref="CA4" ca="1">_xlfn.IFS($B4="","",BZ4="","CHECK", BZ4&gt;=5,"A", BZ4&gt;=4,"B", BZ4&gt;=3,"C", BZ4&gt;=2,"D", BZ4&gt;=1,"E")</f>
        <v>D</v>
      </c>
      <c r="CB4" s="88" t="s">
        <v>1058</v>
      </c>
      <c r="CC4" s="88" t="s">
        <v>1058</v>
      </c>
      <c r="CD4" s="88" t="s">
        <v>1058</v>
      </c>
      <c r="CE4" s="88" t="s">
        <v>1058</v>
      </c>
      <c r="CF4" s="88" t="s">
        <v>1058</v>
      </c>
      <c r="CG4" s="3"/>
      <c r="CH4" s="3"/>
      <c r="CI4" s="3"/>
      <c r="CJ4" s="3"/>
      <c r="CK4" s="3"/>
      <c r="CL4" s="3"/>
      <c r="CM4" s="3"/>
      <c r="CN4" s="3"/>
    </row>
    <row r="5" spans="1:92" ht="15.75" customHeight="1">
      <c r="A5" s="78"/>
      <c r="B5" s="89" t="str">
        <f ca="1">IFERROR(__xludf.DUMMYFUNCTION("""COMPUTED_VALUE"""),"Christopher Moore")</f>
        <v>Christopher Moore</v>
      </c>
      <c r="C5" s="85">
        <f ca="1">SUMIF('Sales  Returns'!$C$1:$C$19998,'Calculated Fields'!B5,'Sales  Returns'!$D$1:$D$19998)</f>
        <v>6264</v>
      </c>
      <c r="D5" s="85">
        <f t="shared" ca="1" si="0"/>
        <v>8380</v>
      </c>
      <c r="E5" s="85">
        <f t="shared" ca="1" si="1"/>
        <v>5980</v>
      </c>
      <c r="F5" s="85">
        <f ca="1">SUMIF('Y2Y sales'!$J$2:$J$2000,$B5,'Y2Y sales'!$G$2:$G$2000)</f>
        <v>602</v>
      </c>
      <c r="G5" s="85">
        <f t="shared" ca="1" si="2"/>
        <v>5078</v>
      </c>
      <c r="H5" s="85">
        <f ca="1">SUMIF('Sales  Returns'!$C$1:$C$19998,'Calculated Fields'!B5,'Sales  Returns'!$G$1:$G$19998)</f>
        <v>5680</v>
      </c>
      <c r="I5" s="85">
        <f ca="1">SUMIF('Sales  Returns'!$C$1:$C$19998,'Calculated Fields'!B5,'Sales  Returns'!$J$1:$J$19998)</f>
        <v>2700</v>
      </c>
      <c r="J5" s="85">
        <f ca="1">SUMIF('Sales  Returns'!$C$1:$C$19998,'Calculated Fields'!B5,'Sales  Returns'!$K$1:$K$19998)</f>
        <v>300</v>
      </c>
      <c r="K5" s="86">
        <f t="shared" ca="1" si="3"/>
        <v>0.1111111111111111</v>
      </c>
      <c r="L5" s="85">
        <f ca="1">SUMIF('Sales  Returns'!$C$1:$C$19998,'Calculated Fields'!B5,'Sales  Returns'!$O$1:$O$19998)</f>
        <v>0</v>
      </c>
      <c r="M5" s="87">
        <f t="shared" ca="1" si="4"/>
        <v>0</v>
      </c>
      <c r="N5" s="85">
        <f ca="1">SUMIF('Sales  Returns'!$C$1:$C$19998,'Calculated Fields'!B5,'Sales  Returns'!$P$1:$P$19998)</f>
        <v>0</v>
      </c>
      <c r="O5" s="85">
        <f ca="1">SUMIF('Sales  Returns'!$C$1:$C$19998,'Calculated Fields'!B5,'Sales  Returns'!$F$1:$F$19998)</f>
        <v>240</v>
      </c>
      <c r="P5" s="85">
        <f ca="1">SUMIF('Sales  Returns'!$C$1:$C$19998,'Calculated Fields'!B5,'Sales  Returns'!$T$1:$T$19998)</f>
        <v>285</v>
      </c>
      <c r="Q5" s="85">
        <f ca="1">SUMIF('Sales  Returns'!$C$1:$C$19998,'Calculated Fields'!B5,'Sales  Returns'!$E$1:$E$19998)</f>
        <v>435</v>
      </c>
      <c r="R5" s="85">
        <f ca="1">SUMIF('Sales  Returns'!$C$1:$C$19998,'Calculated Fields'!B5,'Sales  Returns'!$R$1:$R$19998)</f>
        <v>590</v>
      </c>
      <c r="S5" s="85">
        <f ca="1">SUMIF('Sales  Returns'!$C$1:$C$19998,'Calculated Fields'!B5,'Sales  Returns'!$Q$1:$Q$19998)</f>
        <v>50</v>
      </c>
      <c r="T5" s="85">
        <f ca="1">-COUNTIFS('Sales  Returns'!$C$1:$C$19998,'Calculated Fields'!$B5, 'Sales  Returns'!$B$1:$B$19998,'Calculated Fields'!$T$2)</f>
        <v>-2</v>
      </c>
      <c r="U5" s="85">
        <f ca="1">SUMIFS('Sales  Returns'!$D$1:$D$19998,'Sales  Returns'!$C$1:$C$19998,'Calculated Fields'!$B5,'Sales  Returns'!$B$1:$B$19998,'Calculated Fields'!$T$2)</f>
        <v>-450</v>
      </c>
      <c r="V5" s="86">
        <f t="shared" ca="1" si="5"/>
        <v>0.5</v>
      </c>
      <c r="W5" s="85">
        <f ca="1">COUNTIFS('Sales  Returns'!$C$1:$C$19998,'Calculated Fields'!$B5, 'Sales  Returns'!$B$1:$B$19998,"Sales")</f>
        <v>10</v>
      </c>
      <c r="X5" s="188">
        <v>0</v>
      </c>
      <c r="Y5" s="85">
        <f ca="1">SUMIF('Sales  Returns'!$C$1:$C$19998,'Calculated Fields'!$B5,'Sales  Returns'!$H$1:$H$19998)</f>
        <v>9</v>
      </c>
      <c r="Z5" s="85">
        <f ca="1">SUMIF('Sales  Returns'!$C$1:$C$19998,'Calculated Fields'!$B5,'Sales  Returns'!$I$1:$I$19998)</f>
        <v>5</v>
      </c>
      <c r="AA5" s="86">
        <f t="shared" ca="1" si="6"/>
        <v>0.55555555555555558</v>
      </c>
      <c r="AB5" s="85">
        <f ca="1">SUMIF('Sales  Returns'!$C$1:$C$19998,'Calculated Fields'!$B5,'Sales  Returns'!$M$1:$M$19998)</f>
        <v>1</v>
      </c>
      <c r="AC5" s="85">
        <f ca="1">SUMIF('Sales  Returns'!$C$1:$C$19998,'Calculated Fields'!$B5,'Sales  Returns'!$N$1:$N$19998)</f>
        <v>0</v>
      </c>
      <c r="AD5" s="86">
        <f t="shared" ca="1" si="7"/>
        <v>0</v>
      </c>
      <c r="AE5" s="88" t="s">
        <v>1058</v>
      </c>
      <c r="AF5" s="85">
        <f ca="1">SUMIF('WO &amp; Quote'!$S:$S,TRIM('Calculated Fields'!$B5),'WO &amp; Quote'!$I:$I)</f>
        <v>2660</v>
      </c>
      <c r="AG5" s="85">
        <f ca="1">SUMIF('WO &amp; Quote'!$S:$S,TRIM('Calculated Fields'!$B5),'WO &amp; Quote'!$J:$J) + SUMIF('WO &amp; Quote'!$S:$S,TRIM('Calculated Fields'!$B5),'WO &amp; Quote'!$K:$K)</f>
        <v>0</v>
      </c>
      <c r="AH5" s="78"/>
      <c r="AI5" s="89" t="s">
        <v>59</v>
      </c>
      <c r="AJ5" s="90">
        <f>IFERROR(SUMIF('Inventory Lookup'!$O$2:$O$20765,'Calculated Fields'!$AI5,'Inventory Lookup'!$E$2:$E$20765)/SUMIF('Inventory Lookup'!$O$2:$O$20765,'Calculated Fields'!$AI5,'Inventory Lookup'!$D$2:$D$20765),0)</f>
        <v>6.097560975609756E-2</v>
      </c>
      <c r="AK5" s="90">
        <f>IFERROR(AU5/SUMIFS('Inventory Lookup'!$D$2:$D$20765,'Inventory Lookup'!$O$2:$O$20765,'Calculated Fields'!$AI5,'Inventory Lookup'!$M$2:$M$20765,"Drive Train"),0)</f>
        <v>0.14285714285714285</v>
      </c>
      <c r="AL5" s="90">
        <f>IFERROR(AV5/SUMIFS('Inventory Lookup'!$D$2:$D$20765,'Inventory Lookup'!$O$2:$O$20765,'Calculated Fields'!$AI5,'Inventory Lookup'!$M$2:$M$20765,"Body Parts"),0)</f>
        <v>4.2857142857142858E-2</v>
      </c>
      <c r="AM5" s="90">
        <f>IFERROR(AW5/SUMIFS('Inventory Lookup'!$D$2:$D$20765,'Inventory Lookup'!$O$2:$O$20765,'Calculated Fields'!$AI5,'Inventory Lookup'!$M$2:$M$20765,"Suspension"),0)</f>
        <v>0</v>
      </c>
      <c r="AN5" s="90">
        <f>IFERROR(AX5/SUMIFS('Inventory Lookup'!$D$2:$D$20765,'Inventory Lookup'!$O$2:$O$20765,'Calculated Fields'!$AI5,'Inventory Lookup'!$M$2:$M$20765,"Electrical"),0)</f>
        <v>0.25</v>
      </c>
      <c r="AO5" s="86">
        <f>IFERROR(VLOOKUP(AI5,Emp.Lookup!$A$1:$E$40,5,0),0)</f>
        <v>0.16389999999999999</v>
      </c>
      <c r="AP5" s="85">
        <f>IFERROR(SUMIFS('Inventory Lookup'!$D$2:$D$20765,'Inventory Lookup'!$O$2:$O$20765,'Calculated Fields'!$AI5,'Inventory Lookup'!$M$2:$M$20765,"Drive Train"),"")</f>
        <v>21</v>
      </c>
      <c r="AQ5" s="85">
        <f>IFERROR(SUMIFS('Inventory Lookup'!$D$2:$D$20765,'Inventory Lookup'!$O$2:$O$20765,'Calculated Fields'!$AI5,'Inventory Lookup'!$M$2:$M$20765,"Body Parts"),"")</f>
        <v>70</v>
      </c>
      <c r="AR5" s="85">
        <f>IFERROR(SUMIFS('Inventory Lookup'!$D$2:$D$20765,'Inventory Lookup'!$O$2:$O$20765,'Calculated Fields'!$AI5,'Inventory Lookup'!$M$2:$M$20765,"Suspension"),"")</f>
        <v>15</v>
      </c>
      <c r="AS5" s="85">
        <f>IFERROR(SUMIFS('Inventory Lookup'!$D$2:$D$20765,'Inventory Lookup'!$O$2:$O$20765,'Calculated Fields'!$AI5,'Inventory Lookup'!$M$2:$M$20765,"Electrical"),"")</f>
        <v>4</v>
      </c>
      <c r="AT5" s="85">
        <f>IFERROR(SUMIFS('Inventory Lookup'!$D$2:$D$20765,'Inventory Lookup'!$O$2:$O$20765,'Calculated Fields'!$AI5,'Inventory Lookup'!$M$2:$M$20765,"Other"),"")</f>
        <v>54</v>
      </c>
      <c r="AU5" s="85">
        <f>IFERROR(SUMIFS('Inventory Lookup'!$E$2:$E$20765,'Inventory Lookup'!$O$2:$O$20765,'Calculated Fields'!$AI5,'Inventory Lookup'!$M$2:$M$20765,"Drive Train"),"")</f>
        <v>3</v>
      </c>
      <c r="AV5" s="85">
        <f>IFERROR(SUMIFS('Inventory Lookup'!$E$2:$E$20765,'Inventory Lookup'!$O$2:$O$20765,'Calculated Fields'!$AI5,'Inventory Lookup'!$M$2:$M$20765,"Body Parts"),"")</f>
        <v>3</v>
      </c>
      <c r="AW5" s="85">
        <f>IFERROR(SUMIFS('Inventory Lookup'!$E$2:$E$20765,'Inventory Lookup'!$O$2:$O$20765,'Calculated Fields'!$AI5,'Inventory Lookup'!$M$2:$M$20765,"Suspension"),"")</f>
        <v>0</v>
      </c>
      <c r="AX5" s="85">
        <f>IFERROR(SUMIFS('Inventory Lookup'!$E$2:$E$20765,'Inventory Lookup'!$O$2:$O$20765,'Calculated Fields'!$AI5,'Inventory Lookup'!$M$2:$M$20765,"Electrical"),"")</f>
        <v>1</v>
      </c>
      <c r="AY5" s="85">
        <f>IFERROR(SUMIFS('Inventory Lookup'!$E$2:$E$20765,'Inventory Lookup'!$O$2:$O$20765,'Calculated Fields'!$AI5,'Inventory Lookup'!$M$2:$M$20765,"Other"),"")</f>
        <v>3</v>
      </c>
      <c r="AZ5" s="78"/>
      <c r="BA5" s="89" t="s">
        <v>59</v>
      </c>
      <c r="BB5" s="91">
        <v>0</v>
      </c>
      <c r="BC5" s="85">
        <f t="shared" ca="1" si="8"/>
        <v>183</v>
      </c>
      <c r="BD5" s="92">
        <f ca="1">IFERROR(BC5/'Calculated Fields'!$W5,0)</f>
        <v>18.3</v>
      </c>
      <c r="BE5" s="92">
        <f ca="1">IFERROR('Calculated Fields'!$C5/BC5,0)</f>
        <v>34.229508196721312</v>
      </c>
      <c r="BF5" s="93"/>
      <c r="BG5" s="93"/>
      <c r="BH5" s="85">
        <f t="array" aca="1" ref="BH5" ca="1">IFERROR(INDEX('Agent Activity'!$AC$5:$AD$51,MATCH('Calculated Fields'!$BA5,'Agent Activity'!$AB$5:$AB$51,0),1),0)</f>
        <v>61</v>
      </c>
      <c r="BI5" s="93"/>
      <c r="BJ5" s="93"/>
      <c r="BK5" s="94">
        <f t="array" aca="1" ref="BK5" ca="1">IFERROR(INDEX('Agent Activity'!$AC$5:$AD$51,MATCH('Calculated Fields'!$BA5,'Agent Activity'!$AB$5:AB$51,0),2),0)</f>
        <v>0.12038194444444444</v>
      </c>
      <c r="BL5" s="93"/>
      <c r="BM5" s="85">
        <f>SUMIF('RingCentral - Office'!$A$2:$A$482,$BA5,'RingCentral - Office'!$E$2:$E$482)</f>
        <v>118</v>
      </c>
      <c r="BN5" s="85">
        <f>SUMIF('RingCentral - Office'!$A$2:$A$482,$BA5,'RingCentral - Office'!$F$2:$F$482)</f>
        <v>37</v>
      </c>
      <c r="BO5" s="87">
        <f t="shared" si="9"/>
        <v>-0.27966101694915252</v>
      </c>
      <c r="BP5" s="85">
        <f>-SUMIF('RingCentral - Office'!$A$2:$A$482,$BA5,'RingCentral - Office'!$H$2:$H$482)</f>
        <v>-33</v>
      </c>
      <c r="BQ5" s="94">
        <f>SUMIF('RingCentral - Office'!$A$2:$A$482,$BA5,'RingCentral - Office'!$I$2:$I$482)</f>
        <v>0.20045138888888889</v>
      </c>
      <c r="BR5" s="85">
        <f>_xlfn.IFNA(INDEX(Audits!$B$2:$E$19,MATCH($BA5,Audits!$A$2:$A$19,0),MATCH('Calculated Fields'!BR$2,Audits!$B$1:$E$1,0)),0)</f>
        <v>0</v>
      </c>
      <c r="BS5" s="85">
        <f>_xlfn.IFNA(INDEX(Audits!$B$2:$E$19,MATCH($BA5,Audits!$A$2:$A$19,0),MATCH('Calculated Fields'!BS$2,Audits!$B$1:$E$1,0)),0)</f>
        <v>10</v>
      </c>
      <c r="BT5" s="85">
        <f>_xlfn.IFNA(INDEX(Audits!$B$2:$E$19,MATCH($BA5,Audits!$A$2:$A$19,0),MATCH('Calculated Fields'!BT$2,Audits!$B$1:$E$1,0)),0)</f>
        <v>0</v>
      </c>
      <c r="BU5" s="164">
        <f>_xlfn.IFNA(INDEX(Audits!$B$2:$E$19,MATCH($BA5,Audits!$A$2:$A$19,0),MATCH('Calculated Fields'!BU$2,Audits!$B$1:$E$1,0)),0)</f>
        <v>0</v>
      </c>
      <c r="BV5" s="85">
        <f>_xlfn.IFNA(INDEX(Audits!$B$2:$E$19,MATCH($BA5,Audits!$A$2:$A$19,0),MATCH('Calculated Fields'!BV$2,Audits!$B$1:$E$1,0)),0)</f>
        <v>0</v>
      </c>
      <c r="BW5" s="165" cm="1">
        <f t="array" aca="1" ref="BW5" ca="1">_xlfn.IFS($B5="","",E5="","", E5&lt;=15000,1, E5&lt;=20000,2, E5&lt;=30000,3, E5&lt;=40000,4, E5&gt;40000,5)</f>
        <v>1</v>
      </c>
      <c r="BX5" s="132" cm="1">
        <f t="array" aca="1" ref="BX5" ca="1">_xlfn.IFS($B5="","",BU5="","", BU5&lt;=60%,1, BU5&lt;=70%,2, BU5&lt;=80%,3, BU5&lt;=90%,4, BU5&gt;90%,5)</f>
        <v>1</v>
      </c>
      <c r="BY5" s="132" cm="1">
        <f t="array" aca="1" ref="BY5" ca="1">_xlfn.IFS($B5="","",BE5="","", BE5&lt;=60,1, BE5&lt;=70,2, BE5&lt;=80,3, BE5&lt;=90,4, BE5&gt;90,5)</f>
        <v>1</v>
      </c>
      <c r="BZ5" s="92">
        <f t="shared" ca="1" si="10"/>
        <v>1</v>
      </c>
      <c r="CA5" s="90" t="str" cm="1">
        <f t="array" aca="1" ref="CA5" ca="1">_xlfn.IFS($B5="","",BZ5="","CHECK", BZ5&gt;=5,"A", BZ5&gt;=4,"B", BZ5&gt;=3,"C", BZ5&gt;=2,"D", BZ5&gt;=1,"E")</f>
        <v>E</v>
      </c>
      <c r="CB5" s="88" t="s">
        <v>1058</v>
      </c>
      <c r="CC5" s="88" t="s">
        <v>1058</v>
      </c>
      <c r="CD5" s="88" t="s">
        <v>1058</v>
      </c>
      <c r="CE5" s="88" t="s">
        <v>1058</v>
      </c>
      <c r="CF5" s="88" t="s">
        <v>1058</v>
      </c>
      <c r="CG5" s="3"/>
      <c r="CH5" s="3"/>
      <c r="CI5" s="3"/>
      <c r="CJ5" s="3"/>
      <c r="CK5" s="3"/>
      <c r="CL5" s="3"/>
      <c r="CM5" s="3"/>
      <c r="CN5" s="3"/>
    </row>
    <row r="6" spans="1:92" ht="15.75" customHeight="1">
      <c r="A6" s="78"/>
      <c r="B6" s="89" t="str">
        <f ca="1">IFERROR(__xludf.DUMMYFUNCTION("""COMPUTED_VALUE"""),"Hannah Gonzalez")</f>
        <v>Hannah Gonzalez</v>
      </c>
      <c r="C6" s="85">
        <f ca="1">SUMIF('Sales  Returns'!$C$1:$C$19998,'Calculated Fields'!B6,'Sales  Returns'!$D$1:$D$19998)</f>
        <v>357</v>
      </c>
      <c r="D6" s="85">
        <f t="shared" ca="1" si="0"/>
        <v>-135</v>
      </c>
      <c r="E6" s="85">
        <f t="shared" ca="1" si="1"/>
        <v>-135</v>
      </c>
      <c r="F6" s="85">
        <f ca="1">SUMIF('Y2Y sales'!$J$2:$J$2000,$B6,'Y2Y sales'!$G$2:$G$2000)</f>
        <v>740</v>
      </c>
      <c r="G6" s="85">
        <f t="shared" ca="1" si="2"/>
        <v>-875</v>
      </c>
      <c r="H6" s="85">
        <f ca="1">SUMIF('Sales  Returns'!$C$1:$C$19998,'Calculated Fields'!B6,'Sales  Returns'!$G$1:$G$19998)</f>
        <v>-135</v>
      </c>
      <c r="I6" s="85">
        <f ca="1">SUMIF('Sales  Returns'!$C$1:$C$19998,'Calculated Fields'!B6,'Sales  Returns'!$J$1:$J$19998)</f>
        <v>0</v>
      </c>
      <c r="J6" s="85">
        <f ca="1">SUMIF('Sales  Returns'!$C$1:$C$19998,'Calculated Fields'!B6,'Sales  Returns'!$K$1:$K$19998)</f>
        <v>0</v>
      </c>
      <c r="K6" s="86">
        <f t="shared" ca="1" si="3"/>
        <v>0</v>
      </c>
      <c r="L6" s="85">
        <f ca="1">SUMIF('Sales  Returns'!$C$1:$C$19998,'Calculated Fields'!B6,'Sales  Returns'!$O$1:$O$19998)</f>
        <v>0</v>
      </c>
      <c r="M6" s="87">
        <f t="shared" ca="1" si="4"/>
        <v>0</v>
      </c>
      <c r="N6" s="85">
        <f ca="1">SUMIF('Sales  Returns'!$C$1:$C$19998,'Calculated Fields'!B6,'Sales  Returns'!$P$1:$P$19998)</f>
        <v>0</v>
      </c>
      <c r="O6" s="85">
        <f ca="1">SUMIF('Sales  Returns'!$C$1:$C$19998,'Calculated Fields'!B6,'Sales  Returns'!$F$1:$F$19998)</f>
        <v>22</v>
      </c>
      <c r="P6" s="85">
        <f ca="1">SUMIF('Sales  Returns'!$C$1:$C$19998,'Calculated Fields'!B6,'Sales  Returns'!$T$1:$T$19998)</f>
        <v>-6</v>
      </c>
      <c r="Q6" s="85">
        <f ca="1">SUMIF('Sales  Returns'!$C$1:$C$19998,'Calculated Fields'!B6,'Sales  Returns'!$E$1:$E$19998)</f>
        <v>-70</v>
      </c>
      <c r="R6" s="85">
        <f ca="1">SUMIF('Sales  Returns'!$C$1:$C$19998,'Calculated Fields'!B6,'Sales  Returns'!$R$1:$R$19998)</f>
        <v>0</v>
      </c>
      <c r="S6" s="85">
        <f ca="1">SUMIF('Sales  Returns'!$C$1:$C$19998,'Calculated Fields'!B6,'Sales  Returns'!$Q$1:$Q$19998)</f>
        <v>0</v>
      </c>
      <c r="T6" s="85">
        <f ca="1">-COUNTIFS('Sales  Returns'!$C$1:$C$19998,'Calculated Fields'!$B6, 'Sales  Returns'!$B$1:$B$19998,'Calculated Fields'!$T$2)</f>
        <v>-3</v>
      </c>
      <c r="U6" s="85">
        <f ca="1">SUMIFS('Sales  Returns'!$D$1:$D$19998,'Sales  Returns'!$C$1:$C$19998,'Calculated Fields'!$B6,'Sales  Returns'!$B$1:$B$19998,'Calculated Fields'!$T$2)</f>
        <v>-541</v>
      </c>
      <c r="V6" s="86">
        <f t="shared" ca="1" si="5"/>
        <v>2.5</v>
      </c>
      <c r="W6" s="85">
        <f ca="1">COUNTIFS('Sales  Returns'!$C$1:$C$19998,'Calculated Fields'!$B6, 'Sales  Returns'!$B$1:$B$19998,"Sales")</f>
        <v>2</v>
      </c>
      <c r="X6" s="188">
        <v>0</v>
      </c>
      <c r="Y6" s="85">
        <f ca="1">SUMIF('Sales  Returns'!$C$1:$C$19998,'Calculated Fields'!$B6,'Sales  Returns'!$H$1:$H$19998)</f>
        <v>2</v>
      </c>
      <c r="Z6" s="85">
        <f ca="1">SUMIF('Sales  Returns'!$C$1:$C$19998,'Calculated Fields'!$B6,'Sales  Returns'!$I$1:$I$19998)</f>
        <v>5</v>
      </c>
      <c r="AA6" s="86">
        <f t="shared" ca="1" si="6"/>
        <v>2.5</v>
      </c>
      <c r="AB6" s="85">
        <f ca="1">SUMIF('Sales  Returns'!$C$1:$C$19998,'Calculated Fields'!$B6,'Sales  Returns'!$M$1:$M$19998)</f>
        <v>0</v>
      </c>
      <c r="AC6" s="85">
        <f ca="1">SUMIF('Sales  Returns'!$C$1:$C$19998,'Calculated Fields'!$B6,'Sales  Returns'!$N$1:$N$19998)</f>
        <v>0</v>
      </c>
      <c r="AD6" s="86">
        <f t="shared" ca="1" si="7"/>
        <v>0</v>
      </c>
      <c r="AE6" s="88" t="s">
        <v>1058</v>
      </c>
      <c r="AF6" s="85">
        <f ca="1">SUMIF('WO &amp; Quote'!$S:$S,TRIM('Calculated Fields'!$B6),'WO &amp; Quote'!$I:$I)</f>
        <v>1465</v>
      </c>
      <c r="AG6" s="85">
        <f ca="1">SUMIF('WO &amp; Quote'!$S:$S,TRIM('Calculated Fields'!$B6),'WO &amp; Quote'!$J:$J) + SUMIF('WO &amp; Quote'!$S:$S,TRIM('Calculated Fields'!$B6),'WO &amp; Quote'!$K:$K)</f>
        <v>0</v>
      </c>
      <c r="AH6" s="78"/>
      <c r="AI6" s="89" t="s">
        <v>98</v>
      </c>
      <c r="AJ6" s="90">
        <f>IFERROR(SUMIF('Inventory Lookup'!$O$2:$O$20765,'Calculated Fields'!$AI6,'Inventory Lookup'!$E$2:$E$20765)/SUMIF('Inventory Lookup'!$O$2:$O$20765,'Calculated Fields'!$AI6,'Inventory Lookup'!$D$2:$D$20765),0)</f>
        <v>1.5873015873015872E-2</v>
      </c>
      <c r="AK6" s="90">
        <f>IFERROR(AU6/SUMIFS('Inventory Lookup'!$D$2:$D$20765,'Inventory Lookup'!$O$2:$O$20765,'Calculated Fields'!$AI6,'Inventory Lookup'!$M$2:$M$20765,"Drive Train"),0)</f>
        <v>9.0909090909090912E-2</v>
      </c>
      <c r="AL6" s="90">
        <f>IFERROR(AV6/SUMIFS('Inventory Lookup'!$D$2:$D$20765,'Inventory Lookup'!$O$2:$O$20765,'Calculated Fields'!$AI6,'Inventory Lookup'!$M$2:$M$20765,"Body Parts"),0)</f>
        <v>0</v>
      </c>
      <c r="AM6" s="90">
        <f>IFERROR(AW6/SUMIFS('Inventory Lookup'!$D$2:$D$20765,'Inventory Lookup'!$O$2:$O$20765,'Calculated Fields'!$AI6,'Inventory Lookup'!$M$2:$M$20765,"Suspension"),0)</f>
        <v>0</v>
      </c>
      <c r="AN6" s="90">
        <f>IFERROR(AX6/SUMIFS('Inventory Lookup'!$D$2:$D$20765,'Inventory Lookup'!$O$2:$O$20765,'Calculated Fields'!$AI6,'Inventory Lookup'!$M$2:$M$20765,"Electrical"),0)</f>
        <v>0</v>
      </c>
      <c r="AO6" s="86">
        <f>IFERROR(VLOOKUP(AI6,Emp.Lookup!$A$1:$E$40,5,0),0)</f>
        <v>3.6400000000000002E-2</v>
      </c>
      <c r="AP6" s="85">
        <f>IFERROR(SUMIFS('Inventory Lookup'!$D$2:$D$20765,'Inventory Lookup'!$O$2:$O$20765,'Calculated Fields'!$AI6,'Inventory Lookup'!$M$2:$M$20765,"Drive Train"),"")</f>
        <v>11</v>
      </c>
      <c r="AQ6" s="85">
        <f>IFERROR(SUMIFS('Inventory Lookup'!$D$2:$D$20765,'Inventory Lookup'!$O$2:$O$20765,'Calculated Fields'!$AI6,'Inventory Lookup'!$M$2:$M$20765,"Body Parts"),"")</f>
        <v>65</v>
      </c>
      <c r="AR6" s="85">
        <f>IFERROR(SUMIFS('Inventory Lookup'!$D$2:$D$20765,'Inventory Lookup'!$O$2:$O$20765,'Calculated Fields'!$AI6,'Inventory Lookup'!$M$2:$M$20765,"Suspension"),"")</f>
        <v>2</v>
      </c>
      <c r="AS6" s="85">
        <f>IFERROR(SUMIFS('Inventory Lookup'!$D$2:$D$20765,'Inventory Lookup'!$O$2:$O$20765,'Calculated Fields'!$AI6,'Inventory Lookup'!$M$2:$M$20765,"Electrical"),"")</f>
        <v>16</v>
      </c>
      <c r="AT6" s="85">
        <f>IFERROR(SUMIFS('Inventory Lookup'!$D$2:$D$20765,'Inventory Lookup'!$O$2:$O$20765,'Calculated Fields'!$AI6,'Inventory Lookup'!$M$2:$M$20765,"Other"),"")</f>
        <v>32</v>
      </c>
      <c r="AU6" s="85">
        <f>IFERROR(SUMIFS('Inventory Lookup'!$E$2:$E$20765,'Inventory Lookup'!$O$2:$O$20765,'Calculated Fields'!$AI6,'Inventory Lookup'!$M$2:$M$20765,"Drive Train"),"")</f>
        <v>1</v>
      </c>
      <c r="AV6" s="85">
        <f>IFERROR(SUMIFS('Inventory Lookup'!$E$2:$E$20765,'Inventory Lookup'!$O$2:$O$20765,'Calculated Fields'!$AI6,'Inventory Lookup'!$M$2:$M$20765,"Body Parts"),"")</f>
        <v>0</v>
      </c>
      <c r="AW6" s="85">
        <f>IFERROR(SUMIFS('Inventory Lookup'!$E$2:$E$20765,'Inventory Lookup'!$O$2:$O$20765,'Calculated Fields'!$AI6,'Inventory Lookup'!$M$2:$M$20765,"Suspension"),"")</f>
        <v>0</v>
      </c>
      <c r="AX6" s="85">
        <f>IFERROR(SUMIFS('Inventory Lookup'!$E$2:$E$20765,'Inventory Lookup'!$O$2:$O$20765,'Calculated Fields'!$AI6,'Inventory Lookup'!$M$2:$M$20765,"Electrical"),"")</f>
        <v>0</v>
      </c>
      <c r="AY6" s="85">
        <f>IFERROR(SUMIFS('Inventory Lookup'!$E$2:$E$20765,'Inventory Lookup'!$O$2:$O$20765,'Calculated Fields'!$AI6,'Inventory Lookup'!$M$2:$M$20765,"Other"),"")</f>
        <v>1</v>
      </c>
      <c r="AZ6" s="78"/>
      <c r="BA6" s="89" t="s">
        <v>98</v>
      </c>
      <c r="BB6" s="91">
        <v>10</v>
      </c>
      <c r="BC6" s="85">
        <f t="shared" ca="1" si="8"/>
        <v>35</v>
      </c>
      <c r="BD6" s="92">
        <f ca="1">IFERROR(BC6/'Calculated Fields'!$W6,0)</f>
        <v>17.5</v>
      </c>
      <c r="BE6" s="92">
        <f ca="1">IFERROR('Calculated Fields'!$C6/BC6,0)</f>
        <v>10.199999999999999</v>
      </c>
      <c r="BF6" s="93"/>
      <c r="BG6" s="93"/>
      <c r="BH6" s="85">
        <f t="array" aca="1" ref="BH6" ca="1">IFERROR(INDEX('Agent Activity'!$AC$5:$AD$51,MATCH('Calculated Fields'!$BA6,'Agent Activity'!$AB$5:$AB$51,0),1),0)</f>
        <v>0</v>
      </c>
      <c r="BI6" s="93"/>
      <c r="BJ6" s="93"/>
      <c r="BK6" s="94">
        <f t="array" aca="1" ref="BK6" ca="1">IFERROR(INDEX('Agent Activity'!$AC$5:$AD$51,MATCH('Calculated Fields'!$BA6,'Agent Activity'!$AB$5:AB$51,0),2),0)</f>
        <v>0</v>
      </c>
      <c r="BL6" s="93"/>
      <c r="BM6" s="85">
        <f>SUMIF('RingCentral - Office'!$A$2:$A$482,$BA6,'RingCentral - Office'!$E$2:$E$482)</f>
        <v>34</v>
      </c>
      <c r="BN6" s="85">
        <f>SUMIF('RingCentral - Office'!$A$2:$A$482,$BA6,'RingCentral - Office'!$F$2:$F$482)</f>
        <v>10</v>
      </c>
      <c r="BO6" s="87">
        <f t="shared" si="9"/>
        <v>-0.55882352941176472</v>
      </c>
      <c r="BP6" s="85">
        <f>-SUMIF('RingCentral - Office'!$A$2:$A$482,$BA6,'RingCentral - Office'!$H$2:$H$482)</f>
        <v>-19</v>
      </c>
      <c r="BQ6" s="94">
        <f>SUMIF('RingCentral - Office'!$A$2:$A$482,$BA6,'RingCentral - Office'!$I$2:$I$482)</f>
        <v>6.0590277777777778E-2</v>
      </c>
      <c r="BR6" s="85">
        <f>_xlfn.IFNA(INDEX(Audits!$B$2:$E$19,MATCH($BA6,Audits!$A$2:$A$19,0),MATCH('Calculated Fields'!BR$2,Audits!$B$1:$E$1,0)),0)</f>
        <v>0</v>
      </c>
      <c r="BS6" s="85">
        <f>_xlfn.IFNA(INDEX(Audits!$B$2:$E$19,MATCH($BA6,Audits!$A$2:$A$19,0),MATCH('Calculated Fields'!BS$2,Audits!$B$1:$E$1,0)),0)</f>
        <v>8</v>
      </c>
      <c r="BT6" s="85">
        <f>_xlfn.IFNA(INDEX(Audits!$B$2:$E$19,MATCH($BA6,Audits!$A$2:$A$19,0),MATCH('Calculated Fields'!BT$2,Audits!$B$1:$E$1,0)),0)</f>
        <v>0</v>
      </c>
      <c r="BU6" s="164">
        <f>_xlfn.IFNA(INDEX(Audits!$B$2:$E$19,MATCH($BA6,Audits!$A$2:$A$19,0),MATCH('Calculated Fields'!BU$2,Audits!$B$1:$E$1,0)),0)</f>
        <v>0</v>
      </c>
      <c r="BV6" s="85">
        <f>_xlfn.IFNA(INDEX(Audits!$B$2:$E$19,MATCH($BA6,Audits!$A$2:$A$19,0),MATCH('Calculated Fields'!BV$2,Audits!$B$1:$E$1,0)),0)</f>
        <v>0</v>
      </c>
      <c r="BW6" s="165" cm="1">
        <f t="array" aca="1" ref="BW6" ca="1">_xlfn.IFS($B6="","",E6="","", E6&lt;=15000,1, E6&lt;=20000,2, E6&lt;=30000,3, E6&lt;=40000,4, E6&gt;40000,5)</f>
        <v>1</v>
      </c>
      <c r="BX6" s="132" cm="1">
        <f t="array" aca="1" ref="BX6" ca="1">_xlfn.IFS($B6="","",BU6="","", BU6&lt;=60%,1, BU6&lt;=70%,2, BU6&lt;=80%,3, BU6&lt;=90%,4, BU6&gt;90%,5)</f>
        <v>1</v>
      </c>
      <c r="BY6" s="132" cm="1">
        <f t="array" aca="1" ref="BY6" ca="1">_xlfn.IFS($B6="","",BE6="","", BE6&lt;=60,1, BE6&lt;=70,2, BE6&lt;=80,3, BE6&lt;=90,4, BE6&gt;90,5)</f>
        <v>1</v>
      </c>
      <c r="BZ6" s="92">
        <f t="shared" ca="1" si="10"/>
        <v>1</v>
      </c>
      <c r="CA6" s="90" t="str" cm="1">
        <f t="array" aca="1" ref="CA6" ca="1">_xlfn.IFS($B6="","",BZ6="","CHECK", BZ6&gt;=5,"A", BZ6&gt;=4,"B", BZ6&gt;=3,"C", BZ6&gt;=2,"D", BZ6&gt;=1,"E")</f>
        <v>E</v>
      </c>
      <c r="CB6" s="88" t="s">
        <v>1058</v>
      </c>
      <c r="CC6" s="88" t="s">
        <v>1058</v>
      </c>
      <c r="CD6" s="88" t="s">
        <v>1058</v>
      </c>
      <c r="CE6" s="88" t="s">
        <v>1058</v>
      </c>
      <c r="CF6" s="88" t="s">
        <v>1058</v>
      </c>
      <c r="CG6" s="3"/>
      <c r="CH6" s="3"/>
      <c r="CI6" s="3"/>
      <c r="CJ6" s="3"/>
      <c r="CK6" s="3"/>
      <c r="CL6" s="3"/>
      <c r="CM6" s="3"/>
      <c r="CN6" s="3"/>
    </row>
    <row r="7" spans="1:92" ht="15.75" customHeight="1">
      <c r="A7" s="78"/>
      <c r="B7" s="89" t="str">
        <f ca="1">IFERROR(__xludf.DUMMYFUNCTION("""COMPUTED_VALUE"""),"James Smith")</f>
        <v>James Smith</v>
      </c>
      <c r="C7" s="85">
        <f ca="1">SUMIF('Sales  Returns'!$C$1:$C$19998,'Calculated Fields'!B7,'Sales  Returns'!$D$1:$D$19998)</f>
        <v>4644</v>
      </c>
      <c r="D7" s="85">
        <f t="shared" ca="1" si="0"/>
        <v>6637.11</v>
      </c>
      <c r="E7" s="85">
        <f t="shared" ca="1" si="1"/>
        <v>6837.11</v>
      </c>
      <c r="F7" s="85">
        <f ca="1">SUMIF('Y2Y sales'!$J$2:$J$2000,$B7,'Y2Y sales'!$G$2:$G$2000)</f>
        <v>6670</v>
      </c>
      <c r="G7" s="85">
        <f t="shared" ca="1" si="2"/>
        <v>-32.890000000000327</v>
      </c>
      <c r="H7" s="85">
        <f ca="1">SUMIF('Sales  Returns'!$C$1:$C$19998,'Calculated Fields'!B7,'Sales  Returns'!$G$1:$G$19998)</f>
        <v>6637.11</v>
      </c>
      <c r="I7" s="85">
        <f ca="1">SUMIF('Sales  Returns'!$C$1:$C$19998,'Calculated Fields'!B7,'Sales  Returns'!$J$1:$J$19998)</f>
        <v>0</v>
      </c>
      <c r="J7" s="85">
        <f ca="1">SUMIF('Sales  Returns'!$C$1:$C$19998,'Calculated Fields'!B7,'Sales  Returns'!$K$1:$K$19998)</f>
        <v>0</v>
      </c>
      <c r="K7" s="86">
        <f t="shared" ca="1" si="3"/>
        <v>0</v>
      </c>
      <c r="L7" s="85">
        <f ca="1">SUMIF('Sales  Returns'!$C$1:$C$19998,'Calculated Fields'!B7,'Sales  Returns'!$O$1:$O$19998)</f>
        <v>200</v>
      </c>
      <c r="M7" s="87">
        <f t="shared" ca="1" si="4"/>
        <v>-6.0808756460929771</v>
      </c>
      <c r="N7" s="85">
        <f ca="1">SUMIF('Sales  Returns'!$C$1:$C$19998,'Calculated Fields'!B7,'Sales  Returns'!$P$1:$P$19998)</f>
        <v>0</v>
      </c>
      <c r="O7" s="85">
        <f ca="1">SUMIF('Sales  Returns'!$C$1:$C$19998,'Calculated Fields'!B7,'Sales  Returns'!$F$1:$F$19998)</f>
        <v>156</v>
      </c>
      <c r="P7" s="85">
        <f ca="1">SUMIF('Sales  Returns'!$C$1:$C$19998,'Calculated Fields'!B7,'Sales  Returns'!$T$1:$T$19998)</f>
        <v>337</v>
      </c>
      <c r="Q7" s="85">
        <f ca="1">SUMIF('Sales  Returns'!$C$1:$C$19998,'Calculated Fields'!B7,'Sales  Returns'!$E$1:$E$19998)</f>
        <v>290</v>
      </c>
      <c r="R7" s="85">
        <f ca="1">SUMIF('Sales  Returns'!$C$1:$C$19998,'Calculated Fields'!B7,'Sales  Returns'!$R$1:$R$19998)</f>
        <v>0</v>
      </c>
      <c r="S7" s="85">
        <f ca="1">SUMIF('Sales  Returns'!$C$1:$C$19998,'Calculated Fields'!B7,'Sales  Returns'!$Q$1:$Q$19998)</f>
        <v>523</v>
      </c>
      <c r="T7" s="85">
        <f ca="1">-COUNTIFS('Sales  Returns'!$C$1:$C$19998,'Calculated Fields'!$B7, 'Sales  Returns'!$B$1:$B$19998,'Calculated Fields'!$T$2)</f>
        <v>-6</v>
      </c>
      <c r="U7" s="85">
        <f ca="1">SUMIFS('Sales  Returns'!$D$1:$D$19998,'Sales  Returns'!$C$1:$C$19998,'Calculated Fields'!$B7,'Sales  Returns'!$B$1:$B$19998,'Calculated Fields'!$T$2)</f>
        <v>-1512</v>
      </c>
      <c r="V7" s="86">
        <f t="shared" ca="1" si="5"/>
        <v>0.29166666666666669</v>
      </c>
      <c r="W7" s="85">
        <f ca="1">COUNTIFS('Sales  Returns'!$C$1:$C$19998,'Calculated Fields'!$B7, 'Sales  Returns'!$B$1:$B$19998,"Sales")</f>
        <v>13</v>
      </c>
      <c r="X7" s="188">
        <v>0</v>
      </c>
      <c r="Y7" s="85">
        <f ca="1">SUMIF('Sales  Returns'!$C$1:$C$19998,'Calculated Fields'!$B7,'Sales  Returns'!$H$1:$H$19998)</f>
        <v>24</v>
      </c>
      <c r="Z7" s="85">
        <f ca="1">SUMIF('Sales  Returns'!$C$1:$C$19998,'Calculated Fields'!$B7,'Sales  Returns'!$I$1:$I$19998)</f>
        <v>7</v>
      </c>
      <c r="AA7" s="86">
        <f t="shared" ca="1" si="6"/>
        <v>0.29166666666666669</v>
      </c>
      <c r="AB7" s="85">
        <f ca="1">SUMIF('Sales  Returns'!$C$1:$C$19998,'Calculated Fields'!$B7,'Sales  Returns'!$M$1:$M$19998)</f>
        <v>0</v>
      </c>
      <c r="AC7" s="85">
        <f ca="1">SUMIF('Sales  Returns'!$C$1:$C$19998,'Calculated Fields'!$B7,'Sales  Returns'!$N$1:$N$19998)</f>
        <v>0</v>
      </c>
      <c r="AD7" s="86">
        <f t="shared" ca="1" si="7"/>
        <v>0</v>
      </c>
      <c r="AE7" s="88" t="s">
        <v>1058</v>
      </c>
      <c r="AF7" s="85">
        <f ca="1">SUMIF('WO &amp; Quote'!$S:$S,TRIM('Calculated Fields'!$B7),'WO &amp; Quote'!$I:$I)</f>
        <v>2505</v>
      </c>
      <c r="AG7" s="85">
        <f ca="1">SUMIF('WO &amp; Quote'!$S:$S,TRIM('Calculated Fields'!$B7),'WO &amp; Quote'!$J:$J) + SUMIF('WO &amp; Quote'!$S:$S,TRIM('Calculated Fields'!$B7),'WO &amp; Quote'!$K:$K)</f>
        <v>0</v>
      </c>
      <c r="AH7" s="78"/>
      <c r="AI7" s="89" t="s">
        <v>37</v>
      </c>
      <c r="AJ7" s="90">
        <f>IFERROR(SUMIF('Inventory Lookup'!$O$2:$O$20765,'Calculated Fields'!$AI7,'Inventory Lookup'!$E$2:$E$20765)/SUMIF('Inventory Lookup'!$O$2:$O$20765,'Calculated Fields'!$AI7,'Inventory Lookup'!$D$2:$D$20765),0)</f>
        <v>0.82758620689655171</v>
      </c>
      <c r="AK7" s="90">
        <f>IFERROR(AU7/SUMIFS('Inventory Lookup'!$D$2:$D$20765,'Inventory Lookup'!$O$2:$O$20765,'Calculated Fields'!$AI7,'Inventory Lookup'!$M$2:$M$20765,"Drive Train"),0)</f>
        <v>1.25</v>
      </c>
      <c r="AL7" s="90">
        <f>IFERROR(AV7/SUMIFS('Inventory Lookup'!$D$2:$D$20765,'Inventory Lookup'!$O$2:$O$20765,'Calculated Fields'!$AI7,'Inventory Lookup'!$M$2:$M$20765,"Body Parts"),0)</f>
        <v>1</v>
      </c>
      <c r="AM7" s="90">
        <f>IFERROR(AW7/SUMIFS('Inventory Lookup'!$D$2:$D$20765,'Inventory Lookup'!$O$2:$O$20765,'Calculated Fields'!$AI7,'Inventory Lookup'!$M$2:$M$20765,"Suspension"),0)</f>
        <v>0.5</v>
      </c>
      <c r="AN7" s="90">
        <f>IFERROR(AX7/SUMIFS('Inventory Lookup'!$D$2:$D$20765,'Inventory Lookup'!$O$2:$O$20765,'Calculated Fields'!$AI7,'Inventory Lookup'!$M$2:$M$20765,"Electrical"),0)</f>
        <v>4.5</v>
      </c>
      <c r="AO7" s="86">
        <f>IFERROR(VLOOKUP(AI7,Emp.Lookup!$A$1:$E$40,5,0),0)</f>
        <v>1.7142999999999999</v>
      </c>
      <c r="AP7" s="85">
        <f>IFERROR(SUMIFS('Inventory Lookup'!$D$2:$D$20765,'Inventory Lookup'!$O$2:$O$20765,'Calculated Fields'!$AI7,'Inventory Lookup'!$M$2:$M$20765,"Drive Train"),"")</f>
        <v>4</v>
      </c>
      <c r="AQ7" s="85">
        <f>IFERROR(SUMIFS('Inventory Lookup'!$D$2:$D$20765,'Inventory Lookup'!$O$2:$O$20765,'Calculated Fields'!$AI7,'Inventory Lookup'!$M$2:$M$20765,"Body Parts"),"")</f>
        <v>3</v>
      </c>
      <c r="AR7" s="85">
        <f>IFERROR(SUMIFS('Inventory Lookup'!$D$2:$D$20765,'Inventory Lookup'!$O$2:$O$20765,'Calculated Fields'!$AI7,'Inventory Lookup'!$M$2:$M$20765,"Suspension"),"")</f>
        <v>2</v>
      </c>
      <c r="AS7" s="85">
        <f>IFERROR(SUMIFS('Inventory Lookup'!$D$2:$D$20765,'Inventory Lookup'!$O$2:$O$20765,'Calculated Fields'!$AI7,'Inventory Lookup'!$M$2:$M$20765,"Electrical"),"")</f>
        <v>2</v>
      </c>
      <c r="AT7" s="85">
        <f>IFERROR(SUMIFS('Inventory Lookup'!$D$2:$D$20765,'Inventory Lookup'!$O$2:$O$20765,'Calculated Fields'!$AI7,'Inventory Lookup'!$M$2:$M$20765,"Other"),"")</f>
        <v>18</v>
      </c>
      <c r="AU7" s="85">
        <f>IFERROR(SUMIFS('Inventory Lookup'!$E$2:$E$20765,'Inventory Lookup'!$O$2:$O$20765,'Calculated Fields'!$AI7,'Inventory Lookup'!$M$2:$M$20765,"Drive Train"),"")</f>
        <v>5</v>
      </c>
      <c r="AV7" s="85">
        <f>IFERROR(SUMIFS('Inventory Lookup'!$E$2:$E$20765,'Inventory Lookup'!$O$2:$O$20765,'Calculated Fields'!$AI7,'Inventory Lookup'!$M$2:$M$20765,"Body Parts"),"")</f>
        <v>3</v>
      </c>
      <c r="AW7" s="85">
        <f>IFERROR(SUMIFS('Inventory Lookup'!$E$2:$E$20765,'Inventory Lookup'!$O$2:$O$20765,'Calculated Fields'!$AI7,'Inventory Lookup'!$M$2:$M$20765,"Suspension"),"")</f>
        <v>1</v>
      </c>
      <c r="AX7" s="85">
        <f>IFERROR(SUMIFS('Inventory Lookup'!$E$2:$E$20765,'Inventory Lookup'!$O$2:$O$20765,'Calculated Fields'!$AI7,'Inventory Lookup'!$M$2:$M$20765,"Electrical"),"")</f>
        <v>9</v>
      </c>
      <c r="AY7" s="85">
        <f>IFERROR(SUMIFS('Inventory Lookup'!$E$2:$E$20765,'Inventory Lookup'!$O$2:$O$20765,'Calculated Fields'!$AI7,'Inventory Lookup'!$M$2:$M$20765,"Other"),"")</f>
        <v>6</v>
      </c>
      <c r="AZ7" s="78"/>
      <c r="BA7" s="89" t="s">
        <v>37</v>
      </c>
      <c r="BB7" s="91">
        <v>0</v>
      </c>
      <c r="BC7" s="85">
        <f t="shared" ca="1" si="8"/>
        <v>80</v>
      </c>
      <c r="BD7" s="92">
        <f ca="1">IFERROR(BC7/'Calculated Fields'!$W7,0)</f>
        <v>6.1538461538461542</v>
      </c>
      <c r="BE7" s="92">
        <f ca="1">IFERROR('Calculated Fields'!$C7/BC7,0)</f>
        <v>58.05</v>
      </c>
      <c r="BF7" s="93"/>
      <c r="BG7" s="93"/>
      <c r="BH7" s="85">
        <f t="array" aca="1" ref="BH7" ca="1">IFERROR(INDEX('Agent Activity'!$AC$5:$AD$51,MATCH('Calculated Fields'!$BA7,'Agent Activity'!$AB$5:$AB$51,0),1),0)</f>
        <v>53</v>
      </c>
      <c r="BI7" s="93"/>
      <c r="BJ7" s="93"/>
      <c r="BK7" s="94">
        <f t="array" aca="1" ref="BK7" ca="1">IFERROR(INDEX('Agent Activity'!$AC$5:$AD$51,MATCH('Calculated Fields'!$BA7,'Agent Activity'!$AB$5:AB$51,0),2),0)</f>
        <v>0.14344907407407406</v>
      </c>
      <c r="BL7" s="93"/>
      <c r="BM7" s="85">
        <f>SUMIF('RingCentral - Office'!$A$2:$A$482,$BA7,'RingCentral - Office'!$E$2:$E$482)</f>
        <v>65</v>
      </c>
      <c r="BN7" s="85">
        <f>SUMIF('RingCentral - Office'!$A$2:$A$482,$BA7,'RingCentral - Office'!$F$2:$F$482)</f>
        <v>5</v>
      </c>
      <c r="BO7" s="87">
        <f t="shared" si="9"/>
        <v>-0.66153846153846152</v>
      </c>
      <c r="BP7" s="85">
        <f>-SUMIF('RingCentral - Office'!$A$2:$A$482,$BA7,'RingCentral - Office'!$H$2:$H$482)</f>
        <v>-43</v>
      </c>
      <c r="BQ7" s="94">
        <f>SUMIF('RingCentral - Office'!$A$2:$A$482,$BA7,'RingCentral - Office'!$I$2:$I$482)</f>
        <v>4.1388888888888892E-2</v>
      </c>
      <c r="BR7" s="85">
        <f>_xlfn.IFNA(INDEX(Audits!$B$2:$E$19,MATCH($BA7,Audits!$A$2:$A$19,0),MATCH('Calculated Fields'!BR$2,Audits!$B$1:$E$1,0)),0)</f>
        <v>0</v>
      </c>
      <c r="BS7" s="85">
        <f>_xlfn.IFNA(INDEX(Audits!$B$2:$E$19,MATCH($BA7,Audits!$A$2:$A$19,0),MATCH('Calculated Fields'!BS$2,Audits!$B$1:$E$1,0)),0)</f>
        <v>12</v>
      </c>
      <c r="BT7" s="85">
        <f>_xlfn.IFNA(INDEX(Audits!$B$2:$E$19,MATCH($BA7,Audits!$A$2:$A$19,0),MATCH('Calculated Fields'!BT$2,Audits!$B$1:$E$1,0)),0)</f>
        <v>1</v>
      </c>
      <c r="BU7" s="164">
        <f>_xlfn.IFNA(INDEX(Audits!$B$2:$E$19,MATCH($BA7,Audits!$A$2:$A$19,0),MATCH('Calculated Fields'!BU$2,Audits!$B$1:$E$1,0)),0)</f>
        <v>0.08</v>
      </c>
      <c r="BV7" s="85">
        <f>_xlfn.IFNA(INDEX(Audits!$B$2:$E$19,MATCH($BA7,Audits!$A$2:$A$19,0),MATCH('Calculated Fields'!BV$2,Audits!$B$1:$E$1,0)),0)</f>
        <v>0</v>
      </c>
      <c r="BW7" s="165" cm="1">
        <f t="array" aca="1" ref="BW7" ca="1">_xlfn.IFS($B7="","",E7="","", E7&lt;=15000,1, E7&lt;=20000,2, E7&lt;=30000,3, E7&lt;=40000,4, E7&gt;40000,5)</f>
        <v>1</v>
      </c>
      <c r="BX7" s="132" cm="1">
        <f t="array" aca="1" ref="BX7" ca="1">_xlfn.IFS($B7="","",BU7="","", BU7&lt;=60%,1, BU7&lt;=70%,2, BU7&lt;=80%,3, BU7&lt;=90%,4, BU7&gt;90%,5)</f>
        <v>1</v>
      </c>
      <c r="BY7" s="132" cm="1">
        <f t="array" aca="1" ref="BY7" ca="1">_xlfn.IFS($B7="","",BE7="","", BE7&lt;=60,1, BE7&lt;=70,2, BE7&lt;=80,3, BE7&lt;=90,4, BE7&gt;90,5)</f>
        <v>1</v>
      </c>
      <c r="BZ7" s="92">
        <f t="shared" ca="1" si="10"/>
        <v>1</v>
      </c>
      <c r="CA7" s="90" t="str" cm="1">
        <f t="array" aca="1" ref="CA7" ca="1">_xlfn.IFS($B7="","",BZ7="","CHECK", BZ7&gt;=5,"A", BZ7&gt;=4,"B", BZ7&gt;=3,"C", BZ7&gt;=2,"D", BZ7&gt;=1,"E")</f>
        <v>E</v>
      </c>
      <c r="CB7" s="88" t="s">
        <v>1058</v>
      </c>
      <c r="CC7" s="88" t="s">
        <v>1058</v>
      </c>
      <c r="CD7" s="88" t="s">
        <v>1058</v>
      </c>
      <c r="CE7" s="88" t="s">
        <v>1058</v>
      </c>
      <c r="CF7" s="88" t="s">
        <v>1058</v>
      </c>
      <c r="CG7" s="3"/>
      <c r="CH7" s="3"/>
      <c r="CI7" s="3"/>
      <c r="CJ7" s="3"/>
      <c r="CK7" s="3"/>
      <c r="CL7" s="3"/>
      <c r="CM7" s="3"/>
      <c r="CN7" s="3"/>
    </row>
    <row r="8" spans="1:92" ht="15.75" customHeight="1">
      <c r="A8" s="78"/>
      <c r="B8" s="89" t="str">
        <f ca="1">IFERROR(__xludf.DUMMYFUNCTION("""COMPUTED_VALUE"""),"Jessica Miller")</f>
        <v>Jessica Miller</v>
      </c>
      <c r="C8" s="85">
        <f ca="1">SUMIF('Sales  Returns'!$C$1:$C$19998,'Calculated Fields'!B8,'Sales  Returns'!$D$1:$D$19998)</f>
        <v>377</v>
      </c>
      <c r="D8" s="85">
        <f t="shared" ca="1" si="0"/>
        <v>7415</v>
      </c>
      <c r="E8" s="85">
        <f t="shared" ca="1" si="1"/>
        <v>6483</v>
      </c>
      <c r="F8" s="85">
        <f ca="1">SUMIF('Y2Y sales'!$J$2:$J$2000,$B8,'Y2Y sales'!$G$2:$G$2000)</f>
        <v>440</v>
      </c>
      <c r="G8" s="85">
        <f t="shared" ca="1" si="2"/>
        <v>5875</v>
      </c>
      <c r="H8" s="85">
        <f ca="1">SUMIF('Sales  Returns'!$C$1:$C$19998,'Calculated Fields'!B8,'Sales  Returns'!$G$1:$G$19998)</f>
        <v>6315</v>
      </c>
      <c r="I8" s="85">
        <f ca="1">SUMIF('Sales  Returns'!$C$1:$C$19998,'Calculated Fields'!B8,'Sales  Returns'!$J$1:$J$19998)</f>
        <v>1100</v>
      </c>
      <c r="J8" s="85">
        <f ca="1">SUMIF('Sales  Returns'!$C$1:$C$19998,'Calculated Fields'!B8,'Sales  Returns'!$K$1:$K$19998)</f>
        <v>168</v>
      </c>
      <c r="K8" s="86">
        <f t="shared" ca="1" si="3"/>
        <v>0.15272727272727274</v>
      </c>
      <c r="L8" s="85">
        <f ca="1">SUMIF('Sales  Returns'!$C$1:$C$19998,'Calculated Fields'!B8,'Sales  Returns'!$O$1:$O$19998)</f>
        <v>0</v>
      </c>
      <c r="M8" s="87">
        <f t="shared" ca="1" si="4"/>
        <v>0</v>
      </c>
      <c r="N8" s="85">
        <f ca="1">SUMIF('Sales  Returns'!$C$1:$C$19998,'Calculated Fields'!B8,'Sales  Returns'!$P$1:$P$19998)</f>
        <v>0</v>
      </c>
      <c r="O8" s="85">
        <f ca="1">SUMIF('Sales  Returns'!$C$1:$C$19998,'Calculated Fields'!B8,'Sales  Returns'!$F$1:$F$19998)</f>
        <v>276</v>
      </c>
      <c r="P8" s="85">
        <f ca="1">SUMIF('Sales  Returns'!$C$1:$C$19998,'Calculated Fields'!B8,'Sales  Returns'!$T$1:$T$19998)</f>
        <v>302</v>
      </c>
      <c r="Q8" s="85">
        <f ca="1">SUMIF('Sales  Returns'!$C$1:$C$19998,'Calculated Fields'!B8,'Sales  Returns'!$E$1:$E$19998)</f>
        <v>520</v>
      </c>
      <c r="R8" s="85">
        <f ca="1">SUMIF('Sales  Returns'!$C$1:$C$19998,'Calculated Fields'!B8,'Sales  Returns'!$R$1:$R$19998)</f>
        <v>315</v>
      </c>
      <c r="S8" s="85">
        <f ca="1">SUMIF('Sales  Returns'!$C$1:$C$19998,'Calculated Fields'!B8,'Sales  Returns'!$Q$1:$Q$19998)</f>
        <v>380</v>
      </c>
      <c r="T8" s="85">
        <f ca="1">-COUNTIFS('Sales  Returns'!$C$1:$C$19998,'Calculated Fields'!$B8, 'Sales  Returns'!$B$1:$B$19998,'Calculated Fields'!$T$2)</f>
        <v>-2</v>
      </c>
      <c r="U8" s="85">
        <f ca="1">SUMIFS('Sales  Returns'!$D$1:$D$19998,'Sales  Returns'!$C$1:$C$19998,'Calculated Fields'!$B8,'Sales  Returns'!$B$1:$B$19998,'Calculated Fields'!$T$2)</f>
        <v>-170</v>
      </c>
      <c r="V8" s="86">
        <f t="shared" ca="1" si="5"/>
        <v>0.1</v>
      </c>
      <c r="W8" s="85">
        <f ca="1">COUNTIFS('Sales  Returns'!$C$1:$C$19998,'Calculated Fields'!$B8, 'Sales  Returns'!$B$1:$B$19998,"Sales")</f>
        <v>12</v>
      </c>
      <c r="X8" s="188">
        <v>0</v>
      </c>
      <c r="Y8" s="85">
        <f ca="1">SUMIF('Sales  Returns'!$C$1:$C$19998,'Calculated Fields'!$B8,'Sales  Returns'!$H$1:$H$19998)</f>
        <v>19</v>
      </c>
      <c r="Z8" s="85">
        <f ca="1">SUMIF('Sales  Returns'!$C$1:$C$19998,'Calculated Fields'!$B8,'Sales  Returns'!$I$1:$I$19998)</f>
        <v>2</v>
      </c>
      <c r="AA8" s="86">
        <f t="shared" ca="1" si="6"/>
        <v>0.10526315789473684</v>
      </c>
      <c r="AB8" s="85">
        <f ca="1">SUMIF('Sales  Returns'!$C$1:$C$19998,'Calculated Fields'!$B8,'Sales  Returns'!$M$1:$M$19998)</f>
        <v>1</v>
      </c>
      <c r="AC8" s="85">
        <f ca="1">SUMIF('Sales  Returns'!$C$1:$C$19998,'Calculated Fields'!$B8,'Sales  Returns'!$N$1:$N$19998)</f>
        <v>0</v>
      </c>
      <c r="AD8" s="86">
        <f t="shared" ca="1" si="7"/>
        <v>0</v>
      </c>
      <c r="AE8" s="88" t="s">
        <v>1058</v>
      </c>
      <c r="AF8" s="85">
        <f ca="1">SUMIF('WO &amp; Quote'!$S:$S,TRIM('Calculated Fields'!$B8),'WO &amp; Quote'!$I:$I)</f>
        <v>0</v>
      </c>
      <c r="AG8" s="85">
        <f ca="1">SUMIF('WO &amp; Quote'!$S:$S,TRIM('Calculated Fields'!$B8),'WO &amp; Quote'!$J:$J) + SUMIF('WO &amp; Quote'!$S:$S,TRIM('Calculated Fields'!$B8),'WO &amp; Quote'!$K:$K)</f>
        <v>0</v>
      </c>
      <c r="AH8" s="78"/>
      <c r="AI8" s="89" t="s">
        <v>51</v>
      </c>
      <c r="AJ8" s="90">
        <f>IFERROR(SUMIF('Inventory Lookup'!$O$2:$O$20765,'Calculated Fields'!$AI8,'Inventory Lookup'!$E$2:$E$20765)/SUMIF('Inventory Lookup'!$O$2:$O$20765,'Calculated Fields'!$AI8,'Inventory Lookup'!$D$2:$D$20765),0)</f>
        <v>0</v>
      </c>
      <c r="AK8" s="90">
        <f>IFERROR(AU8/SUMIFS('Inventory Lookup'!$D$2:$D$20765,'Inventory Lookup'!$O$2:$O$20765,'Calculated Fields'!$AI8,'Inventory Lookup'!$M$2:$M$20765,"Drive Train"),0)</f>
        <v>0</v>
      </c>
      <c r="AL8" s="90">
        <f>IFERROR(AV8/SUMIFS('Inventory Lookup'!$D$2:$D$20765,'Inventory Lookup'!$O$2:$O$20765,'Calculated Fields'!$AI8,'Inventory Lookup'!$M$2:$M$20765,"Body Parts"),0)</f>
        <v>0</v>
      </c>
      <c r="AM8" s="90">
        <f>IFERROR(AW8/SUMIFS('Inventory Lookup'!$D$2:$D$20765,'Inventory Lookup'!$O$2:$O$20765,'Calculated Fields'!$AI8,'Inventory Lookup'!$M$2:$M$20765,"Suspension"),0)</f>
        <v>0</v>
      </c>
      <c r="AN8" s="90">
        <f>IFERROR(AX8/SUMIFS('Inventory Lookup'!$D$2:$D$20765,'Inventory Lookup'!$O$2:$O$20765,'Calculated Fields'!$AI8,'Inventory Lookup'!$M$2:$M$20765,"Electrical"),0)</f>
        <v>0</v>
      </c>
      <c r="AO8" s="86">
        <f>IFERROR(VLOOKUP(AI8,Emp.Lookup!$A$1:$E$40,5,0),0)</f>
        <v>0</v>
      </c>
      <c r="AP8" s="85">
        <f>IFERROR(SUMIFS('Inventory Lookup'!$D$2:$D$20765,'Inventory Lookup'!$O$2:$O$20765,'Calculated Fields'!$AI8,'Inventory Lookup'!$M$2:$M$20765,"Drive Train"),"")</f>
        <v>0</v>
      </c>
      <c r="AQ8" s="85">
        <f>IFERROR(SUMIFS('Inventory Lookup'!$D$2:$D$20765,'Inventory Lookup'!$O$2:$O$20765,'Calculated Fields'!$AI8,'Inventory Lookup'!$M$2:$M$20765,"Body Parts"),"")</f>
        <v>0</v>
      </c>
      <c r="AR8" s="85">
        <f>IFERROR(SUMIFS('Inventory Lookup'!$D$2:$D$20765,'Inventory Lookup'!$O$2:$O$20765,'Calculated Fields'!$AI8,'Inventory Lookup'!$M$2:$M$20765,"Suspension"),"")</f>
        <v>0</v>
      </c>
      <c r="AS8" s="85">
        <f>IFERROR(SUMIFS('Inventory Lookup'!$D$2:$D$20765,'Inventory Lookup'!$O$2:$O$20765,'Calculated Fields'!$AI8,'Inventory Lookup'!$M$2:$M$20765,"Electrical"),"")</f>
        <v>0</v>
      </c>
      <c r="AT8" s="85">
        <f>IFERROR(SUMIFS('Inventory Lookup'!$D$2:$D$20765,'Inventory Lookup'!$O$2:$O$20765,'Calculated Fields'!$AI8,'Inventory Lookup'!$M$2:$M$20765,"Other"),"")</f>
        <v>0</v>
      </c>
      <c r="AU8" s="85">
        <f>IFERROR(SUMIFS('Inventory Lookup'!$E$2:$E$20765,'Inventory Lookup'!$O$2:$O$20765,'Calculated Fields'!$AI8,'Inventory Lookup'!$M$2:$M$20765,"Drive Train"),"")</f>
        <v>5</v>
      </c>
      <c r="AV8" s="85">
        <f>IFERROR(SUMIFS('Inventory Lookup'!$E$2:$E$20765,'Inventory Lookup'!$O$2:$O$20765,'Calculated Fields'!$AI8,'Inventory Lookup'!$M$2:$M$20765,"Body Parts"),"")</f>
        <v>3</v>
      </c>
      <c r="AW8" s="85">
        <f>IFERROR(SUMIFS('Inventory Lookup'!$E$2:$E$20765,'Inventory Lookup'!$O$2:$O$20765,'Calculated Fields'!$AI8,'Inventory Lookup'!$M$2:$M$20765,"Suspension"),"")</f>
        <v>1</v>
      </c>
      <c r="AX8" s="85">
        <f>IFERROR(SUMIFS('Inventory Lookup'!$E$2:$E$20765,'Inventory Lookup'!$O$2:$O$20765,'Calculated Fields'!$AI8,'Inventory Lookup'!$M$2:$M$20765,"Electrical"),"")</f>
        <v>0</v>
      </c>
      <c r="AY8" s="85">
        <f>IFERROR(SUMIFS('Inventory Lookup'!$E$2:$E$20765,'Inventory Lookup'!$O$2:$O$20765,'Calculated Fields'!$AI8,'Inventory Lookup'!$M$2:$M$20765,"Other"),"")</f>
        <v>11</v>
      </c>
      <c r="AZ8" s="78"/>
      <c r="BA8" s="89" t="s">
        <v>51</v>
      </c>
      <c r="BB8" s="91">
        <v>14</v>
      </c>
      <c r="BC8" s="85">
        <f t="shared" ca="1" si="8"/>
        <v>14</v>
      </c>
      <c r="BD8" s="92">
        <f ca="1">IFERROR(BC8/'Calculated Fields'!$W8,0)</f>
        <v>1.1666666666666667</v>
      </c>
      <c r="BE8" s="92">
        <f ca="1">IFERROR('Calculated Fields'!$C8/BC8,0)</f>
        <v>26.928571428571427</v>
      </c>
      <c r="BF8" s="93"/>
      <c r="BG8" s="93"/>
      <c r="BH8" s="85">
        <f t="array" aca="1" ref="BH8" ca="1">IFERROR(INDEX('Agent Activity'!$AC$5:$AD$51,MATCH('Calculated Fields'!$BA8,'Agent Activity'!$AB$5:$AB$51,0),1),0)</f>
        <v>0</v>
      </c>
      <c r="BI8" s="93"/>
      <c r="BJ8" s="93"/>
      <c r="BK8" s="94">
        <f t="array" aca="1" ref="BK8" ca="1">IFERROR(INDEX('Agent Activity'!$AC$5:$AD$51,MATCH('Calculated Fields'!$BA8,'Agent Activity'!$AB$5:AB$51,0),2),0)</f>
        <v>0</v>
      </c>
      <c r="BL8" s="93"/>
      <c r="BM8" s="85">
        <f>SUMIF('RingCentral - Office'!$A$2:$A$482,$BA8,'RingCentral - Office'!$E$2:$E$482)</f>
        <v>24</v>
      </c>
      <c r="BN8" s="85">
        <f>SUMIF('RingCentral - Office'!$A$2:$A$482,$BA8,'RingCentral - Office'!$F$2:$F$482)</f>
        <v>0</v>
      </c>
      <c r="BO8" s="87">
        <f t="shared" si="9"/>
        <v>-1</v>
      </c>
      <c r="BP8" s="85">
        <f>-SUMIF('RingCentral - Office'!$A$2:$A$482,$BA8,'RingCentral - Office'!$H$2:$H$482)</f>
        <v>-24</v>
      </c>
      <c r="BQ8" s="94">
        <f>SUMIF('RingCentral - Office'!$A$2:$A$482,$BA8,'RingCentral - Office'!$I$2:$I$482)</f>
        <v>0</v>
      </c>
      <c r="BR8" s="85">
        <f>_xlfn.IFNA(INDEX(Audits!$B$2:$E$19,MATCH($BA8,Audits!$A$2:$A$19,0),MATCH('Calculated Fields'!BR$2,Audits!$B$1:$E$1,0)),0)</f>
        <v>1</v>
      </c>
      <c r="BS8" s="85">
        <f>_xlfn.IFNA(INDEX(Audits!$B$2:$E$19,MATCH($BA8,Audits!$A$2:$A$19,0),MATCH('Calculated Fields'!BS$2,Audits!$B$1:$E$1,0)),0)</f>
        <v>20</v>
      </c>
      <c r="BT8" s="85">
        <f>_xlfn.IFNA(INDEX(Audits!$B$2:$E$19,MATCH($BA8,Audits!$A$2:$A$19,0),MATCH('Calculated Fields'!BT$2,Audits!$B$1:$E$1,0)),0)</f>
        <v>1</v>
      </c>
      <c r="BU8" s="164">
        <f>_xlfn.IFNA(INDEX(Audits!$B$2:$E$19,MATCH($BA8,Audits!$A$2:$A$19,0),MATCH('Calculated Fields'!BU$2,Audits!$B$1:$E$1,0)),0)</f>
        <v>0.05</v>
      </c>
      <c r="BV8" s="85">
        <f>_xlfn.IFNA(INDEX(Audits!$B$2:$E$19,MATCH($BA8,Audits!$A$2:$A$19,0),MATCH('Calculated Fields'!BV$2,Audits!$B$1:$E$1,0)),0)</f>
        <v>0</v>
      </c>
      <c r="BW8" s="165" cm="1">
        <f t="array" aca="1" ref="BW8" ca="1">_xlfn.IFS($B8="","",E8="","", E8&lt;=15000,1, E8&lt;=20000,2, E8&lt;=30000,3, E8&lt;=40000,4, E8&gt;40000,5)</f>
        <v>1</v>
      </c>
      <c r="BX8" s="132" cm="1">
        <f t="array" aca="1" ref="BX8" ca="1">_xlfn.IFS($B8="","",BU8="","", BU8&lt;=60%,1, BU8&lt;=70%,2, BU8&lt;=80%,3, BU8&lt;=90%,4, BU8&gt;90%,5)</f>
        <v>1</v>
      </c>
      <c r="BY8" s="132" cm="1">
        <f t="array" aca="1" ref="BY8" ca="1">_xlfn.IFS($B8="","",BE8="","", BE8&lt;=60,1, BE8&lt;=70,2, BE8&lt;=80,3, BE8&lt;=90,4, BE8&gt;90,5)</f>
        <v>1</v>
      </c>
      <c r="BZ8" s="92">
        <f t="shared" ca="1" si="10"/>
        <v>1</v>
      </c>
      <c r="CA8" s="90" t="str" cm="1">
        <f t="array" aca="1" ref="CA8" ca="1">_xlfn.IFS($B8="","",BZ8="","CHECK", BZ8&gt;=5,"A", BZ8&gt;=4,"B", BZ8&gt;=3,"C", BZ8&gt;=2,"D", BZ8&gt;=1,"E")</f>
        <v>E</v>
      </c>
      <c r="CB8" s="88" t="s">
        <v>1058</v>
      </c>
      <c r="CC8" s="88" t="s">
        <v>1058</v>
      </c>
      <c r="CD8" s="88" t="s">
        <v>1058</v>
      </c>
      <c r="CE8" s="88" t="s">
        <v>1058</v>
      </c>
      <c r="CF8" s="88" t="s">
        <v>1058</v>
      </c>
      <c r="CG8" s="3"/>
      <c r="CH8" s="3"/>
      <c r="CI8" s="3"/>
      <c r="CJ8" s="3"/>
      <c r="CK8" s="3"/>
      <c r="CL8" s="3"/>
      <c r="CM8" s="3"/>
      <c r="CN8" s="3"/>
    </row>
    <row r="9" spans="1:92" ht="15.75" customHeight="1">
      <c r="A9" s="78"/>
      <c r="B9" s="89" t="str">
        <f ca="1">IFERROR(__xludf.DUMMYFUNCTION("""COMPUTED_VALUE"""),"Michael Brown")</f>
        <v>Michael Brown</v>
      </c>
      <c r="C9" s="85">
        <f ca="1">SUMIF('Sales  Returns'!$C$1:$C$19998,'Calculated Fields'!B9,'Sales  Returns'!$D$1:$D$19998)</f>
        <v>5415</v>
      </c>
      <c r="D9" s="85">
        <f t="shared" ca="1" si="0"/>
        <v>4212</v>
      </c>
      <c r="E9" s="85">
        <f t="shared" ca="1" si="1"/>
        <v>4212</v>
      </c>
      <c r="F9" s="85">
        <f ca="1">SUMIF('Y2Y sales'!$J$2:$J$2000,$B9,'Y2Y sales'!$G$2:$G$2000)</f>
        <v>350</v>
      </c>
      <c r="G9" s="85">
        <f t="shared" ca="1" si="2"/>
        <v>3862</v>
      </c>
      <c r="H9" s="85">
        <f ca="1">SUMIF('Sales  Returns'!$C$1:$C$19998,'Calculated Fields'!B9,'Sales  Returns'!$G$1:$G$19998)</f>
        <v>4212</v>
      </c>
      <c r="I9" s="85">
        <f ca="1">SUMIF('Sales  Returns'!$C$1:$C$19998,'Calculated Fields'!B9,'Sales  Returns'!$J$1:$J$19998)</f>
        <v>0</v>
      </c>
      <c r="J9" s="85">
        <f ca="1">SUMIF('Sales  Returns'!$C$1:$C$19998,'Calculated Fields'!B9,'Sales  Returns'!$K$1:$K$19998)</f>
        <v>0</v>
      </c>
      <c r="K9" s="86">
        <f t="shared" ca="1" si="3"/>
        <v>0</v>
      </c>
      <c r="L9" s="85">
        <f ca="1">SUMIF('Sales  Returns'!$C$1:$C$19998,'Calculated Fields'!B9,'Sales  Returns'!$O$1:$O$19998)</f>
        <v>0</v>
      </c>
      <c r="M9" s="87">
        <f t="shared" ca="1" si="4"/>
        <v>0</v>
      </c>
      <c r="N9" s="85">
        <f ca="1">SUMIF('Sales  Returns'!$C$1:$C$19998,'Calculated Fields'!B9,'Sales  Returns'!$P$1:$P$19998)</f>
        <v>0</v>
      </c>
      <c r="O9" s="85">
        <f ca="1">SUMIF('Sales  Returns'!$C$1:$C$19998,'Calculated Fields'!B9,'Sales  Returns'!$F$1:$F$19998)</f>
        <v>203</v>
      </c>
      <c r="P9" s="85">
        <f ca="1">SUMIF('Sales  Returns'!$C$1:$C$19998,'Calculated Fields'!B9,'Sales  Returns'!$T$1:$T$19998)</f>
        <v>190</v>
      </c>
      <c r="Q9" s="85">
        <f ca="1">SUMIF('Sales  Returns'!$C$1:$C$19998,'Calculated Fields'!B9,'Sales  Returns'!$E$1:$E$19998)</f>
        <v>440</v>
      </c>
      <c r="R9" s="85">
        <f ca="1">SUMIF('Sales  Returns'!$C$1:$C$19998,'Calculated Fields'!B9,'Sales  Returns'!$R$1:$R$19998)</f>
        <v>95</v>
      </c>
      <c r="S9" s="85">
        <f ca="1">SUMIF('Sales  Returns'!$C$1:$C$19998,'Calculated Fields'!B9,'Sales  Returns'!$Q$1:$Q$19998)</f>
        <v>335</v>
      </c>
      <c r="T9" s="85">
        <f ca="1">-COUNTIFS('Sales  Returns'!$C$1:$C$19998,'Calculated Fields'!$B9, 'Sales  Returns'!$B$1:$B$19998,'Calculated Fields'!$T$2)</f>
        <v>-3</v>
      </c>
      <c r="U9" s="85">
        <f ca="1">SUMIFS('Sales  Returns'!$D$1:$D$19998,'Sales  Returns'!$C$1:$C$19998,'Calculated Fields'!$B9,'Sales  Returns'!$B$1:$B$19998,'Calculated Fields'!$T$2)</f>
        <v>-355</v>
      </c>
      <c r="V9" s="86">
        <f t="shared" ca="1" si="5"/>
        <v>0.23076923076923078</v>
      </c>
      <c r="W9" s="85">
        <f ca="1">COUNTIFS('Sales  Returns'!$C$1:$C$19998,'Calculated Fields'!$B9, 'Sales  Returns'!$B$1:$B$19998,"Sales")</f>
        <v>10</v>
      </c>
      <c r="X9" s="188">
        <v>0</v>
      </c>
      <c r="Y9" s="85">
        <f ca="1">SUMIF('Sales  Returns'!$C$1:$C$19998,'Calculated Fields'!$B9,'Sales  Returns'!$H$1:$H$19998)</f>
        <v>13</v>
      </c>
      <c r="Z9" s="85">
        <f ca="1">SUMIF('Sales  Returns'!$C$1:$C$19998,'Calculated Fields'!$B9,'Sales  Returns'!$I$1:$I$19998)</f>
        <v>3</v>
      </c>
      <c r="AA9" s="86">
        <f t="shared" ca="1" si="6"/>
        <v>0.23076923076923078</v>
      </c>
      <c r="AB9" s="85">
        <f ca="1">SUMIF('Sales  Returns'!$C$1:$C$19998,'Calculated Fields'!$B9,'Sales  Returns'!$M$1:$M$19998)</f>
        <v>0</v>
      </c>
      <c r="AC9" s="85">
        <f ca="1">SUMIF('Sales  Returns'!$C$1:$C$19998,'Calculated Fields'!$B9,'Sales  Returns'!$N$1:$N$19998)</f>
        <v>0</v>
      </c>
      <c r="AD9" s="86">
        <f t="shared" ca="1" si="7"/>
        <v>0</v>
      </c>
      <c r="AE9" s="88" t="s">
        <v>1058</v>
      </c>
      <c r="AF9" s="85">
        <f ca="1">SUMIF('WO &amp; Quote'!$S:$S,TRIM('Calculated Fields'!$B9),'WO &amp; Quote'!$I:$I)</f>
        <v>4060</v>
      </c>
      <c r="AG9" s="85">
        <f ca="1">SUMIF('WO &amp; Quote'!$S:$S,TRIM('Calculated Fields'!$B9),'WO &amp; Quote'!$J:$J) + SUMIF('WO &amp; Quote'!$S:$S,TRIM('Calculated Fields'!$B9),'WO &amp; Quote'!$K:$K)</f>
        <v>0</v>
      </c>
      <c r="AH9" s="78"/>
      <c r="AI9" s="89" t="s">
        <v>43</v>
      </c>
      <c r="AJ9" s="90">
        <f>IFERROR(SUMIF('Inventory Lookup'!$O$2:$O$20765,'Calculated Fields'!$AI9,'Inventory Lookup'!$E$2:$E$20765)/SUMIF('Inventory Lookup'!$O$2:$O$20765,'Calculated Fields'!$AI9,'Inventory Lookup'!$D$2:$D$20765),0)</f>
        <v>8.9041095890410954E-2</v>
      </c>
      <c r="AK9" s="90">
        <f>IFERROR(AU9/SUMIFS('Inventory Lookup'!$D$2:$D$20765,'Inventory Lookup'!$O$2:$O$20765,'Calculated Fields'!$AI9,'Inventory Lookup'!$M$2:$M$20765,"Drive Train"),0)</f>
        <v>8.6956521739130432E-2</v>
      </c>
      <c r="AL9" s="90">
        <f>IFERROR(AV9/SUMIFS('Inventory Lookup'!$D$2:$D$20765,'Inventory Lookup'!$O$2:$O$20765,'Calculated Fields'!$AI9,'Inventory Lookup'!$M$2:$M$20765,"Body Parts"),0)</f>
        <v>7.8431372549019607E-2</v>
      </c>
      <c r="AM9" s="90">
        <f>IFERROR(AW9/SUMIFS('Inventory Lookup'!$D$2:$D$20765,'Inventory Lookup'!$O$2:$O$20765,'Calculated Fields'!$AI9,'Inventory Lookup'!$M$2:$M$20765,"Suspension"),0)</f>
        <v>0.4</v>
      </c>
      <c r="AN9" s="90">
        <f>IFERROR(AX9/SUMIFS('Inventory Lookup'!$D$2:$D$20765,'Inventory Lookup'!$O$2:$O$20765,'Calculated Fields'!$AI9,'Inventory Lookup'!$M$2:$M$20765,"Electrical"),0)</f>
        <v>0.2</v>
      </c>
      <c r="AO9" s="86">
        <f>IFERROR(VLOOKUP(AI9,Emp.Lookup!$A$1:$E$40,5,0),0)</f>
        <v>0.22409999999999999</v>
      </c>
      <c r="AP9" s="85">
        <f>IFERROR(SUMIFS('Inventory Lookup'!$D$2:$D$20765,'Inventory Lookup'!$O$2:$O$20765,'Calculated Fields'!$AI9,'Inventory Lookup'!$M$2:$M$20765,"Drive Train"),"")</f>
        <v>23</v>
      </c>
      <c r="AQ9" s="85">
        <f>IFERROR(SUMIFS('Inventory Lookup'!$D$2:$D$20765,'Inventory Lookup'!$O$2:$O$20765,'Calculated Fields'!$AI9,'Inventory Lookup'!$M$2:$M$20765,"Body Parts"),"")</f>
        <v>51</v>
      </c>
      <c r="AR9" s="85">
        <f>IFERROR(SUMIFS('Inventory Lookup'!$D$2:$D$20765,'Inventory Lookup'!$O$2:$O$20765,'Calculated Fields'!$AI9,'Inventory Lookup'!$M$2:$M$20765,"Suspension"),"")</f>
        <v>5</v>
      </c>
      <c r="AS9" s="85">
        <f>IFERROR(SUMIFS('Inventory Lookup'!$D$2:$D$20765,'Inventory Lookup'!$O$2:$O$20765,'Calculated Fields'!$AI9,'Inventory Lookup'!$M$2:$M$20765,"Electrical"),"")</f>
        <v>5</v>
      </c>
      <c r="AT9" s="85">
        <f>IFERROR(SUMIFS('Inventory Lookup'!$D$2:$D$20765,'Inventory Lookup'!$O$2:$O$20765,'Calculated Fields'!$AI9,'Inventory Lookup'!$M$2:$M$20765,"Other"),"")</f>
        <v>62</v>
      </c>
      <c r="AU9" s="85">
        <f>IFERROR(SUMIFS('Inventory Lookup'!$E$2:$E$20765,'Inventory Lookup'!$O$2:$O$20765,'Calculated Fields'!$AI9,'Inventory Lookup'!$M$2:$M$20765,"Drive Train"),"")</f>
        <v>2</v>
      </c>
      <c r="AV9" s="85">
        <f>IFERROR(SUMIFS('Inventory Lookup'!$E$2:$E$20765,'Inventory Lookup'!$O$2:$O$20765,'Calculated Fields'!$AI9,'Inventory Lookup'!$M$2:$M$20765,"Body Parts"),"")</f>
        <v>4</v>
      </c>
      <c r="AW9" s="85">
        <f>IFERROR(SUMIFS('Inventory Lookup'!$E$2:$E$20765,'Inventory Lookup'!$O$2:$O$20765,'Calculated Fields'!$AI9,'Inventory Lookup'!$M$2:$M$20765,"Suspension"),"")</f>
        <v>2</v>
      </c>
      <c r="AX9" s="85">
        <f>IFERROR(SUMIFS('Inventory Lookup'!$E$2:$E$20765,'Inventory Lookup'!$O$2:$O$20765,'Calculated Fields'!$AI9,'Inventory Lookup'!$M$2:$M$20765,"Electrical"),"")</f>
        <v>1</v>
      </c>
      <c r="AY9" s="85">
        <f>IFERROR(SUMIFS('Inventory Lookup'!$E$2:$E$20765,'Inventory Lookup'!$O$2:$O$20765,'Calculated Fields'!$AI9,'Inventory Lookup'!$M$2:$M$20765,"Other"),"")</f>
        <v>4</v>
      </c>
      <c r="AZ9" s="78"/>
      <c r="BA9" s="89" t="s">
        <v>43</v>
      </c>
      <c r="BB9" s="91">
        <v>0</v>
      </c>
      <c r="BC9" s="85">
        <f t="shared" ca="1" si="8"/>
        <v>66</v>
      </c>
      <c r="BD9" s="92">
        <f ca="1">IFERROR(BC9/'Calculated Fields'!$W9,0)</f>
        <v>6.6</v>
      </c>
      <c r="BE9" s="92">
        <f ca="1">IFERROR('Calculated Fields'!$C9/BC9,0)</f>
        <v>82.045454545454547</v>
      </c>
      <c r="BF9" s="93"/>
      <c r="BG9" s="93"/>
      <c r="BH9" s="85">
        <f t="array" aca="1" ref="BH9" ca="1">IFERROR(INDEX('Agent Activity'!$AC$5:$AD$51,MATCH('Calculated Fields'!$BA9,'Agent Activity'!$AB$5:$AB$51,0),1),0)</f>
        <v>2</v>
      </c>
      <c r="BI9" s="93"/>
      <c r="BJ9" s="93"/>
      <c r="BK9" s="94">
        <f t="array" aca="1" ref="BK9" ca="1">IFERROR(INDEX('Agent Activity'!$AC$5:$AD$51,MATCH('Calculated Fields'!$BA9,'Agent Activity'!$AB$5:AB$51,0),2),0)</f>
        <v>3.6342592592592594E-3</v>
      </c>
      <c r="BL9" s="93"/>
      <c r="BM9" s="85">
        <f>SUMIF('RingCentral - Office'!$A$2:$A$482,$BA9,'RingCentral - Office'!$E$2:$E$482)</f>
        <v>47</v>
      </c>
      <c r="BN9" s="85">
        <f>SUMIF('RingCentral - Office'!$A$2:$A$482,$BA9,'RingCentral - Office'!$F$2:$F$482)</f>
        <v>22</v>
      </c>
      <c r="BO9" s="87">
        <f t="shared" si="9"/>
        <v>-0.10638297872340426</v>
      </c>
      <c r="BP9" s="85">
        <f>-SUMIF('RingCentral - Office'!$A$2:$A$482,$BA9,'RingCentral - Office'!$H$2:$H$482)</f>
        <v>-5</v>
      </c>
      <c r="BQ9" s="94">
        <f>SUMIF('RingCentral - Office'!$A$2:$A$482,$BA9,'RingCentral - Office'!$I$2:$I$482)</f>
        <v>8.2187499999999997E-2</v>
      </c>
      <c r="BR9" s="85">
        <f>_xlfn.IFNA(INDEX(Audits!$B$2:$E$19,MATCH($BA9,Audits!$A$2:$A$19,0),MATCH('Calculated Fields'!BR$2,Audits!$B$1:$E$1,0)),0)</f>
        <v>0</v>
      </c>
      <c r="BS9" s="85">
        <f>_xlfn.IFNA(INDEX(Audits!$B$2:$E$19,MATCH($BA9,Audits!$A$2:$A$19,0),MATCH('Calculated Fields'!BS$2,Audits!$B$1:$E$1,0)),0)</f>
        <v>14</v>
      </c>
      <c r="BT9" s="85">
        <f>_xlfn.IFNA(INDEX(Audits!$B$2:$E$19,MATCH($BA9,Audits!$A$2:$A$19,0),MATCH('Calculated Fields'!BT$2,Audits!$B$1:$E$1,0)),0)</f>
        <v>1</v>
      </c>
      <c r="BU9" s="164">
        <f>_xlfn.IFNA(INDEX(Audits!$B$2:$E$19,MATCH($BA9,Audits!$A$2:$A$19,0),MATCH('Calculated Fields'!BU$2,Audits!$B$1:$E$1,0)),0)</f>
        <v>7.0000000000000007E-2</v>
      </c>
      <c r="BV9" s="85">
        <f>_xlfn.IFNA(INDEX(Audits!$B$2:$E$19,MATCH($BA9,Audits!$A$2:$A$19,0),MATCH('Calculated Fields'!BV$2,Audits!$B$1:$E$1,0)),0)</f>
        <v>0</v>
      </c>
      <c r="BW9" s="165" cm="1">
        <f t="array" aca="1" ref="BW9" ca="1">_xlfn.IFS($B9="","",E9="","", E9&lt;=15000,1, E9&lt;=20000,2, E9&lt;=30000,3, E9&lt;=40000,4, E9&gt;40000,5)</f>
        <v>1</v>
      </c>
      <c r="BX9" s="132" cm="1">
        <f t="array" aca="1" ref="BX9" ca="1">_xlfn.IFS($B9="","",BU9="","", BU9&lt;=60%,1, BU9&lt;=70%,2, BU9&lt;=80%,3, BU9&lt;=90%,4, BU9&gt;90%,5)</f>
        <v>1</v>
      </c>
      <c r="BY9" s="132" cm="1">
        <f t="array" aca="1" ref="BY9" ca="1">_xlfn.IFS($B9="","",BE9="","", BE9&lt;=60,1, BE9&lt;=70,2, BE9&lt;=80,3, BE9&lt;=90,4, BE9&gt;90,5)</f>
        <v>4</v>
      </c>
      <c r="BZ9" s="92">
        <f t="shared" ca="1" si="10"/>
        <v>2</v>
      </c>
      <c r="CA9" s="90" t="str" cm="1">
        <f t="array" aca="1" ref="CA9" ca="1">_xlfn.IFS($B9="","",BZ9="","CHECK", BZ9&gt;=5,"A", BZ9&gt;=4,"B", BZ9&gt;=3,"C", BZ9&gt;=2,"D", BZ9&gt;=1,"E")</f>
        <v>D</v>
      </c>
      <c r="CB9" s="88" t="s">
        <v>1058</v>
      </c>
      <c r="CC9" s="88" t="s">
        <v>1058</v>
      </c>
      <c r="CD9" s="88" t="s">
        <v>1058</v>
      </c>
      <c r="CE9" s="88" t="s">
        <v>1058</v>
      </c>
      <c r="CF9" s="88" t="s">
        <v>1058</v>
      </c>
      <c r="CG9" s="3"/>
      <c r="CH9" s="3"/>
      <c r="CI9" s="3"/>
      <c r="CJ9" s="3"/>
      <c r="CK9" s="3"/>
      <c r="CL9" s="3"/>
      <c r="CM9" s="3"/>
      <c r="CN9" s="3"/>
    </row>
    <row r="10" spans="1:92" ht="15.75" customHeight="1">
      <c r="A10" s="78"/>
      <c r="B10" s="89" t="str">
        <f ca="1">IFERROR(__xludf.DUMMYFUNCTION("""COMPUTED_VALUE"""),"Robert Thomas")</f>
        <v>Robert Thomas</v>
      </c>
      <c r="C10" s="85">
        <f ca="1">SUMIF('Sales  Returns'!$C$1:$C$19998,'Calculated Fields'!B10,'Sales  Returns'!$D$1:$D$19998)</f>
        <v>2188</v>
      </c>
      <c r="D10" s="85">
        <f t="shared" ca="1" si="0"/>
        <v>14802.550000000001</v>
      </c>
      <c r="E10" s="85">
        <f t="shared" ca="1" si="1"/>
        <v>15002.550000000001</v>
      </c>
      <c r="F10" s="85">
        <f ca="1">SUMIF('Y2Y sales'!$J$2:$J$2000,$B10,'Y2Y sales'!$G$2:$G$2000)</f>
        <v>125</v>
      </c>
      <c r="G10" s="85">
        <f t="shared" ca="1" si="2"/>
        <v>14677.550000000001</v>
      </c>
      <c r="H10" s="85">
        <f ca="1">SUMIF('Sales  Returns'!$C$1:$C$19998,'Calculated Fields'!B10,'Sales  Returns'!$G$1:$G$19998)</f>
        <v>14802.550000000001</v>
      </c>
      <c r="I10" s="85">
        <f ca="1">SUMIF('Sales  Returns'!$C$1:$C$19998,'Calculated Fields'!B10,'Sales  Returns'!$J$1:$J$19998)</f>
        <v>0</v>
      </c>
      <c r="J10" s="85">
        <f ca="1">SUMIF('Sales  Returns'!$C$1:$C$19998,'Calculated Fields'!B10,'Sales  Returns'!$K$1:$K$19998)</f>
        <v>0</v>
      </c>
      <c r="K10" s="86">
        <f t="shared" ca="1" si="3"/>
        <v>0</v>
      </c>
      <c r="L10" s="85">
        <f ca="1">SUMIF('Sales  Returns'!$C$1:$C$19998,'Calculated Fields'!B10,'Sales  Returns'!$O$1:$O$19998)</f>
        <v>200</v>
      </c>
      <c r="M10" s="87">
        <f t="shared" ca="1" si="4"/>
        <v>1.3626252337753915E-2</v>
      </c>
      <c r="N10" s="85">
        <f ca="1">SUMIF('Sales  Returns'!$C$1:$C$19998,'Calculated Fields'!B10,'Sales  Returns'!$P$1:$P$19998)</f>
        <v>0</v>
      </c>
      <c r="O10" s="85">
        <f ca="1">SUMIF('Sales  Returns'!$C$1:$C$19998,'Calculated Fields'!B10,'Sales  Returns'!$F$1:$F$19998)</f>
        <v>111</v>
      </c>
      <c r="P10" s="85">
        <f ca="1">SUMIF('Sales  Returns'!$C$1:$C$19998,'Calculated Fields'!B10,'Sales  Returns'!$T$1:$T$19998)</f>
        <v>706</v>
      </c>
      <c r="Q10" s="85">
        <f ca="1">SUMIF('Sales  Returns'!$C$1:$C$19998,'Calculated Fields'!B10,'Sales  Returns'!$E$1:$E$19998)</f>
        <v>1209</v>
      </c>
      <c r="R10" s="85">
        <f ca="1">SUMIF('Sales  Returns'!$C$1:$C$19998,'Calculated Fields'!B10,'Sales  Returns'!$R$1:$R$19998)</f>
        <v>8</v>
      </c>
      <c r="S10" s="85">
        <f ca="1">SUMIF('Sales  Returns'!$C$1:$C$19998,'Calculated Fields'!B10,'Sales  Returns'!$Q$1:$Q$19998)</f>
        <v>305</v>
      </c>
      <c r="T10" s="85">
        <f ca="1">-COUNTIFS('Sales  Returns'!$C$1:$C$19998,'Calculated Fields'!$B10, 'Sales  Returns'!$B$1:$B$19998,'Calculated Fields'!$T$2)</f>
        <v>-3</v>
      </c>
      <c r="U10" s="85">
        <f ca="1">SUMIFS('Sales  Returns'!$D$1:$D$19998,'Sales  Returns'!$C$1:$C$19998,'Calculated Fields'!$B10,'Sales  Returns'!$B$1:$B$19998,'Calculated Fields'!$T$2)</f>
        <v>-380</v>
      </c>
      <c r="V10" s="86">
        <f t="shared" ca="1" si="5"/>
        <v>0.19047619047619047</v>
      </c>
      <c r="W10" s="85">
        <f ca="1">COUNTIFS('Sales  Returns'!$C$1:$C$19998,'Calculated Fields'!$B10, 'Sales  Returns'!$B$1:$B$19998,"Sales")</f>
        <v>17</v>
      </c>
      <c r="X10" s="188">
        <v>0</v>
      </c>
      <c r="Y10" s="85">
        <f ca="1">SUMIF('Sales  Returns'!$C$1:$C$19998,'Calculated Fields'!$B10,'Sales  Returns'!$H$1:$H$19998)</f>
        <v>21</v>
      </c>
      <c r="Z10" s="85">
        <f ca="1">SUMIF('Sales  Returns'!$C$1:$C$19998,'Calculated Fields'!$B10,'Sales  Returns'!$I$1:$I$19998)</f>
        <v>4</v>
      </c>
      <c r="AA10" s="86">
        <f t="shared" ca="1" si="6"/>
        <v>0.19047619047619047</v>
      </c>
      <c r="AB10" s="85">
        <f ca="1">SUMIF('Sales  Returns'!$C$1:$C$19998,'Calculated Fields'!$B10,'Sales  Returns'!$M$1:$M$19998)</f>
        <v>0</v>
      </c>
      <c r="AC10" s="85">
        <f ca="1">SUMIF('Sales  Returns'!$C$1:$C$19998,'Calculated Fields'!$B10,'Sales  Returns'!$N$1:$N$19998)</f>
        <v>0</v>
      </c>
      <c r="AD10" s="86">
        <f t="shared" ca="1" si="7"/>
        <v>0</v>
      </c>
      <c r="AE10" s="88" t="s">
        <v>1058</v>
      </c>
      <c r="AF10" s="85">
        <f ca="1">SUMIF('WO &amp; Quote'!$S:$S,TRIM('Calculated Fields'!$B10),'WO &amp; Quote'!$I:$I)</f>
        <v>10344.33</v>
      </c>
      <c r="AG10" s="85">
        <f ca="1">SUMIF('WO &amp; Quote'!$S:$S,TRIM('Calculated Fields'!$B10),'WO &amp; Quote'!$J:$J) + SUMIF('WO &amp; Quote'!$S:$S,TRIM('Calculated Fields'!$B10),'WO &amp; Quote'!$K:$K)</f>
        <v>0</v>
      </c>
      <c r="AH10" s="78"/>
      <c r="AI10" s="89" t="s">
        <v>57</v>
      </c>
      <c r="AJ10" s="90">
        <f>IFERROR(SUMIF('Inventory Lookup'!$O$2:$O$20765,'Calculated Fields'!$AI10,'Inventory Lookup'!$E$2:$E$20765)/SUMIF('Inventory Lookup'!$O$2:$O$20765,'Calculated Fields'!$AI10,'Inventory Lookup'!$D$2:$D$20765),0)</f>
        <v>0.17073170731707318</v>
      </c>
      <c r="AK10" s="90">
        <f>IFERROR(AU10/SUMIFS('Inventory Lookup'!$D$2:$D$20765,'Inventory Lookup'!$O$2:$O$20765,'Calculated Fields'!$AI10,'Inventory Lookup'!$M$2:$M$20765,"Drive Train"),0)</f>
        <v>0.21739130434782608</v>
      </c>
      <c r="AL10" s="90">
        <f>IFERROR(AV10/SUMIFS('Inventory Lookup'!$D$2:$D$20765,'Inventory Lookup'!$O$2:$O$20765,'Calculated Fields'!$AI10,'Inventory Lookup'!$M$2:$M$20765,"Body Parts"),0)</f>
        <v>0.13333333333333333</v>
      </c>
      <c r="AM10" s="90">
        <f>IFERROR(AW10/SUMIFS('Inventory Lookup'!$D$2:$D$20765,'Inventory Lookup'!$O$2:$O$20765,'Calculated Fields'!$AI10,'Inventory Lookup'!$M$2:$M$20765,"Suspension"),0)</f>
        <v>5.2631578947368418E-2</v>
      </c>
      <c r="AN10" s="90">
        <f>IFERROR(AX10/SUMIFS('Inventory Lookup'!$D$2:$D$20765,'Inventory Lookup'!$O$2:$O$20765,'Calculated Fields'!$AI10,'Inventory Lookup'!$M$2:$M$20765,"Electrical"),0)</f>
        <v>0</v>
      </c>
      <c r="AO10" s="86">
        <f>IFERROR(VLOOKUP(AI10,Emp.Lookup!$A$1:$E$40,5,0),0)</f>
        <v>0.33329999999999999</v>
      </c>
      <c r="AP10" s="85">
        <f>IFERROR(SUMIFS('Inventory Lookup'!$D$2:$D$20765,'Inventory Lookup'!$O$2:$O$20765,'Calculated Fields'!$AI10,'Inventory Lookup'!$M$2:$M$20765,"Drive Train"),"")</f>
        <v>23</v>
      </c>
      <c r="AQ10" s="85">
        <f>IFERROR(SUMIFS('Inventory Lookup'!$D$2:$D$20765,'Inventory Lookup'!$O$2:$O$20765,'Calculated Fields'!$AI10,'Inventory Lookup'!$M$2:$M$20765,"Body Parts"),"")</f>
        <v>45</v>
      </c>
      <c r="AR10" s="85">
        <f>IFERROR(SUMIFS('Inventory Lookup'!$D$2:$D$20765,'Inventory Lookup'!$O$2:$O$20765,'Calculated Fields'!$AI10,'Inventory Lookup'!$M$2:$M$20765,"Suspension"),"")</f>
        <v>19</v>
      </c>
      <c r="AS10" s="85">
        <f>IFERROR(SUMIFS('Inventory Lookup'!$D$2:$D$20765,'Inventory Lookup'!$O$2:$O$20765,'Calculated Fields'!$AI10,'Inventory Lookup'!$M$2:$M$20765,"Electrical"),"")</f>
        <v>4</v>
      </c>
      <c r="AT10" s="85">
        <f>IFERROR(SUMIFS('Inventory Lookup'!$D$2:$D$20765,'Inventory Lookup'!$O$2:$O$20765,'Calculated Fields'!$AI10,'Inventory Lookup'!$M$2:$M$20765,"Other"),"")</f>
        <v>32</v>
      </c>
      <c r="AU10" s="85">
        <f>IFERROR(SUMIFS('Inventory Lookup'!$E$2:$E$20765,'Inventory Lookup'!$O$2:$O$20765,'Calculated Fields'!$AI10,'Inventory Lookup'!$M$2:$M$20765,"Drive Train"),"")</f>
        <v>5</v>
      </c>
      <c r="AV10" s="85">
        <f>IFERROR(SUMIFS('Inventory Lookup'!$E$2:$E$20765,'Inventory Lookup'!$O$2:$O$20765,'Calculated Fields'!$AI10,'Inventory Lookup'!$M$2:$M$20765,"Body Parts"),"")</f>
        <v>6</v>
      </c>
      <c r="AW10" s="85">
        <f>IFERROR(SUMIFS('Inventory Lookup'!$E$2:$E$20765,'Inventory Lookup'!$O$2:$O$20765,'Calculated Fields'!$AI10,'Inventory Lookup'!$M$2:$M$20765,"Suspension"),"")</f>
        <v>1</v>
      </c>
      <c r="AX10" s="85">
        <f>IFERROR(SUMIFS('Inventory Lookup'!$E$2:$E$20765,'Inventory Lookup'!$O$2:$O$20765,'Calculated Fields'!$AI10,'Inventory Lookup'!$M$2:$M$20765,"Electrical"),"")</f>
        <v>0</v>
      </c>
      <c r="AY10" s="85">
        <f>IFERROR(SUMIFS('Inventory Lookup'!$E$2:$E$20765,'Inventory Lookup'!$O$2:$O$20765,'Calculated Fields'!$AI10,'Inventory Lookup'!$M$2:$M$20765,"Other"),"")</f>
        <v>9</v>
      </c>
      <c r="AZ10" s="78"/>
      <c r="BA10" s="89" t="s">
        <v>57</v>
      </c>
      <c r="BB10" s="91">
        <v>8</v>
      </c>
      <c r="BC10" s="85">
        <f t="shared" ca="1" si="8"/>
        <v>124</v>
      </c>
      <c r="BD10" s="92">
        <f ca="1">IFERROR(BC10/'Calculated Fields'!$W10,0)</f>
        <v>7.2941176470588234</v>
      </c>
      <c r="BE10" s="92">
        <f ca="1">IFERROR('Calculated Fields'!$C10/BC10,0)</f>
        <v>17.64516129032258</v>
      </c>
      <c r="BF10" s="93"/>
      <c r="BG10" s="93"/>
      <c r="BH10" s="85">
        <f t="array" aca="1" ref="BH10" ca="1">IFERROR(INDEX('Agent Activity'!$AC$5:$AD$51,MATCH('Calculated Fields'!$BA10,'Agent Activity'!$AB$5:$AB$51,0),1),0)</f>
        <v>59</v>
      </c>
      <c r="BI10" s="93"/>
      <c r="BJ10" s="93"/>
      <c r="BK10" s="94">
        <f t="array" aca="1" ref="BK10" ca="1">IFERROR(INDEX('Agent Activity'!$AC$5:$AD$51,MATCH('Calculated Fields'!$BA10,'Agent Activity'!$AB$5:AB$51,0),2),0)</f>
        <v>0.10172453703703704</v>
      </c>
      <c r="BL10" s="93"/>
      <c r="BM10" s="85">
        <f>SUMIF('RingCentral - Office'!$A$2:$A$482,$BA10,'RingCentral - Office'!$E$2:$E$482)</f>
        <v>87</v>
      </c>
      <c r="BN10" s="85">
        <f>SUMIF('RingCentral - Office'!$A$2:$A$482,$BA10,'RingCentral - Office'!$F$2:$F$482)</f>
        <v>10</v>
      </c>
      <c r="BO10" s="87">
        <f t="shared" si="9"/>
        <v>-0.45977011494252873</v>
      </c>
      <c r="BP10" s="85">
        <f>-SUMIF('RingCentral - Office'!$A$2:$A$482,$BA10,'RingCentral - Office'!$H$2:$H$482)</f>
        <v>-40</v>
      </c>
      <c r="BQ10" s="94">
        <f>SUMIF('RingCentral - Office'!$A$2:$A$482,$BA10,'RingCentral - Office'!$I$2:$I$482)</f>
        <v>5.8993055555555556E-2</v>
      </c>
      <c r="BR10" s="85">
        <f>_xlfn.IFNA(INDEX(Audits!$B$2:$E$19,MATCH($BA10,Audits!$A$2:$A$19,0),MATCH('Calculated Fields'!BR$2,Audits!$B$1:$E$1,0)),0)</f>
        <v>0</v>
      </c>
      <c r="BS10" s="85">
        <f>_xlfn.IFNA(INDEX(Audits!$B$2:$E$19,MATCH($BA10,Audits!$A$2:$A$19,0),MATCH('Calculated Fields'!BS$2,Audits!$B$1:$E$1,0)),0)</f>
        <v>16</v>
      </c>
      <c r="BT10" s="85">
        <f>_xlfn.IFNA(INDEX(Audits!$B$2:$E$19,MATCH($BA10,Audits!$A$2:$A$19,0),MATCH('Calculated Fields'!BT$2,Audits!$B$1:$E$1,0)),0)</f>
        <v>0</v>
      </c>
      <c r="BU10" s="164">
        <f>_xlfn.IFNA(INDEX(Audits!$B$2:$E$19,MATCH($BA10,Audits!$A$2:$A$19,0),MATCH('Calculated Fields'!BU$2,Audits!$B$1:$E$1,0)),0)</f>
        <v>0</v>
      </c>
      <c r="BV10" s="85">
        <f>_xlfn.IFNA(INDEX(Audits!$B$2:$E$19,MATCH($BA10,Audits!$A$2:$A$19,0),MATCH('Calculated Fields'!BV$2,Audits!$B$1:$E$1,0)),0)</f>
        <v>0</v>
      </c>
      <c r="BW10" s="165" cm="1">
        <f t="array" aca="1" ref="BW10" ca="1">_xlfn.IFS($B10="","",E10="","", E10&lt;=15000,1, E10&lt;=20000,2, E10&lt;=30000,3, E10&lt;=40000,4, E10&gt;40000,5)</f>
        <v>2</v>
      </c>
      <c r="BX10" s="132" cm="1">
        <f t="array" aca="1" ref="BX10" ca="1">_xlfn.IFS($B10="","",BU10="","", BU10&lt;=60%,1, BU10&lt;=70%,2, BU10&lt;=80%,3, BU10&lt;=90%,4, BU10&gt;90%,5)</f>
        <v>1</v>
      </c>
      <c r="BY10" s="132" cm="1">
        <f t="array" aca="1" ref="BY10" ca="1">_xlfn.IFS($B10="","",BE10="","", BE10&lt;=60,1, BE10&lt;=70,2, BE10&lt;=80,3, BE10&lt;=90,4, BE10&gt;90,5)</f>
        <v>1</v>
      </c>
      <c r="BZ10" s="92">
        <f t="shared" ca="1" si="10"/>
        <v>1.3333333333333333</v>
      </c>
      <c r="CA10" s="90" t="str" cm="1">
        <f t="array" aca="1" ref="CA10" ca="1">_xlfn.IFS($B10="","",BZ10="","CHECK", BZ10&gt;=5,"A", BZ10&gt;=4,"B", BZ10&gt;=3,"C", BZ10&gt;=2,"D", BZ10&gt;=1,"E")</f>
        <v>E</v>
      </c>
      <c r="CB10" s="88" t="s">
        <v>1058</v>
      </c>
      <c r="CC10" s="88" t="s">
        <v>1058</v>
      </c>
      <c r="CD10" s="88" t="s">
        <v>1058</v>
      </c>
      <c r="CE10" s="88" t="s">
        <v>1058</v>
      </c>
      <c r="CF10" s="88" t="s">
        <v>1058</v>
      </c>
      <c r="CG10" s="3"/>
      <c r="CH10" s="3"/>
      <c r="CI10" s="3"/>
      <c r="CJ10" s="3"/>
      <c r="CK10" s="3"/>
      <c r="CL10" s="3"/>
      <c r="CM10" s="3"/>
      <c r="CN10" s="3"/>
    </row>
    <row r="11" spans="1:92" ht="15.75" customHeight="1">
      <c r="A11" s="78"/>
      <c r="B11" s="89" t="str">
        <f ca="1">IFERROR(__xludf.DUMMYFUNCTION("""COMPUTED_VALUE"""),"Sarah Davis")</f>
        <v>Sarah Davis</v>
      </c>
      <c r="C11" s="85">
        <f ca="1">SUMIF('Sales  Returns'!$C$1:$C$19998,'Calculated Fields'!B11,'Sales  Returns'!$D$1:$D$19998)</f>
        <v>1714</v>
      </c>
      <c r="D11" s="85">
        <f t="shared" ca="1" si="0"/>
        <v>9825</v>
      </c>
      <c r="E11" s="85">
        <f t="shared" ca="1" si="1"/>
        <v>9731</v>
      </c>
      <c r="F11" s="85">
        <f ca="1">SUMIF('Y2Y sales'!$J$2:$J$2000,$B11,'Y2Y sales'!$G$2:$G$2000)</f>
        <v>980</v>
      </c>
      <c r="G11" s="85">
        <f t="shared" ca="1" si="2"/>
        <v>8845</v>
      </c>
      <c r="H11" s="85">
        <f ca="1">SUMIF('Sales  Returns'!$C$1:$C$19998,'Calculated Fields'!B11,'Sales  Returns'!$G$1:$G$19998)</f>
        <v>9825</v>
      </c>
      <c r="I11" s="85">
        <f ca="1">SUMIF('Sales  Returns'!$C$1:$C$19998,'Calculated Fields'!B11,'Sales  Returns'!$J$1:$J$19998)</f>
        <v>0</v>
      </c>
      <c r="J11" s="85">
        <f ca="1">SUMIF('Sales  Returns'!$C$1:$C$19998,'Calculated Fields'!B11,'Sales  Returns'!$K$1:$K$19998)</f>
        <v>0</v>
      </c>
      <c r="K11" s="86">
        <f t="shared" ca="1" si="3"/>
        <v>0</v>
      </c>
      <c r="L11" s="85">
        <f ca="1">SUMIF('Sales  Returns'!$C$1:$C$19998,'Calculated Fields'!B11,'Sales  Returns'!$O$1:$O$19998)</f>
        <v>0</v>
      </c>
      <c r="M11" s="87">
        <f t="shared" ca="1" si="4"/>
        <v>0</v>
      </c>
      <c r="N11" s="85">
        <f ca="1">SUMIF('Sales  Returns'!$C$1:$C$19998,'Calculated Fields'!B11,'Sales  Returns'!$P$1:$P$19998)</f>
        <v>-94</v>
      </c>
      <c r="O11" s="85">
        <f ca="1">SUMIF('Sales  Returns'!$C$1:$C$19998,'Calculated Fields'!B11,'Sales  Returns'!$F$1:$F$19998)</f>
        <v>555</v>
      </c>
      <c r="P11" s="85">
        <f ca="1">SUMIF('Sales  Returns'!$C$1:$C$19998,'Calculated Fields'!B11,'Sales  Returns'!$T$1:$T$19998)</f>
        <v>425</v>
      </c>
      <c r="Q11" s="85">
        <f ca="1">SUMIF('Sales  Returns'!$C$1:$C$19998,'Calculated Fields'!B11,'Sales  Returns'!$E$1:$E$19998)</f>
        <v>425</v>
      </c>
      <c r="R11" s="85">
        <f ca="1">SUMIF('Sales  Returns'!$C$1:$C$19998,'Calculated Fields'!B11,'Sales  Returns'!$R$1:$R$19998)</f>
        <v>0</v>
      </c>
      <c r="S11" s="85">
        <f ca="1">SUMIF('Sales  Returns'!$C$1:$C$19998,'Calculated Fields'!B11,'Sales  Returns'!$Q$1:$Q$19998)</f>
        <v>839</v>
      </c>
      <c r="T11" s="85">
        <f ca="1">-COUNTIFS('Sales  Returns'!$C$1:$C$19998,'Calculated Fields'!$B11, 'Sales  Returns'!$B$1:$B$19998,'Calculated Fields'!$T$2)</f>
        <v>-2</v>
      </c>
      <c r="U11" s="85">
        <f ca="1">SUMIFS('Sales  Returns'!$D$1:$D$19998,'Sales  Returns'!$C$1:$C$19998,'Calculated Fields'!$B11,'Sales  Returns'!$B$1:$B$19998,'Calculated Fields'!$T$2)</f>
        <v>-1135</v>
      </c>
      <c r="V11" s="86">
        <f t="shared" ca="1" si="5"/>
        <v>0.1</v>
      </c>
      <c r="W11" s="85">
        <f ca="1">COUNTIFS('Sales  Returns'!$C$1:$C$19998,'Calculated Fields'!$B11, 'Sales  Returns'!$B$1:$B$19998,"Sales")</f>
        <v>16</v>
      </c>
      <c r="X11" s="188">
        <v>0</v>
      </c>
      <c r="Y11" s="85">
        <f ca="1">SUMIF('Sales  Returns'!$C$1:$C$19998,'Calculated Fields'!$B11,'Sales  Returns'!$H$1:$H$19998)</f>
        <v>20</v>
      </c>
      <c r="Z11" s="85">
        <f ca="1">SUMIF('Sales  Returns'!$C$1:$C$19998,'Calculated Fields'!$B11,'Sales  Returns'!$I$1:$I$19998)</f>
        <v>2</v>
      </c>
      <c r="AA11" s="86">
        <f t="shared" ca="1" si="6"/>
        <v>0.1</v>
      </c>
      <c r="AB11" s="85">
        <f ca="1">SUMIF('Sales  Returns'!$C$1:$C$19998,'Calculated Fields'!$B11,'Sales  Returns'!$M$1:$M$19998)</f>
        <v>0</v>
      </c>
      <c r="AC11" s="85">
        <f ca="1">SUMIF('Sales  Returns'!$C$1:$C$19998,'Calculated Fields'!$B11,'Sales  Returns'!$N$1:$N$19998)</f>
        <v>0</v>
      </c>
      <c r="AD11" s="86">
        <f t="shared" ca="1" si="7"/>
        <v>0</v>
      </c>
      <c r="AE11" s="88" t="s">
        <v>1058</v>
      </c>
      <c r="AF11" s="85">
        <f ca="1">SUMIF('WO &amp; Quote'!$S:$S,TRIM('Calculated Fields'!$B11),'WO &amp; Quote'!$I:$I)</f>
        <v>4230</v>
      </c>
      <c r="AG11" s="85">
        <f ca="1">SUMIF('WO &amp; Quote'!$S:$S,TRIM('Calculated Fields'!$B11),'WO &amp; Quote'!$J:$J) + SUMIF('WO &amp; Quote'!$S:$S,TRIM('Calculated Fields'!$B11),'WO &amp; Quote'!$K:$K)</f>
        <v>0</v>
      </c>
      <c r="AH11" s="78"/>
      <c r="AI11" s="89" t="s">
        <v>46</v>
      </c>
      <c r="AJ11" s="90">
        <f>IFERROR(SUMIF('Inventory Lookup'!$O$2:$O$20765,'Calculated Fields'!$AI11,'Inventory Lookup'!$E$2:$E$20765)/SUMIF('Inventory Lookup'!$O$2:$O$20765,'Calculated Fields'!$AI11,'Inventory Lookup'!$D$2:$D$20765),0)</f>
        <v>2.5</v>
      </c>
      <c r="AK11" s="90">
        <f>IFERROR(AU11/SUMIFS('Inventory Lookup'!$D$2:$D$20765,'Inventory Lookup'!$O$2:$O$20765,'Calculated Fields'!$AI11,'Inventory Lookup'!$M$2:$M$20765,"Drive Train"),0)</f>
        <v>0</v>
      </c>
      <c r="AL11" s="90">
        <f>IFERROR(AV11/SUMIFS('Inventory Lookup'!$D$2:$D$20765,'Inventory Lookup'!$O$2:$O$20765,'Calculated Fields'!$AI11,'Inventory Lookup'!$M$2:$M$20765,"Body Parts"),0)</f>
        <v>1.6666666666666667</v>
      </c>
      <c r="AM11" s="90">
        <f>IFERROR(AW11/SUMIFS('Inventory Lookup'!$D$2:$D$20765,'Inventory Lookup'!$O$2:$O$20765,'Calculated Fields'!$AI11,'Inventory Lookup'!$M$2:$M$20765,"Suspension"),0)</f>
        <v>0</v>
      </c>
      <c r="AN11" s="90">
        <f>IFERROR(AX11/SUMIFS('Inventory Lookup'!$D$2:$D$20765,'Inventory Lookup'!$O$2:$O$20765,'Calculated Fields'!$AI11,'Inventory Lookup'!$M$2:$M$20765,"Electrical"),0)</f>
        <v>0</v>
      </c>
      <c r="AO11" s="86">
        <f>IFERROR(VLOOKUP(AI11,Emp.Lookup!$A$1:$E$40,5,0),0)</f>
        <v>5</v>
      </c>
      <c r="AP11" s="85">
        <f>IFERROR(SUMIFS('Inventory Lookup'!$D$2:$D$20765,'Inventory Lookup'!$O$2:$O$20765,'Calculated Fields'!$AI11,'Inventory Lookup'!$M$2:$M$20765,"Drive Train"),"")</f>
        <v>0</v>
      </c>
      <c r="AQ11" s="85">
        <f>IFERROR(SUMIFS('Inventory Lookup'!$D$2:$D$20765,'Inventory Lookup'!$O$2:$O$20765,'Calculated Fields'!$AI11,'Inventory Lookup'!$M$2:$M$20765,"Body Parts"),"")</f>
        <v>3</v>
      </c>
      <c r="AR11" s="85">
        <f>IFERROR(SUMIFS('Inventory Lookup'!$D$2:$D$20765,'Inventory Lookup'!$O$2:$O$20765,'Calculated Fields'!$AI11,'Inventory Lookup'!$M$2:$M$20765,"Suspension"),"")</f>
        <v>0</v>
      </c>
      <c r="AS11" s="85">
        <f>IFERROR(SUMIFS('Inventory Lookup'!$D$2:$D$20765,'Inventory Lookup'!$O$2:$O$20765,'Calculated Fields'!$AI11,'Inventory Lookup'!$M$2:$M$20765,"Electrical"),"")</f>
        <v>0</v>
      </c>
      <c r="AT11" s="85">
        <f>IFERROR(SUMIFS('Inventory Lookup'!$D$2:$D$20765,'Inventory Lookup'!$O$2:$O$20765,'Calculated Fields'!$AI11,'Inventory Lookup'!$M$2:$M$20765,"Other"),"")</f>
        <v>5</v>
      </c>
      <c r="AU11" s="85">
        <f>IFERROR(SUMIFS('Inventory Lookup'!$E$2:$E$20765,'Inventory Lookup'!$O$2:$O$20765,'Calculated Fields'!$AI11,'Inventory Lookup'!$M$2:$M$20765,"Drive Train"),"")</f>
        <v>3</v>
      </c>
      <c r="AV11" s="85">
        <f>IFERROR(SUMIFS('Inventory Lookup'!$E$2:$E$20765,'Inventory Lookup'!$O$2:$O$20765,'Calculated Fields'!$AI11,'Inventory Lookup'!$M$2:$M$20765,"Body Parts"),"")</f>
        <v>5</v>
      </c>
      <c r="AW11" s="85">
        <f>IFERROR(SUMIFS('Inventory Lookup'!$E$2:$E$20765,'Inventory Lookup'!$O$2:$O$20765,'Calculated Fields'!$AI11,'Inventory Lookup'!$M$2:$M$20765,"Suspension"),"")</f>
        <v>5</v>
      </c>
      <c r="AX11" s="85">
        <f>IFERROR(SUMIFS('Inventory Lookup'!$E$2:$E$20765,'Inventory Lookup'!$O$2:$O$20765,'Calculated Fields'!$AI11,'Inventory Lookup'!$M$2:$M$20765,"Electrical"),"")</f>
        <v>1</v>
      </c>
      <c r="AY11" s="85">
        <f>IFERROR(SUMIFS('Inventory Lookup'!$E$2:$E$20765,'Inventory Lookup'!$O$2:$O$20765,'Calculated Fields'!$AI11,'Inventory Lookup'!$M$2:$M$20765,"Other"),"")</f>
        <v>6</v>
      </c>
      <c r="AZ11" s="78"/>
      <c r="BA11" s="89" t="s">
        <v>46</v>
      </c>
      <c r="BB11" s="91">
        <v>0</v>
      </c>
      <c r="BC11" s="85">
        <f t="shared" ca="1" si="8"/>
        <v>14</v>
      </c>
      <c r="BD11" s="92">
        <f ca="1">IFERROR(BC11/'Calculated Fields'!$W11,0)</f>
        <v>0.875</v>
      </c>
      <c r="BE11" s="92">
        <f ca="1">IFERROR('Calculated Fields'!$C11/BC11,0)</f>
        <v>122.42857142857143</v>
      </c>
      <c r="BF11" s="93"/>
      <c r="BG11" s="93"/>
      <c r="BH11" s="85">
        <f t="array" aca="1" ref="BH11" ca="1">IFERROR(INDEX('Agent Activity'!$AC$5:$AD$51,MATCH('Calculated Fields'!$BA11,'Agent Activity'!$AB$5:$AB$51,0),1),0)</f>
        <v>10</v>
      </c>
      <c r="BI11" s="93"/>
      <c r="BJ11" s="93"/>
      <c r="BK11" s="94">
        <f t="array" aca="1" ref="BK11" ca="1">IFERROR(INDEX('Agent Activity'!$AC$5:$AD$51,MATCH('Calculated Fields'!$BA11,'Agent Activity'!$AB$5:AB$51,0),2),0)</f>
        <v>1.9375E-2</v>
      </c>
      <c r="BL11" s="93"/>
      <c r="BM11" s="85">
        <f>SUMIF('RingCentral - Office'!$A$2:$A$482,$BA11,'RingCentral - Office'!$E$2:$E$482)</f>
        <v>50</v>
      </c>
      <c r="BN11" s="85">
        <f>SUMIF('RingCentral - Office'!$A$2:$A$482,$BA11,'RingCentral - Office'!$F$2:$F$482)</f>
        <v>2</v>
      </c>
      <c r="BO11" s="87">
        <f t="shared" si="9"/>
        <v>-0.96</v>
      </c>
      <c r="BP11" s="85">
        <f>-SUMIF('RingCentral - Office'!$A$2:$A$482,$BA11,'RingCentral - Office'!$H$2:$H$482)</f>
        <v>-48</v>
      </c>
      <c r="BQ11" s="94">
        <f>SUMIF('RingCentral - Office'!$A$2:$A$482,$BA11,'RingCentral - Office'!$I$2:$I$482)</f>
        <v>7.2685185185185188E-3</v>
      </c>
      <c r="BR11" s="85">
        <f>_xlfn.IFNA(INDEX(Audits!$B$2:$E$19,MATCH($BA11,Audits!$A$2:$A$19,0),MATCH('Calculated Fields'!BR$2,Audits!$B$1:$E$1,0)),0)</f>
        <v>0</v>
      </c>
      <c r="BS11" s="85">
        <f>_xlfn.IFNA(INDEX(Audits!$B$2:$E$19,MATCH($BA11,Audits!$A$2:$A$19,0),MATCH('Calculated Fields'!BS$2,Audits!$B$1:$E$1,0)),0)</f>
        <v>15</v>
      </c>
      <c r="BT11" s="85">
        <f>_xlfn.IFNA(INDEX(Audits!$B$2:$E$19,MATCH($BA11,Audits!$A$2:$A$19,0),MATCH('Calculated Fields'!BT$2,Audits!$B$1:$E$1,0)),0)</f>
        <v>0</v>
      </c>
      <c r="BU11" s="164">
        <f>_xlfn.IFNA(INDEX(Audits!$B$2:$E$19,MATCH($BA11,Audits!$A$2:$A$19,0),MATCH('Calculated Fields'!BU$2,Audits!$B$1:$E$1,0)),0)</f>
        <v>0</v>
      </c>
      <c r="BV11" s="85">
        <f>_xlfn.IFNA(INDEX(Audits!$B$2:$E$19,MATCH($BA11,Audits!$A$2:$A$19,0),MATCH('Calculated Fields'!BV$2,Audits!$B$1:$E$1,0)),0)</f>
        <v>0</v>
      </c>
      <c r="BW11" s="165" cm="1">
        <f t="array" aca="1" ref="BW11" ca="1">_xlfn.IFS($B11="","",E11="","", E11&lt;=15000,1, E11&lt;=20000,2, E11&lt;=30000,3, E11&lt;=40000,4, E11&gt;40000,5)</f>
        <v>1</v>
      </c>
      <c r="BX11" s="132" cm="1">
        <f t="array" aca="1" ref="BX11" ca="1">_xlfn.IFS($B11="","",BU11="","", BU11&lt;=60%,1, BU11&lt;=70%,2, BU11&lt;=80%,3, BU11&lt;=90%,4, BU11&gt;90%,5)</f>
        <v>1</v>
      </c>
      <c r="BY11" s="132" cm="1">
        <f t="array" aca="1" ref="BY11" ca="1">_xlfn.IFS($B11="","",BE11="","", BE11&lt;=60,1, BE11&lt;=70,2, BE11&lt;=80,3, BE11&lt;=90,4, BE11&gt;90,5)</f>
        <v>5</v>
      </c>
      <c r="BZ11" s="92">
        <f t="shared" ca="1" si="10"/>
        <v>2.3333333333333335</v>
      </c>
      <c r="CA11" s="90" t="str" cm="1">
        <f t="array" aca="1" ref="CA11" ca="1">_xlfn.IFS($B11="","",BZ11="","CHECK", BZ11&gt;=5,"A", BZ11&gt;=4,"B", BZ11&gt;=3,"C", BZ11&gt;=2,"D", BZ11&gt;=1,"E")</f>
        <v>D</v>
      </c>
      <c r="CB11" s="88" t="s">
        <v>1058</v>
      </c>
      <c r="CC11" s="88" t="s">
        <v>1058</v>
      </c>
      <c r="CD11" s="88" t="s">
        <v>1058</v>
      </c>
      <c r="CE11" s="88" t="s">
        <v>1058</v>
      </c>
      <c r="CF11" s="88" t="s">
        <v>1058</v>
      </c>
      <c r="CG11" s="3"/>
      <c r="CH11" s="3"/>
      <c r="CI11" s="3"/>
      <c r="CJ11" s="3"/>
      <c r="CK11" s="3"/>
      <c r="CL11" s="3"/>
      <c r="CM11" s="3"/>
      <c r="CN11" s="3"/>
    </row>
    <row r="12" spans="1:92" ht="15.75" customHeight="1">
      <c r="A12" s="78"/>
      <c r="B12" s="89" t="str">
        <f ca="1">IFERROR(__xludf.DUMMYFUNCTION("""COMPUTED_VALUE"""),"Stephanie Scott")</f>
        <v>Stephanie Scott</v>
      </c>
      <c r="C12" s="85">
        <f ca="1">SUMIF('Sales  Returns'!$C$1:$C$19998,'Calculated Fields'!B12,'Sales  Returns'!$D$1:$D$19998)</f>
        <v>5982</v>
      </c>
      <c r="D12" s="85">
        <f t="shared" ca="1" si="0"/>
        <v>6690</v>
      </c>
      <c r="E12" s="85">
        <f t="shared" ca="1" si="1"/>
        <v>7080</v>
      </c>
      <c r="F12" s="85">
        <f ca="1">SUMIF('Y2Y sales'!$J$2:$J$2000,$B12,'Y2Y sales'!$G$2:$G$2000)</f>
        <v>200</v>
      </c>
      <c r="G12" s="85">
        <f t="shared" ca="1" si="2"/>
        <v>6890</v>
      </c>
      <c r="H12" s="85">
        <f ca="1">SUMIF('Sales  Returns'!$C$1:$C$19998,'Calculated Fields'!B12,'Sales  Returns'!$G$1:$G$19998)</f>
        <v>7090</v>
      </c>
      <c r="I12" s="85">
        <f ca="1">SUMIF('Sales  Returns'!$C$1:$C$19998,'Calculated Fields'!B12,'Sales  Returns'!$J$1:$J$19998)</f>
        <v>-400</v>
      </c>
      <c r="J12" s="85">
        <f ca="1">SUMIF('Sales  Returns'!$C$1:$C$19998,'Calculated Fields'!B12,'Sales  Returns'!$K$1:$K$19998)</f>
        <v>-150</v>
      </c>
      <c r="K12" s="86">
        <f t="shared" ca="1" si="3"/>
        <v>0.375</v>
      </c>
      <c r="L12" s="85">
        <f ca="1">SUMIF('Sales  Returns'!$C$1:$C$19998,'Calculated Fields'!B12,'Sales  Returns'!$O$1:$O$19998)</f>
        <v>0</v>
      </c>
      <c r="M12" s="87">
        <f t="shared" ca="1" si="4"/>
        <v>0</v>
      </c>
      <c r="N12" s="85">
        <f ca="1">SUMIF('Sales  Returns'!$C$1:$C$19998,'Calculated Fields'!B12,'Sales  Returns'!$P$1:$P$19998)</f>
        <v>140</v>
      </c>
      <c r="O12" s="85">
        <f ca="1">SUMIF('Sales  Returns'!$C$1:$C$19998,'Calculated Fields'!B12,'Sales  Returns'!$F$1:$F$19998)</f>
        <v>86</v>
      </c>
      <c r="P12" s="85">
        <f ca="1">SUMIF('Sales  Returns'!$C$1:$C$19998,'Calculated Fields'!B12,'Sales  Returns'!$T$1:$T$19998)</f>
        <v>332</v>
      </c>
      <c r="Q12" s="85">
        <f ca="1">SUMIF('Sales  Returns'!$C$1:$C$19998,'Calculated Fields'!B12,'Sales  Returns'!$E$1:$E$19998)</f>
        <v>1385</v>
      </c>
      <c r="R12" s="85">
        <f ca="1">SUMIF('Sales  Returns'!$C$1:$C$19998,'Calculated Fields'!B12,'Sales  Returns'!$R$1:$R$19998)</f>
        <v>0</v>
      </c>
      <c r="S12" s="85">
        <f ca="1">SUMIF('Sales  Returns'!$C$1:$C$19998,'Calculated Fields'!B12,'Sales  Returns'!$Q$1:$Q$19998)</f>
        <v>1327</v>
      </c>
      <c r="T12" s="85">
        <f ca="1">-COUNTIFS('Sales  Returns'!$C$1:$C$19998,'Calculated Fields'!$B12, 'Sales  Returns'!$B$1:$B$19998,'Calculated Fields'!$T$2)</f>
        <v>-3</v>
      </c>
      <c r="U12" s="85">
        <f ca="1">SUMIFS('Sales  Returns'!$D$1:$D$19998,'Sales  Returns'!$C$1:$C$19998,'Calculated Fields'!$B12,'Sales  Returns'!$B$1:$B$19998,'Calculated Fields'!$T$2)</f>
        <v>-884</v>
      </c>
      <c r="V12" s="86">
        <f t="shared" ca="1" si="5"/>
        <v>0.13333333333333333</v>
      </c>
      <c r="W12" s="85">
        <f ca="1">COUNTIFS('Sales  Returns'!$C$1:$C$19998,'Calculated Fields'!$B12, 'Sales  Returns'!$B$1:$B$19998,"Sales")</f>
        <v>22</v>
      </c>
      <c r="X12" s="188">
        <v>0</v>
      </c>
      <c r="Y12" s="85">
        <f ca="1">SUMIF('Sales  Returns'!$C$1:$C$19998,'Calculated Fields'!$B12,'Sales  Returns'!$H$1:$H$19998)</f>
        <v>30</v>
      </c>
      <c r="Z12" s="85">
        <f ca="1">SUMIF('Sales  Returns'!$C$1:$C$19998,'Calculated Fields'!$B12,'Sales  Returns'!$I$1:$I$19998)</f>
        <v>3</v>
      </c>
      <c r="AA12" s="86">
        <f t="shared" ca="1" si="6"/>
        <v>0.1</v>
      </c>
      <c r="AB12" s="85">
        <f ca="1">SUMIF('Sales  Returns'!$C$1:$C$19998,'Calculated Fields'!$B12,'Sales  Returns'!$M$1:$M$19998)</f>
        <v>0</v>
      </c>
      <c r="AC12" s="85">
        <f ca="1">SUMIF('Sales  Returns'!$C$1:$C$19998,'Calculated Fields'!$B12,'Sales  Returns'!$N$1:$N$19998)</f>
        <v>1</v>
      </c>
      <c r="AD12" s="86">
        <f t="shared" ca="1" si="7"/>
        <v>0</v>
      </c>
      <c r="AE12" s="88" t="s">
        <v>1058</v>
      </c>
      <c r="AF12" s="85">
        <f ca="1">SUMIF('WO &amp; Quote'!$S:$S,TRIM('Calculated Fields'!$B12),'WO &amp; Quote'!$I:$I)</f>
        <v>4660</v>
      </c>
      <c r="AG12" s="85">
        <f ca="1">SUMIF('WO &amp; Quote'!$S:$S,TRIM('Calculated Fields'!$B12),'WO &amp; Quote'!$J:$J) + SUMIF('WO &amp; Quote'!$S:$S,TRIM('Calculated Fields'!$B12),'WO &amp; Quote'!$K:$K)</f>
        <v>0</v>
      </c>
      <c r="AH12" s="78"/>
      <c r="AI12" s="89" t="s">
        <v>60</v>
      </c>
      <c r="AJ12" s="90">
        <f>IFERROR(SUMIF('Inventory Lookup'!$O$2:$O$20765,'Calculated Fields'!$AI12,'Inventory Lookup'!$E$2:$E$20765)/SUMIF('Inventory Lookup'!$O$2:$O$20765,'Calculated Fields'!$AI12,'Inventory Lookup'!$D$2:$D$20765),0)</f>
        <v>0.379746835443038</v>
      </c>
      <c r="AK12" s="90">
        <f>IFERROR(AU12/SUMIFS('Inventory Lookup'!$D$2:$D$20765,'Inventory Lookup'!$O$2:$O$20765,'Calculated Fields'!$AI12,'Inventory Lookup'!$M$2:$M$20765,"Drive Train"),0)</f>
        <v>0.3</v>
      </c>
      <c r="AL12" s="90">
        <f>IFERROR(AV12/SUMIFS('Inventory Lookup'!$D$2:$D$20765,'Inventory Lookup'!$O$2:$O$20765,'Calculated Fields'!$AI12,'Inventory Lookup'!$M$2:$M$20765,"Body Parts"),0)</f>
        <v>0.32</v>
      </c>
      <c r="AM12" s="90">
        <f>IFERROR(AW12/SUMIFS('Inventory Lookup'!$D$2:$D$20765,'Inventory Lookup'!$O$2:$O$20765,'Calculated Fields'!$AI12,'Inventory Lookup'!$M$2:$M$20765,"Suspension"),0)</f>
        <v>2</v>
      </c>
      <c r="AN12" s="90">
        <f>IFERROR(AX12/SUMIFS('Inventory Lookup'!$D$2:$D$20765,'Inventory Lookup'!$O$2:$O$20765,'Calculated Fields'!$AI12,'Inventory Lookup'!$M$2:$M$20765,"Electrical"),0)</f>
        <v>0.2</v>
      </c>
      <c r="AO12" s="86">
        <f>IFERROR(VLOOKUP(AI12,Emp.Lookup!$A$1:$E$40,5,0),0)</f>
        <v>0.625</v>
      </c>
      <c r="AP12" s="85">
        <f>IFERROR(SUMIFS('Inventory Lookup'!$D$2:$D$20765,'Inventory Lookup'!$O$2:$O$20765,'Calculated Fields'!$AI12,'Inventory Lookup'!$M$2:$M$20765,"Drive Train"),"")</f>
        <v>10</v>
      </c>
      <c r="AQ12" s="85">
        <f>IFERROR(SUMIFS('Inventory Lookup'!$D$2:$D$20765,'Inventory Lookup'!$O$2:$O$20765,'Calculated Fields'!$AI12,'Inventory Lookup'!$M$2:$M$20765,"Body Parts"),"")</f>
        <v>25</v>
      </c>
      <c r="AR12" s="85">
        <f>IFERROR(SUMIFS('Inventory Lookup'!$D$2:$D$20765,'Inventory Lookup'!$O$2:$O$20765,'Calculated Fields'!$AI12,'Inventory Lookup'!$M$2:$M$20765,"Suspension"),"")</f>
        <v>1</v>
      </c>
      <c r="AS12" s="85">
        <f>IFERROR(SUMIFS('Inventory Lookup'!$D$2:$D$20765,'Inventory Lookup'!$O$2:$O$20765,'Calculated Fields'!$AI12,'Inventory Lookup'!$M$2:$M$20765,"Electrical"),"")</f>
        <v>5</v>
      </c>
      <c r="AT12" s="85">
        <f>IFERROR(SUMIFS('Inventory Lookup'!$D$2:$D$20765,'Inventory Lookup'!$O$2:$O$20765,'Calculated Fields'!$AI12,'Inventory Lookup'!$M$2:$M$20765,"Other"),"")</f>
        <v>38</v>
      </c>
      <c r="AU12" s="85">
        <f>IFERROR(SUMIFS('Inventory Lookup'!$E$2:$E$20765,'Inventory Lookup'!$O$2:$O$20765,'Calculated Fields'!$AI12,'Inventory Lookup'!$M$2:$M$20765,"Drive Train"),"")</f>
        <v>3</v>
      </c>
      <c r="AV12" s="85">
        <f>IFERROR(SUMIFS('Inventory Lookup'!$E$2:$E$20765,'Inventory Lookup'!$O$2:$O$20765,'Calculated Fields'!$AI12,'Inventory Lookup'!$M$2:$M$20765,"Body Parts"),"")</f>
        <v>8</v>
      </c>
      <c r="AW12" s="85">
        <f>IFERROR(SUMIFS('Inventory Lookup'!$E$2:$E$20765,'Inventory Lookup'!$O$2:$O$20765,'Calculated Fields'!$AI12,'Inventory Lookup'!$M$2:$M$20765,"Suspension"),"")</f>
        <v>2</v>
      </c>
      <c r="AX12" s="85">
        <f>IFERROR(SUMIFS('Inventory Lookup'!$E$2:$E$20765,'Inventory Lookup'!$O$2:$O$20765,'Calculated Fields'!$AI12,'Inventory Lookup'!$M$2:$M$20765,"Electrical"),"")</f>
        <v>1</v>
      </c>
      <c r="AY12" s="85">
        <f>IFERROR(SUMIFS('Inventory Lookup'!$E$2:$E$20765,'Inventory Lookup'!$O$2:$O$20765,'Calculated Fields'!$AI12,'Inventory Lookup'!$M$2:$M$20765,"Other"),"")</f>
        <v>16</v>
      </c>
      <c r="AZ12" s="78"/>
      <c r="BA12" s="89" t="s">
        <v>60</v>
      </c>
      <c r="BB12" s="91">
        <v>0</v>
      </c>
      <c r="BC12" s="85">
        <f t="shared" ca="1" si="8"/>
        <v>58</v>
      </c>
      <c r="BD12" s="92">
        <f ca="1">IFERROR(BC12/'Calculated Fields'!$W12,0)</f>
        <v>2.6363636363636362</v>
      </c>
      <c r="BE12" s="92">
        <f ca="1">IFERROR('Calculated Fields'!$C12/BC12,0)</f>
        <v>103.13793103448276</v>
      </c>
      <c r="BF12" s="93"/>
      <c r="BG12" s="93"/>
      <c r="BH12" s="85">
        <f t="array" aca="1" ref="BH12" ca="1">IFERROR(INDEX('Agent Activity'!$AC$5:$AD$51,MATCH('Calculated Fields'!$BA12,'Agent Activity'!$AB$5:$AB$51,0),1),0)</f>
        <v>0</v>
      </c>
      <c r="BI12" s="93"/>
      <c r="BJ12" s="93"/>
      <c r="BK12" s="94">
        <f t="array" aca="1" ref="BK12" ca="1">IFERROR(INDEX('Agent Activity'!$AC$5:$AD$51,MATCH('Calculated Fields'!$BA12,'Agent Activity'!$AB$5:AB$51,0),2),0)</f>
        <v>0</v>
      </c>
      <c r="BL12" s="93"/>
      <c r="BM12" s="85">
        <f>SUMIF('RingCentral - Office'!$A$2:$A$482,$BA12,'RingCentral - Office'!$E$2:$E$482)</f>
        <v>40</v>
      </c>
      <c r="BN12" s="85">
        <f>SUMIF('RingCentral - Office'!$A$2:$A$482,$BA12,'RingCentral - Office'!$F$2:$F$482)</f>
        <v>23</v>
      </c>
      <c r="BO12" s="87">
        <f t="shared" si="9"/>
        <v>-0.125</v>
      </c>
      <c r="BP12" s="85">
        <f>-SUMIF('RingCentral - Office'!$A$2:$A$482,$BA12,'RingCentral - Office'!$H$2:$H$482)</f>
        <v>-5</v>
      </c>
      <c r="BQ12" s="94">
        <f>SUMIF('RingCentral - Office'!$A$2:$A$482,$BA12,'RingCentral - Office'!$I$2:$I$482)</f>
        <v>0.13131944444444443</v>
      </c>
      <c r="BR12" s="85">
        <f>_xlfn.IFNA(INDEX(Audits!$B$2:$E$19,MATCH($BA12,Audits!$A$2:$A$19,0),MATCH('Calculated Fields'!BR$2,Audits!$B$1:$E$1,0)),0)</f>
        <v>0</v>
      </c>
      <c r="BS12" s="85">
        <f>_xlfn.IFNA(INDEX(Audits!$B$2:$E$19,MATCH($BA12,Audits!$A$2:$A$19,0),MATCH('Calculated Fields'!BS$2,Audits!$B$1:$E$1,0)),0)</f>
        <v>26</v>
      </c>
      <c r="BT12" s="85">
        <f>_xlfn.IFNA(INDEX(Audits!$B$2:$E$19,MATCH($BA12,Audits!$A$2:$A$19,0),MATCH('Calculated Fields'!BT$2,Audits!$B$1:$E$1,0)),0)</f>
        <v>0</v>
      </c>
      <c r="BU12" s="164">
        <f>_xlfn.IFNA(INDEX(Audits!$B$2:$E$19,MATCH($BA12,Audits!$A$2:$A$19,0),MATCH('Calculated Fields'!BU$2,Audits!$B$1:$E$1,0)),0)</f>
        <v>0</v>
      </c>
      <c r="BV12" s="85">
        <f>_xlfn.IFNA(INDEX(Audits!$B$2:$E$19,MATCH($BA12,Audits!$A$2:$A$19,0),MATCH('Calculated Fields'!BV$2,Audits!$B$1:$E$1,0)),0)</f>
        <v>0</v>
      </c>
      <c r="BW12" s="165" cm="1">
        <f t="array" aca="1" ref="BW12" ca="1">_xlfn.IFS($B12="","",E12="","", E12&lt;=15000,1, E12&lt;=20000,2, E12&lt;=30000,3, E12&lt;=40000,4, E12&gt;40000,5)</f>
        <v>1</v>
      </c>
      <c r="BX12" s="132" cm="1">
        <f t="array" aca="1" ref="BX12" ca="1">_xlfn.IFS($B12="","",BU12="","", BU12&lt;=60%,1, BU12&lt;=70%,2, BU12&lt;=80%,3, BU12&lt;=90%,4, BU12&gt;90%,5)</f>
        <v>1</v>
      </c>
      <c r="BY12" s="132" cm="1">
        <f t="array" aca="1" ref="BY12" ca="1">_xlfn.IFS($B12="","",BE12="","", BE12&lt;=60,1, BE12&lt;=70,2, BE12&lt;=80,3, BE12&lt;=90,4, BE12&gt;90,5)</f>
        <v>5</v>
      </c>
      <c r="BZ12" s="92">
        <f t="shared" ca="1" si="10"/>
        <v>2.3333333333333335</v>
      </c>
      <c r="CA12" s="90" t="str" cm="1">
        <f t="array" aca="1" ref="CA12" ca="1">_xlfn.IFS($B12="","",BZ12="","CHECK", BZ12&gt;=5,"A", BZ12&gt;=4,"B", BZ12&gt;=3,"C", BZ12&gt;=2,"D", BZ12&gt;=1,"E")</f>
        <v>D</v>
      </c>
      <c r="CB12" s="88" t="s">
        <v>1058</v>
      </c>
      <c r="CC12" s="88" t="s">
        <v>1058</v>
      </c>
      <c r="CD12" s="88" t="s">
        <v>1058</v>
      </c>
      <c r="CE12" s="88" t="s">
        <v>1058</v>
      </c>
      <c r="CF12" s="88" t="s">
        <v>1058</v>
      </c>
      <c r="CG12" s="3"/>
      <c r="CH12" s="3"/>
      <c r="CI12" s="3"/>
      <c r="CJ12" s="3"/>
      <c r="CK12" s="3"/>
      <c r="CL12" s="3"/>
      <c r="CM12" s="3"/>
      <c r="CN12" s="3"/>
    </row>
    <row r="13" spans="1:92" ht="15.75" customHeight="1">
      <c r="A13" s="78"/>
      <c r="B13" s="89"/>
      <c r="C13" s="85">
        <f>SUMIF('Sales  Returns'!$C$1:$C$19998,'Calculated Fields'!B13,'Sales  Returns'!$D$1:$D$19998)</f>
        <v>0</v>
      </c>
      <c r="D13" s="85">
        <f t="shared" si="0"/>
        <v>0</v>
      </c>
      <c r="E13" s="85">
        <f t="shared" si="1"/>
        <v>0</v>
      </c>
      <c r="F13" s="85">
        <f>SUMIF('Y2Y sales'!$J$2:$J$2000,$B13,'Y2Y sales'!$G$2:$G$2000)</f>
        <v>0</v>
      </c>
      <c r="G13" s="85">
        <f t="shared" si="2"/>
        <v>0</v>
      </c>
      <c r="H13" s="85">
        <f>SUMIF('Sales  Returns'!$C$1:$C$19998,'Calculated Fields'!B13,'Sales  Returns'!$G$1:$G$19998)</f>
        <v>0</v>
      </c>
      <c r="I13" s="85">
        <f>SUMIF('Sales  Returns'!$C$1:$C$19998,'Calculated Fields'!B13,'Sales  Returns'!$J$1:$J$19998)</f>
        <v>0</v>
      </c>
      <c r="J13" s="85">
        <f>SUMIF('Sales  Returns'!$C$1:$C$19998,'Calculated Fields'!B13,'Sales  Returns'!$K$1:$K$19998)</f>
        <v>0</v>
      </c>
      <c r="K13" s="86">
        <f t="shared" si="3"/>
        <v>0</v>
      </c>
      <c r="L13" s="85">
        <f>SUMIF('Sales  Returns'!$C$1:$C$19998,'Calculated Fields'!B13,'Sales  Returns'!$O$1:$O$19998)</f>
        <v>0</v>
      </c>
      <c r="M13" s="87">
        <f t="shared" si="4"/>
        <v>0</v>
      </c>
      <c r="N13" s="85">
        <f>SUMIF('Sales  Returns'!$C$1:$C$19998,'Calculated Fields'!B13,'Sales  Returns'!$P$1:$P$19998)</f>
        <v>0</v>
      </c>
      <c r="O13" s="85">
        <f>SUMIF('Sales  Returns'!$C$1:$C$19998,'Calculated Fields'!B13,'Sales  Returns'!$F$1:$F$19998)</f>
        <v>0</v>
      </c>
      <c r="P13" s="85">
        <f>SUMIF('Sales  Returns'!$C$1:$C$19998,'Calculated Fields'!B13,'Sales  Returns'!$T$1:$T$19998)</f>
        <v>0</v>
      </c>
      <c r="Q13" s="85">
        <f>SUMIF('Sales  Returns'!$C$1:$C$19998,'Calculated Fields'!B13,'Sales  Returns'!$E$1:$E$19998)</f>
        <v>0</v>
      </c>
      <c r="R13" s="85">
        <f>SUMIF('Sales  Returns'!$C$1:$C$19998,'Calculated Fields'!B13,'Sales  Returns'!$R$1:$R$19998)</f>
        <v>0</v>
      </c>
      <c r="S13" s="85">
        <f>SUMIF('Sales  Returns'!$C$1:$C$19998,'Calculated Fields'!B13,'Sales  Returns'!$Q$1:$Q$19998)</f>
        <v>0</v>
      </c>
      <c r="T13" s="85">
        <f>-COUNTIFS('Sales  Returns'!$C$1:$C$19998,'Calculated Fields'!$B13, 'Sales  Returns'!$B$1:$B$19998,'Calculated Fields'!$T$2)</f>
        <v>0</v>
      </c>
      <c r="U13" s="85">
        <f>SUMIFS('Sales  Returns'!$D$1:$D$19998,'Sales  Returns'!$C$1:$C$19998,'Calculated Fields'!$B13,'Sales  Returns'!$B$1:$B$19998,'Calculated Fields'!$T$2)</f>
        <v>0</v>
      </c>
      <c r="V13" s="86">
        <f t="shared" si="5"/>
        <v>0</v>
      </c>
      <c r="W13" s="85">
        <f>COUNTIFS('Sales  Returns'!$C$1:$C$19998,'Calculated Fields'!$B13, 'Sales  Returns'!$B$1:$B$19998,"Sales")</f>
        <v>0</v>
      </c>
      <c r="X13" s="188">
        <v>0</v>
      </c>
      <c r="Y13" s="85">
        <f>SUMIF('Sales  Returns'!$C$1:$C$19998,'Calculated Fields'!$B13,'Sales  Returns'!$H$1:$H$19998)</f>
        <v>0</v>
      </c>
      <c r="Z13" s="85">
        <f>SUMIF('Sales  Returns'!$C$1:$C$19998,'Calculated Fields'!$B13,'Sales  Returns'!$I$1:$I$19998)</f>
        <v>0</v>
      </c>
      <c r="AA13" s="86">
        <f t="shared" si="6"/>
        <v>0</v>
      </c>
      <c r="AB13" s="85">
        <f>SUMIF('Sales  Returns'!$C$1:$C$19998,'Calculated Fields'!$B13,'Sales  Returns'!$M$1:$M$19998)</f>
        <v>0</v>
      </c>
      <c r="AC13" s="85">
        <f>SUMIF('Sales  Returns'!$C$1:$C$19998,'Calculated Fields'!$B13,'Sales  Returns'!$N$1:$N$19998)</f>
        <v>0</v>
      </c>
      <c r="AD13" s="86">
        <f t="shared" si="7"/>
        <v>0</v>
      </c>
      <c r="AE13" s="88" t="s">
        <v>1058</v>
      </c>
      <c r="AF13" s="85">
        <f>SUMIF('WO &amp; Quote'!$S:$S,TRIM('Calculated Fields'!$B13),'WO &amp; Quote'!$I:$I)</f>
        <v>0</v>
      </c>
      <c r="AG13" s="85">
        <f>SUMIF('WO &amp; Quote'!$S:$S,TRIM('Calculated Fields'!$B13),'WO &amp; Quote'!$J:$J) + SUMIF('WO &amp; Quote'!$S:$S,TRIM('Calculated Fields'!$B13),'WO &amp; Quote'!$K:$K)</f>
        <v>0</v>
      </c>
      <c r="AH13" s="78"/>
      <c r="AI13" s="89" t="s">
        <v>681</v>
      </c>
      <c r="AJ13" s="90">
        <f>IFERROR(SUMIF('Inventory Lookup'!$O$2:$O$20765,'Calculated Fields'!$AI13,'Inventory Lookup'!$E$2:$E$20765)/SUMIF('Inventory Lookup'!$O$2:$O$20765,'Calculated Fields'!$AI13,'Inventory Lookup'!$D$2:$D$20765),0)</f>
        <v>0</v>
      </c>
      <c r="AK13" s="90">
        <f>IFERROR(AU13/SUMIFS('Inventory Lookup'!$D$2:$D$20765,'Inventory Lookup'!$O$2:$O$20765,'Calculated Fields'!$AI13,'Inventory Lookup'!$M$2:$M$20765,"Drive Train"),0)</f>
        <v>0</v>
      </c>
      <c r="AL13" s="90">
        <f>IFERROR(AV13/SUMIFS('Inventory Lookup'!$D$2:$D$20765,'Inventory Lookup'!$O$2:$O$20765,'Calculated Fields'!$AI13,'Inventory Lookup'!$M$2:$M$20765,"Body Parts"),0)</f>
        <v>0</v>
      </c>
      <c r="AM13" s="90">
        <f>IFERROR(AW13/SUMIFS('Inventory Lookup'!$D$2:$D$20765,'Inventory Lookup'!$O$2:$O$20765,'Calculated Fields'!$AI13,'Inventory Lookup'!$M$2:$M$20765,"Suspension"),0)</f>
        <v>0</v>
      </c>
      <c r="AN13" s="90">
        <f>IFERROR(AX13/SUMIFS('Inventory Lookup'!$D$2:$D$20765,'Inventory Lookup'!$O$2:$O$20765,'Calculated Fields'!$AI13,'Inventory Lookup'!$M$2:$M$20765,"Electrical"),0)</f>
        <v>0</v>
      </c>
      <c r="AO13" s="86">
        <f>IFERROR(VLOOKUP(AI13,Emp.Lookup!$A$1:$E$40,5,0),0)</f>
        <v>0</v>
      </c>
      <c r="AP13" s="85">
        <f>IFERROR(SUMIFS('Inventory Lookup'!$D$2:$D$20765,'Inventory Lookup'!$O$2:$O$20765,'Calculated Fields'!$AI13,'Inventory Lookup'!$M$2:$M$20765,"Drive Train"),"")</f>
        <v>0</v>
      </c>
      <c r="AQ13" s="85">
        <f>IFERROR(SUMIFS('Inventory Lookup'!$D$2:$D$20765,'Inventory Lookup'!$O$2:$O$20765,'Calculated Fields'!$AI13,'Inventory Lookup'!$M$2:$M$20765,"Body Parts"),"")</f>
        <v>0</v>
      </c>
      <c r="AR13" s="85">
        <f>IFERROR(SUMIFS('Inventory Lookup'!$D$2:$D$20765,'Inventory Lookup'!$O$2:$O$20765,'Calculated Fields'!$AI13,'Inventory Lookup'!$M$2:$M$20765,"Suspension"),"")</f>
        <v>0</v>
      </c>
      <c r="AS13" s="85">
        <f>IFERROR(SUMIFS('Inventory Lookup'!$D$2:$D$20765,'Inventory Lookup'!$O$2:$O$20765,'Calculated Fields'!$AI13,'Inventory Lookup'!$M$2:$M$20765,"Electrical"),"")</f>
        <v>0</v>
      </c>
      <c r="AT13" s="85">
        <f>IFERROR(SUMIFS('Inventory Lookup'!$D$2:$D$20765,'Inventory Lookup'!$O$2:$O$20765,'Calculated Fields'!$AI13,'Inventory Lookup'!$M$2:$M$20765,"Other"),"")</f>
        <v>0</v>
      </c>
      <c r="AU13" s="85">
        <f>IFERROR(SUMIFS('Inventory Lookup'!$E$2:$E$20765,'Inventory Lookup'!$O$2:$O$20765,'Calculated Fields'!$AI13,'Inventory Lookup'!$M$2:$M$20765,"Drive Train"),"")</f>
        <v>0</v>
      </c>
      <c r="AV13" s="85">
        <f>IFERROR(SUMIFS('Inventory Lookup'!$E$2:$E$20765,'Inventory Lookup'!$O$2:$O$20765,'Calculated Fields'!$AI13,'Inventory Lookup'!$M$2:$M$20765,"Body Parts"),"")</f>
        <v>0</v>
      </c>
      <c r="AW13" s="85">
        <f>IFERROR(SUMIFS('Inventory Lookup'!$E$2:$E$20765,'Inventory Lookup'!$O$2:$O$20765,'Calculated Fields'!$AI13,'Inventory Lookup'!$M$2:$M$20765,"Suspension"),"")</f>
        <v>0</v>
      </c>
      <c r="AX13" s="85">
        <f>IFERROR(SUMIFS('Inventory Lookup'!$E$2:$E$20765,'Inventory Lookup'!$O$2:$O$20765,'Calculated Fields'!$AI13,'Inventory Lookup'!$M$2:$M$20765,"Electrical"),"")</f>
        <v>0</v>
      </c>
      <c r="AY13" s="85">
        <f>IFERROR(SUMIFS('Inventory Lookup'!$E$2:$E$20765,'Inventory Lookup'!$O$2:$O$20765,'Calculated Fields'!$AI13,'Inventory Lookup'!$M$2:$M$20765,"Other"),"")</f>
        <v>0</v>
      </c>
      <c r="AZ13" s="78"/>
      <c r="BA13" s="89" t="s">
        <v>681</v>
      </c>
      <c r="BB13" s="91">
        <v>5</v>
      </c>
      <c r="BC13" s="85">
        <f t="shared" ca="1" si="8"/>
        <v>5</v>
      </c>
      <c r="BD13" s="92">
        <f ca="1">IFERROR(BC13/'Calculated Fields'!$W13,0)</f>
        <v>0</v>
      </c>
      <c r="BE13" s="92">
        <f ca="1">IFERROR('Calculated Fields'!$C13/BC13,0)</f>
        <v>0</v>
      </c>
      <c r="BF13" s="93"/>
      <c r="BG13" s="93"/>
      <c r="BH13" s="85">
        <f t="array" aca="1" ref="BH13" ca="1">IFERROR(INDEX('Agent Activity'!$AC$5:$AD$51,MATCH('Calculated Fields'!$BA13,'Agent Activity'!$AB$5:$AB$51,0),1),0)</f>
        <v>0</v>
      </c>
      <c r="BI13" s="93"/>
      <c r="BJ13" s="93"/>
      <c r="BK13" s="94">
        <f t="array" aca="1" ref="BK13" ca="1">IFERROR(INDEX('Agent Activity'!$AC$5:$AD$51,MATCH('Calculated Fields'!$BA13,'Agent Activity'!$AB$5:AB$51,0),2),0)</f>
        <v>0</v>
      </c>
      <c r="BL13" s="93"/>
      <c r="BM13" s="85">
        <f>SUMIF('RingCentral - Office'!$A$2:$A$482,$BA13,'RingCentral - Office'!$E$2:$E$482)</f>
        <v>0</v>
      </c>
      <c r="BN13" s="85">
        <f>SUMIF('RingCentral - Office'!$A$2:$A$482,$BA13,'RingCentral - Office'!$F$2:$F$482)</f>
        <v>0</v>
      </c>
      <c r="BO13" s="87">
        <f t="shared" si="9"/>
        <v>0</v>
      </c>
      <c r="BP13" s="85">
        <f>-SUMIF('RingCentral - Office'!$A$2:$A$482,$BA13,'RingCentral - Office'!$H$2:$H$482)</f>
        <v>0</v>
      </c>
      <c r="BQ13" s="94">
        <f>SUMIF('RingCentral - Office'!$A$2:$A$482,$BA13,'RingCentral - Office'!$I$2:$I$482)</f>
        <v>0</v>
      </c>
      <c r="BR13" s="85">
        <f>_xlfn.IFNA(INDEX(Audits!$B$2:$E$19,MATCH($BA13,Audits!$A$2:$A$19,0),MATCH('Calculated Fields'!BR$2,Audits!$B$1:$E$1,0)),0)</f>
        <v>0</v>
      </c>
      <c r="BS13" s="85">
        <f>_xlfn.IFNA(INDEX(Audits!$B$2:$E$19,MATCH($BA13,Audits!$A$2:$A$19,0),MATCH('Calculated Fields'!BS$2,Audits!$B$1:$E$1,0)),0)</f>
        <v>0</v>
      </c>
      <c r="BT13" s="85">
        <f>_xlfn.IFNA(INDEX(Audits!$B$2:$E$19,MATCH($BA13,Audits!$A$2:$A$19,0),MATCH('Calculated Fields'!BT$2,Audits!$B$1:$E$1,0)),0)</f>
        <v>0</v>
      </c>
      <c r="BU13" s="164">
        <f>_xlfn.IFNA(INDEX(Audits!$B$2:$E$19,MATCH($BA13,Audits!$A$2:$A$19,0),MATCH('Calculated Fields'!BU$2,Audits!$B$1:$E$1,0)),0)</f>
        <v>0</v>
      </c>
      <c r="BV13" s="85">
        <f>_xlfn.IFNA(INDEX(Audits!$B$2:$E$19,MATCH($BA13,Audits!$A$2:$A$19,0),MATCH('Calculated Fields'!BV$2,Audits!$B$1:$E$1,0)),0)</f>
        <v>0</v>
      </c>
      <c r="BW13" s="165" t="str" cm="1">
        <f t="array" ref="BW13">_xlfn.IFS($B13="","",E13="","", E13&lt;=15000,1, E13&lt;=20000,2, E13&lt;=30000,3, E13&lt;=40000,4, E13&gt;40000,5)</f>
        <v/>
      </c>
      <c r="BX13" s="132" t="str" cm="1">
        <f t="array" ref="BX13">_xlfn.IFS($B13="","",BU13="","", BU13&lt;=60%,1, BU13&lt;=70%,2, BU13&lt;=80%,3, BU13&lt;=90%,4, BU13&gt;90%,5)</f>
        <v/>
      </c>
      <c r="BY13" s="132" t="str" cm="1">
        <f t="array" aca="1" ref="BY13" ca="1">_xlfn.IFS($B13="","",BE13="","", BE13&lt;=60,1, BE13&lt;=70,2, BE13&lt;=80,3, BE13&lt;=90,4, BE13&gt;90,5)</f>
        <v/>
      </c>
      <c r="BZ13" s="92" t="str">
        <f t="shared" si="10"/>
        <v/>
      </c>
      <c r="CA13" s="90" t="str" cm="1">
        <f t="array" ref="CA13">_xlfn.IFS($B13="","",BZ13="","CHECK", BZ13&gt;=5,"A", BZ13&gt;=4,"B", BZ13&gt;=3,"C", BZ13&gt;=2,"D", BZ13&gt;=1,"E")</f>
        <v/>
      </c>
      <c r="CB13" s="88" t="s">
        <v>1058</v>
      </c>
      <c r="CC13" s="88" t="s">
        <v>1058</v>
      </c>
      <c r="CD13" s="88" t="s">
        <v>1058</v>
      </c>
      <c r="CE13" s="88" t="s">
        <v>1058</v>
      </c>
      <c r="CF13" s="88" t="s">
        <v>1058</v>
      </c>
      <c r="CG13" s="3"/>
      <c r="CH13" s="3"/>
      <c r="CI13" s="3"/>
      <c r="CJ13" s="3"/>
      <c r="CK13" s="3"/>
      <c r="CL13" s="3"/>
      <c r="CM13" s="3"/>
      <c r="CN13" s="3"/>
    </row>
    <row r="14" spans="1:92" ht="15.75" customHeight="1">
      <c r="A14" s="78"/>
      <c r="B14" s="97"/>
      <c r="C14" s="85">
        <f>SUMIF('Sales  Returns'!$C$1:$C$19998,'Calculated Fields'!B14,'Sales  Returns'!$D$1:$D$19998)</f>
        <v>0</v>
      </c>
      <c r="D14" s="85">
        <f t="shared" si="0"/>
        <v>0</v>
      </c>
      <c r="E14" s="85">
        <f t="shared" si="1"/>
        <v>0</v>
      </c>
      <c r="F14" s="85">
        <f>SUMIF('Y2Y sales'!$J$2:$J$2000,$B14,'Y2Y sales'!$G$2:$G$2000)</f>
        <v>0</v>
      </c>
      <c r="G14" s="85">
        <f t="shared" si="2"/>
        <v>0</v>
      </c>
      <c r="H14" s="85">
        <f>SUMIF('Sales  Returns'!$C$1:$C$19998,'Calculated Fields'!B14,'Sales  Returns'!$G$1:$G$19998)</f>
        <v>0</v>
      </c>
      <c r="I14" s="85">
        <f>SUMIF('Sales  Returns'!$C$1:$C$19998,'Calculated Fields'!B14,'Sales  Returns'!$J$1:$J$19998)</f>
        <v>0</v>
      </c>
      <c r="J14" s="85">
        <f>SUMIF('Sales  Returns'!$C$1:$C$19998,'Calculated Fields'!B14,'Sales  Returns'!$K$1:$K$19998)</f>
        <v>0</v>
      </c>
      <c r="K14" s="86">
        <f t="shared" si="3"/>
        <v>0</v>
      </c>
      <c r="L14" s="85">
        <f>SUMIF('Sales  Returns'!$C$1:$C$19998,'Calculated Fields'!B14,'Sales  Returns'!$O$1:$O$19998)</f>
        <v>0</v>
      </c>
      <c r="M14" s="87">
        <f t="shared" si="4"/>
        <v>0</v>
      </c>
      <c r="N14" s="85">
        <f>SUMIF('Sales  Returns'!$C$1:$C$19998,'Calculated Fields'!B14,'Sales  Returns'!$P$1:$P$19998)</f>
        <v>0</v>
      </c>
      <c r="O14" s="85">
        <f>SUMIF('Sales  Returns'!$C$1:$C$19998,'Calculated Fields'!B14,'Sales  Returns'!$F$1:$F$19998)</f>
        <v>0</v>
      </c>
      <c r="P14" s="85">
        <f>SUMIF('Sales  Returns'!$C$1:$C$19998,'Calculated Fields'!B14,'Sales  Returns'!$T$1:$T$19998)</f>
        <v>0</v>
      </c>
      <c r="Q14" s="85">
        <f>SUMIF('Sales  Returns'!$C$1:$C$19998,'Calculated Fields'!B14,'Sales  Returns'!$E$1:$E$19998)</f>
        <v>0</v>
      </c>
      <c r="R14" s="85">
        <f>SUMIF('Sales  Returns'!$C$1:$C$19998,'Calculated Fields'!B14,'Sales  Returns'!$R$1:$R$19998)</f>
        <v>0</v>
      </c>
      <c r="S14" s="85">
        <f>SUMIF('Sales  Returns'!$C$1:$C$19998,'Calculated Fields'!B14,'Sales  Returns'!$Q$1:$Q$19998)</f>
        <v>0</v>
      </c>
      <c r="T14" s="85">
        <f>-COUNTIFS('Sales  Returns'!$C$1:$C$19998,'Calculated Fields'!$B14, 'Sales  Returns'!$B$1:$B$19998,'Calculated Fields'!$T$2)</f>
        <v>0</v>
      </c>
      <c r="U14" s="85">
        <f>SUMIFS('Sales  Returns'!$D$1:$D$19998,'Sales  Returns'!$C$1:$C$19998,'Calculated Fields'!$B14,'Sales  Returns'!$B$1:$B$19998,'Calculated Fields'!$T$2)</f>
        <v>0</v>
      </c>
      <c r="V14" s="86">
        <f t="shared" si="5"/>
        <v>0</v>
      </c>
      <c r="W14" s="85">
        <f>COUNTIFS('Sales  Returns'!$C$1:$C$19998,'Calculated Fields'!$B14, 'Sales  Returns'!$B$1:$B$19998,"Sales")</f>
        <v>0</v>
      </c>
      <c r="X14" s="188">
        <v>0</v>
      </c>
      <c r="Y14" s="85">
        <f>SUMIF('Sales  Returns'!$C$1:$C$19998,'Calculated Fields'!$B14,'Sales  Returns'!$H$1:$H$19998)</f>
        <v>0</v>
      </c>
      <c r="Z14" s="85">
        <f>SUMIF('Sales  Returns'!$C$1:$C$19998,'Calculated Fields'!$B14,'Sales  Returns'!$I$1:$I$19998)</f>
        <v>0</v>
      </c>
      <c r="AA14" s="86">
        <f t="shared" si="6"/>
        <v>0</v>
      </c>
      <c r="AB14" s="85">
        <f>SUMIF('Sales  Returns'!$C$1:$C$19998,'Calculated Fields'!$B14,'Sales  Returns'!$M$1:$M$19998)</f>
        <v>0</v>
      </c>
      <c r="AC14" s="85">
        <f>SUMIF('Sales  Returns'!$C$1:$C$19998,'Calculated Fields'!$B14,'Sales  Returns'!$N$1:$N$19998)</f>
        <v>0</v>
      </c>
      <c r="AD14" s="86">
        <f t="shared" si="7"/>
        <v>0</v>
      </c>
      <c r="AE14" s="88" t="s">
        <v>1058</v>
      </c>
      <c r="AF14" s="85">
        <f>SUMIF('WO &amp; Quote'!$S:$S,TRIM('Calculated Fields'!$B14),'WO &amp; Quote'!$I:$I)</f>
        <v>0</v>
      </c>
      <c r="AG14" s="85">
        <f>SUMIF('WO &amp; Quote'!$S:$S,TRIM('Calculated Fields'!$B14),'WO &amp; Quote'!$J:$J) + SUMIF('WO &amp; Quote'!$S:$S,TRIM('Calculated Fields'!$B14),'WO &amp; Quote'!$K:$K)</f>
        <v>0</v>
      </c>
      <c r="AH14" s="78"/>
      <c r="AI14" s="97"/>
      <c r="AJ14" s="90">
        <f>IFERROR(SUMIF('Inventory Lookup'!$O$2:$O$20765,'Calculated Fields'!$AI14,'Inventory Lookup'!$E$2:$E$20765)/SUMIF('Inventory Lookup'!$O$2:$O$20765,'Calculated Fields'!$AI14,'Inventory Lookup'!$D$2:$D$20765),0)</f>
        <v>0</v>
      </c>
      <c r="AK14" s="90">
        <f>IFERROR(AU14/SUMIFS('Inventory Lookup'!$D$2:$D$20765,'Inventory Lookup'!$O$2:$O$20765,'Calculated Fields'!$AI14,'Inventory Lookup'!$M$2:$M$20765,"Drive Train"),0)</f>
        <v>0</v>
      </c>
      <c r="AL14" s="90">
        <f>IFERROR(AV14/SUMIFS('Inventory Lookup'!$D$2:$D$20765,'Inventory Lookup'!$O$2:$O$20765,'Calculated Fields'!$AI14,'Inventory Lookup'!$M$2:$M$20765,"Body Parts"),0)</f>
        <v>0</v>
      </c>
      <c r="AM14" s="90">
        <f>IFERROR(AW14/SUMIFS('Inventory Lookup'!$D$2:$D$20765,'Inventory Lookup'!$O$2:$O$20765,'Calculated Fields'!$AI14,'Inventory Lookup'!$M$2:$M$20765,"Suspension"),0)</f>
        <v>0</v>
      </c>
      <c r="AN14" s="90">
        <f>IFERROR(AX14/SUMIFS('Inventory Lookup'!$D$2:$D$20765,'Inventory Lookup'!$O$2:$O$20765,'Calculated Fields'!$AI14,'Inventory Lookup'!$M$2:$M$20765,"Electrical"),0)</f>
        <v>0</v>
      </c>
      <c r="AO14" s="86">
        <f>IFERROR(VLOOKUP(AI14,Emp.Lookup!$A$1:$E$40,5,0),0)</f>
        <v>0</v>
      </c>
      <c r="AP14" s="85">
        <f>IFERROR(SUMIFS('Inventory Lookup'!$D$2:$D$20765,'Inventory Lookup'!$O$2:$O$20765,'Calculated Fields'!$AI14,'Inventory Lookup'!$M$2:$M$20765,"Drive Train"),"")</f>
        <v>0</v>
      </c>
      <c r="AQ14" s="85">
        <f>IFERROR(SUMIFS('Inventory Lookup'!$D$2:$D$20765,'Inventory Lookup'!$O$2:$O$20765,'Calculated Fields'!$AI14,'Inventory Lookup'!$M$2:$M$20765,"Body Parts"),"")</f>
        <v>0</v>
      </c>
      <c r="AR14" s="85">
        <f>IFERROR(SUMIFS('Inventory Lookup'!$D$2:$D$20765,'Inventory Lookup'!$O$2:$O$20765,'Calculated Fields'!$AI14,'Inventory Lookup'!$M$2:$M$20765,"Suspension"),"")</f>
        <v>0</v>
      </c>
      <c r="AS14" s="85">
        <f>IFERROR(SUMIFS('Inventory Lookup'!$D$2:$D$20765,'Inventory Lookup'!$O$2:$O$20765,'Calculated Fields'!$AI14,'Inventory Lookup'!$M$2:$M$20765,"Electrical"),"")</f>
        <v>0</v>
      </c>
      <c r="AT14" s="85">
        <f>IFERROR(SUMIFS('Inventory Lookup'!$D$2:$D$20765,'Inventory Lookup'!$O$2:$O$20765,'Calculated Fields'!$AI14,'Inventory Lookup'!$M$2:$M$20765,"Other"),"")</f>
        <v>0</v>
      </c>
      <c r="AU14" s="85">
        <f>IFERROR(SUMIFS('Inventory Lookup'!$E$2:$E$20765,'Inventory Lookup'!$O$2:$O$20765,'Calculated Fields'!$AI14,'Inventory Lookup'!$M$2:$M$20765,"Drive Train"),"")</f>
        <v>0</v>
      </c>
      <c r="AV14" s="85">
        <f>IFERROR(SUMIFS('Inventory Lookup'!$E$2:$E$20765,'Inventory Lookup'!$O$2:$O$20765,'Calculated Fields'!$AI14,'Inventory Lookup'!$M$2:$M$20765,"Body Parts"),"")</f>
        <v>0</v>
      </c>
      <c r="AW14" s="85">
        <f>IFERROR(SUMIFS('Inventory Lookup'!$E$2:$E$20765,'Inventory Lookup'!$O$2:$O$20765,'Calculated Fields'!$AI14,'Inventory Lookup'!$M$2:$M$20765,"Suspension"),"")</f>
        <v>0</v>
      </c>
      <c r="AX14" s="85">
        <f>IFERROR(SUMIFS('Inventory Lookup'!$E$2:$E$20765,'Inventory Lookup'!$O$2:$O$20765,'Calculated Fields'!$AI14,'Inventory Lookup'!$M$2:$M$20765,"Electrical"),"")</f>
        <v>0</v>
      </c>
      <c r="AY14" s="85">
        <f>IFERROR(SUMIFS('Inventory Lookup'!$E$2:$E$20765,'Inventory Lookup'!$O$2:$O$20765,'Calculated Fields'!$AI14,'Inventory Lookup'!$M$2:$M$20765,"Other"),"")</f>
        <v>0</v>
      </c>
      <c r="AZ14" s="78"/>
      <c r="BA14" s="97"/>
      <c r="BB14" s="91">
        <v>0</v>
      </c>
      <c r="BC14" s="85">
        <f t="shared" ca="1" si="8"/>
        <v>0</v>
      </c>
      <c r="BD14" s="92">
        <f ca="1">IFERROR(BC14/'Calculated Fields'!$W14,0)</f>
        <v>0</v>
      </c>
      <c r="BE14" s="92">
        <f ca="1">IFERROR('Calculated Fields'!$C14/BC14,0)</f>
        <v>0</v>
      </c>
      <c r="BF14" s="93"/>
      <c r="BG14" s="93"/>
      <c r="BH14" s="85">
        <f t="array" aca="1" ref="BH14" ca="1">IFERROR(INDEX('Agent Activity'!$AC$5:$AD$51,MATCH('Calculated Fields'!$BA14,'Agent Activity'!$AB$5:$AB$51,0),1),0)</f>
        <v>0</v>
      </c>
      <c r="BI14" s="93"/>
      <c r="BJ14" s="93"/>
      <c r="BK14" s="94">
        <f t="array" aca="1" ref="BK14" ca="1">IFERROR(INDEX('Agent Activity'!$AC$5:$AD$51,MATCH('Calculated Fields'!$BA14,'Agent Activity'!$AB$5:AB$51,0),2),0)</f>
        <v>0</v>
      </c>
      <c r="BL14" s="93"/>
      <c r="BM14" s="85">
        <f>SUMIF('RingCentral - Office'!$A$2:$A$482,$BA14,'RingCentral - Office'!$E$2:$E$482)</f>
        <v>0</v>
      </c>
      <c r="BN14" s="85">
        <f>SUMIF('RingCentral - Office'!$A$2:$A$482,$BA14,'RingCentral - Office'!$F$2:$F$482)</f>
        <v>0</v>
      </c>
      <c r="BO14" s="87">
        <f t="shared" si="9"/>
        <v>0</v>
      </c>
      <c r="BP14" s="85">
        <f>-SUMIF('RingCentral - Office'!$A$2:$A$482,$BA14,'RingCentral - Office'!$H$2:$H$482)</f>
        <v>0</v>
      </c>
      <c r="BQ14" s="94">
        <f>SUMIF('RingCentral - Office'!$A$2:$A$482,$BA14,'RingCentral - Office'!$I$2:$I$482)</f>
        <v>0</v>
      </c>
      <c r="BR14" s="85">
        <f>_xlfn.IFNA(INDEX(Audits!$B$2:$E$19,MATCH($BA14,Audits!$A$2:$A$19,0),MATCH('Calculated Fields'!BR$2,Audits!$B$1:$E$1,0)),0)</f>
        <v>0</v>
      </c>
      <c r="BS14" s="85">
        <f>_xlfn.IFNA(INDEX(Audits!$B$2:$E$19,MATCH($BA14,Audits!$A$2:$A$19,0),MATCH('Calculated Fields'!BS$2,Audits!$B$1:$E$1,0)),0)</f>
        <v>0</v>
      </c>
      <c r="BT14" s="85">
        <f>_xlfn.IFNA(INDEX(Audits!$B$2:$E$19,MATCH($BA14,Audits!$A$2:$A$19,0),MATCH('Calculated Fields'!BT$2,Audits!$B$1:$E$1,0)),0)</f>
        <v>0</v>
      </c>
      <c r="BU14" s="164">
        <f>_xlfn.IFNA(INDEX(Audits!$B$2:$E$19,MATCH($BA14,Audits!$A$2:$A$19,0),MATCH('Calculated Fields'!BU$2,Audits!$B$1:$E$1,0)),0)</f>
        <v>0</v>
      </c>
      <c r="BV14" s="85">
        <f>_xlfn.IFNA(INDEX(Audits!$B$2:$E$19,MATCH($BA14,Audits!$A$2:$A$19,0),MATCH('Calculated Fields'!BV$2,Audits!$B$1:$E$1,0)),0)</f>
        <v>0</v>
      </c>
      <c r="BW14" s="165" t="str" cm="1">
        <f t="array" ref="BW14">_xlfn.IFS($B14="","",E14="","", E14&lt;=15000,1, E14&lt;=20000,2, E14&lt;=30000,3, E14&lt;=40000,4, E14&gt;40000,5)</f>
        <v/>
      </c>
      <c r="BX14" s="132" t="str" cm="1">
        <f t="array" ref="BX14">_xlfn.IFS($B14="","",BU14="","", BU14&lt;=60%,1, BU14&lt;=70%,2, BU14&lt;=80%,3, BU14&lt;=90%,4, BU14&gt;90%,5)</f>
        <v/>
      </c>
      <c r="BY14" s="132" t="str" cm="1">
        <f t="array" aca="1" ref="BY14" ca="1">_xlfn.IFS($B14="","",BE14="","", BE14&lt;=60,1, BE14&lt;=70,2, BE14&lt;=80,3, BE14&lt;=90,4, BE14&gt;90,5)</f>
        <v/>
      </c>
      <c r="BZ14" s="92" t="str">
        <f t="shared" si="10"/>
        <v/>
      </c>
      <c r="CA14" s="90" t="str" cm="1">
        <f t="array" ref="CA14">_xlfn.IFS($B14="","",BZ14="","CHECK", BZ14&gt;=5,"A", BZ14&gt;=4,"B", BZ14&gt;=3,"C", BZ14&gt;=2,"D", BZ14&gt;=1,"E")</f>
        <v/>
      </c>
      <c r="CB14" s="88" t="s">
        <v>1058</v>
      </c>
      <c r="CC14" s="88" t="s">
        <v>1058</v>
      </c>
      <c r="CD14" s="88" t="s">
        <v>1058</v>
      </c>
      <c r="CE14" s="88" t="s">
        <v>1058</v>
      </c>
      <c r="CF14" s="88" t="s">
        <v>1058</v>
      </c>
      <c r="CG14" s="3"/>
      <c r="CH14" s="3"/>
      <c r="CI14" s="3"/>
      <c r="CJ14" s="3"/>
      <c r="CK14" s="3"/>
      <c r="CL14" s="3"/>
      <c r="CM14" s="3"/>
      <c r="CN14" s="3"/>
    </row>
    <row r="15" spans="1:92" ht="15.7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53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80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161"/>
      <c r="BS15" s="161"/>
      <c r="BT15" s="161"/>
      <c r="BU15" s="162"/>
      <c r="BV15" s="163"/>
      <c r="BW15" s="163"/>
      <c r="BX15" s="163"/>
      <c r="BY15" s="163"/>
      <c r="BZ15" s="163"/>
      <c r="CA15" s="163"/>
      <c r="CB15" s="161"/>
      <c r="CC15" s="161"/>
      <c r="CD15" s="161"/>
      <c r="CE15" s="161"/>
      <c r="CF15" s="161"/>
      <c r="CG15" s="3"/>
      <c r="CH15" s="3"/>
      <c r="CI15" s="3"/>
      <c r="CJ15" s="3"/>
      <c r="CK15" s="3"/>
      <c r="CL15" s="3"/>
      <c r="CM15" s="3"/>
      <c r="CN15" s="3"/>
    </row>
    <row r="16" spans="1:92" ht="15.75" customHeight="1">
      <c r="A16" s="78"/>
      <c r="B16" s="81" t="s">
        <v>29</v>
      </c>
      <c r="C16" s="82" t="s">
        <v>994</v>
      </c>
      <c r="D16" s="82" t="s">
        <v>995</v>
      </c>
      <c r="E16" s="82" t="s">
        <v>996</v>
      </c>
      <c r="F16" s="82" t="s">
        <v>997</v>
      </c>
      <c r="G16" s="82" t="s">
        <v>998</v>
      </c>
      <c r="H16" s="82" t="s">
        <v>999</v>
      </c>
      <c r="I16" s="82" t="s">
        <v>1000</v>
      </c>
      <c r="J16" s="82" t="s">
        <v>75</v>
      </c>
      <c r="K16" s="82" t="s">
        <v>1001</v>
      </c>
      <c r="L16" s="82" t="s">
        <v>1002</v>
      </c>
      <c r="M16" s="82" t="s">
        <v>1003</v>
      </c>
      <c r="N16" s="82" t="s">
        <v>80</v>
      </c>
      <c r="O16" s="82" t="s">
        <v>70</v>
      </c>
      <c r="P16" s="82" t="s">
        <v>84</v>
      </c>
      <c r="Q16" s="82" t="s">
        <v>69</v>
      </c>
      <c r="R16" s="82" t="s">
        <v>82</v>
      </c>
      <c r="S16" s="82" t="s">
        <v>1004</v>
      </c>
      <c r="T16" s="82" t="s">
        <v>104</v>
      </c>
      <c r="U16" s="82" t="s">
        <v>1005</v>
      </c>
      <c r="V16" s="82" t="s">
        <v>1006</v>
      </c>
      <c r="W16" s="82" t="s">
        <v>1007</v>
      </c>
      <c r="X16" s="82" t="s">
        <v>1008</v>
      </c>
      <c r="Y16" s="82" t="s">
        <v>72</v>
      </c>
      <c r="Z16" s="82" t="s">
        <v>1009</v>
      </c>
      <c r="AA16" s="82" t="s">
        <v>1010</v>
      </c>
      <c r="AB16" s="82" t="s">
        <v>77</v>
      </c>
      <c r="AC16" s="82" t="s">
        <v>1011</v>
      </c>
      <c r="AD16" s="82" t="s">
        <v>1012</v>
      </c>
      <c r="AE16" s="82" t="s">
        <v>1013</v>
      </c>
      <c r="AF16" s="82" t="s">
        <v>1014</v>
      </c>
      <c r="AG16" s="82" t="s">
        <v>1015</v>
      </c>
      <c r="AH16" s="78"/>
      <c r="AI16" s="81" t="s">
        <v>29</v>
      </c>
      <c r="AJ16" s="82" t="s">
        <v>1016</v>
      </c>
      <c r="AK16" s="82" t="s">
        <v>1017</v>
      </c>
      <c r="AL16" s="82" t="s">
        <v>1018</v>
      </c>
      <c r="AM16" s="82" t="s">
        <v>1019</v>
      </c>
      <c r="AN16" s="82" t="s">
        <v>1020</v>
      </c>
      <c r="AO16" s="83" t="s">
        <v>1021</v>
      </c>
      <c r="AP16" s="82" t="s">
        <v>1022</v>
      </c>
      <c r="AQ16" s="82" t="s">
        <v>1023</v>
      </c>
      <c r="AR16" s="82" t="s">
        <v>1024</v>
      </c>
      <c r="AS16" s="82" t="s">
        <v>1025</v>
      </c>
      <c r="AT16" s="82" t="s">
        <v>1026</v>
      </c>
      <c r="AU16" s="82" t="s">
        <v>1027</v>
      </c>
      <c r="AV16" s="82" t="s">
        <v>1028</v>
      </c>
      <c r="AW16" s="82" t="s">
        <v>1029</v>
      </c>
      <c r="AX16" s="82" t="s">
        <v>1030</v>
      </c>
      <c r="AY16" s="82" t="s">
        <v>1031</v>
      </c>
      <c r="AZ16" s="78"/>
      <c r="BA16" s="81" t="s">
        <v>29</v>
      </c>
      <c r="BB16" s="82" t="s">
        <v>1032</v>
      </c>
      <c r="BC16" s="82" t="s">
        <v>1033</v>
      </c>
      <c r="BD16" s="82" t="s">
        <v>1034</v>
      </c>
      <c r="BE16" s="82" t="s">
        <v>1035</v>
      </c>
      <c r="BF16" s="82" t="s">
        <v>1036</v>
      </c>
      <c r="BG16" s="82" t="s">
        <v>1037</v>
      </c>
      <c r="BH16" s="82" t="s">
        <v>1059</v>
      </c>
      <c r="BI16" s="82" t="s">
        <v>1039</v>
      </c>
      <c r="BJ16" s="82" t="s">
        <v>1040</v>
      </c>
      <c r="BK16" s="82" t="s">
        <v>1041</v>
      </c>
      <c r="BL16" s="82" t="s">
        <v>1042</v>
      </c>
      <c r="BM16" s="82" t="s">
        <v>1043</v>
      </c>
      <c r="BN16" s="82" t="s">
        <v>1044</v>
      </c>
      <c r="BO16" s="82" t="s">
        <v>1045</v>
      </c>
      <c r="BP16" s="82" t="s">
        <v>1046</v>
      </c>
      <c r="BQ16" s="82" t="s">
        <v>1047</v>
      </c>
      <c r="BR16" s="82" t="s">
        <v>590</v>
      </c>
      <c r="BS16" s="82" t="s">
        <v>591</v>
      </c>
      <c r="BT16" s="82" t="s">
        <v>592</v>
      </c>
      <c r="BU16" s="159" t="s">
        <v>593</v>
      </c>
      <c r="BV16" s="82" t="s">
        <v>1048</v>
      </c>
      <c r="BW16" s="83" t="s">
        <v>1049</v>
      </c>
      <c r="BX16" s="83" t="s">
        <v>1050</v>
      </c>
      <c r="BY16" s="83" t="s">
        <v>1051</v>
      </c>
      <c r="BZ16" s="83" t="s">
        <v>1052</v>
      </c>
      <c r="CA16" s="83" t="s">
        <v>124</v>
      </c>
      <c r="CB16" s="83" t="s">
        <v>1053</v>
      </c>
      <c r="CC16" s="83" t="s">
        <v>1054</v>
      </c>
      <c r="CD16" s="83" t="s">
        <v>1055</v>
      </c>
      <c r="CE16" s="83" t="s">
        <v>1056</v>
      </c>
      <c r="CF16" s="83" t="s">
        <v>1057</v>
      </c>
      <c r="CG16" s="3"/>
      <c r="CH16" s="3"/>
      <c r="CI16" s="3"/>
      <c r="CJ16" s="3"/>
      <c r="CK16" s="3"/>
      <c r="CL16" s="3"/>
      <c r="CM16" s="3"/>
      <c r="CN16" s="3"/>
    </row>
    <row r="17" spans="1:92" ht="15.75" customHeight="1">
      <c r="A17" s="78"/>
      <c r="B17" s="89" t="str">
        <f ca="1">IFERROR(__xludf.DUMMYFUNCTION("SORT(UNIQUE(FILTER('Sales  Returns'!$C$1:$C$19968,'Sales  Returns'!$T$1:$T$19968=""INDIA Agent"")))"),"Amanda Harris")</f>
        <v>Amanda Harris</v>
      </c>
      <c r="C17" s="85">
        <f ca="1">SUMIF('Sales  Returns'!$C$1:$C$19998,'Calculated Fields'!B17,'Sales  Returns'!$D$1:$D$19998)</f>
        <v>4594</v>
      </c>
      <c r="D17" s="85">
        <f t="shared" ref="D17:D22" ca="1" si="11">H17+I17</f>
        <v>1835</v>
      </c>
      <c r="E17" s="85">
        <f t="shared" ref="E17:E22" ca="1" si="12">H17+J17+L17+N17</f>
        <v>1835</v>
      </c>
      <c r="F17" s="85">
        <f ca="1">SUMIF('Y2Y sales'!$J$2:$J$2000,$B17,'Y2Y sales'!$G$2:$G$2000)</f>
        <v>0</v>
      </c>
      <c r="G17" s="85">
        <f t="shared" ref="G17:G22" ca="1" si="13">H17-F17</f>
        <v>1835</v>
      </c>
      <c r="H17" s="85">
        <f ca="1">SUMIF('Sales  Returns'!$C$1:$C$19998,'Calculated Fields'!B17,'Sales  Returns'!$G$1:$G$19998)</f>
        <v>1835</v>
      </c>
      <c r="I17" s="85">
        <f ca="1">SUMIF('Sales  Returns'!$C$1:$C$19998,'Calculated Fields'!B17,'Sales  Returns'!$J$1:$J$19998)</f>
        <v>0</v>
      </c>
      <c r="J17" s="85">
        <f ca="1">SUMIF('Sales  Returns'!$C$1:$C$19998,'Calculated Fields'!B17,'Sales  Returns'!$K$1:$K$19998)</f>
        <v>0</v>
      </c>
      <c r="K17" s="86">
        <f t="shared" ref="K17:K22" ca="1" si="14">IFERROR(J17/I17,0%)</f>
        <v>0</v>
      </c>
      <c r="L17" s="85">
        <f ca="1">SUMIF('Sales  Returns'!$C$1:$C$19998,'Calculated Fields'!B17,'Sales  Returns'!$O$1:$O$19998)</f>
        <v>0</v>
      </c>
      <c r="M17" s="87">
        <f t="shared" ref="M17:M22" ca="1" si="15">IFERROR(L17/G17,0)</f>
        <v>0</v>
      </c>
      <c r="N17" s="85">
        <f ca="1">SUMIF('Sales  Returns'!$C$1:$C$19998,'Calculated Fields'!B17,'Sales  Returns'!$P$1:$P$19998)</f>
        <v>0</v>
      </c>
      <c r="O17" s="85">
        <f ca="1">SUMIF('Sales  Returns'!$C$1:$C$19998,'Calculated Fields'!B17,'Sales  Returns'!$F$1:$F$19998)</f>
        <v>32</v>
      </c>
      <c r="P17" s="85">
        <f ca="1">SUMIF('Sales  Returns'!$C$1:$C$19998,'Calculated Fields'!B17,'Sales  Returns'!$T$1:$T$19998)</f>
        <v>83</v>
      </c>
      <c r="Q17" s="85">
        <f ca="1">SUMIF('Sales  Returns'!$C$1:$C$19998,'Calculated Fields'!B17,'Sales  Returns'!$E$1:$E$19998)</f>
        <v>105</v>
      </c>
      <c r="R17" s="85">
        <f ca="1">SUMIF('Sales  Returns'!$C$1:$C$19998,'Calculated Fields'!B17,'Sales  Returns'!$R$1:$R$19998)</f>
        <v>0</v>
      </c>
      <c r="S17" s="85">
        <f ca="1">SUMIF('Sales  Returns'!$C$1:$C$19998,'Calculated Fields'!B17,'Sales  Returns'!$Q$1:$Q$19998)</f>
        <v>190</v>
      </c>
      <c r="T17" s="85">
        <f ca="1">-COUNTIFS('Sales  Returns'!$C$1:$C$19998,'Calculated Fields'!$B17, 'Sales  Returns'!$B$1:$B$19998,'Calculated Fields'!$T$2)</f>
        <v>-3</v>
      </c>
      <c r="U17" s="85">
        <f ca="1">SUMIFS('Sales  Returns'!$D$1:$D$19998,'Sales  Returns'!$C$1:$C$19998,'Calculated Fields'!$B17,'Sales  Returns'!$B$1:$B$19998,'Calculated Fields'!$T$2)</f>
        <v>-445</v>
      </c>
      <c r="V17" s="86">
        <f t="shared" ref="V17:V22" ca="1" si="16">IFERROR(((Z17+AC17)/(Y17+AB17)),0)</f>
        <v>0.375</v>
      </c>
      <c r="W17" s="85">
        <f ca="1">COUNTIFS('Sales  Returns'!$C$1:$C$19998,'Calculated Fields'!$B17, 'Sales  Returns'!$B$1:$B$19998,"Sales")</f>
        <v>8</v>
      </c>
      <c r="X17" s="188">
        <v>0</v>
      </c>
      <c r="Y17" s="85">
        <f ca="1">SUMIF('Sales  Returns'!$C$1:$C$19998,'Calculated Fields'!$B17,'Sales  Returns'!$H$1:$H$19998)</f>
        <v>8</v>
      </c>
      <c r="Z17" s="85">
        <f ca="1">SUMIF('Sales  Returns'!$C$1:$C$19998,'Calculated Fields'!$B17,'Sales  Returns'!$I$1:$I$19998)</f>
        <v>3</v>
      </c>
      <c r="AA17" s="86">
        <f t="shared" ref="AA17:AA22" ca="1" si="17">IFERROR(Z17/Y17,0%)</f>
        <v>0.375</v>
      </c>
      <c r="AB17" s="85">
        <f ca="1">SUMIF('Sales  Returns'!$C$1:$C$19998,'Calculated Fields'!$B17,'Sales  Returns'!$M$1:$M$19998)</f>
        <v>0</v>
      </c>
      <c r="AC17" s="85">
        <f ca="1">SUMIF('Sales  Returns'!$C$1:$C$19998,'Calculated Fields'!$B17,'Sales  Returns'!$N$1:$N$19998)</f>
        <v>0</v>
      </c>
      <c r="AD17" s="86">
        <f t="shared" ref="AD17:AD22" ca="1" si="18">IFERROR(AC17/AB17,0%)</f>
        <v>0</v>
      </c>
      <c r="AE17" s="88" t="s">
        <v>1058</v>
      </c>
      <c r="AF17" s="85">
        <f ca="1">SUMIF('WO &amp; Quote'!$S:$S,TRIM('Calculated Fields'!$B17),'WO &amp; Quote'!$I:$I)</f>
        <v>3070</v>
      </c>
      <c r="AG17" s="85">
        <f ca="1">SUMIF('WO &amp; Quote'!$S:$S,TRIM('Calculated Fields'!$B17),'WO &amp; Quote'!$J:$J) + SUMIF('WO &amp; Quote'!$S:$S,TRIM('Calculated Fields'!$B17),'WO &amp; Quote'!$K:$K)</f>
        <v>0</v>
      </c>
      <c r="AH17" s="78"/>
      <c r="AI17" s="89" t="s">
        <v>38</v>
      </c>
      <c r="AJ17" s="90">
        <f>IFERROR(SUMIF('Inventory Lookup'!$O$2:$O$20765,'Calculated Fields'!$AI17,'Inventory Lookup'!$E$2:$E$20765)/SUMIF('Inventory Lookup'!$O$2:$O$20765,'Calculated Fields'!$AI17,'Inventory Lookup'!$D$2:$D$20765),0)</f>
        <v>6.6666666666666666E-2</v>
      </c>
      <c r="AK17" s="90">
        <f>IFERROR(AU17/SUMIFS('Inventory Lookup'!$D$2:$D$20765,'Inventory Lookup'!$O$2:$O$20765,'Calculated Fields'!$AI17,'Inventory Lookup'!$M$2:$M$20765,"Drive Train"),0)</f>
        <v>0.25</v>
      </c>
      <c r="AL17" s="90">
        <f>IFERROR(AV17/SUMIFS('Inventory Lookup'!$D$2:$D$20765,'Inventory Lookup'!$O$2:$O$20765,'Calculated Fields'!$AI17,'Inventory Lookup'!$M$2:$M$20765,"Body Parts"),0)</f>
        <v>5.7971014492753624E-2</v>
      </c>
      <c r="AM17" s="90">
        <f>IFERROR(AW17/SUMIFS('Inventory Lookup'!$D$2:$D$20765,'Inventory Lookup'!$O$2:$O$20765,'Calculated Fields'!$AI17,'Inventory Lookup'!$M$2:$M$20765,"Suspension"),0)</f>
        <v>0</v>
      </c>
      <c r="AN17" s="90">
        <f>IFERROR(AX17/SUMIFS('Inventory Lookup'!$D$2:$D$20765,'Inventory Lookup'!$O$2:$O$20765,'Calculated Fields'!$AI17,'Inventory Lookup'!$M$2:$M$20765,"Electrical"),0)</f>
        <v>0.05</v>
      </c>
      <c r="AO17" s="86">
        <f>IFERROR(VLOOKUP(AI17,Emp.Lookup!$A$1:$E$40,5,0),0)</f>
        <v>0.15379999999999999</v>
      </c>
      <c r="AP17" s="85">
        <f>IFERROR(SUMIFS('Inventory Lookup'!$D$2:$D$20765,'Inventory Lookup'!$O$2:$O$20765,'Calculated Fields'!$AI17,'Inventory Lookup'!$M$2:$M$20765,"Drive Train"),"")</f>
        <v>4</v>
      </c>
      <c r="AQ17" s="85">
        <f>IFERROR(SUMIFS('Inventory Lookup'!$D$2:$D$20765,'Inventory Lookup'!$O$2:$O$20765,'Calculated Fields'!$AI17,'Inventory Lookup'!$M$2:$M$20765,"Body Parts"),"")</f>
        <v>69</v>
      </c>
      <c r="AR17" s="85">
        <f>IFERROR(SUMIFS('Inventory Lookup'!$D$2:$D$20765,'Inventory Lookup'!$O$2:$O$20765,'Calculated Fields'!$AI17,'Inventory Lookup'!$M$2:$M$20765,"Suspension"),"")</f>
        <v>1</v>
      </c>
      <c r="AS17" s="85">
        <f>IFERROR(SUMIFS('Inventory Lookup'!$D$2:$D$20765,'Inventory Lookup'!$O$2:$O$20765,'Calculated Fields'!$AI17,'Inventory Lookup'!$M$2:$M$20765,"Electrical"),"")</f>
        <v>20</v>
      </c>
      <c r="AT17" s="85">
        <f>IFERROR(SUMIFS('Inventory Lookup'!$D$2:$D$20765,'Inventory Lookup'!$O$2:$O$20765,'Calculated Fields'!$AI17,'Inventory Lookup'!$M$2:$M$20765,"Other"),"")</f>
        <v>26</v>
      </c>
      <c r="AU17" s="85">
        <f>IFERROR(SUMIFS('Inventory Lookup'!$E$2:$E$20765,'Inventory Lookup'!$O$2:$O$20765,'Calculated Fields'!$AI17,'Inventory Lookup'!$M$2:$M$20765,"Drive Train"),"")</f>
        <v>1</v>
      </c>
      <c r="AV17" s="85">
        <f>IFERROR(SUMIFS('Inventory Lookup'!$E$2:$E$20765,'Inventory Lookup'!$O$2:$O$20765,'Calculated Fields'!$AI17,'Inventory Lookup'!$M$2:$M$20765,"Body Parts"),"")</f>
        <v>4</v>
      </c>
      <c r="AW17" s="85">
        <f>IFERROR(SUMIFS('Inventory Lookup'!$E$2:$E$20765,'Inventory Lookup'!$O$2:$O$20765,'Calculated Fields'!$AI17,'Inventory Lookup'!$M$2:$M$20765,"Suspension"),"")</f>
        <v>0</v>
      </c>
      <c r="AX17" s="85">
        <f>IFERROR(SUMIFS('Inventory Lookup'!$E$2:$E$20765,'Inventory Lookup'!$O$2:$O$20765,'Calculated Fields'!$AI17,'Inventory Lookup'!$M$2:$M$20765,"Electrical"),"")</f>
        <v>1</v>
      </c>
      <c r="AY17" s="85">
        <f>IFERROR(SUMIFS('Inventory Lookup'!$E$2:$E$20765,'Inventory Lookup'!$O$2:$O$20765,'Calculated Fields'!$AI17,'Inventory Lookup'!$M$2:$M$20765,"Other"),"")</f>
        <v>2</v>
      </c>
      <c r="AZ17" s="78"/>
      <c r="BA17" s="89" t="s">
        <v>38</v>
      </c>
      <c r="BB17" s="91">
        <v>0</v>
      </c>
      <c r="BC17" s="85">
        <f t="shared" ref="BC17:BC22" ca="1" si="19">SUBTOTAL(9,BB17,BH17,BM17,BN17,BP17)</f>
        <v>59</v>
      </c>
      <c r="BD17" s="92">
        <f ca="1">IFERROR(BC17/'Calculated Fields'!$W17,0)</f>
        <v>7.375</v>
      </c>
      <c r="BE17" s="92">
        <f ca="1">IFERROR('Calculated Fields'!$C17/BC17,0)</f>
        <v>77.86440677966101</v>
      </c>
      <c r="BF17" s="93"/>
      <c r="BG17" s="93"/>
      <c r="BH17" s="85">
        <f t="array" aca="1" ref="BH17" ca="1">IFERROR(INDEX('Agent Activity'!$AC$5:$AD$51,MATCH('Calculated Fields'!$BA17,'Agent Activity'!$AB$5:$AB$51,0),1),0)</f>
        <v>6</v>
      </c>
      <c r="BI17" s="93"/>
      <c r="BJ17" s="93"/>
      <c r="BK17" s="94">
        <f t="array" aca="1" ref="BK17" ca="1">IFERROR(INDEX('Agent Activity'!$AC$5:$AD$51,MATCH('Calculated Fields'!$BA17,'Agent Activity'!$AB$5:AB$51,0),2),0)</f>
        <v>1.2997685185185185E-2</v>
      </c>
      <c r="BL17" s="93"/>
      <c r="BM17" s="85">
        <f>SUMIF('RingCentral - Office'!$A$2:$A$482,$BA17,'RingCentral - Office'!$E$2:$E$482)</f>
        <v>24</v>
      </c>
      <c r="BN17" s="85">
        <f>SUMIF('RingCentral - Office'!$A$2:$A$482,$BA17,'RingCentral - Office'!$F$2:$F$482)</f>
        <v>41</v>
      </c>
      <c r="BO17" s="87">
        <f t="shared" ref="BO17:BO22" si="20">IFERROR(BP17/BM17,0)</f>
        <v>-0.5</v>
      </c>
      <c r="BP17" s="85">
        <f>-SUMIF('RingCentral - Office'!$A$2:$A$482,$BA17,'RingCentral - Office'!$H$2:$H$482)</f>
        <v>-12</v>
      </c>
      <c r="BQ17" s="94">
        <f>SUMIF('RingCentral - Office'!$A$2:$A$482,$BA17,'RingCentral - Office'!$I$2:$I$482)</f>
        <v>6.0925925925925925E-2</v>
      </c>
      <c r="BR17" s="85">
        <f>_xlfn.IFNA(INDEX(Audits!$B$2:$E$19,MATCH($BA17,Audits!$A$2:$A$19,0),MATCH('Calculated Fields'!BR$2,Audits!$B$1:$E$1,0)),0)</f>
        <v>0</v>
      </c>
      <c r="BS17" s="85">
        <f>_xlfn.IFNA(INDEX(Audits!$B$2:$E$19,MATCH($BA17,Audits!$A$2:$A$19,0),MATCH('Calculated Fields'!BS$2,Audits!$B$1:$E$1,0)),0)</f>
        <v>0</v>
      </c>
      <c r="BT17" s="85">
        <f>_xlfn.IFNA(INDEX(Audits!$B$2:$E$19,MATCH($BA17,Audits!$A$2:$A$19,0),MATCH('Calculated Fields'!BT$2,Audits!$B$1:$E$1,0)),0)</f>
        <v>0</v>
      </c>
      <c r="BU17" s="164">
        <f>_xlfn.IFNA(INDEX(Audits!$B$2:$E$19,MATCH($BA17,Audits!$A$2:$A$19,0),MATCH('Calculated Fields'!BU$2,Audits!$B$1:$E$1,0)),0)</f>
        <v>0</v>
      </c>
      <c r="BV17" s="85">
        <f>_xlfn.IFNA(INDEX(Audits!$B$2:$E$19,MATCH($BA17,Audits!$A$2:$A$19,0),MATCH('Calculated Fields'!BV$2,Audits!$B$1:$E$1,0)),0)</f>
        <v>0</v>
      </c>
      <c r="BW17" s="165" cm="1">
        <f t="array" aca="1" ref="BW17" ca="1">_xlfn.IFS($B17="","",E17="","", E17&lt;=15000,1, E17&lt;=20000,2, E17&lt;=30000,3, E17&lt;=40000,4, E17&gt;40000,5)</f>
        <v>1</v>
      </c>
      <c r="BX17" s="132" cm="1">
        <f t="array" aca="1" ref="BX17" ca="1">_xlfn.IFS($B17="","",BU17="","", BU17&lt;=60%,1, BU17&lt;=70%,2, BU17&lt;=80%,3, BU17&lt;=90%,4, BU17&gt;90%,5)</f>
        <v>1</v>
      </c>
      <c r="BY17" s="132" cm="1">
        <f t="array" aca="1" ref="BY17" ca="1">_xlfn.IFS($B17="","",BE17="","", BE17&lt;=60,1, BE17&lt;=70,2, BE17&lt;=80,3, BE17&lt;=90,4, BE17&gt;90,5)</f>
        <v>3</v>
      </c>
      <c r="BZ17" s="92">
        <f t="shared" ref="BZ17:BZ22" ca="1" si="21">IF($B17="","",AVERAGE(BW17:BY17))</f>
        <v>1.6666666666666667</v>
      </c>
      <c r="CA17" s="90" t="str" cm="1">
        <f t="array" aca="1" ref="CA17" ca="1">_xlfn.IFS($B17="","",BZ17="","CHECK", BZ17&gt;=5,"A", BZ17&gt;=4,"B", BZ17&gt;=3,"C", BZ17&gt;=2,"D", BZ17&gt;=1,"E")</f>
        <v>E</v>
      </c>
      <c r="CB17" s="88" t="s">
        <v>1058</v>
      </c>
      <c r="CC17" s="88" t="s">
        <v>1058</v>
      </c>
      <c r="CD17" s="88" t="s">
        <v>1058</v>
      </c>
      <c r="CE17" s="88" t="s">
        <v>1058</v>
      </c>
      <c r="CF17" s="88" t="s">
        <v>1058</v>
      </c>
      <c r="CG17" s="3"/>
      <c r="CH17" s="3"/>
      <c r="CI17" s="3"/>
      <c r="CJ17" s="3"/>
      <c r="CK17" s="3"/>
      <c r="CL17" s="3"/>
      <c r="CM17" s="3"/>
      <c r="CN17" s="3"/>
    </row>
    <row r="18" spans="1:92" ht="15.75" customHeight="1">
      <c r="A18" s="78"/>
      <c r="B18" s="89" t="str">
        <f ca="1">IFERROR(__xludf.DUMMYFUNCTION("""COMPUTED_VALUE"""),"Anthony White")</f>
        <v>Anthony White</v>
      </c>
      <c r="C18" s="85">
        <f ca="1">SUMIF('Sales  Returns'!$C$1:$C$19998,'Calculated Fields'!B18,'Sales  Returns'!$D$1:$D$19998)</f>
        <v>3496</v>
      </c>
      <c r="D18" s="85">
        <f t="shared" ca="1" si="11"/>
        <v>6901.01</v>
      </c>
      <c r="E18" s="85">
        <f t="shared" ca="1" si="12"/>
        <v>7251.01</v>
      </c>
      <c r="F18" s="85">
        <f ca="1">SUMIF('Y2Y sales'!$J$2:$J$2000,$B18,'Y2Y sales'!$G$2:$G$2000)</f>
        <v>0</v>
      </c>
      <c r="G18" s="85">
        <f t="shared" ca="1" si="13"/>
        <v>6901.01</v>
      </c>
      <c r="H18" s="85">
        <f ca="1">SUMIF('Sales  Returns'!$C$1:$C$19998,'Calculated Fields'!B18,'Sales  Returns'!$G$1:$G$19998)</f>
        <v>6901.01</v>
      </c>
      <c r="I18" s="85">
        <f ca="1">SUMIF('Sales  Returns'!$C$1:$C$19998,'Calculated Fields'!B18,'Sales  Returns'!$J$1:$J$19998)</f>
        <v>0</v>
      </c>
      <c r="J18" s="85">
        <f ca="1">SUMIF('Sales  Returns'!$C$1:$C$19998,'Calculated Fields'!B18,'Sales  Returns'!$K$1:$K$19998)</f>
        <v>0</v>
      </c>
      <c r="K18" s="86">
        <f t="shared" ca="1" si="14"/>
        <v>0</v>
      </c>
      <c r="L18" s="85">
        <f ca="1">SUMIF('Sales  Returns'!$C$1:$C$19998,'Calculated Fields'!B18,'Sales  Returns'!$O$1:$O$19998)</f>
        <v>300</v>
      </c>
      <c r="M18" s="87">
        <f t="shared" ca="1" si="15"/>
        <v>4.3471897591801777E-2</v>
      </c>
      <c r="N18" s="85">
        <f ca="1">SUMIF('Sales  Returns'!$C$1:$C$19998,'Calculated Fields'!B18,'Sales  Returns'!$P$1:$P$19998)</f>
        <v>50</v>
      </c>
      <c r="O18" s="85">
        <f ca="1">SUMIF('Sales  Returns'!$C$1:$C$19998,'Calculated Fields'!B18,'Sales  Returns'!$F$1:$F$19998)</f>
        <v>19</v>
      </c>
      <c r="P18" s="85">
        <f ca="1">SUMIF('Sales  Returns'!$C$1:$C$19998,'Calculated Fields'!B18,'Sales  Returns'!$T$1:$T$19998)</f>
        <v>381</v>
      </c>
      <c r="Q18" s="85">
        <f ca="1">SUMIF('Sales  Returns'!$C$1:$C$19998,'Calculated Fields'!B18,'Sales  Returns'!$E$1:$E$19998)</f>
        <v>545</v>
      </c>
      <c r="R18" s="85">
        <f ca="1">SUMIF('Sales  Returns'!$C$1:$C$19998,'Calculated Fields'!B18,'Sales  Returns'!$R$1:$R$19998)</f>
        <v>0</v>
      </c>
      <c r="S18" s="85">
        <f ca="1">SUMIF('Sales  Returns'!$C$1:$C$19998,'Calculated Fields'!B18,'Sales  Returns'!$Q$1:$Q$19998)</f>
        <v>443</v>
      </c>
      <c r="T18" s="85">
        <f ca="1">-COUNTIFS('Sales  Returns'!$C$1:$C$19998,'Calculated Fields'!$B18, 'Sales  Returns'!$B$1:$B$19998,'Calculated Fields'!$T$2)</f>
        <v>-2</v>
      </c>
      <c r="U18" s="85">
        <f ca="1">SUMIFS('Sales  Returns'!$D$1:$D$19998,'Sales  Returns'!$C$1:$C$19998,'Calculated Fields'!$B18,'Sales  Returns'!$B$1:$B$19998,'Calculated Fields'!$T$2)</f>
        <v>-405</v>
      </c>
      <c r="V18" s="86">
        <f t="shared" ca="1" si="16"/>
        <v>0.2</v>
      </c>
      <c r="W18" s="85">
        <f ca="1">COUNTIFS('Sales  Returns'!$C$1:$C$19998,'Calculated Fields'!$B18, 'Sales  Returns'!$B$1:$B$19998,"Sales")</f>
        <v>10</v>
      </c>
      <c r="X18" s="188">
        <v>0</v>
      </c>
      <c r="Y18" s="85">
        <f ca="1">SUMIF('Sales  Returns'!$C$1:$C$19998,'Calculated Fields'!$B18,'Sales  Returns'!$H$1:$H$19998)</f>
        <v>15</v>
      </c>
      <c r="Z18" s="85">
        <f ca="1">SUMIF('Sales  Returns'!$C$1:$C$19998,'Calculated Fields'!$B18,'Sales  Returns'!$I$1:$I$19998)</f>
        <v>3</v>
      </c>
      <c r="AA18" s="86">
        <f t="shared" ca="1" si="17"/>
        <v>0.2</v>
      </c>
      <c r="AB18" s="85">
        <f ca="1">SUMIF('Sales  Returns'!$C$1:$C$19998,'Calculated Fields'!$B18,'Sales  Returns'!$M$1:$M$19998)</f>
        <v>0</v>
      </c>
      <c r="AC18" s="85">
        <f ca="1">SUMIF('Sales  Returns'!$C$1:$C$19998,'Calculated Fields'!$B18,'Sales  Returns'!$N$1:$N$19998)</f>
        <v>0</v>
      </c>
      <c r="AD18" s="86">
        <f t="shared" ca="1" si="18"/>
        <v>0</v>
      </c>
      <c r="AE18" s="88" t="s">
        <v>1058</v>
      </c>
      <c r="AF18" s="85">
        <f ca="1">SUMIF('WO &amp; Quote'!$S:$S,TRIM('Calculated Fields'!$B18),'WO &amp; Quote'!$I:$I)</f>
        <v>2515</v>
      </c>
      <c r="AG18" s="85">
        <f ca="1">SUMIF('WO &amp; Quote'!$S:$S,TRIM('Calculated Fields'!$B18),'WO &amp; Quote'!$J:$J) + SUMIF('WO &amp; Quote'!$S:$S,TRIM('Calculated Fields'!$B18),'WO &amp; Quote'!$K:$K)</f>
        <v>0</v>
      </c>
      <c r="AH18" s="78"/>
      <c r="AI18" s="89" t="s">
        <v>90</v>
      </c>
      <c r="AJ18" s="90">
        <f>IFERROR(SUMIF('Inventory Lookup'!$O$2:$O$20765,'Calculated Fields'!$AI18,'Inventory Lookup'!$E$2:$E$20765)/SUMIF('Inventory Lookup'!$O$2:$O$20765,'Calculated Fields'!$AI18,'Inventory Lookup'!$D$2:$D$20765),0)</f>
        <v>0.28301886792452829</v>
      </c>
      <c r="AK18" s="90">
        <f>IFERROR(AU18/SUMIFS('Inventory Lookup'!$D$2:$D$20765,'Inventory Lookup'!$O$2:$O$20765,'Calculated Fields'!$AI18,'Inventory Lookup'!$M$2:$M$20765,"Drive Train"),0)</f>
        <v>0.3</v>
      </c>
      <c r="AL18" s="90">
        <f>IFERROR(AV18/SUMIFS('Inventory Lookup'!$D$2:$D$20765,'Inventory Lookup'!$O$2:$O$20765,'Calculated Fields'!$AI18,'Inventory Lookup'!$M$2:$M$20765,"Body Parts"),0)</f>
        <v>6.6666666666666666E-2</v>
      </c>
      <c r="AM18" s="90">
        <f>IFERROR(AW18/SUMIFS('Inventory Lookup'!$D$2:$D$20765,'Inventory Lookup'!$O$2:$O$20765,'Calculated Fields'!$AI18,'Inventory Lookup'!$M$2:$M$20765,"Suspension"),0)</f>
        <v>0.25</v>
      </c>
      <c r="AN18" s="90">
        <f>IFERROR(AX18/SUMIFS('Inventory Lookup'!$D$2:$D$20765,'Inventory Lookup'!$O$2:$O$20765,'Calculated Fields'!$AI18,'Inventory Lookup'!$M$2:$M$20765,"Electrical"),0)</f>
        <v>0</v>
      </c>
      <c r="AO18" s="86">
        <f>IFERROR(VLOOKUP(AI18,Emp.Lookup!$A$1:$E$40,5,0),0)</f>
        <v>0.51719999999999999</v>
      </c>
      <c r="AP18" s="85">
        <f>IFERROR(SUMIFS('Inventory Lookup'!$D$2:$D$20765,'Inventory Lookup'!$O$2:$O$20765,'Calculated Fields'!$AI18,'Inventory Lookup'!$M$2:$M$20765,"Drive Train"),"")</f>
        <v>10</v>
      </c>
      <c r="AQ18" s="85">
        <f>IFERROR(SUMIFS('Inventory Lookup'!$D$2:$D$20765,'Inventory Lookup'!$O$2:$O$20765,'Calculated Fields'!$AI18,'Inventory Lookup'!$M$2:$M$20765,"Body Parts"),"")</f>
        <v>15</v>
      </c>
      <c r="AR18" s="85">
        <f>IFERROR(SUMIFS('Inventory Lookup'!$D$2:$D$20765,'Inventory Lookup'!$O$2:$O$20765,'Calculated Fields'!$AI18,'Inventory Lookup'!$M$2:$M$20765,"Suspension"),"")</f>
        <v>8</v>
      </c>
      <c r="AS18" s="85">
        <f>IFERROR(SUMIFS('Inventory Lookup'!$D$2:$D$20765,'Inventory Lookup'!$O$2:$O$20765,'Calculated Fields'!$AI18,'Inventory Lookup'!$M$2:$M$20765,"Electrical"),"")</f>
        <v>2</v>
      </c>
      <c r="AT18" s="85">
        <f>IFERROR(SUMIFS('Inventory Lookup'!$D$2:$D$20765,'Inventory Lookup'!$O$2:$O$20765,'Calculated Fields'!$AI18,'Inventory Lookup'!$M$2:$M$20765,"Other"),"")</f>
        <v>18</v>
      </c>
      <c r="AU18" s="85">
        <f>IFERROR(SUMIFS('Inventory Lookup'!$E$2:$E$20765,'Inventory Lookup'!$O$2:$O$20765,'Calculated Fields'!$AI18,'Inventory Lookup'!$M$2:$M$20765,"Drive Train"),"")</f>
        <v>3</v>
      </c>
      <c r="AV18" s="85">
        <f>IFERROR(SUMIFS('Inventory Lookup'!$E$2:$E$20765,'Inventory Lookup'!$O$2:$O$20765,'Calculated Fields'!$AI18,'Inventory Lookup'!$M$2:$M$20765,"Body Parts"),"")</f>
        <v>1</v>
      </c>
      <c r="AW18" s="85">
        <f>IFERROR(SUMIFS('Inventory Lookup'!$E$2:$E$20765,'Inventory Lookup'!$O$2:$O$20765,'Calculated Fields'!$AI18,'Inventory Lookup'!$M$2:$M$20765,"Suspension"),"")</f>
        <v>2</v>
      </c>
      <c r="AX18" s="85">
        <f>IFERROR(SUMIFS('Inventory Lookup'!$E$2:$E$20765,'Inventory Lookup'!$O$2:$O$20765,'Calculated Fields'!$AI18,'Inventory Lookup'!$M$2:$M$20765,"Electrical"),"")</f>
        <v>0</v>
      </c>
      <c r="AY18" s="85">
        <f>IFERROR(SUMIFS('Inventory Lookup'!$E$2:$E$20765,'Inventory Lookup'!$O$2:$O$20765,'Calculated Fields'!$AI18,'Inventory Lookup'!$M$2:$M$20765,"Other"),"")</f>
        <v>9</v>
      </c>
      <c r="AZ18" s="78"/>
      <c r="BA18" s="89" t="s">
        <v>90</v>
      </c>
      <c r="BB18" s="91">
        <v>0</v>
      </c>
      <c r="BC18" s="85">
        <f t="shared" ca="1" si="19"/>
        <v>0</v>
      </c>
      <c r="BD18" s="92">
        <f ca="1">IFERROR(BC18/'Calculated Fields'!$W18,0)</f>
        <v>0</v>
      </c>
      <c r="BE18" s="92">
        <f ca="1">IFERROR('Calculated Fields'!$C18/BC18,0)</f>
        <v>0</v>
      </c>
      <c r="BF18" s="93"/>
      <c r="BG18" s="93"/>
      <c r="BH18" s="85">
        <f t="array" aca="1" ref="BH18" ca="1">IFERROR(INDEX('Agent Activity'!$AC$5:$AD$51,MATCH('Calculated Fields'!$BA18,'Agent Activity'!$AB$5:$AB$51,0),1),0)</f>
        <v>0</v>
      </c>
      <c r="BI18" s="93"/>
      <c r="BJ18" s="93"/>
      <c r="BK18" s="94">
        <f t="array" aca="1" ref="BK18" ca="1">IFERROR(INDEX('Agent Activity'!$AC$5:$AD$51,MATCH('Calculated Fields'!$BA18,'Agent Activity'!$AB$5:AB$51,0),2),0)</f>
        <v>0</v>
      </c>
      <c r="BL18" s="93"/>
      <c r="BM18" s="85">
        <f>SUMIF('RingCentral - Office'!$A$2:$A$482,$BA18,'RingCentral - Office'!$E$2:$E$482)</f>
        <v>0</v>
      </c>
      <c r="BN18" s="85">
        <f>SUMIF('RingCentral - Office'!$A$2:$A$482,$BA18,'RingCentral - Office'!$F$2:$F$482)</f>
        <v>0</v>
      </c>
      <c r="BO18" s="87">
        <f t="shared" si="20"/>
        <v>0</v>
      </c>
      <c r="BP18" s="85">
        <f>-SUMIF('RingCentral - Office'!$A$2:$A$482,$BA18,'RingCentral - Office'!$H$2:$H$482)</f>
        <v>0</v>
      </c>
      <c r="BQ18" s="94">
        <f>SUMIF('RingCentral - Office'!$A$2:$A$482,$BA18,'RingCentral - Office'!$I$2:$I$482)</f>
        <v>0</v>
      </c>
      <c r="BR18" s="85">
        <f>_xlfn.IFNA(INDEX(Audits!$B$2:$E$19,MATCH($BA18,Audits!$A$2:$A$19,0),MATCH('Calculated Fields'!BR$2,Audits!$B$1:$E$1,0)),0)</f>
        <v>0</v>
      </c>
      <c r="BS18" s="85">
        <f>_xlfn.IFNA(INDEX(Audits!$B$2:$E$19,MATCH($BA18,Audits!$A$2:$A$19,0),MATCH('Calculated Fields'!BS$2,Audits!$B$1:$E$1,0)),0)</f>
        <v>15</v>
      </c>
      <c r="BT18" s="85">
        <f>_xlfn.IFNA(INDEX(Audits!$B$2:$E$19,MATCH($BA18,Audits!$A$2:$A$19,0),MATCH('Calculated Fields'!BT$2,Audits!$B$1:$E$1,0)),0)</f>
        <v>0</v>
      </c>
      <c r="BU18" s="164">
        <f>_xlfn.IFNA(INDEX(Audits!$B$2:$E$19,MATCH($BA18,Audits!$A$2:$A$19,0),MATCH('Calculated Fields'!BU$2,Audits!$B$1:$E$1,0)),0)</f>
        <v>0</v>
      </c>
      <c r="BV18" s="85">
        <f>_xlfn.IFNA(INDEX(Audits!$B$2:$E$19,MATCH($BA18,Audits!$A$2:$A$19,0),MATCH('Calculated Fields'!BV$2,Audits!$B$1:$E$1,0)),0)</f>
        <v>0</v>
      </c>
      <c r="BW18" s="165" cm="1">
        <f t="array" aca="1" ref="BW18" ca="1">_xlfn.IFS($B18="","",E18="","", E18&lt;=15000,1, E18&lt;=20000,2, E18&lt;=30000,3, E18&lt;=40000,4, E18&gt;40000,5)</f>
        <v>1</v>
      </c>
      <c r="BX18" s="132" cm="1">
        <f t="array" aca="1" ref="BX18" ca="1">_xlfn.IFS($B18="","",BU18="","", BU18&lt;=60%,1, BU18&lt;=70%,2, BU18&lt;=80%,3, BU18&lt;=90%,4, BU18&gt;90%,5)</f>
        <v>1</v>
      </c>
      <c r="BY18" s="132" cm="1">
        <f t="array" aca="1" ref="BY18" ca="1">_xlfn.IFS($B18="","",BE18="","", BE18&lt;=60,1, BE18&lt;=70,2, BE18&lt;=80,3, BE18&lt;=90,4, BE18&gt;90,5)</f>
        <v>1</v>
      </c>
      <c r="BZ18" s="92">
        <f t="shared" ca="1" si="21"/>
        <v>1</v>
      </c>
      <c r="CA18" s="90" t="str" cm="1">
        <f t="array" aca="1" ref="CA18" ca="1">_xlfn.IFS($B18="","",BZ18="","CHECK", BZ18&gt;=5,"A", BZ18&gt;=4,"B", BZ18&gt;=3,"C", BZ18&gt;=2,"D", BZ18&gt;=1,"E")</f>
        <v>E</v>
      </c>
      <c r="CB18" s="88" t="s">
        <v>1058</v>
      </c>
      <c r="CC18" s="88" t="s">
        <v>1058</v>
      </c>
      <c r="CD18" s="88" t="s">
        <v>1058</v>
      </c>
      <c r="CE18" s="88" t="s">
        <v>1058</v>
      </c>
      <c r="CF18" s="88" t="s">
        <v>1058</v>
      </c>
      <c r="CG18" s="3"/>
      <c r="CH18" s="3"/>
      <c r="CI18" s="3"/>
      <c r="CJ18" s="3"/>
      <c r="CK18" s="3"/>
      <c r="CL18" s="3"/>
      <c r="CM18" s="3"/>
      <c r="CN18" s="3"/>
    </row>
    <row r="19" spans="1:92" ht="15.75" customHeight="1">
      <c r="A19" s="78"/>
      <c r="B19" s="89" t="str">
        <f ca="1">IFERROR(__xludf.DUMMYFUNCTION("""COMPUTED_VALUE"""),"Ashley Lewis")</f>
        <v>Ashley Lewis</v>
      </c>
      <c r="C19" s="85">
        <f ca="1">SUMIF('Sales  Returns'!$C$1:$C$19998,'Calculated Fields'!B19,'Sales  Returns'!$D$1:$D$19998)</f>
        <v>3857</v>
      </c>
      <c r="D19" s="85">
        <f t="shared" ca="1" si="11"/>
        <v>2715</v>
      </c>
      <c r="E19" s="85">
        <f t="shared" ca="1" si="12"/>
        <v>2715</v>
      </c>
      <c r="F19" s="85">
        <f ca="1">SUMIF('Y2Y sales'!$J$2:$J$2000,$B19,'Y2Y sales'!$G$2:$G$2000)</f>
        <v>0</v>
      </c>
      <c r="G19" s="85">
        <f t="shared" ca="1" si="13"/>
        <v>2715</v>
      </c>
      <c r="H19" s="85">
        <f ca="1">SUMIF('Sales  Returns'!$C$1:$C$19998,'Calculated Fields'!B19,'Sales  Returns'!$G$1:$G$19998)</f>
        <v>2715</v>
      </c>
      <c r="I19" s="85">
        <f ca="1">SUMIF('Sales  Returns'!$C$1:$C$19998,'Calculated Fields'!B19,'Sales  Returns'!$J$1:$J$19998)</f>
        <v>0</v>
      </c>
      <c r="J19" s="85">
        <f ca="1">SUMIF('Sales  Returns'!$C$1:$C$19998,'Calculated Fields'!B19,'Sales  Returns'!$K$1:$K$19998)</f>
        <v>0</v>
      </c>
      <c r="K19" s="86">
        <f t="shared" ca="1" si="14"/>
        <v>0</v>
      </c>
      <c r="L19" s="85">
        <f ca="1">SUMIF('Sales  Returns'!$C$1:$C$19998,'Calculated Fields'!B19,'Sales  Returns'!$O$1:$O$19998)</f>
        <v>0</v>
      </c>
      <c r="M19" s="87">
        <f t="shared" ca="1" si="15"/>
        <v>0</v>
      </c>
      <c r="N19" s="85">
        <f ca="1">SUMIF('Sales  Returns'!$C$1:$C$19998,'Calculated Fields'!B19,'Sales  Returns'!$P$1:$P$19998)</f>
        <v>0</v>
      </c>
      <c r="O19" s="85">
        <f ca="1">SUMIF('Sales  Returns'!$C$1:$C$19998,'Calculated Fields'!B19,'Sales  Returns'!$F$1:$F$19998)</f>
        <v>55</v>
      </c>
      <c r="P19" s="85">
        <f ca="1">SUMIF('Sales  Returns'!$C$1:$C$19998,'Calculated Fields'!B19,'Sales  Returns'!$T$1:$T$19998)</f>
        <v>122</v>
      </c>
      <c r="Q19" s="85">
        <f ca="1">SUMIF('Sales  Returns'!$C$1:$C$19998,'Calculated Fields'!B19,'Sales  Returns'!$E$1:$E$19998)</f>
        <v>300</v>
      </c>
      <c r="R19" s="85">
        <f ca="1">SUMIF('Sales  Returns'!$C$1:$C$19998,'Calculated Fields'!B19,'Sales  Returns'!$R$1:$R$19998)</f>
        <v>0</v>
      </c>
      <c r="S19" s="85">
        <f ca="1">SUMIF('Sales  Returns'!$C$1:$C$19998,'Calculated Fields'!B19,'Sales  Returns'!$Q$1:$Q$19998)</f>
        <v>170</v>
      </c>
      <c r="T19" s="85">
        <f ca="1">-COUNTIFS('Sales  Returns'!$C$1:$C$19998,'Calculated Fields'!$B19, 'Sales  Returns'!$B$1:$B$19998,'Calculated Fields'!$T$2)</f>
        <v>-1</v>
      </c>
      <c r="U19" s="85">
        <f ca="1">SUMIFS('Sales  Returns'!$D$1:$D$19998,'Sales  Returns'!$C$1:$C$19998,'Calculated Fields'!$B19,'Sales  Returns'!$B$1:$B$19998,'Calculated Fields'!$T$2)</f>
        <v>-215</v>
      </c>
      <c r="V19" s="86">
        <f t="shared" ca="1" si="16"/>
        <v>7.1428571428571425E-2</v>
      </c>
      <c r="W19" s="85">
        <f ca="1">COUNTIFS('Sales  Returns'!$C$1:$C$19998,'Calculated Fields'!$B19, 'Sales  Returns'!$B$1:$B$19998,"Sales")</f>
        <v>10</v>
      </c>
      <c r="X19" s="188">
        <v>0</v>
      </c>
      <c r="Y19" s="85">
        <f ca="1">SUMIF('Sales  Returns'!$C$1:$C$19998,'Calculated Fields'!$B19,'Sales  Returns'!$H$1:$H$19998)</f>
        <v>14</v>
      </c>
      <c r="Z19" s="85">
        <f ca="1">SUMIF('Sales  Returns'!$C$1:$C$19998,'Calculated Fields'!$B19,'Sales  Returns'!$I$1:$I$19998)</f>
        <v>1</v>
      </c>
      <c r="AA19" s="86">
        <f t="shared" ca="1" si="17"/>
        <v>7.1428571428571425E-2</v>
      </c>
      <c r="AB19" s="85">
        <f ca="1">SUMIF('Sales  Returns'!$C$1:$C$19998,'Calculated Fields'!$B19,'Sales  Returns'!$M$1:$M$19998)</f>
        <v>0</v>
      </c>
      <c r="AC19" s="85">
        <f ca="1">SUMIF('Sales  Returns'!$C$1:$C$19998,'Calculated Fields'!$B19,'Sales  Returns'!$N$1:$N$19998)</f>
        <v>0</v>
      </c>
      <c r="AD19" s="86">
        <f t="shared" ca="1" si="18"/>
        <v>0</v>
      </c>
      <c r="AE19" s="88" t="s">
        <v>1058</v>
      </c>
      <c r="AF19" s="85">
        <f ca="1">SUMIF('WO &amp; Quote'!$S:$S,TRIM('Calculated Fields'!$B19),'WO &amp; Quote'!$I:$I)</f>
        <v>3640</v>
      </c>
      <c r="AG19" s="85">
        <f ca="1">SUMIF('WO &amp; Quote'!$S:$S,TRIM('Calculated Fields'!$B19),'WO &amp; Quote'!$J:$J) + SUMIF('WO &amp; Quote'!$S:$S,TRIM('Calculated Fields'!$B19),'WO &amp; Quote'!$K:$K)</f>
        <v>0</v>
      </c>
      <c r="AH19" s="78"/>
      <c r="AI19" s="89" t="s">
        <v>44</v>
      </c>
      <c r="AJ19" s="90">
        <f>IFERROR(SUMIF('Inventory Lookup'!$O$2:$O$20765,'Calculated Fields'!$AI19,'Inventory Lookup'!$E$2:$E$20765)/SUMIF('Inventory Lookup'!$O$2:$O$20765,'Calculated Fields'!$AI19,'Inventory Lookup'!$D$2:$D$20765),0)</f>
        <v>0.22580645161290322</v>
      </c>
      <c r="AK19" s="90">
        <f>IFERROR(AU19/SUMIFS('Inventory Lookup'!$D$2:$D$20765,'Inventory Lookup'!$O$2:$O$20765,'Calculated Fields'!$AI19,'Inventory Lookup'!$M$2:$M$20765,"Drive Train"),0)</f>
        <v>0.33333333333333331</v>
      </c>
      <c r="AL19" s="90">
        <f>IFERROR(AV19/SUMIFS('Inventory Lookup'!$D$2:$D$20765,'Inventory Lookup'!$O$2:$O$20765,'Calculated Fields'!$AI19,'Inventory Lookup'!$M$2:$M$20765,"Body Parts"),0)</f>
        <v>0.17142857142857143</v>
      </c>
      <c r="AM19" s="90">
        <f>IFERROR(AW19/SUMIFS('Inventory Lookup'!$D$2:$D$20765,'Inventory Lookup'!$O$2:$O$20765,'Calculated Fields'!$AI19,'Inventory Lookup'!$M$2:$M$20765,"Suspension"),0)</f>
        <v>0</v>
      </c>
      <c r="AN19" s="90">
        <f>IFERROR(AX19/SUMIFS('Inventory Lookup'!$D$2:$D$20765,'Inventory Lookup'!$O$2:$O$20765,'Calculated Fields'!$AI19,'Inventory Lookup'!$M$2:$M$20765,"Electrical"),0)</f>
        <v>0</v>
      </c>
      <c r="AO19" s="86">
        <f>IFERROR(VLOOKUP(AI19,Emp.Lookup!$A$1:$E$40,5,0),0)</f>
        <v>0.37840000000000001</v>
      </c>
      <c r="AP19" s="85">
        <f>IFERROR(SUMIFS('Inventory Lookup'!$D$2:$D$20765,'Inventory Lookup'!$O$2:$O$20765,'Calculated Fields'!$AI19,'Inventory Lookup'!$M$2:$M$20765,"Drive Train"),"")</f>
        <v>3</v>
      </c>
      <c r="AQ19" s="85">
        <f>IFERROR(SUMIFS('Inventory Lookup'!$D$2:$D$20765,'Inventory Lookup'!$O$2:$O$20765,'Calculated Fields'!$AI19,'Inventory Lookup'!$M$2:$M$20765,"Body Parts"),"")</f>
        <v>35</v>
      </c>
      <c r="AR19" s="85">
        <f>IFERROR(SUMIFS('Inventory Lookup'!$D$2:$D$20765,'Inventory Lookup'!$O$2:$O$20765,'Calculated Fields'!$AI19,'Inventory Lookup'!$M$2:$M$20765,"Suspension"),"")</f>
        <v>2</v>
      </c>
      <c r="AS19" s="85">
        <f>IFERROR(SUMIFS('Inventory Lookup'!$D$2:$D$20765,'Inventory Lookup'!$O$2:$O$20765,'Calculated Fields'!$AI19,'Inventory Lookup'!$M$2:$M$20765,"Electrical"),"")</f>
        <v>1</v>
      </c>
      <c r="AT19" s="85">
        <f>IFERROR(SUMIFS('Inventory Lookup'!$D$2:$D$20765,'Inventory Lookup'!$O$2:$O$20765,'Calculated Fields'!$AI19,'Inventory Lookup'!$M$2:$M$20765,"Other"),"")</f>
        <v>21</v>
      </c>
      <c r="AU19" s="85">
        <f>IFERROR(SUMIFS('Inventory Lookup'!$E$2:$E$20765,'Inventory Lookup'!$O$2:$O$20765,'Calculated Fields'!$AI19,'Inventory Lookup'!$M$2:$M$20765,"Drive Train"),"")</f>
        <v>1</v>
      </c>
      <c r="AV19" s="85">
        <f>IFERROR(SUMIFS('Inventory Lookup'!$E$2:$E$20765,'Inventory Lookup'!$O$2:$O$20765,'Calculated Fields'!$AI19,'Inventory Lookup'!$M$2:$M$20765,"Body Parts"),"")</f>
        <v>6</v>
      </c>
      <c r="AW19" s="85">
        <f>IFERROR(SUMIFS('Inventory Lookup'!$E$2:$E$20765,'Inventory Lookup'!$O$2:$O$20765,'Calculated Fields'!$AI19,'Inventory Lookup'!$M$2:$M$20765,"Suspension"),"")</f>
        <v>0</v>
      </c>
      <c r="AX19" s="85">
        <f>IFERROR(SUMIFS('Inventory Lookup'!$E$2:$E$20765,'Inventory Lookup'!$O$2:$O$20765,'Calculated Fields'!$AI19,'Inventory Lookup'!$M$2:$M$20765,"Electrical"),"")</f>
        <v>0</v>
      </c>
      <c r="AY19" s="85">
        <f>IFERROR(SUMIFS('Inventory Lookup'!$E$2:$E$20765,'Inventory Lookup'!$O$2:$O$20765,'Calculated Fields'!$AI19,'Inventory Lookup'!$M$2:$M$20765,"Other"),"")</f>
        <v>7</v>
      </c>
      <c r="AZ19" s="78"/>
      <c r="BA19" s="89" t="s">
        <v>44</v>
      </c>
      <c r="BB19" s="91">
        <v>0</v>
      </c>
      <c r="BC19" s="85">
        <f t="shared" ca="1" si="19"/>
        <v>84</v>
      </c>
      <c r="BD19" s="92">
        <f ca="1">IFERROR(BC19/'Calculated Fields'!$W19,0)</f>
        <v>8.4</v>
      </c>
      <c r="BE19" s="92">
        <f ca="1">IFERROR('Calculated Fields'!$C19/BC19,0)</f>
        <v>45.916666666666664</v>
      </c>
      <c r="BF19" s="93"/>
      <c r="BG19" s="93"/>
      <c r="BH19" s="85">
        <f t="array" aca="1" ref="BH19" ca="1">IFERROR(INDEX('Agent Activity'!$AC$5:$AD$51,MATCH('Calculated Fields'!$BA19,'Agent Activity'!$AB$5:$AB$51,0),1),0)</f>
        <v>28</v>
      </c>
      <c r="BI19" s="93"/>
      <c r="BJ19" s="93"/>
      <c r="BK19" s="94">
        <f t="array" aca="1" ref="BK19" ca="1">IFERROR(INDEX('Agent Activity'!$AC$5:$AD$51,MATCH('Calculated Fields'!$BA19,'Agent Activity'!$AB$5:AB$51,0),2),0)</f>
        <v>5.8078703703703702E-2</v>
      </c>
      <c r="BL19" s="93"/>
      <c r="BM19" s="85">
        <f>SUMIF('RingCentral - Office'!$A$2:$A$482,$BA19,'RingCentral - Office'!$E$2:$E$482)</f>
        <v>25</v>
      </c>
      <c r="BN19" s="85">
        <f>SUMIF('RingCentral - Office'!$A$2:$A$482,$BA19,'RingCentral - Office'!$F$2:$F$482)</f>
        <v>40</v>
      </c>
      <c r="BO19" s="87">
        <f t="shared" si="20"/>
        <v>-0.36</v>
      </c>
      <c r="BP19" s="85">
        <f>-SUMIF('RingCentral - Office'!$A$2:$A$482,$BA19,'RingCentral - Office'!$H$2:$H$482)</f>
        <v>-9</v>
      </c>
      <c r="BQ19" s="94">
        <f>SUMIF('RingCentral - Office'!$A$2:$A$482,$BA19,'RingCentral - Office'!$I$2:$I$482)</f>
        <v>0.11016203703703703</v>
      </c>
      <c r="BR19" s="85">
        <f>_xlfn.IFNA(INDEX(Audits!$B$2:$E$19,MATCH($BA19,Audits!$A$2:$A$19,0),MATCH('Calculated Fields'!BR$2,Audits!$B$1:$E$1,0)),0)</f>
        <v>0</v>
      </c>
      <c r="BS19" s="85">
        <f>_xlfn.IFNA(INDEX(Audits!$B$2:$E$19,MATCH($BA19,Audits!$A$2:$A$19,0),MATCH('Calculated Fields'!BS$2,Audits!$B$1:$E$1,0)),0)</f>
        <v>18</v>
      </c>
      <c r="BT19" s="85">
        <f>_xlfn.IFNA(INDEX(Audits!$B$2:$E$19,MATCH($BA19,Audits!$A$2:$A$19,0),MATCH('Calculated Fields'!BT$2,Audits!$B$1:$E$1,0)),0)</f>
        <v>0</v>
      </c>
      <c r="BU19" s="164">
        <f>_xlfn.IFNA(INDEX(Audits!$B$2:$E$19,MATCH($BA19,Audits!$A$2:$A$19,0),MATCH('Calculated Fields'!BU$2,Audits!$B$1:$E$1,0)),0)</f>
        <v>0</v>
      </c>
      <c r="BV19" s="85">
        <f>_xlfn.IFNA(INDEX(Audits!$B$2:$E$19,MATCH($BA19,Audits!$A$2:$A$19,0),MATCH('Calculated Fields'!BV$2,Audits!$B$1:$E$1,0)),0)</f>
        <v>0</v>
      </c>
      <c r="BW19" s="165" cm="1">
        <f t="array" aca="1" ref="BW19" ca="1">_xlfn.IFS($B19="","",E19="","", E19&lt;=15000,1, E19&lt;=20000,2, E19&lt;=30000,3, E19&lt;=40000,4, E19&gt;40000,5)</f>
        <v>1</v>
      </c>
      <c r="BX19" s="132" cm="1">
        <f t="array" aca="1" ref="BX19" ca="1">_xlfn.IFS($B19="","",BU19="","", BU19&lt;=60%,1, BU19&lt;=70%,2, BU19&lt;=80%,3, BU19&lt;=90%,4, BU19&gt;90%,5)</f>
        <v>1</v>
      </c>
      <c r="BY19" s="132" cm="1">
        <f t="array" aca="1" ref="BY19" ca="1">_xlfn.IFS($B19="","",BE19="","", BE19&lt;=60,1, BE19&lt;=70,2, BE19&lt;=80,3, BE19&lt;=90,4, BE19&gt;90,5)</f>
        <v>1</v>
      </c>
      <c r="BZ19" s="92">
        <f t="shared" ca="1" si="21"/>
        <v>1</v>
      </c>
      <c r="CA19" s="90" t="str" cm="1">
        <f t="array" aca="1" ref="CA19" ca="1">_xlfn.IFS($B19="","",BZ19="","CHECK", BZ19&gt;=5,"A", BZ19&gt;=4,"B", BZ19&gt;=3,"C", BZ19&gt;=2,"D", BZ19&gt;=1,"E")</f>
        <v>E</v>
      </c>
      <c r="CB19" s="88" t="s">
        <v>1058</v>
      </c>
      <c r="CC19" s="88" t="s">
        <v>1058</v>
      </c>
      <c r="CD19" s="88" t="s">
        <v>1058</v>
      </c>
      <c r="CE19" s="88" t="s">
        <v>1058</v>
      </c>
      <c r="CF19" s="88" t="s">
        <v>1058</v>
      </c>
      <c r="CG19" s="3"/>
      <c r="CH19" s="3"/>
      <c r="CI19" s="3"/>
      <c r="CJ19" s="3"/>
      <c r="CK19" s="3"/>
      <c r="CL19" s="3"/>
      <c r="CM19" s="3"/>
      <c r="CN19" s="3"/>
    </row>
    <row r="20" spans="1:92" ht="15.75" customHeight="1">
      <c r="A20" s="78"/>
      <c r="B20" s="89" t="str">
        <f ca="1">IFERROR(__xludf.DUMMYFUNCTION("""COMPUTED_VALUE"""),"Daniel Walker")</f>
        <v>Daniel Walker</v>
      </c>
      <c r="C20" s="85">
        <f ca="1">SUMIF('Sales  Returns'!$C$1:$C$19998,'Calculated Fields'!B20,'Sales  Returns'!$D$1:$D$19998)</f>
        <v>4972</v>
      </c>
      <c r="D20" s="85">
        <f t="shared" ca="1" si="11"/>
        <v>2905</v>
      </c>
      <c r="E20" s="85">
        <f t="shared" ca="1" si="12"/>
        <v>3005</v>
      </c>
      <c r="F20" s="85">
        <f ca="1">SUMIF('Y2Y sales'!$J$2:$J$2000,$B20,'Y2Y sales'!$G$2:$G$2000)</f>
        <v>0</v>
      </c>
      <c r="G20" s="85">
        <f t="shared" ca="1" si="13"/>
        <v>2905</v>
      </c>
      <c r="H20" s="85">
        <f ca="1">SUMIF('Sales  Returns'!$C$1:$C$19998,'Calculated Fields'!B20,'Sales  Returns'!$G$1:$G$19998)</f>
        <v>2905</v>
      </c>
      <c r="I20" s="85">
        <f ca="1">SUMIF('Sales  Returns'!$C$1:$C$19998,'Calculated Fields'!B20,'Sales  Returns'!$J$1:$J$19998)</f>
        <v>0</v>
      </c>
      <c r="J20" s="85">
        <f ca="1">SUMIF('Sales  Returns'!$C$1:$C$19998,'Calculated Fields'!B20,'Sales  Returns'!$K$1:$K$19998)</f>
        <v>0</v>
      </c>
      <c r="K20" s="86">
        <f t="shared" ca="1" si="14"/>
        <v>0</v>
      </c>
      <c r="L20" s="85">
        <f ca="1">SUMIF('Sales  Returns'!$C$1:$C$19998,'Calculated Fields'!B20,'Sales  Returns'!$O$1:$O$19998)</f>
        <v>0</v>
      </c>
      <c r="M20" s="87">
        <f t="shared" ca="1" si="15"/>
        <v>0</v>
      </c>
      <c r="N20" s="85">
        <f ca="1">SUMIF('Sales  Returns'!$C$1:$C$19998,'Calculated Fields'!B20,'Sales  Returns'!$P$1:$P$19998)</f>
        <v>100</v>
      </c>
      <c r="O20" s="85">
        <f ca="1">SUMIF('Sales  Returns'!$C$1:$C$19998,'Calculated Fields'!B20,'Sales  Returns'!$F$1:$F$19998)</f>
        <v>71</v>
      </c>
      <c r="P20" s="85">
        <f ca="1">SUMIF('Sales  Returns'!$C$1:$C$19998,'Calculated Fields'!B20,'Sales  Returns'!$T$1:$T$19998)</f>
        <v>150</v>
      </c>
      <c r="Q20" s="85">
        <f ca="1">SUMIF('Sales  Returns'!$C$1:$C$19998,'Calculated Fields'!B20,'Sales  Returns'!$E$1:$E$19998)</f>
        <v>390</v>
      </c>
      <c r="R20" s="85">
        <f ca="1">SUMIF('Sales  Returns'!$C$1:$C$19998,'Calculated Fields'!B20,'Sales  Returns'!$R$1:$R$19998)</f>
        <v>0</v>
      </c>
      <c r="S20" s="85">
        <f ca="1">SUMIF('Sales  Returns'!$C$1:$C$19998,'Calculated Fields'!B20,'Sales  Returns'!$Q$1:$Q$19998)</f>
        <v>93</v>
      </c>
      <c r="T20" s="85">
        <f ca="1">-COUNTIFS('Sales  Returns'!$C$1:$C$19998,'Calculated Fields'!$B20, 'Sales  Returns'!$B$1:$B$19998,'Calculated Fields'!$T$2)</f>
        <v>-1</v>
      </c>
      <c r="U20" s="85">
        <f ca="1">SUMIFS('Sales  Returns'!$D$1:$D$19998,'Sales  Returns'!$C$1:$C$19998,'Calculated Fields'!$B20,'Sales  Returns'!$B$1:$B$19998,'Calculated Fields'!$T$2)</f>
        <v>-135</v>
      </c>
      <c r="V20" s="86">
        <f t="shared" ca="1" si="16"/>
        <v>6.25E-2</v>
      </c>
      <c r="W20" s="85">
        <f ca="1">COUNTIFS('Sales  Returns'!$C$1:$C$19998,'Calculated Fields'!$B20, 'Sales  Returns'!$B$1:$B$19998,"Sales")</f>
        <v>10</v>
      </c>
      <c r="X20" s="188">
        <v>0</v>
      </c>
      <c r="Y20" s="85">
        <f ca="1">SUMIF('Sales  Returns'!$C$1:$C$19998,'Calculated Fields'!$B20,'Sales  Returns'!$H$1:$H$19998)</f>
        <v>16</v>
      </c>
      <c r="Z20" s="85">
        <f ca="1">SUMIF('Sales  Returns'!$C$1:$C$19998,'Calculated Fields'!$B20,'Sales  Returns'!$I$1:$I$19998)</f>
        <v>1</v>
      </c>
      <c r="AA20" s="86">
        <f t="shared" ca="1" si="17"/>
        <v>6.25E-2</v>
      </c>
      <c r="AB20" s="85">
        <f ca="1">SUMIF('Sales  Returns'!$C$1:$C$19998,'Calculated Fields'!$B20,'Sales  Returns'!$M$1:$M$19998)</f>
        <v>0</v>
      </c>
      <c r="AC20" s="85">
        <f ca="1">SUMIF('Sales  Returns'!$C$1:$C$19998,'Calculated Fields'!$B20,'Sales  Returns'!$N$1:$N$19998)</f>
        <v>0</v>
      </c>
      <c r="AD20" s="86">
        <f t="shared" ca="1" si="18"/>
        <v>0</v>
      </c>
      <c r="AE20" s="88" t="s">
        <v>1058</v>
      </c>
      <c r="AF20" s="85">
        <f ca="1">SUMIF('WO &amp; Quote'!$S:$S,TRIM('Calculated Fields'!$B20),'WO &amp; Quote'!$I:$I)</f>
        <v>7450</v>
      </c>
      <c r="AG20" s="85">
        <f ca="1">SUMIF('WO &amp; Quote'!$S:$S,TRIM('Calculated Fields'!$B20),'WO &amp; Quote'!$J:$J) + SUMIF('WO &amp; Quote'!$S:$S,TRIM('Calculated Fields'!$B20),'WO &amp; Quote'!$K:$K)</f>
        <v>0</v>
      </c>
      <c r="AH20" s="78"/>
      <c r="AI20" s="89" t="s">
        <v>47</v>
      </c>
      <c r="AJ20" s="90">
        <f>IFERROR(SUMIF('Inventory Lookup'!$O$2:$O$20765,'Calculated Fields'!$AI20,'Inventory Lookup'!$E$2:$E$20765)/SUMIF('Inventory Lookup'!$O$2:$O$20765,'Calculated Fields'!$AI20,'Inventory Lookup'!$D$2:$D$20765),0)</f>
        <v>0.16494845360824742</v>
      </c>
      <c r="AK20" s="90">
        <f>IFERROR(AU20/SUMIFS('Inventory Lookup'!$D$2:$D$20765,'Inventory Lookup'!$O$2:$O$20765,'Calculated Fields'!$AI20,'Inventory Lookup'!$M$2:$M$20765,"Drive Train"),0)</f>
        <v>6.6666666666666666E-2</v>
      </c>
      <c r="AL20" s="90">
        <f>IFERROR(AV20/SUMIFS('Inventory Lookup'!$D$2:$D$20765,'Inventory Lookup'!$O$2:$O$20765,'Calculated Fields'!$AI20,'Inventory Lookup'!$M$2:$M$20765,"Body Parts"),0)</f>
        <v>0.25</v>
      </c>
      <c r="AM20" s="90">
        <f>IFERROR(AW20/SUMIFS('Inventory Lookup'!$D$2:$D$20765,'Inventory Lookup'!$O$2:$O$20765,'Calculated Fields'!$AI20,'Inventory Lookup'!$M$2:$M$20765,"Suspension"),0)</f>
        <v>0.22222222222222221</v>
      </c>
      <c r="AN20" s="90">
        <f>IFERROR(AX20/SUMIFS('Inventory Lookup'!$D$2:$D$20765,'Inventory Lookup'!$O$2:$O$20765,'Calculated Fields'!$AI20,'Inventory Lookup'!$M$2:$M$20765,"Electrical"),0)</f>
        <v>0</v>
      </c>
      <c r="AO20" s="86">
        <f>IFERROR(VLOOKUP(AI20,Emp.Lookup!$A$1:$E$40,5,0),0)</f>
        <v>0.26669999999999999</v>
      </c>
      <c r="AP20" s="85">
        <f>IFERROR(SUMIFS('Inventory Lookup'!$D$2:$D$20765,'Inventory Lookup'!$O$2:$O$20765,'Calculated Fields'!$AI20,'Inventory Lookup'!$M$2:$M$20765,"Drive Train"),"")</f>
        <v>15</v>
      </c>
      <c r="AQ20" s="85">
        <f>IFERROR(SUMIFS('Inventory Lookup'!$D$2:$D$20765,'Inventory Lookup'!$O$2:$O$20765,'Calculated Fields'!$AI20,'Inventory Lookup'!$M$2:$M$20765,"Body Parts"),"")</f>
        <v>32</v>
      </c>
      <c r="AR20" s="85">
        <f>IFERROR(SUMIFS('Inventory Lookup'!$D$2:$D$20765,'Inventory Lookup'!$O$2:$O$20765,'Calculated Fields'!$AI20,'Inventory Lookup'!$M$2:$M$20765,"Suspension"),"")</f>
        <v>9</v>
      </c>
      <c r="AS20" s="85">
        <f>IFERROR(SUMIFS('Inventory Lookup'!$D$2:$D$20765,'Inventory Lookup'!$O$2:$O$20765,'Calculated Fields'!$AI20,'Inventory Lookup'!$M$2:$M$20765,"Electrical"),"")</f>
        <v>1</v>
      </c>
      <c r="AT20" s="85">
        <f>IFERROR(SUMIFS('Inventory Lookup'!$D$2:$D$20765,'Inventory Lookup'!$O$2:$O$20765,'Calculated Fields'!$AI20,'Inventory Lookup'!$M$2:$M$20765,"Other"),"")</f>
        <v>40</v>
      </c>
      <c r="AU20" s="85">
        <f>IFERROR(SUMIFS('Inventory Lookup'!$E$2:$E$20765,'Inventory Lookup'!$O$2:$O$20765,'Calculated Fields'!$AI20,'Inventory Lookup'!$M$2:$M$20765,"Drive Train"),"")</f>
        <v>1</v>
      </c>
      <c r="AV20" s="85">
        <f>IFERROR(SUMIFS('Inventory Lookup'!$E$2:$E$20765,'Inventory Lookup'!$O$2:$O$20765,'Calculated Fields'!$AI20,'Inventory Lookup'!$M$2:$M$20765,"Body Parts"),"")</f>
        <v>8</v>
      </c>
      <c r="AW20" s="85">
        <f>IFERROR(SUMIFS('Inventory Lookup'!$E$2:$E$20765,'Inventory Lookup'!$O$2:$O$20765,'Calculated Fields'!$AI20,'Inventory Lookup'!$M$2:$M$20765,"Suspension"),"")</f>
        <v>2</v>
      </c>
      <c r="AX20" s="85">
        <f>IFERROR(SUMIFS('Inventory Lookup'!$E$2:$E$20765,'Inventory Lookup'!$O$2:$O$20765,'Calculated Fields'!$AI20,'Inventory Lookup'!$M$2:$M$20765,"Electrical"),"")</f>
        <v>0</v>
      </c>
      <c r="AY20" s="85">
        <f>IFERROR(SUMIFS('Inventory Lookup'!$E$2:$E$20765,'Inventory Lookup'!$O$2:$O$20765,'Calculated Fields'!$AI20,'Inventory Lookup'!$M$2:$M$20765,"Other"),"")</f>
        <v>5</v>
      </c>
      <c r="AZ20" s="98"/>
      <c r="BA20" s="89" t="s">
        <v>47</v>
      </c>
      <c r="BB20" s="91">
        <v>0</v>
      </c>
      <c r="BC20" s="85">
        <f t="shared" ca="1" si="19"/>
        <v>37</v>
      </c>
      <c r="BD20" s="92">
        <f ca="1">IFERROR(BC20/'Calculated Fields'!$W20,0)</f>
        <v>3.7</v>
      </c>
      <c r="BE20" s="92">
        <f ca="1">IFERROR('Calculated Fields'!$C20/BC20,0)</f>
        <v>134.37837837837839</v>
      </c>
      <c r="BF20" s="93"/>
      <c r="BG20" s="93"/>
      <c r="BH20" s="85">
        <f t="array" aca="1" ref="BH20" ca="1">IFERROR(INDEX('Agent Activity'!$AC$5:$AD$51,MATCH('Calculated Fields'!$BA20,'Agent Activity'!$AB$5:$AB$51,0),1),0)</f>
        <v>0</v>
      </c>
      <c r="BI20" s="93"/>
      <c r="BJ20" s="93"/>
      <c r="BK20" s="94">
        <f t="array" aca="1" ref="BK20" ca="1">IFERROR(INDEX('Agent Activity'!$AC$5:$AD$51,MATCH('Calculated Fields'!$BA20,'Agent Activity'!$AB$5:AB$51,0),2),0)</f>
        <v>0</v>
      </c>
      <c r="BL20" s="93"/>
      <c r="BM20" s="85">
        <f>SUMIF('RingCentral - Office'!$A$2:$A$482,$BA20,'RingCentral - Office'!$E$2:$E$482)</f>
        <v>25</v>
      </c>
      <c r="BN20" s="85">
        <f>SUMIF('RingCentral - Office'!$A$2:$A$482,$BA20,'RingCentral - Office'!$F$2:$F$482)</f>
        <v>17</v>
      </c>
      <c r="BO20" s="87">
        <f t="shared" si="20"/>
        <v>-0.2</v>
      </c>
      <c r="BP20" s="85">
        <f>-SUMIF('RingCentral - Office'!$A$2:$A$482,$BA20,'RingCentral - Office'!$H$2:$H$482)</f>
        <v>-5</v>
      </c>
      <c r="BQ20" s="94">
        <f>SUMIF('RingCentral - Office'!$A$2:$A$482,$BA20,'RingCentral - Office'!$I$2:$I$482)</f>
        <v>5.8634259259259261E-2</v>
      </c>
      <c r="BR20" s="85">
        <f>_xlfn.IFNA(INDEX(Audits!$B$2:$E$19,MATCH($BA20,Audits!$A$2:$A$19,0),MATCH('Calculated Fields'!BR$2,Audits!$B$1:$E$1,0)),0)</f>
        <v>2</v>
      </c>
      <c r="BS20" s="85">
        <f>_xlfn.IFNA(INDEX(Audits!$B$2:$E$19,MATCH($BA20,Audits!$A$2:$A$19,0),MATCH('Calculated Fields'!BS$2,Audits!$B$1:$E$1,0)),0)</f>
        <v>20</v>
      </c>
      <c r="BT20" s="85">
        <f>_xlfn.IFNA(INDEX(Audits!$B$2:$E$19,MATCH($BA20,Audits!$A$2:$A$19,0),MATCH('Calculated Fields'!BT$2,Audits!$B$1:$E$1,0)),0)</f>
        <v>0</v>
      </c>
      <c r="BU20" s="164">
        <f>_xlfn.IFNA(INDEX(Audits!$B$2:$E$19,MATCH($BA20,Audits!$A$2:$A$19,0),MATCH('Calculated Fields'!BU$2,Audits!$B$1:$E$1,0)),0)</f>
        <v>0</v>
      </c>
      <c r="BV20" s="85">
        <f>_xlfn.IFNA(INDEX(Audits!$B$2:$E$19,MATCH($BA20,Audits!$A$2:$A$19,0),MATCH('Calculated Fields'!BV$2,Audits!$B$1:$E$1,0)),0)</f>
        <v>0</v>
      </c>
      <c r="BW20" s="165" cm="1">
        <f t="array" aca="1" ref="BW20" ca="1">_xlfn.IFS($B20="","",E20="","", E20&lt;=15000,1, E20&lt;=20000,2, E20&lt;=30000,3, E20&lt;=40000,4, E20&gt;40000,5)</f>
        <v>1</v>
      </c>
      <c r="BX20" s="132" cm="1">
        <f t="array" aca="1" ref="BX20" ca="1">_xlfn.IFS($B20="","",BU20="","", BU20&lt;=60%,1, BU20&lt;=70%,2, BU20&lt;=80%,3, BU20&lt;=90%,4, BU20&gt;90%,5)</f>
        <v>1</v>
      </c>
      <c r="BY20" s="132" cm="1">
        <f t="array" aca="1" ref="BY20" ca="1">_xlfn.IFS($B20="","",BE20="","", BE20&lt;=60,1, BE20&lt;=70,2, BE20&lt;=80,3, BE20&lt;=90,4, BE20&gt;90,5)</f>
        <v>5</v>
      </c>
      <c r="BZ20" s="92">
        <f t="shared" ca="1" si="21"/>
        <v>2.3333333333333335</v>
      </c>
      <c r="CA20" s="90" t="str" cm="1">
        <f t="array" aca="1" ref="CA20" ca="1">_xlfn.IFS($B20="","",BZ20="","CHECK", BZ20&gt;=5,"A", BZ20&gt;=4,"B", BZ20&gt;=3,"C", BZ20&gt;=2,"D", BZ20&gt;=1,"E")</f>
        <v>D</v>
      </c>
      <c r="CB20" s="88" t="s">
        <v>1058</v>
      </c>
      <c r="CC20" s="88" t="s">
        <v>1058</v>
      </c>
      <c r="CD20" s="88" t="s">
        <v>1058</v>
      </c>
      <c r="CE20" s="88" t="s">
        <v>1058</v>
      </c>
      <c r="CF20" s="88" t="s">
        <v>1058</v>
      </c>
      <c r="CG20" s="3"/>
      <c r="CH20" s="3"/>
      <c r="CI20" s="3"/>
      <c r="CJ20" s="3"/>
      <c r="CK20" s="3"/>
      <c r="CL20" s="3"/>
      <c r="CM20" s="3"/>
      <c r="CN20" s="3"/>
    </row>
    <row r="21" spans="1:92" ht="15.75" customHeight="1">
      <c r="A21" s="78"/>
      <c r="B21" s="89" t="str">
        <f ca="1">IFERROR(__xludf.DUMMYFUNCTION("""COMPUTED_VALUE"""),"Samantha Green")</f>
        <v>Samantha Green</v>
      </c>
      <c r="C21" s="85">
        <f ca="1">SUMIF('Sales  Returns'!$C$1:$C$19998,'Calculated Fields'!B21,'Sales  Returns'!$D$1:$D$19998)</f>
        <v>-85</v>
      </c>
      <c r="D21" s="85">
        <f t="shared" ca="1" si="11"/>
        <v>-50</v>
      </c>
      <c r="E21" s="85">
        <f t="shared" ca="1" si="12"/>
        <v>-50</v>
      </c>
      <c r="F21" s="85">
        <f ca="1">SUMIF('Y2Y sales'!$J$2:$J$2000,$B21,'Y2Y sales'!$G$2:$G$2000)</f>
        <v>0</v>
      </c>
      <c r="G21" s="85">
        <f t="shared" ca="1" si="13"/>
        <v>-50</v>
      </c>
      <c r="H21" s="85">
        <f ca="1">SUMIF('Sales  Returns'!$C$1:$C$19998,'Calculated Fields'!B21,'Sales  Returns'!$G$1:$G$19998)</f>
        <v>-50</v>
      </c>
      <c r="I21" s="85">
        <f ca="1">SUMIF('Sales  Returns'!$C$1:$C$19998,'Calculated Fields'!B21,'Sales  Returns'!$J$1:$J$19998)</f>
        <v>0</v>
      </c>
      <c r="J21" s="85">
        <f ca="1">SUMIF('Sales  Returns'!$C$1:$C$19998,'Calculated Fields'!B21,'Sales  Returns'!$K$1:$K$19998)</f>
        <v>0</v>
      </c>
      <c r="K21" s="86">
        <f t="shared" ca="1" si="14"/>
        <v>0</v>
      </c>
      <c r="L21" s="85">
        <f ca="1">SUMIF('Sales  Returns'!$C$1:$C$19998,'Calculated Fields'!B21,'Sales  Returns'!$O$1:$O$19998)</f>
        <v>0</v>
      </c>
      <c r="M21" s="87">
        <f t="shared" ca="1" si="15"/>
        <v>0</v>
      </c>
      <c r="N21" s="85">
        <f ca="1">SUMIF('Sales  Returns'!$C$1:$C$19998,'Calculated Fields'!B21,'Sales  Returns'!$P$1:$P$19998)</f>
        <v>0</v>
      </c>
      <c r="O21" s="85">
        <f ca="1">SUMIF('Sales  Returns'!$C$1:$C$19998,'Calculated Fields'!B21,'Sales  Returns'!$F$1:$F$19998)</f>
        <v>0</v>
      </c>
      <c r="P21" s="85">
        <f ca="1">SUMIF('Sales  Returns'!$C$1:$C$19998,'Calculated Fields'!B21,'Sales  Returns'!$T$1:$T$19998)</f>
        <v>-2</v>
      </c>
      <c r="Q21" s="85">
        <f ca="1">SUMIF('Sales  Returns'!$C$1:$C$19998,'Calculated Fields'!B21,'Sales  Returns'!$E$1:$E$19998)</f>
        <v>-35</v>
      </c>
      <c r="R21" s="85">
        <f ca="1">SUMIF('Sales  Returns'!$C$1:$C$19998,'Calculated Fields'!B21,'Sales  Returns'!$R$1:$R$19998)</f>
        <v>0</v>
      </c>
      <c r="S21" s="85">
        <f ca="1">SUMIF('Sales  Returns'!$C$1:$C$19998,'Calculated Fields'!B21,'Sales  Returns'!$Q$1:$Q$19998)</f>
        <v>0</v>
      </c>
      <c r="T21" s="85">
        <f ca="1">-COUNTIFS('Sales  Returns'!$C$1:$C$19998,'Calculated Fields'!$B21, 'Sales  Returns'!$B$1:$B$19998,'Calculated Fields'!$T$2)</f>
        <v>-1</v>
      </c>
      <c r="U21" s="85">
        <f ca="1">SUMIFS('Sales  Returns'!$D$1:$D$19998,'Sales  Returns'!$C$1:$C$19998,'Calculated Fields'!$B21,'Sales  Returns'!$B$1:$B$19998,'Calculated Fields'!$T$2)</f>
        <v>-85</v>
      </c>
      <c r="V21" s="86">
        <f t="shared" ca="1" si="16"/>
        <v>0</v>
      </c>
      <c r="W21" s="85">
        <f ca="1">COUNTIFS('Sales  Returns'!$C$1:$C$19998,'Calculated Fields'!$B21, 'Sales  Returns'!$B$1:$B$19998,"Sales")</f>
        <v>0</v>
      </c>
      <c r="X21" s="188">
        <v>0</v>
      </c>
      <c r="Y21" s="85">
        <f ca="1">SUMIF('Sales  Returns'!$C$1:$C$19998,'Calculated Fields'!$B21,'Sales  Returns'!$H$1:$H$19998)</f>
        <v>0</v>
      </c>
      <c r="Z21" s="85">
        <f ca="1">SUMIF('Sales  Returns'!$C$1:$C$19998,'Calculated Fields'!$B21,'Sales  Returns'!$I$1:$I$19998)</f>
        <v>1</v>
      </c>
      <c r="AA21" s="86">
        <f t="shared" ca="1" si="17"/>
        <v>0</v>
      </c>
      <c r="AB21" s="85">
        <f ca="1">SUMIF('Sales  Returns'!$C$1:$C$19998,'Calculated Fields'!$B21,'Sales  Returns'!$M$1:$M$19998)</f>
        <v>0</v>
      </c>
      <c r="AC21" s="85">
        <f ca="1">SUMIF('Sales  Returns'!$C$1:$C$19998,'Calculated Fields'!$B21,'Sales  Returns'!$N$1:$N$19998)</f>
        <v>0</v>
      </c>
      <c r="AD21" s="86">
        <f t="shared" ca="1" si="18"/>
        <v>0</v>
      </c>
      <c r="AE21" s="88" t="s">
        <v>1058</v>
      </c>
      <c r="AF21" s="85">
        <f ca="1">SUMIF('WO &amp; Quote'!$S:$S,TRIM('Calculated Fields'!$B21),'WO &amp; Quote'!$I:$I)</f>
        <v>150</v>
      </c>
      <c r="AG21" s="85">
        <f ca="1">SUMIF('WO &amp; Quote'!$S:$S,TRIM('Calculated Fields'!$B21),'WO &amp; Quote'!$J:$J) + SUMIF('WO &amp; Quote'!$S:$S,TRIM('Calculated Fields'!$B21),'WO &amp; Quote'!$K:$K)</f>
        <v>0</v>
      </c>
      <c r="AH21" s="78"/>
      <c r="AI21" s="89" t="s">
        <v>106</v>
      </c>
      <c r="AJ21" s="90">
        <f>IFERROR(SUMIF('Inventory Lookup'!$O$2:$O$20765,'Calculated Fields'!$AI21,'Inventory Lookup'!$E$2:$E$20765)/SUMIF('Inventory Lookup'!$O$2:$O$20765,'Calculated Fields'!$AI21,'Inventory Lookup'!$D$2:$D$20765),0)</f>
        <v>0</v>
      </c>
      <c r="AK21" s="90">
        <f>IFERROR(AU21/SUMIFS('Inventory Lookup'!$D$2:$D$20765,'Inventory Lookup'!$O$2:$O$20765,'Calculated Fields'!$AI21,'Inventory Lookup'!$M$2:$M$20765,"Drive Train"),0)</f>
        <v>0</v>
      </c>
      <c r="AL21" s="90">
        <f>IFERROR(AV21/SUMIFS('Inventory Lookup'!$D$2:$D$20765,'Inventory Lookup'!$O$2:$O$20765,'Calculated Fields'!$AI21,'Inventory Lookup'!$M$2:$M$20765,"Body Parts"),0)</f>
        <v>0</v>
      </c>
      <c r="AM21" s="90">
        <f>IFERROR(AW21/SUMIFS('Inventory Lookup'!$D$2:$D$20765,'Inventory Lookup'!$O$2:$O$20765,'Calculated Fields'!$AI21,'Inventory Lookup'!$M$2:$M$20765,"Suspension"),0)</f>
        <v>0</v>
      </c>
      <c r="AN21" s="90">
        <f>IFERROR(AX21/SUMIFS('Inventory Lookup'!$D$2:$D$20765,'Inventory Lookup'!$O$2:$O$20765,'Calculated Fields'!$AI21,'Inventory Lookup'!$M$2:$M$20765,"Electrical"),0)</f>
        <v>0</v>
      </c>
      <c r="AO21" s="86">
        <f>IFERROR(VLOOKUP(AI21,Emp.Lookup!$A$1:$E$40,5,0),0)</f>
        <v>0</v>
      </c>
      <c r="AP21" s="85">
        <f>IFERROR(SUMIFS('Inventory Lookup'!$D$2:$D$20765,'Inventory Lookup'!$O$2:$O$20765,'Calculated Fields'!$AI21,'Inventory Lookup'!$M$2:$M$20765,"Drive Train"),"")</f>
        <v>0</v>
      </c>
      <c r="AQ21" s="85">
        <f>IFERROR(SUMIFS('Inventory Lookup'!$D$2:$D$20765,'Inventory Lookup'!$O$2:$O$20765,'Calculated Fields'!$AI21,'Inventory Lookup'!$M$2:$M$20765,"Body Parts"),"")</f>
        <v>0</v>
      </c>
      <c r="AR21" s="85">
        <f>IFERROR(SUMIFS('Inventory Lookup'!$D$2:$D$20765,'Inventory Lookup'!$O$2:$O$20765,'Calculated Fields'!$AI21,'Inventory Lookup'!$M$2:$M$20765,"Suspension"),"")</f>
        <v>0</v>
      </c>
      <c r="AS21" s="85">
        <f>IFERROR(SUMIFS('Inventory Lookup'!$D$2:$D$20765,'Inventory Lookup'!$O$2:$O$20765,'Calculated Fields'!$AI21,'Inventory Lookup'!$M$2:$M$20765,"Electrical"),"")</f>
        <v>0</v>
      </c>
      <c r="AT21" s="85">
        <f>IFERROR(SUMIFS('Inventory Lookup'!$D$2:$D$20765,'Inventory Lookup'!$O$2:$O$20765,'Calculated Fields'!$AI21,'Inventory Lookup'!$M$2:$M$20765,"Other"),"")</f>
        <v>0</v>
      </c>
      <c r="AU21" s="85">
        <f>IFERROR(SUMIFS('Inventory Lookup'!$E$2:$E$20765,'Inventory Lookup'!$O$2:$O$20765,'Calculated Fields'!$AI21,'Inventory Lookup'!$M$2:$M$20765,"Drive Train"),"")</f>
        <v>0</v>
      </c>
      <c r="AV21" s="85">
        <f>IFERROR(SUMIFS('Inventory Lookup'!$E$2:$E$20765,'Inventory Lookup'!$O$2:$O$20765,'Calculated Fields'!$AI21,'Inventory Lookup'!$M$2:$M$20765,"Body Parts"),"")</f>
        <v>0</v>
      </c>
      <c r="AW21" s="85">
        <f>IFERROR(SUMIFS('Inventory Lookup'!$E$2:$E$20765,'Inventory Lookup'!$O$2:$O$20765,'Calculated Fields'!$AI21,'Inventory Lookup'!$M$2:$M$20765,"Suspension"),"")</f>
        <v>0</v>
      </c>
      <c r="AX21" s="85">
        <f>IFERROR(SUMIFS('Inventory Lookup'!$E$2:$E$20765,'Inventory Lookup'!$O$2:$O$20765,'Calculated Fields'!$AI21,'Inventory Lookup'!$M$2:$M$20765,"Electrical"),"")</f>
        <v>0</v>
      </c>
      <c r="AY21" s="85">
        <f>IFERROR(SUMIFS('Inventory Lookup'!$E$2:$E$20765,'Inventory Lookup'!$O$2:$O$20765,'Calculated Fields'!$AI21,'Inventory Lookup'!$M$2:$M$20765,"Other"),"")</f>
        <v>0</v>
      </c>
      <c r="AZ21" s="98"/>
      <c r="BA21" s="89" t="s">
        <v>106</v>
      </c>
      <c r="BB21" s="91">
        <v>0</v>
      </c>
      <c r="BC21" s="85">
        <f t="shared" ca="1" si="19"/>
        <v>13</v>
      </c>
      <c r="BD21" s="92">
        <f ca="1">IFERROR(BC21/'Calculated Fields'!$W21,0)</f>
        <v>0</v>
      </c>
      <c r="BE21" s="92">
        <f ca="1">IFERROR('Calculated Fields'!$C21/BC21,0)</f>
        <v>-6.5384615384615383</v>
      </c>
      <c r="BF21" s="93"/>
      <c r="BG21" s="93"/>
      <c r="BH21" s="85">
        <f t="array" aca="1" ref="BH21" ca="1">IFERROR(INDEX('Agent Activity'!$AC$5:$AD$51,MATCH('Calculated Fields'!$BA21,'Agent Activity'!$AB$5:$AB$51,0),1),0)</f>
        <v>0</v>
      </c>
      <c r="BI21" s="93"/>
      <c r="BJ21" s="93"/>
      <c r="BK21" s="94">
        <f t="array" aca="1" ref="BK21" ca="1">IFERROR(INDEX('Agent Activity'!$AC$5:$AD$51,MATCH('Calculated Fields'!$BA21,'Agent Activity'!$AB$5:AB$51,0),2),0)</f>
        <v>0</v>
      </c>
      <c r="BL21" s="93"/>
      <c r="BM21" s="85">
        <f>SUMIF('RingCentral - Office'!$A$2:$A$482,$BA21,'RingCentral - Office'!$E$2:$E$482)</f>
        <v>3</v>
      </c>
      <c r="BN21" s="85">
        <f>SUMIF('RingCentral - Office'!$A$2:$A$482,$BA21,'RingCentral - Office'!$F$2:$F$482)</f>
        <v>10</v>
      </c>
      <c r="BO21" s="87">
        <f t="shared" si="20"/>
        <v>0</v>
      </c>
      <c r="BP21" s="85">
        <f>-SUMIF('RingCentral - Office'!$A$2:$A$482,$BA21,'RingCentral - Office'!$H$2:$H$482)</f>
        <v>0</v>
      </c>
      <c r="BQ21" s="94">
        <f>SUMIF('RingCentral - Office'!$A$2:$A$482,$BA21,'RingCentral - Office'!$I$2:$I$482)</f>
        <v>2.4328703703703703E-2</v>
      </c>
      <c r="BR21" s="85">
        <f>_xlfn.IFNA(INDEX(Audits!$B$2:$E$19,MATCH($BA21,Audits!$A$2:$A$19,0),MATCH('Calculated Fields'!BR$2,Audits!$B$1:$E$1,0)),0)</f>
        <v>0</v>
      </c>
      <c r="BS21" s="85">
        <f>_xlfn.IFNA(INDEX(Audits!$B$2:$E$19,MATCH($BA21,Audits!$A$2:$A$19,0),MATCH('Calculated Fields'!BS$2,Audits!$B$1:$E$1,0)),0)</f>
        <v>0</v>
      </c>
      <c r="BT21" s="85">
        <f>_xlfn.IFNA(INDEX(Audits!$B$2:$E$19,MATCH($BA21,Audits!$A$2:$A$19,0),MATCH('Calculated Fields'!BT$2,Audits!$B$1:$E$1,0)),0)</f>
        <v>0</v>
      </c>
      <c r="BU21" s="164">
        <f>_xlfn.IFNA(INDEX(Audits!$B$2:$E$19,MATCH($BA21,Audits!$A$2:$A$19,0),MATCH('Calculated Fields'!BU$2,Audits!$B$1:$E$1,0)),0)</f>
        <v>0</v>
      </c>
      <c r="BV21" s="85">
        <f>_xlfn.IFNA(INDEX(Audits!$B$2:$E$19,MATCH($BA21,Audits!$A$2:$A$19,0),MATCH('Calculated Fields'!BV$2,Audits!$B$1:$E$1,0)),0)</f>
        <v>0</v>
      </c>
      <c r="BW21" s="165" cm="1">
        <f t="array" aca="1" ref="BW21" ca="1">_xlfn.IFS($B21="","",E21="","", E21&lt;=15000,1, E21&lt;=20000,2, E21&lt;=30000,3, E21&lt;=40000,4, E21&gt;40000,5)</f>
        <v>1</v>
      </c>
      <c r="BX21" s="132" cm="1">
        <f t="array" aca="1" ref="BX21" ca="1">_xlfn.IFS($B21="","",BU21="","", BU21&lt;=60%,1, BU21&lt;=70%,2, BU21&lt;=80%,3, BU21&lt;=90%,4, BU21&gt;90%,5)</f>
        <v>1</v>
      </c>
      <c r="BY21" s="132" cm="1">
        <f t="array" aca="1" ref="BY21" ca="1">_xlfn.IFS($B21="","",BE21="","", BE21&lt;=60,1, BE21&lt;=70,2, BE21&lt;=80,3, BE21&lt;=90,4, BE21&gt;90,5)</f>
        <v>1</v>
      </c>
      <c r="BZ21" s="92">
        <f t="shared" ca="1" si="21"/>
        <v>1</v>
      </c>
      <c r="CA21" s="90" t="str" cm="1">
        <f t="array" aca="1" ref="CA21" ca="1">_xlfn.IFS($B21="","",BZ21="","CHECK", BZ21&gt;=5,"A", BZ21&gt;=4,"B", BZ21&gt;=3,"C", BZ21&gt;=2,"D", BZ21&gt;=1,"E")</f>
        <v>E</v>
      </c>
      <c r="CB21" s="88" t="s">
        <v>1058</v>
      </c>
      <c r="CC21" s="88" t="s">
        <v>1058</v>
      </c>
      <c r="CD21" s="88" t="s">
        <v>1058</v>
      </c>
      <c r="CE21" s="88" t="s">
        <v>1058</v>
      </c>
      <c r="CF21" s="88" t="s">
        <v>1058</v>
      </c>
      <c r="CG21" s="3"/>
      <c r="CH21" s="3"/>
      <c r="CI21" s="3"/>
      <c r="CJ21" s="3"/>
      <c r="CK21" s="3"/>
      <c r="CL21" s="3"/>
      <c r="CM21" s="3"/>
      <c r="CN21" s="3"/>
    </row>
    <row r="22" spans="1:92" ht="15.75" customHeight="1">
      <c r="A22" s="78"/>
      <c r="B22" s="97"/>
      <c r="C22" s="85">
        <f>SUMIF('Sales  Returns'!$C$1:$C$19998,'Calculated Fields'!B22,'Sales  Returns'!$D$1:$D$19998)</f>
        <v>0</v>
      </c>
      <c r="D22" s="85">
        <f t="shared" si="11"/>
        <v>0</v>
      </c>
      <c r="E22" s="85">
        <f t="shared" si="12"/>
        <v>0</v>
      </c>
      <c r="F22" s="85">
        <f>SUMIF('Y2Y sales'!$J$2:$J$2000,$B22,'Y2Y sales'!$G$2:$G$2000)</f>
        <v>0</v>
      </c>
      <c r="G22" s="85">
        <f t="shared" si="13"/>
        <v>0</v>
      </c>
      <c r="H22" s="85">
        <f>SUMIF('Sales  Returns'!$C$1:$C$19998,'Calculated Fields'!B22,'Sales  Returns'!$G$1:$G$19998)</f>
        <v>0</v>
      </c>
      <c r="I22" s="85">
        <f>SUMIF('Sales  Returns'!$C$1:$C$19998,'Calculated Fields'!B22,'Sales  Returns'!$J$1:$J$19998)</f>
        <v>0</v>
      </c>
      <c r="J22" s="85">
        <f>SUMIF('Sales  Returns'!$C$1:$C$19998,'Calculated Fields'!B22,'Sales  Returns'!$K$1:$K$19998)</f>
        <v>0</v>
      </c>
      <c r="K22" s="86">
        <f t="shared" si="14"/>
        <v>0</v>
      </c>
      <c r="L22" s="85">
        <f>SUMIF('Sales  Returns'!$C$1:$C$19998,'Calculated Fields'!B22,'Sales  Returns'!$O$1:$O$19998)</f>
        <v>0</v>
      </c>
      <c r="M22" s="87">
        <f t="shared" si="15"/>
        <v>0</v>
      </c>
      <c r="N22" s="85">
        <f>SUMIF('Sales  Returns'!$C$1:$C$19998,'Calculated Fields'!B22,'Sales  Returns'!$P$1:$P$19998)</f>
        <v>0</v>
      </c>
      <c r="O22" s="85">
        <f>SUMIF('Sales  Returns'!$C$1:$C$19998,'Calculated Fields'!B22,'Sales  Returns'!$F$1:$F$19998)</f>
        <v>0</v>
      </c>
      <c r="P22" s="85">
        <f>SUMIF('Sales  Returns'!$C$1:$C$19998,'Calculated Fields'!B22,'Sales  Returns'!$T$1:$T$19998)</f>
        <v>0</v>
      </c>
      <c r="Q22" s="85">
        <f>SUMIF('Sales  Returns'!$C$1:$C$19998,'Calculated Fields'!B22,'Sales  Returns'!$E$1:$E$19998)</f>
        <v>0</v>
      </c>
      <c r="R22" s="85">
        <f>SUMIF('Sales  Returns'!$C$1:$C$19998,'Calculated Fields'!B22,'Sales  Returns'!$R$1:$R$19998)</f>
        <v>0</v>
      </c>
      <c r="S22" s="85">
        <f>SUMIF('Sales  Returns'!$C$1:$C$19998,'Calculated Fields'!B22,'Sales  Returns'!$Q$1:$Q$19998)</f>
        <v>0</v>
      </c>
      <c r="T22" s="85">
        <f>-COUNTIFS('Sales  Returns'!$C$1:$C$19998,'Calculated Fields'!$B22, 'Sales  Returns'!$B$1:$B$19998,'Calculated Fields'!$T$2)</f>
        <v>0</v>
      </c>
      <c r="U22" s="85">
        <f>SUMIFS('Sales  Returns'!$D$1:$D$19998,'Sales  Returns'!$C$1:$C$19998,'Calculated Fields'!$B22,'Sales  Returns'!$B$1:$B$19998,'Calculated Fields'!$T$2)</f>
        <v>0</v>
      </c>
      <c r="V22" s="86">
        <f t="shared" si="16"/>
        <v>0</v>
      </c>
      <c r="W22" s="85">
        <f>COUNTIFS('Sales  Returns'!$C$1:$C$19998,'Calculated Fields'!$B22, 'Sales  Returns'!$B$1:$B$19998,"Sales")</f>
        <v>0</v>
      </c>
      <c r="X22" s="188">
        <v>0</v>
      </c>
      <c r="Y22" s="85">
        <f>SUMIF('Sales  Returns'!$C$1:$C$19998,'Calculated Fields'!$B22,'Sales  Returns'!$H$1:$H$19998)</f>
        <v>0</v>
      </c>
      <c r="Z22" s="85">
        <f>SUMIF('Sales  Returns'!$C$1:$C$19998,'Calculated Fields'!$B22,'Sales  Returns'!$I$1:$I$19998)</f>
        <v>0</v>
      </c>
      <c r="AA22" s="86">
        <f t="shared" si="17"/>
        <v>0</v>
      </c>
      <c r="AB22" s="85">
        <f>SUMIF('Sales  Returns'!$C$1:$C$19998,'Calculated Fields'!$B22,'Sales  Returns'!$M$1:$M$19998)</f>
        <v>0</v>
      </c>
      <c r="AC22" s="85">
        <f>SUMIF('Sales  Returns'!$C$1:$C$19998,'Calculated Fields'!$B22,'Sales  Returns'!$N$1:$N$19998)</f>
        <v>0</v>
      </c>
      <c r="AD22" s="86">
        <f t="shared" si="18"/>
        <v>0</v>
      </c>
      <c r="AE22" s="88" t="s">
        <v>1058</v>
      </c>
      <c r="AF22" s="85">
        <f>SUMIF('WO &amp; Quote'!$S:$S,TRIM('Calculated Fields'!$B22),'WO &amp; Quote'!$I:$I)</f>
        <v>0</v>
      </c>
      <c r="AG22" s="85">
        <f>SUMIF('WO &amp; Quote'!$S:$S,TRIM('Calculated Fields'!$B22),'WO &amp; Quote'!$J:$J) + SUMIF('WO &amp; Quote'!$S:$S,TRIM('Calculated Fields'!$B22),'WO &amp; Quote'!$K:$K)</f>
        <v>0</v>
      </c>
      <c r="AH22" s="78"/>
      <c r="AI22" s="97"/>
      <c r="AJ22" s="90">
        <f>IFERROR(SUMIF('Inventory Lookup'!$O$2:$O$20765,'Calculated Fields'!$AI22,'Inventory Lookup'!$E$2:$E$20765)/SUMIF('Inventory Lookup'!$O$2:$O$20765,'Calculated Fields'!$AI22,'Inventory Lookup'!$D$2:$D$20765),0)</f>
        <v>0</v>
      </c>
      <c r="AK22" s="90">
        <f>IFERROR(AU22/SUMIFS('Inventory Lookup'!$D$2:$D$20765,'Inventory Lookup'!$O$2:$O$20765,'Calculated Fields'!$AI22,'Inventory Lookup'!$M$2:$M$20765,"Drive Train"),0)</f>
        <v>0</v>
      </c>
      <c r="AL22" s="90">
        <f>IFERROR(AV22/SUMIFS('Inventory Lookup'!$D$2:$D$20765,'Inventory Lookup'!$O$2:$O$20765,'Calculated Fields'!$AI22,'Inventory Lookup'!$M$2:$M$20765,"Body Parts"),0)</f>
        <v>0</v>
      </c>
      <c r="AM22" s="90">
        <f>IFERROR(AW22/SUMIFS('Inventory Lookup'!$D$2:$D$20765,'Inventory Lookup'!$O$2:$O$20765,'Calculated Fields'!$AI22,'Inventory Lookup'!$M$2:$M$20765,"Suspension"),0)</f>
        <v>0</v>
      </c>
      <c r="AN22" s="90">
        <f>IFERROR(AX22/SUMIFS('Inventory Lookup'!$D$2:$D$20765,'Inventory Lookup'!$O$2:$O$20765,'Calculated Fields'!$AI22,'Inventory Lookup'!$M$2:$M$20765,"Electrical"),0)</f>
        <v>0</v>
      </c>
      <c r="AO22" s="86">
        <f>IFERROR(VLOOKUP(AI22,Emp.Lookup!$A$1:$E$40,5,0),0)</f>
        <v>0</v>
      </c>
      <c r="AP22" s="85">
        <f>IFERROR(SUMIFS('Inventory Lookup'!$D$2:$D$20765,'Inventory Lookup'!$O$2:$O$20765,'Calculated Fields'!$AI22,'Inventory Lookup'!$M$2:$M$20765,"Drive Train"),"")</f>
        <v>0</v>
      </c>
      <c r="AQ22" s="85">
        <f>IFERROR(SUMIFS('Inventory Lookup'!$D$2:$D$20765,'Inventory Lookup'!$O$2:$O$20765,'Calculated Fields'!$AI22,'Inventory Lookup'!$M$2:$M$20765,"Body Parts"),"")</f>
        <v>0</v>
      </c>
      <c r="AR22" s="85">
        <f>IFERROR(SUMIFS('Inventory Lookup'!$D$2:$D$20765,'Inventory Lookup'!$O$2:$O$20765,'Calculated Fields'!$AI22,'Inventory Lookup'!$M$2:$M$20765,"Suspension"),"")</f>
        <v>0</v>
      </c>
      <c r="AS22" s="85">
        <f>IFERROR(SUMIFS('Inventory Lookup'!$D$2:$D$20765,'Inventory Lookup'!$O$2:$O$20765,'Calculated Fields'!$AI22,'Inventory Lookup'!$M$2:$M$20765,"Electrical"),"")</f>
        <v>0</v>
      </c>
      <c r="AT22" s="85">
        <f>IFERROR(SUMIFS('Inventory Lookup'!$D$2:$D$20765,'Inventory Lookup'!$O$2:$O$20765,'Calculated Fields'!$AI22,'Inventory Lookup'!$M$2:$M$20765,"Other"),"")</f>
        <v>0</v>
      </c>
      <c r="AU22" s="85">
        <f>IFERROR(SUMIFS('Inventory Lookup'!$E$2:$E$20765,'Inventory Lookup'!$O$2:$O$20765,'Calculated Fields'!$AI22,'Inventory Lookup'!$M$2:$M$20765,"Drive Train"),"")</f>
        <v>0</v>
      </c>
      <c r="AV22" s="85">
        <f>IFERROR(SUMIFS('Inventory Lookup'!$E$2:$E$20765,'Inventory Lookup'!$O$2:$O$20765,'Calculated Fields'!$AI22,'Inventory Lookup'!$M$2:$M$20765,"Body Parts"),"")</f>
        <v>0</v>
      </c>
      <c r="AW22" s="85">
        <f>IFERROR(SUMIFS('Inventory Lookup'!$E$2:$E$20765,'Inventory Lookup'!$O$2:$O$20765,'Calculated Fields'!$AI22,'Inventory Lookup'!$M$2:$M$20765,"Suspension"),"")</f>
        <v>0</v>
      </c>
      <c r="AX22" s="85">
        <f>IFERROR(SUMIFS('Inventory Lookup'!$E$2:$E$20765,'Inventory Lookup'!$O$2:$O$20765,'Calculated Fields'!$AI22,'Inventory Lookup'!$M$2:$M$20765,"Electrical"),"")</f>
        <v>0</v>
      </c>
      <c r="AY22" s="85">
        <f>IFERROR(SUMIFS('Inventory Lookup'!$E$2:$E$20765,'Inventory Lookup'!$O$2:$O$20765,'Calculated Fields'!$AI22,'Inventory Lookup'!$M$2:$M$20765,"Other"),"")</f>
        <v>0</v>
      </c>
      <c r="AZ22" s="98"/>
      <c r="BA22" s="97"/>
      <c r="BB22" s="91">
        <v>0</v>
      </c>
      <c r="BC22" s="85">
        <f t="shared" ca="1" si="19"/>
        <v>0</v>
      </c>
      <c r="BD22" s="92">
        <f ca="1">IFERROR(BC22/'Calculated Fields'!$W22,0)</f>
        <v>0</v>
      </c>
      <c r="BE22" s="92">
        <f ca="1">IFERROR('Calculated Fields'!$C22/BC22,0)</f>
        <v>0</v>
      </c>
      <c r="BF22" s="93"/>
      <c r="BG22" s="93"/>
      <c r="BH22" s="85">
        <f t="array" aca="1" ref="BH22" ca="1">IFERROR(INDEX('Agent Activity'!$AC$5:$AD$51,MATCH('Calculated Fields'!$BA22,'Agent Activity'!$AB$5:$AB$51,0),1),0)</f>
        <v>0</v>
      </c>
      <c r="BI22" s="93"/>
      <c r="BJ22" s="93"/>
      <c r="BK22" s="94">
        <f t="array" aca="1" ref="BK22" ca="1">IFERROR(INDEX('Agent Activity'!$AC$5:$AD$51,MATCH('Calculated Fields'!$BA22,'Agent Activity'!$AB$5:AB$51,0),2),0)</f>
        <v>0</v>
      </c>
      <c r="BL22" s="93"/>
      <c r="BM22" s="85">
        <f>SUMIF('RingCentral - Office'!$A$2:$A$482,$BA22,'RingCentral - Office'!$E$2:$E$482)</f>
        <v>0</v>
      </c>
      <c r="BN22" s="85">
        <f>SUMIF('RingCentral - Office'!$A$2:$A$482,$BA22,'RingCentral - Office'!$F$2:$F$482)</f>
        <v>0</v>
      </c>
      <c r="BO22" s="87">
        <f t="shared" si="20"/>
        <v>0</v>
      </c>
      <c r="BP22" s="85">
        <f>-SUMIF('RingCentral - Office'!$A$2:$A$482,$BA22,'RingCentral - Office'!$H$2:$H$482)</f>
        <v>0</v>
      </c>
      <c r="BQ22" s="94">
        <f>SUMIF('RingCentral - Office'!$A$2:$A$482,$BA22,'RingCentral - Office'!$I$2:$I$482)</f>
        <v>0</v>
      </c>
      <c r="BR22" s="85">
        <f>_xlfn.IFNA(INDEX(Audits!$B$2:$E$19,MATCH($BA22,Audits!$A$2:$A$19,0),MATCH('Calculated Fields'!BR$2,Audits!$B$1:$E$1,0)),0)</f>
        <v>0</v>
      </c>
      <c r="BS22" s="85">
        <f>_xlfn.IFNA(INDEX(Audits!$B$2:$E$19,MATCH($BA22,Audits!$A$2:$A$19,0),MATCH('Calculated Fields'!BS$2,Audits!$B$1:$E$1,0)),0)</f>
        <v>0</v>
      </c>
      <c r="BT22" s="85">
        <f>_xlfn.IFNA(INDEX(Audits!$B$2:$E$19,MATCH($BA22,Audits!$A$2:$A$19,0),MATCH('Calculated Fields'!BT$2,Audits!$B$1:$E$1,0)),0)</f>
        <v>0</v>
      </c>
      <c r="BU22" s="164">
        <f>_xlfn.IFNA(INDEX(Audits!$B$2:$E$19,MATCH($BA22,Audits!$A$2:$A$19,0),MATCH('Calculated Fields'!BU$2,Audits!$B$1:$E$1,0)),0)</f>
        <v>0</v>
      </c>
      <c r="BV22" s="85">
        <f>_xlfn.IFNA(INDEX(Audits!$B$2:$E$19,MATCH($BA22,Audits!$A$2:$A$19,0),MATCH('Calculated Fields'!BV$2,Audits!$B$1:$E$1,0)),0)</f>
        <v>0</v>
      </c>
      <c r="BW22" s="165" t="str" cm="1">
        <f t="array" ref="BW22">_xlfn.IFS($B22="","",E22="","", E22&lt;=15000,1, E22&lt;=20000,2, E22&lt;=30000,3, E22&lt;=40000,4, E22&gt;40000,5)</f>
        <v/>
      </c>
      <c r="BX22" s="132" t="str" cm="1">
        <f t="array" ref="BX22">_xlfn.IFS($B22="","",BU22="","", BU22&lt;=60%,1, BU22&lt;=70%,2, BU22&lt;=80%,3, BU22&lt;=90%,4, BU22&gt;90%,5)</f>
        <v/>
      </c>
      <c r="BY22" s="132" t="str" cm="1">
        <f t="array" aca="1" ref="BY22" ca="1">_xlfn.IFS($B22="","",BE22="","", BE22&lt;=60,1, BE22&lt;=70,2, BE22&lt;=80,3, BE22&lt;=90,4, BE22&gt;90,5)</f>
        <v/>
      </c>
      <c r="BZ22" s="92" t="str">
        <f t="shared" si="21"/>
        <v/>
      </c>
      <c r="CA22" s="90" t="str" cm="1">
        <f t="array" ref="CA22">_xlfn.IFS($B22="","",BZ22="","CHECK", BZ22&gt;=5,"A", BZ22&gt;=4,"B", BZ22&gt;=3,"C", BZ22&gt;=2,"D", BZ22&gt;=1,"E")</f>
        <v/>
      </c>
      <c r="CB22" s="88" t="s">
        <v>1058</v>
      </c>
      <c r="CC22" s="88" t="s">
        <v>1058</v>
      </c>
      <c r="CD22" s="88" t="s">
        <v>1058</v>
      </c>
      <c r="CE22" s="88" t="s">
        <v>1058</v>
      </c>
      <c r="CF22" s="88" t="s">
        <v>1058</v>
      </c>
      <c r="CG22" s="3"/>
      <c r="CH22" s="3"/>
      <c r="CI22" s="3"/>
      <c r="CJ22" s="3"/>
      <c r="CK22" s="3"/>
      <c r="CL22" s="3"/>
      <c r="CM22" s="3"/>
      <c r="CN22" s="3"/>
    </row>
    <row r="23" spans="1:92" ht="15.75" customHeight="1">
      <c r="A23" s="99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53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80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166"/>
      <c r="BS23" s="166"/>
      <c r="BT23" s="166"/>
      <c r="BU23" s="162"/>
      <c r="BV23" s="163"/>
      <c r="BW23" s="163"/>
      <c r="BX23" s="163"/>
      <c r="BY23" s="163"/>
      <c r="BZ23" s="163"/>
      <c r="CA23" s="163"/>
      <c r="CB23" s="166"/>
      <c r="CC23" s="166"/>
      <c r="CD23" s="166"/>
      <c r="CE23" s="166"/>
      <c r="CF23" s="166"/>
      <c r="CG23" s="3"/>
      <c r="CH23" s="3"/>
      <c r="CI23" s="3"/>
      <c r="CJ23" s="3"/>
      <c r="CK23" s="3"/>
      <c r="CL23" s="3"/>
      <c r="CM23" s="3"/>
      <c r="CN23" s="3"/>
    </row>
    <row r="24" spans="1:92" ht="15.75" customHeight="1">
      <c r="A24" s="78"/>
      <c r="B24" s="81" t="s">
        <v>1060</v>
      </c>
      <c r="C24" s="82" t="s">
        <v>994</v>
      </c>
      <c r="D24" s="82" t="s">
        <v>995</v>
      </c>
      <c r="E24" s="82" t="s">
        <v>996</v>
      </c>
      <c r="F24" s="82" t="s">
        <v>997</v>
      </c>
      <c r="G24" s="82" t="s">
        <v>998</v>
      </c>
      <c r="H24" s="82" t="s">
        <v>999</v>
      </c>
      <c r="I24" s="82" t="s">
        <v>1000</v>
      </c>
      <c r="J24" s="82" t="s">
        <v>75</v>
      </c>
      <c r="K24" s="82" t="s">
        <v>1001</v>
      </c>
      <c r="L24" s="82" t="s">
        <v>1002</v>
      </c>
      <c r="M24" s="82" t="s">
        <v>1003</v>
      </c>
      <c r="N24" s="82" t="s">
        <v>80</v>
      </c>
      <c r="O24" s="82" t="s">
        <v>70</v>
      </c>
      <c r="P24" s="82" t="s">
        <v>84</v>
      </c>
      <c r="Q24" s="82" t="s">
        <v>69</v>
      </c>
      <c r="R24" s="82" t="s">
        <v>82</v>
      </c>
      <c r="S24" s="82" t="s">
        <v>1004</v>
      </c>
      <c r="T24" s="82" t="s">
        <v>104</v>
      </c>
      <c r="U24" s="82" t="s">
        <v>1005</v>
      </c>
      <c r="V24" s="82" t="s">
        <v>1006</v>
      </c>
      <c r="W24" s="82" t="s">
        <v>1007</v>
      </c>
      <c r="X24" s="82" t="s">
        <v>1008</v>
      </c>
      <c r="Y24" s="82" t="s">
        <v>72</v>
      </c>
      <c r="Z24" s="82" t="s">
        <v>1009</v>
      </c>
      <c r="AA24" s="82" t="s">
        <v>1010</v>
      </c>
      <c r="AB24" s="82" t="s">
        <v>77</v>
      </c>
      <c r="AC24" s="82" t="s">
        <v>1011</v>
      </c>
      <c r="AD24" s="82" t="s">
        <v>1012</v>
      </c>
      <c r="AE24" s="82" t="s">
        <v>1013</v>
      </c>
      <c r="AF24" s="82" t="s">
        <v>1014</v>
      </c>
      <c r="AG24" s="82" t="s">
        <v>1015</v>
      </c>
      <c r="AH24" s="78"/>
      <c r="AI24" s="81" t="s">
        <v>1060</v>
      </c>
      <c r="AJ24" s="82" t="s">
        <v>1016</v>
      </c>
      <c r="AK24" s="82" t="s">
        <v>1017</v>
      </c>
      <c r="AL24" s="82" t="s">
        <v>1018</v>
      </c>
      <c r="AM24" s="82" t="s">
        <v>1019</v>
      </c>
      <c r="AN24" s="82" t="s">
        <v>1020</v>
      </c>
      <c r="AO24" s="83" t="s">
        <v>1021</v>
      </c>
      <c r="AP24" s="82" t="s">
        <v>1022</v>
      </c>
      <c r="AQ24" s="82" t="s">
        <v>1023</v>
      </c>
      <c r="AR24" s="82" t="s">
        <v>1024</v>
      </c>
      <c r="AS24" s="82" t="s">
        <v>1025</v>
      </c>
      <c r="AT24" s="82" t="s">
        <v>1026</v>
      </c>
      <c r="AU24" s="82" t="s">
        <v>1027</v>
      </c>
      <c r="AV24" s="82" t="s">
        <v>1028</v>
      </c>
      <c r="AW24" s="82" t="s">
        <v>1029</v>
      </c>
      <c r="AX24" s="82" t="s">
        <v>1030</v>
      </c>
      <c r="AY24" s="82" t="s">
        <v>1031</v>
      </c>
      <c r="AZ24" s="78"/>
      <c r="BA24" s="81" t="s">
        <v>1060</v>
      </c>
      <c r="BB24" s="82" t="s">
        <v>1032</v>
      </c>
      <c r="BC24" s="82" t="s">
        <v>1033</v>
      </c>
      <c r="BD24" s="82" t="s">
        <v>1034</v>
      </c>
      <c r="BE24" s="82" t="s">
        <v>1035</v>
      </c>
      <c r="BF24" s="82" t="s">
        <v>1036</v>
      </c>
      <c r="BG24" s="82" t="s">
        <v>1037</v>
      </c>
      <c r="BH24" s="82" t="s">
        <v>1059</v>
      </c>
      <c r="BI24" s="82" t="s">
        <v>1039</v>
      </c>
      <c r="BJ24" s="82" t="s">
        <v>1040</v>
      </c>
      <c r="BK24" s="82" t="s">
        <v>1041</v>
      </c>
      <c r="BL24" s="82" t="s">
        <v>1042</v>
      </c>
      <c r="BM24" s="82" t="s">
        <v>1043</v>
      </c>
      <c r="BN24" s="82" t="s">
        <v>1044</v>
      </c>
      <c r="BO24" s="82" t="s">
        <v>1045</v>
      </c>
      <c r="BP24" s="82" t="s">
        <v>1046</v>
      </c>
      <c r="BQ24" s="82" t="s">
        <v>1047</v>
      </c>
      <c r="BR24" s="82" t="s">
        <v>590</v>
      </c>
      <c r="BS24" s="82" t="s">
        <v>591</v>
      </c>
      <c r="BT24" s="82" t="s">
        <v>592</v>
      </c>
      <c r="BU24" s="159" t="s">
        <v>593</v>
      </c>
      <c r="BV24" s="82" t="s">
        <v>1048</v>
      </c>
      <c r="BW24" s="83" t="s">
        <v>1049</v>
      </c>
      <c r="BX24" s="83" t="s">
        <v>1050</v>
      </c>
      <c r="BY24" s="83" t="s">
        <v>1051</v>
      </c>
      <c r="BZ24" s="83" t="s">
        <v>1052</v>
      </c>
      <c r="CA24" s="83" t="s">
        <v>124</v>
      </c>
      <c r="CB24" s="83" t="s">
        <v>1053</v>
      </c>
      <c r="CC24" s="83" t="s">
        <v>1054</v>
      </c>
      <c r="CD24" s="83" t="s">
        <v>1055</v>
      </c>
      <c r="CE24" s="83" t="s">
        <v>1056</v>
      </c>
      <c r="CF24" s="83" t="s">
        <v>1057</v>
      </c>
      <c r="CG24" s="3"/>
      <c r="CH24" s="3"/>
      <c r="CI24" s="3"/>
      <c r="CJ24" s="3"/>
      <c r="CK24" s="3"/>
      <c r="CL24" s="3"/>
      <c r="CM24" s="3"/>
      <c r="CN24" s="3"/>
    </row>
    <row r="25" spans="1:92" ht="15.75" customHeight="1">
      <c r="A25" s="78"/>
      <c r="B25" s="89" t="str">
        <f ca="1">IFERROR(__xludf.DUMMYFUNCTION("SORT(UNIQUE(FILTER('Sales  Returns'!$C$1:$C$19968,'Sales  Returns'!$T$1:$T$19968=""DIGITAL Agent"")))"),"Kimberly King")</f>
        <v>Kimberly King</v>
      </c>
      <c r="C25" s="85">
        <f ca="1">SUMIF('Sales  Returns'!$C$1:$C$19998,'Calculated Fields'!B25,'Sales  Returns'!$D$1:$D$19998)</f>
        <v>100</v>
      </c>
      <c r="D25" s="85">
        <f t="shared" ref="D25:D29" ca="1" si="22">H25+I25</f>
        <v>0</v>
      </c>
      <c r="E25" s="85">
        <f t="shared" ref="E25:E29" ca="1" si="23">H25+J25+L25+N25</f>
        <v>0</v>
      </c>
      <c r="F25" s="85">
        <f ca="1">SUMIF('Y2Y sales'!$J$2:$J$2000,$B25,'Y2Y sales'!$G$2:$G$2000)</f>
        <v>0</v>
      </c>
      <c r="G25" s="85">
        <f t="shared" ref="G25:G29" ca="1" si="24">H25-F25</f>
        <v>0</v>
      </c>
      <c r="H25" s="85">
        <f ca="1">SUMIF('Sales  Returns'!$C$1:$C$19998,'Calculated Fields'!B25,'Sales  Returns'!$G$1:$G$19998)</f>
        <v>0</v>
      </c>
      <c r="I25" s="85">
        <f ca="1">SUMIF('Sales  Returns'!$C$1:$C$19998,'Calculated Fields'!B25,'Sales  Returns'!$J$1:$J$19998)</f>
        <v>0</v>
      </c>
      <c r="J25" s="85">
        <f ca="1">SUMIF('Sales  Returns'!$C$1:$C$19998,'Calculated Fields'!B25,'Sales  Returns'!$K$1:$K$19998)</f>
        <v>0</v>
      </c>
      <c r="K25" s="86">
        <f t="shared" ref="K25:K29" ca="1" si="25">IFERROR(J25/I25,0%)</f>
        <v>0</v>
      </c>
      <c r="L25" s="85">
        <f ca="1">SUMIF('Sales  Returns'!$C$1:$C$19998,'Calculated Fields'!B25,'Sales  Returns'!$O$1:$O$19998)</f>
        <v>0</v>
      </c>
      <c r="M25" s="87">
        <f t="shared" ref="M25:M29" ca="1" si="26">IFERROR(L25/G25,0)</f>
        <v>0</v>
      </c>
      <c r="N25" s="85">
        <f ca="1">SUMIF('Sales  Returns'!$C$1:$C$19998,'Calculated Fields'!B25,'Sales  Returns'!$P$1:$P$19998)</f>
        <v>0</v>
      </c>
      <c r="O25" s="85">
        <f ca="1">SUMIF('Sales  Returns'!$C$1:$C$19998,'Calculated Fields'!B25,'Sales  Returns'!$F$1:$F$19998)</f>
        <v>0</v>
      </c>
      <c r="P25" s="85">
        <f ca="1">SUMIF('Sales  Returns'!$C$1:$C$19998,'Calculated Fields'!B25,'Sales  Returns'!$T$1:$T$19998)</f>
        <v>0</v>
      </c>
      <c r="Q25" s="85">
        <f ca="1">SUMIF('Sales  Returns'!$C$1:$C$19998,'Calculated Fields'!B25,'Sales  Returns'!$E$1:$E$19998)</f>
        <v>0</v>
      </c>
      <c r="R25" s="85">
        <f ca="1">SUMIF('Sales  Returns'!$C$1:$C$19998,'Calculated Fields'!B25,'Sales  Returns'!$R$1:$R$19998)</f>
        <v>0</v>
      </c>
      <c r="S25" s="85">
        <f ca="1">SUMIF('Sales  Returns'!$C$1:$C$19998,'Calculated Fields'!B25,'Sales  Returns'!$Q$1:$Q$19998)</f>
        <v>0</v>
      </c>
      <c r="T25" s="85">
        <f ca="1">-COUNTIFS('Sales  Returns'!$C$1:$C$19998,'Calculated Fields'!$B25, 'Sales  Returns'!$B$1:$B$19998,'Calculated Fields'!$T$2)</f>
        <v>0</v>
      </c>
      <c r="U25" s="85">
        <f ca="1">SUMIFS('Sales  Returns'!$D$1:$D$19998,'Sales  Returns'!$C$1:$C$19998,'Calculated Fields'!$B25,'Sales  Returns'!$B$1:$B$19998,'Calculated Fields'!$T$2)</f>
        <v>0</v>
      </c>
      <c r="V25" s="86">
        <f t="shared" ref="V25:V29" ca="1" si="27">IFERROR(((Z25+AC25)/(Y25+AB25)),0)</f>
        <v>0</v>
      </c>
      <c r="W25" s="85">
        <f ca="1">COUNTIFS('Sales  Returns'!$C$1:$C$19998,'Calculated Fields'!$B25, 'Sales  Returns'!$B$1:$B$19998,"Sales")</f>
        <v>0</v>
      </c>
      <c r="X25" s="188">
        <v>0</v>
      </c>
      <c r="Y25" s="85">
        <f ca="1">SUMIF('Sales  Returns'!$C$1:$C$19998,'Calculated Fields'!$B25,'Sales  Returns'!$H$1:$H$19998)</f>
        <v>0</v>
      </c>
      <c r="Z25" s="85">
        <f ca="1">SUMIF('Sales  Returns'!$C$1:$C$19998,'Calculated Fields'!$B25,'Sales  Returns'!$I$1:$I$19998)</f>
        <v>0</v>
      </c>
      <c r="AA25" s="86">
        <f t="shared" ref="AA25:AA29" ca="1" si="28">IFERROR(Z25/Y25,0%)</f>
        <v>0</v>
      </c>
      <c r="AB25" s="85">
        <f ca="1">SUMIF('Sales  Returns'!$C$1:$C$19998,'Calculated Fields'!$B25,'Sales  Returns'!$M$1:$M$19998)</f>
        <v>0</v>
      </c>
      <c r="AC25" s="85">
        <f ca="1">SUMIF('Sales  Returns'!$C$1:$C$19998,'Calculated Fields'!$B25,'Sales  Returns'!$N$1:$N$19998)</f>
        <v>0</v>
      </c>
      <c r="AD25" s="86">
        <f t="shared" ref="AD25:AD29" ca="1" si="29">IFERROR(AC25/AB25,0%)</f>
        <v>0</v>
      </c>
      <c r="AE25" s="88" t="s">
        <v>1058</v>
      </c>
      <c r="AF25" s="85">
        <f ca="1">SUMIF('WO &amp; Quote'!$S:$S,TRIM('Calculated Fields'!$B25),'WO &amp; Quote'!$I:$I)</f>
        <v>0</v>
      </c>
      <c r="AG25" s="85">
        <f ca="1">SUMIF('WO &amp; Quote'!$S:$S,TRIM('Calculated Fields'!$B25),'WO &amp; Quote'!$J:$J) + SUMIF('WO &amp; Quote'!$S:$S,TRIM('Calculated Fields'!$B25),'WO &amp; Quote'!$K:$K)</f>
        <v>0</v>
      </c>
      <c r="AH25" s="78"/>
      <c r="AI25" s="89" t="s">
        <v>54</v>
      </c>
      <c r="AJ25" s="90">
        <f>IFERROR(SUMIF('Inventory Lookup'!$O$2:$O$20765,'Calculated Fields'!$AI25,'Inventory Lookup'!$E$2:$E$20765)/SUMIF('Inventory Lookup'!$O$2:$O$20765,'Calculated Fields'!$AI25,'Inventory Lookup'!$D$2:$D$20765),0)</f>
        <v>0</v>
      </c>
      <c r="AK25" s="90">
        <f>IFERROR(AU25/SUMIFS('Inventory Lookup'!$D$2:$D$20765,'Inventory Lookup'!$O$2:$O$20765,'Calculated Fields'!$AI25,'Inventory Lookup'!$M$2:$M$20765,"Drive Train"),0)</f>
        <v>0</v>
      </c>
      <c r="AL25" s="90">
        <f>IFERROR(AV25/SUMIFS('Inventory Lookup'!$D$2:$D$20765,'Inventory Lookup'!$O$2:$O$20765,'Calculated Fields'!$AI25,'Inventory Lookup'!$M$2:$M$20765,"Body Parts"),0)</f>
        <v>0</v>
      </c>
      <c r="AM25" s="90">
        <f>IFERROR(AW25/SUMIFS('Inventory Lookup'!$D$2:$D$20765,'Inventory Lookup'!$O$2:$O$20765,'Calculated Fields'!$AI25,'Inventory Lookup'!$M$2:$M$20765,"Suspension"),0)</f>
        <v>0</v>
      </c>
      <c r="AN25" s="90">
        <f>IFERROR(AX25/SUMIFS('Inventory Lookup'!$D$2:$D$20765,'Inventory Lookup'!$O$2:$O$20765,'Calculated Fields'!$AI25,'Inventory Lookup'!$M$2:$M$20765,"Electrical"),0)</f>
        <v>0</v>
      </c>
      <c r="AO25" s="86">
        <f>IFERROR(VLOOKUP(AI25,Emp.Lookup!$A$1:$E$40,5,0),0)</f>
        <v>0</v>
      </c>
      <c r="AP25" s="85">
        <f>IFERROR(SUMIFS('Inventory Lookup'!$D$2:$D$20765,'Inventory Lookup'!$O$2:$O$20765,'Calculated Fields'!$AI25,'Inventory Lookup'!$M$2:$M$20765,"Drive Train"),"")</f>
        <v>0</v>
      </c>
      <c r="AQ25" s="85">
        <f>IFERROR(SUMIFS('Inventory Lookup'!$D$2:$D$20765,'Inventory Lookup'!$O$2:$O$20765,'Calculated Fields'!$AI25,'Inventory Lookup'!$M$2:$M$20765,"Body Parts"),"")</f>
        <v>0</v>
      </c>
      <c r="AR25" s="85">
        <f>IFERROR(SUMIFS('Inventory Lookup'!$D$2:$D$20765,'Inventory Lookup'!$O$2:$O$20765,'Calculated Fields'!$AI25,'Inventory Lookup'!$M$2:$M$20765,"Suspension"),"")</f>
        <v>0</v>
      </c>
      <c r="AS25" s="85">
        <f>IFERROR(SUMIFS('Inventory Lookup'!$D$2:$D$20765,'Inventory Lookup'!$O$2:$O$20765,'Calculated Fields'!$AI25,'Inventory Lookup'!$M$2:$M$20765,"Electrical"),"")</f>
        <v>0</v>
      </c>
      <c r="AT25" s="85">
        <f>IFERROR(SUMIFS('Inventory Lookup'!$D$2:$D$20765,'Inventory Lookup'!$O$2:$O$20765,'Calculated Fields'!$AI25,'Inventory Lookup'!$M$2:$M$20765,"Other"),"")</f>
        <v>0</v>
      </c>
      <c r="AU25" s="85">
        <f>IFERROR(SUMIFS('Inventory Lookup'!$E$2:$E$20765,'Inventory Lookup'!$O$2:$O$20765,'Calculated Fields'!$AI25,'Inventory Lookup'!$M$2:$M$20765,"Drive Train"),"")</f>
        <v>0</v>
      </c>
      <c r="AV25" s="85">
        <f>IFERROR(SUMIFS('Inventory Lookup'!$E$2:$E$20765,'Inventory Lookup'!$O$2:$O$20765,'Calculated Fields'!$AI25,'Inventory Lookup'!$M$2:$M$20765,"Body Parts"),"")</f>
        <v>0</v>
      </c>
      <c r="AW25" s="85">
        <f>IFERROR(SUMIFS('Inventory Lookup'!$E$2:$E$20765,'Inventory Lookup'!$O$2:$O$20765,'Calculated Fields'!$AI25,'Inventory Lookup'!$M$2:$M$20765,"Suspension"),"")</f>
        <v>0</v>
      </c>
      <c r="AX25" s="85">
        <f>IFERROR(SUMIFS('Inventory Lookup'!$E$2:$E$20765,'Inventory Lookup'!$O$2:$O$20765,'Calculated Fields'!$AI25,'Inventory Lookup'!$M$2:$M$20765,"Electrical"),"")</f>
        <v>0</v>
      </c>
      <c r="AY25" s="85">
        <f>IFERROR(SUMIFS('Inventory Lookup'!$E$2:$E$20765,'Inventory Lookup'!$O$2:$O$20765,'Calculated Fields'!$AI25,'Inventory Lookup'!$M$2:$M$20765,"Other"),"")</f>
        <v>0</v>
      </c>
      <c r="AZ25" s="78"/>
      <c r="BA25" s="89" t="s">
        <v>54</v>
      </c>
      <c r="BB25" s="91">
        <v>0</v>
      </c>
      <c r="BC25" s="85">
        <f t="shared" ref="BC25:BC29" ca="1" si="30">SUBTOTAL(9,BB25,BH25,BM25,BN25,BP25)</f>
        <v>0</v>
      </c>
      <c r="BD25" s="92">
        <f ca="1">IFERROR(BC25/'Calculated Fields'!$W25,0)</f>
        <v>0</v>
      </c>
      <c r="BE25" s="92">
        <f ca="1">IFERROR('Calculated Fields'!$C25/BC25,0)</f>
        <v>0</v>
      </c>
      <c r="BF25" s="93"/>
      <c r="BG25" s="93"/>
      <c r="BH25" s="85">
        <f t="array" aca="1" ref="BH25" ca="1">IFERROR(INDEX('Agent Activity'!$AC$5:$AD$51,MATCH('Calculated Fields'!$BA25,'Agent Activity'!$AB$5:$AB$51,0),1),0)</f>
        <v>0</v>
      </c>
      <c r="BI25" s="93"/>
      <c r="BJ25" s="93"/>
      <c r="BK25" s="94">
        <f t="array" aca="1" ref="BK25" ca="1">IFERROR(INDEX('Agent Activity'!$AC$5:$AD$51,MATCH('Calculated Fields'!$BA25,'Agent Activity'!$AB$5:AB$51,0),2),0)</f>
        <v>0</v>
      </c>
      <c r="BL25" s="93"/>
      <c r="BM25" s="85">
        <f>SUMIF('RingCentral - Office'!$A$2:$A$482,$BA25,'RingCentral - Office'!$E$2:$E$482)</f>
        <v>0</v>
      </c>
      <c r="BN25" s="85">
        <f>SUMIF('RingCentral - Office'!$A$2:$A$482,$BA25,'RingCentral - Office'!$F$2:$F$482)</f>
        <v>0</v>
      </c>
      <c r="BO25" s="87">
        <f t="shared" ref="BO25:BO29" si="31">IFERROR(BP25/BM25,0)</f>
        <v>0</v>
      </c>
      <c r="BP25" s="85">
        <f>-SUMIF('RingCentral - Office'!$A$2:$A$482,$BA25,'RingCentral - Office'!$H$2:$H$482)</f>
        <v>0</v>
      </c>
      <c r="BQ25" s="94">
        <f>SUMIF('RingCentral - Office'!$A$2:$A$482,$BA25,'RingCentral - Office'!$I$2:$I$482)</f>
        <v>0</v>
      </c>
      <c r="BR25" s="85">
        <f>_xlfn.IFNA(INDEX(Audits!$B$2:$E$19,MATCH($BA25,Audits!$A$2:$A$19,0),MATCH('Calculated Fields'!BR$2,Audits!$B$1:$E$1,0)),0)</f>
        <v>0</v>
      </c>
      <c r="BS25" s="88" t="s">
        <v>1058</v>
      </c>
      <c r="BT25" s="88" t="s">
        <v>1058</v>
      </c>
      <c r="BU25" s="160" t="s">
        <v>1058</v>
      </c>
      <c r="BV25" s="85">
        <f>_xlfn.IFNA(INDEX(Audits!$B$2:$E$19,MATCH($BA25,Audits!$A$2:$A$19,0),MATCH('Calculated Fields'!BV$2,Audits!$B$1:$E$1,0)),0)</f>
        <v>0</v>
      </c>
      <c r="BW25" s="88" t="s">
        <v>1058</v>
      </c>
      <c r="BX25" s="88" t="s">
        <v>1058</v>
      </c>
      <c r="BY25" s="88" t="s">
        <v>1058</v>
      </c>
      <c r="BZ25" s="88" t="s">
        <v>1058</v>
      </c>
      <c r="CA25" s="88" t="s">
        <v>1058</v>
      </c>
      <c r="CB25" s="88" t="s">
        <v>1058</v>
      </c>
      <c r="CC25" s="88" t="s">
        <v>1058</v>
      </c>
      <c r="CD25" s="88" t="s">
        <v>1058</v>
      </c>
      <c r="CE25" s="88" t="s">
        <v>1058</v>
      </c>
      <c r="CF25" s="88" t="s">
        <v>1058</v>
      </c>
      <c r="CG25" s="3"/>
      <c r="CH25" s="3"/>
      <c r="CI25" s="3"/>
      <c r="CJ25" s="3"/>
      <c r="CK25" s="3"/>
      <c r="CL25" s="3"/>
      <c r="CM25" s="3"/>
      <c r="CN25" s="3"/>
    </row>
    <row r="26" spans="1:92" ht="15.75" customHeight="1">
      <c r="A26" s="78"/>
      <c r="B26" s="89" t="str">
        <f ca="1">IFERROR(__xludf.DUMMYFUNCTION("""COMPUTED_VALUE"""),"OEConnection")</f>
        <v>OEConnection</v>
      </c>
      <c r="C26" s="85">
        <f ca="1">SUMIF('Sales  Returns'!$C$1:$C$19998,'Calculated Fields'!B26,'Sales  Returns'!$D$1:$D$19998)</f>
        <v>5970</v>
      </c>
      <c r="D26" s="85">
        <f t="shared" ca="1" si="22"/>
        <v>8202.75</v>
      </c>
      <c r="E26" s="85">
        <f t="shared" ca="1" si="23"/>
        <v>8202.75</v>
      </c>
      <c r="F26" s="85">
        <f ca="1">SUMIF('Y2Y sales'!$J$2:$J$2000,$B26,'Y2Y sales'!$G$2:$G$2000)</f>
        <v>0</v>
      </c>
      <c r="G26" s="85">
        <f t="shared" ca="1" si="24"/>
        <v>8202.75</v>
      </c>
      <c r="H26" s="85">
        <f ca="1">SUMIF('Sales  Returns'!$C$1:$C$19998,'Calculated Fields'!B26,'Sales  Returns'!$G$1:$G$19998)</f>
        <v>8202.75</v>
      </c>
      <c r="I26" s="85">
        <f ca="1">SUMIF('Sales  Returns'!$C$1:$C$19998,'Calculated Fields'!B26,'Sales  Returns'!$J$1:$J$19998)</f>
        <v>0</v>
      </c>
      <c r="J26" s="85">
        <f ca="1">SUMIF('Sales  Returns'!$C$1:$C$19998,'Calculated Fields'!B26,'Sales  Returns'!$K$1:$K$19998)</f>
        <v>0</v>
      </c>
      <c r="K26" s="86">
        <f t="shared" ca="1" si="25"/>
        <v>0</v>
      </c>
      <c r="L26" s="85">
        <f ca="1">SUMIF('Sales  Returns'!$C$1:$C$19998,'Calculated Fields'!B26,'Sales  Returns'!$O$1:$O$19998)</f>
        <v>0</v>
      </c>
      <c r="M26" s="87">
        <f t="shared" ca="1" si="26"/>
        <v>0</v>
      </c>
      <c r="N26" s="85">
        <f ca="1">SUMIF('Sales  Returns'!$C$1:$C$19998,'Calculated Fields'!B26,'Sales  Returns'!$P$1:$P$19998)</f>
        <v>0</v>
      </c>
      <c r="O26" s="85">
        <f ca="1">SUMIF('Sales  Returns'!$C$1:$C$19998,'Calculated Fields'!B26,'Sales  Returns'!$F$1:$F$19998)</f>
        <v>0</v>
      </c>
      <c r="P26" s="85">
        <f ca="1">SUMIF('Sales  Returns'!$C$1:$C$19998,'Calculated Fields'!B26,'Sales  Returns'!$T$1:$T$19998)</f>
        <v>369</v>
      </c>
      <c r="Q26" s="85">
        <f ca="1">SUMIF('Sales  Returns'!$C$1:$C$19998,'Calculated Fields'!B26,'Sales  Returns'!$E$1:$E$19998)</f>
        <v>3410</v>
      </c>
      <c r="R26" s="85">
        <f ca="1">SUMIF('Sales  Returns'!$C$1:$C$19998,'Calculated Fields'!B26,'Sales  Returns'!$R$1:$R$19998)</f>
        <v>0</v>
      </c>
      <c r="S26" s="85">
        <f ca="1">SUMIF('Sales  Returns'!$C$1:$C$19998,'Calculated Fields'!B26,'Sales  Returns'!$Q$1:$Q$19998)</f>
        <v>658</v>
      </c>
      <c r="T26" s="85">
        <f ca="1">-COUNTIFS('Sales  Returns'!$C$1:$C$19998,'Calculated Fields'!$B26, 'Sales  Returns'!$B$1:$B$19998,'Calculated Fields'!$T$2)</f>
        <v>-10</v>
      </c>
      <c r="U26" s="85">
        <f ca="1">SUMIFS('Sales  Returns'!$D$1:$D$19998,'Sales  Returns'!$C$1:$C$19998,'Calculated Fields'!$B26,'Sales  Returns'!$B$1:$B$19998,'Calculated Fields'!$T$2)</f>
        <v>-1630</v>
      </c>
      <c r="V26" s="86">
        <f t="shared" ca="1" si="27"/>
        <v>9.1743119266055051E-2</v>
      </c>
      <c r="W26" s="85">
        <f ca="1">COUNTIFS('Sales  Returns'!$C$1:$C$19998,'Calculated Fields'!$B26, 'Sales  Returns'!$B$1:$B$19998,"Sales")</f>
        <v>109</v>
      </c>
      <c r="X26" s="188">
        <v>0</v>
      </c>
      <c r="Y26" s="85">
        <f ca="1">SUMIF('Sales  Returns'!$C$1:$C$19998,'Calculated Fields'!$B26,'Sales  Returns'!$H$1:$H$19998)</f>
        <v>109</v>
      </c>
      <c r="Z26" s="85">
        <f ca="1">SUMIF('Sales  Returns'!$C$1:$C$19998,'Calculated Fields'!$B26,'Sales  Returns'!$I$1:$I$19998)</f>
        <v>10</v>
      </c>
      <c r="AA26" s="86">
        <f t="shared" ca="1" si="28"/>
        <v>9.1743119266055051E-2</v>
      </c>
      <c r="AB26" s="85">
        <f ca="1">SUMIF('Sales  Returns'!$C$1:$C$19998,'Calculated Fields'!$B26,'Sales  Returns'!$M$1:$M$19998)</f>
        <v>0</v>
      </c>
      <c r="AC26" s="85">
        <f ca="1">SUMIF('Sales  Returns'!$C$1:$C$19998,'Calculated Fields'!$B26,'Sales  Returns'!$N$1:$N$19998)</f>
        <v>0</v>
      </c>
      <c r="AD26" s="86">
        <f t="shared" ca="1" si="29"/>
        <v>0</v>
      </c>
      <c r="AE26" s="88" t="s">
        <v>1058</v>
      </c>
      <c r="AF26" s="85">
        <f ca="1">SUMIF('WO &amp; Quote'!$S:$S,TRIM('Calculated Fields'!$B26),'WO &amp; Quote'!$I:$I)</f>
        <v>5840</v>
      </c>
      <c r="AG26" s="85">
        <f ca="1">SUMIF('WO &amp; Quote'!$S:$S,TRIM('Calculated Fields'!$B26),'WO &amp; Quote'!$J:$J) + SUMIF('WO &amp; Quote'!$S:$S,TRIM('Calculated Fields'!$B26),'WO &amp; Quote'!$K:$K)</f>
        <v>0</v>
      </c>
      <c r="AH26" s="78"/>
      <c r="AI26" s="89" t="s">
        <v>97</v>
      </c>
      <c r="AJ26" s="90">
        <f>IFERROR(SUMIF('Inventory Lookup'!$O$2:$O$20765,'Calculated Fields'!$AI26,'Inventory Lookup'!$E$2:$E$20765)/SUMIF('Inventory Lookup'!$O$2:$O$20765,'Calculated Fields'!$AI26,'Inventory Lookup'!$D$2:$D$20765),0)</f>
        <v>0</v>
      </c>
      <c r="AK26" s="90">
        <f>IFERROR(AU26/SUMIFS('Inventory Lookup'!$D$2:$D$20765,'Inventory Lookup'!$O$2:$O$20765,'Calculated Fields'!$AI26,'Inventory Lookup'!$M$2:$M$20765,"Drive Train"),0)</f>
        <v>0</v>
      </c>
      <c r="AL26" s="90">
        <f>IFERROR(AV26/SUMIFS('Inventory Lookup'!$D$2:$D$20765,'Inventory Lookup'!$O$2:$O$20765,'Calculated Fields'!$AI26,'Inventory Lookup'!$M$2:$M$20765,"Body Parts"),0)</f>
        <v>0</v>
      </c>
      <c r="AM26" s="90">
        <f>IFERROR(AW26/SUMIFS('Inventory Lookup'!$D$2:$D$20765,'Inventory Lookup'!$O$2:$O$20765,'Calculated Fields'!$AI26,'Inventory Lookup'!$M$2:$M$20765,"Suspension"),0)</f>
        <v>0</v>
      </c>
      <c r="AN26" s="90">
        <f>IFERROR(AX26/SUMIFS('Inventory Lookup'!$D$2:$D$20765,'Inventory Lookup'!$O$2:$O$20765,'Calculated Fields'!$AI26,'Inventory Lookup'!$M$2:$M$20765,"Electrical"),0)</f>
        <v>0</v>
      </c>
      <c r="AO26" s="86">
        <f>IFERROR(VLOOKUP(AI26,Emp.Lookup!$A$1:$E$40,5,0),0)</f>
        <v>0</v>
      </c>
      <c r="AP26" s="85">
        <f>IFERROR(SUMIFS('Inventory Lookup'!$D$2:$D$20765,'Inventory Lookup'!$O$2:$O$20765,'Calculated Fields'!$AI26,'Inventory Lookup'!$M$2:$M$20765,"Drive Train"),"")</f>
        <v>0</v>
      </c>
      <c r="AQ26" s="85">
        <f>IFERROR(SUMIFS('Inventory Lookup'!$D$2:$D$20765,'Inventory Lookup'!$O$2:$O$20765,'Calculated Fields'!$AI26,'Inventory Lookup'!$M$2:$M$20765,"Body Parts"),"")</f>
        <v>0</v>
      </c>
      <c r="AR26" s="85">
        <f>IFERROR(SUMIFS('Inventory Lookup'!$D$2:$D$20765,'Inventory Lookup'!$O$2:$O$20765,'Calculated Fields'!$AI26,'Inventory Lookup'!$M$2:$M$20765,"Suspension"),"")</f>
        <v>0</v>
      </c>
      <c r="AS26" s="85">
        <f>IFERROR(SUMIFS('Inventory Lookup'!$D$2:$D$20765,'Inventory Lookup'!$O$2:$O$20765,'Calculated Fields'!$AI26,'Inventory Lookup'!$M$2:$M$20765,"Electrical"),"")</f>
        <v>0</v>
      </c>
      <c r="AT26" s="85">
        <f>IFERROR(SUMIFS('Inventory Lookup'!$D$2:$D$20765,'Inventory Lookup'!$O$2:$O$20765,'Calculated Fields'!$AI26,'Inventory Lookup'!$M$2:$M$20765,"Other"),"")</f>
        <v>0</v>
      </c>
      <c r="AU26" s="85">
        <f>IFERROR(SUMIFS('Inventory Lookup'!$E$2:$E$20765,'Inventory Lookup'!$O$2:$O$20765,'Calculated Fields'!$AI26,'Inventory Lookup'!$M$2:$M$20765,"Drive Train"),"")</f>
        <v>0</v>
      </c>
      <c r="AV26" s="85">
        <f>IFERROR(SUMIFS('Inventory Lookup'!$E$2:$E$20765,'Inventory Lookup'!$O$2:$O$20765,'Calculated Fields'!$AI26,'Inventory Lookup'!$M$2:$M$20765,"Body Parts"),"")</f>
        <v>0</v>
      </c>
      <c r="AW26" s="85">
        <f>IFERROR(SUMIFS('Inventory Lookup'!$E$2:$E$20765,'Inventory Lookup'!$O$2:$O$20765,'Calculated Fields'!$AI26,'Inventory Lookup'!$M$2:$M$20765,"Suspension"),"")</f>
        <v>0</v>
      </c>
      <c r="AX26" s="85">
        <f>IFERROR(SUMIFS('Inventory Lookup'!$E$2:$E$20765,'Inventory Lookup'!$O$2:$O$20765,'Calculated Fields'!$AI26,'Inventory Lookup'!$M$2:$M$20765,"Electrical"),"")</f>
        <v>0</v>
      </c>
      <c r="AY26" s="85">
        <f>IFERROR(SUMIFS('Inventory Lookup'!$E$2:$E$20765,'Inventory Lookup'!$O$2:$O$20765,'Calculated Fields'!$AI26,'Inventory Lookup'!$M$2:$M$20765,"Other"),"")</f>
        <v>0</v>
      </c>
      <c r="AZ26" s="78"/>
      <c r="BA26" s="89" t="s">
        <v>97</v>
      </c>
      <c r="BB26" s="91">
        <v>0</v>
      </c>
      <c r="BC26" s="85">
        <f t="shared" ca="1" si="30"/>
        <v>0</v>
      </c>
      <c r="BD26" s="92">
        <f ca="1">IFERROR(BC26/'Calculated Fields'!$W26,0)</f>
        <v>0</v>
      </c>
      <c r="BE26" s="92">
        <f ca="1">IFERROR('Calculated Fields'!$C26/BC26,0)</f>
        <v>0</v>
      </c>
      <c r="BF26" s="93"/>
      <c r="BG26" s="93"/>
      <c r="BH26" s="85">
        <f t="array" aca="1" ref="BH26" ca="1">IFERROR(INDEX('Agent Activity'!$AC$5:$AD$51,MATCH('Calculated Fields'!$BA26,'Agent Activity'!$AB$5:$AB$51,0),1),0)</f>
        <v>0</v>
      </c>
      <c r="BI26" s="93"/>
      <c r="BJ26" s="93"/>
      <c r="BK26" s="94">
        <f t="array" aca="1" ref="BK26" ca="1">IFERROR(INDEX('Agent Activity'!$AC$5:$AD$51,MATCH('Calculated Fields'!$BA26,'Agent Activity'!$AB$5:AB$51,0),2),0)</f>
        <v>0</v>
      </c>
      <c r="BL26" s="93"/>
      <c r="BM26" s="85">
        <f>SUMIF('RingCentral - Office'!$A$2:$A$482,$BA26,'RingCentral - Office'!$E$2:$E$482)</f>
        <v>0</v>
      </c>
      <c r="BN26" s="85">
        <f>SUMIF('RingCentral - Office'!$A$2:$A$482,$BA26,'RingCentral - Office'!$F$2:$F$482)</f>
        <v>0</v>
      </c>
      <c r="BO26" s="87">
        <f t="shared" si="31"/>
        <v>0</v>
      </c>
      <c r="BP26" s="85">
        <f>-SUMIF('RingCentral - Office'!$A$2:$A$482,$BA26,'RingCentral - Office'!$H$2:$H$482)</f>
        <v>0</v>
      </c>
      <c r="BQ26" s="94">
        <f>SUMIF('RingCentral - Office'!$A$2:$A$482,$BA26,'RingCentral - Office'!$I$2:$I$482)</f>
        <v>0</v>
      </c>
      <c r="BR26" s="85">
        <f>_xlfn.IFNA(INDEX(Audits!$B$2:$E$19,MATCH($BA26,Audits!$A$2:$A$19,0),MATCH('Calculated Fields'!BR$2,Audits!$B$1:$E$1,0)),0)</f>
        <v>0</v>
      </c>
      <c r="BS26" s="88" t="s">
        <v>1058</v>
      </c>
      <c r="BT26" s="88" t="s">
        <v>1058</v>
      </c>
      <c r="BU26" s="160" t="s">
        <v>1058</v>
      </c>
      <c r="BV26" s="85">
        <f>_xlfn.IFNA(INDEX(Audits!$B$2:$E$19,MATCH($BA26,Audits!$A$2:$A$19,0),MATCH('Calculated Fields'!BV$2,Audits!$B$1:$E$1,0)),0)</f>
        <v>0</v>
      </c>
      <c r="BW26" s="88" t="s">
        <v>1058</v>
      </c>
      <c r="BX26" s="88" t="s">
        <v>1058</v>
      </c>
      <c r="BY26" s="88" t="s">
        <v>1058</v>
      </c>
      <c r="BZ26" s="88" t="s">
        <v>1058</v>
      </c>
      <c r="CA26" s="88" t="s">
        <v>1058</v>
      </c>
      <c r="CB26" s="88" t="s">
        <v>1058</v>
      </c>
      <c r="CC26" s="88" t="s">
        <v>1058</v>
      </c>
      <c r="CD26" s="88" t="s">
        <v>1058</v>
      </c>
      <c r="CE26" s="88" t="s">
        <v>1058</v>
      </c>
      <c r="CF26" s="88" t="s">
        <v>1058</v>
      </c>
      <c r="CG26" s="3"/>
      <c r="CH26" s="3"/>
      <c r="CI26" s="3"/>
      <c r="CJ26" s="3"/>
      <c r="CK26" s="3"/>
      <c r="CL26" s="3"/>
      <c r="CM26" s="3"/>
      <c r="CN26" s="3"/>
    </row>
    <row r="27" spans="1:92" ht="14.4">
      <c r="A27" s="78"/>
      <c r="B27" s="89" t="str">
        <f ca="1">IFERROR(__xludf.DUMMYFUNCTION("""COMPUTED_VALUE"""),"Shop-Ware")</f>
        <v>Shop-Ware</v>
      </c>
      <c r="C27" s="85">
        <f ca="1">SUMIF('Sales  Returns'!$C$1:$C$19998,'Calculated Fields'!B27,'Sales  Returns'!$D$1:$D$19998)</f>
        <v>300</v>
      </c>
      <c r="D27" s="85">
        <f t="shared" ca="1" si="22"/>
        <v>100</v>
      </c>
      <c r="E27" s="85">
        <f t="shared" ca="1" si="23"/>
        <v>100</v>
      </c>
      <c r="F27" s="85">
        <f ca="1">SUMIF('Y2Y sales'!$J$2:$J$2000,$B27,'Y2Y sales'!$G$2:$G$2000)</f>
        <v>0</v>
      </c>
      <c r="G27" s="85">
        <f t="shared" ca="1" si="24"/>
        <v>100</v>
      </c>
      <c r="H27" s="85">
        <f ca="1">SUMIF('Sales  Returns'!$C$1:$C$19998,'Calculated Fields'!B27,'Sales  Returns'!$G$1:$G$19998)</f>
        <v>100</v>
      </c>
      <c r="I27" s="85">
        <f ca="1">SUMIF('Sales  Returns'!$C$1:$C$19998,'Calculated Fields'!B27,'Sales  Returns'!$J$1:$J$19998)</f>
        <v>0</v>
      </c>
      <c r="J27" s="85">
        <f ca="1">SUMIF('Sales  Returns'!$C$1:$C$19998,'Calculated Fields'!B27,'Sales  Returns'!$K$1:$K$19998)</f>
        <v>0</v>
      </c>
      <c r="K27" s="86">
        <f t="shared" ca="1" si="25"/>
        <v>0</v>
      </c>
      <c r="L27" s="85">
        <f ca="1">SUMIF('Sales  Returns'!$C$1:$C$19998,'Calculated Fields'!B27,'Sales  Returns'!$O$1:$O$19998)</f>
        <v>0</v>
      </c>
      <c r="M27" s="87">
        <f t="shared" ca="1" si="26"/>
        <v>0</v>
      </c>
      <c r="N27" s="85">
        <f ca="1">SUMIF('Sales  Returns'!$C$1:$C$19998,'Calculated Fields'!B27,'Sales  Returns'!$P$1:$P$19998)</f>
        <v>0</v>
      </c>
      <c r="O27" s="85">
        <f ca="1">SUMIF('Sales  Returns'!$C$1:$C$19998,'Calculated Fields'!B27,'Sales  Returns'!$F$1:$F$19998)</f>
        <v>0</v>
      </c>
      <c r="P27" s="85">
        <f ca="1">SUMIF('Sales  Returns'!$C$1:$C$19998,'Calculated Fields'!B27,'Sales  Returns'!$T$1:$T$19998)</f>
        <v>4</v>
      </c>
      <c r="Q27" s="85">
        <f ca="1">SUMIF('Sales  Returns'!$C$1:$C$19998,'Calculated Fields'!B27,'Sales  Returns'!$E$1:$E$19998)</f>
        <v>-35</v>
      </c>
      <c r="R27" s="85">
        <f ca="1">SUMIF('Sales  Returns'!$C$1:$C$19998,'Calculated Fields'!B27,'Sales  Returns'!$R$1:$R$19998)</f>
        <v>0</v>
      </c>
      <c r="S27" s="85">
        <f ca="1">SUMIF('Sales  Returns'!$C$1:$C$19998,'Calculated Fields'!B27,'Sales  Returns'!$Q$1:$Q$19998)</f>
        <v>0</v>
      </c>
      <c r="T27" s="85">
        <f ca="1">-COUNTIFS('Sales  Returns'!$C$1:$C$19998,'Calculated Fields'!$B27, 'Sales  Returns'!$B$1:$B$19998,'Calculated Fields'!$T$2)</f>
        <v>-1</v>
      </c>
      <c r="U27" s="85">
        <f ca="1">SUMIFS('Sales  Returns'!$D$1:$D$19998,'Sales  Returns'!$C$1:$C$19998,'Calculated Fields'!$B27,'Sales  Returns'!$B$1:$B$19998,'Calculated Fields'!$T$2)</f>
        <v>-785</v>
      </c>
      <c r="V27" s="86">
        <f t="shared" ca="1" si="27"/>
        <v>1</v>
      </c>
      <c r="W27" s="85">
        <f ca="1">COUNTIFS('Sales  Returns'!$C$1:$C$19998,'Calculated Fields'!$B27, 'Sales  Returns'!$B$1:$B$19998,"Sales")</f>
        <v>1</v>
      </c>
      <c r="X27" s="188">
        <v>0</v>
      </c>
      <c r="Y27" s="85">
        <f ca="1">SUMIF('Sales  Returns'!$C$1:$C$19998,'Calculated Fields'!$B27,'Sales  Returns'!$H$1:$H$19998)</f>
        <v>1</v>
      </c>
      <c r="Z27" s="85">
        <f ca="1">SUMIF('Sales  Returns'!$C$1:$C$19998,'Calculated Fields'!$B27,'Sales  Returns'!$I$1:$I$19998)</f>
        <v>1</v>
      </c>
      <c r="AA27" s="86">
        <f t="shared" ca="1" si="28"/>
        <v>1</v>
      </c>
      <c r="AB27" s="85">
        <f ca="1">SUMIF('Sales  Returns'!$C$1:$C$19998,'Calculated Fields'!$B27,'Sales  Returns'!$M$1:$M$19998)</f>
        <v>0</v>
      </c>
      <c r="AC27" s="85">
        <f ca="1">SUMIF('Sales  Returns'!$C$1:$C$19998,'Calculated Fields'!$B27,'Sales  Returns'!$N$1:$N$19998)</f>
        <v>0</v>
      </c>
      <c r="AD27" s="86">
        <f t="shared" ca="1" si="29"/>
        <v>0</v>
      </c>
      <c r="AE27" s="88" t="s">
        <v>1058</v>
      </c>
      <c r="AF27" s="85">
        <f ca="1">SUMIF('WO &amp; Quote'!$S:$S,TRIM('Calculated Fields'!$B27),'WO &amp; Quote'!$I:$I)</f>
        <v>200</v>
      </c>
      <c r="AG27" s="85">
        <f ca="1">SUMIF('WO &amp; Quote'!$S:$S,TRIM('Calculated Fields'!$B27),'WO &amp; Quote'!$J:$J) + SUMIF('WO &amp; Quote'!$S:$S,TRIM('Calculated Fields'!$B27),'WO &amp; Quote'!$K:$K)</f>
        <v>0</v>
      </c>
      <c r="AH27" s="78"/>
      <c r="AI27" s="89" t="s">
        <v>96</v>
      </c>
      <c r="AJ27" s="90">
        <f>IFERROR(SUMIF('Inventory Lookup'!$O$2:$O$20765,'Calculated Fields'!$AI27,'Inventory Lookup'!$E$2:$E$20765)/SUMIF('Inventory Lookup'!$O$2:$O$20765,'Calculated Fields'!$AI27,'Inventory Lookup'!$D$2:$D$20765),0)</f>
        <v>0</v>
      </c>
      <c r="AK27" s="90">
        <f>IFERROR(AU27/SUMIFS('Inventory Lookup'!$D$2:$D$20765,'Inventory Lookup'!$O$2:$O$20765,'Calculated Fields'!$AI27,'Inventory Lookup'!$M$2:$M$20765,"Drive Train"),0)</f>
        <v>0</v>
      </c>
      <c r="AL27" s="90">
        <f>IFERROR(AV27/SUMIFS('Inventory Lookup'!$D$2:$D$20765,'Inventory Lookup'!$O$2:$O$20765,'Calculated Fields'!$AI27,'Inventory Lookup'!$M$2:$M$20765,"Body Parts"),0)</f>
        <v>0</v>
      </c>
      <c r="AM27" s="90">
        <f>IFERROR(AW27/SUMIFS('Inventory Lookup'!$D$2:$D$20765,'Inventory Lookup'!$O$2:$O$20765,'Calculated Fields'!$AI27,'Inventory Lookup'!$M$2:$M$20765,"Suspension"),0)</f>
        <v>0</v>
      </c>
      <c r="AN27" s="90">
        <f>IFERROR(AX27/SUMIFS('Inventory Lookup'!$D$2:$D$20765,'Inventory Lookup'!$O$2:$O$20765,'Calculated Fields'!$AI27,'Inventory Lookup'!$M$2:$M$20765,"Electrical"),0)</f>
        <v>0</v>
      </c>
      <c r="AO27" s="86">
        <f>IFERROR(VLOOKUP(AI27,Emp.Lookup!$A$1:$E$40,5,0),0)</f>
        <v>0</v>
      </c>
      <c r="AP27" s="85">
        <f>IFERROR(SUMIFS('Inventory Lookup'!$D$2:$D$20765,'Inventory Lookup'!$O$2:$O$20765,'Calculated Fields'!$AI27,'Inventory Lookup'!$M$2:$M$20765,"Drive Train"),"")</f>
        <v>0</v>
      </c>
      <c r="AQ27" s="85">
        <f>IFERROR(SUMIFS('Inventory Lookup'!$D$2:$D$20765,'Inventory Lookup'!$O$2:$O$20765,'Calculated Fields'!$AI27,'Inventory Lookup'!$M$2:$M$20765,"Body Parts"),"")</f>
        <v>0</v>
      </c>
      <c r="AR27" s="85">
        <f>IFERROR(SUMIFS('Inventory Lookup'!$D$2:$D$20765,'Inventory Lookup'!$O$2:$O$20765,'Calculated Fields'!$AI27,'Inventory Lookup'!$M$2:$M$20765,"Suspension"),"")</f>
        <v>0</v>
      </c>
      <c r="AS27" s="85">
        <f>IFERROR(SUMIFS('Inventory Lookup'!$D$2:$D$20765,'Inventory Lookup'!$O$2:$O$20765,'Calculated Fields'!$AI27,'Inventory Lookup'!$M$2:$M$20765,"Electrical"),"")</f>
        <v>0</v>
      </c>
      <c r="AT27" s="85">
        <f>IFERROR(SUMIFS('Inventory Lookup'!$D$2:$D$20765,'Inventory Lookup'!$O$2:$O$20765,'Calculated Fields'!$AI27,'Inventory Lookup'!$M$2:$M$20765,"Other"),"")</f>
        <v>0</v>
      </c>
      <c r="AU27" s="85">
        <f>IFERROR(SUMIFS('Inventory Lookup'!$E$2:$E$20765,'Inventory Lookup'!$O$2:$O$20765,'Calculated Fields'!$AI27,'Inventory Lookup'!$M$2:$M$20765,"Drive Train"),"")</f>
        <v>0</v>
      </c>
      <c r="AV27" s="85">
        <f>IFERROR(SUMIFS('Inventory Lookup'!$E$2:$E$20765,'Inventory Lookup'!$O$2:$O$20765,'Calculated Fields'!$AI27,'Inventory Lookup'!$M$2:$M$20765,"Body Parts"),"")</f>
        <v>0</v>
      </c>
      <c r="AW27" s="85">
        <f>IFERROR(SUMIFS('Inventory Lookup'!$E$2:$E$20765,'Inventory Lookup'!$O$2:$O$20765,'Calculated Fields'!$AI27,'Inventory Lookup'!$M$2:$M$20765,"Suspension"),"")</f>
        <v>0</v>
      </c>
      <c r="AX27" s="85">
        <f>IFERROR(SUMIFS('Inventory Lookup'!$E$2:$E$20765,'Inventory Lookup'!$O$2:$O$20765,'Calculated Fields'!$AI27,'Inventory Lookup'!$M$2:$M$20765,"Electrical"),"")</f>
        <v>0</v>
      </c>
      <c r="AY27" s="85">
        <f>IFERROR(SUMIFS('Inventory Lookup'!$E$2:$E$20765,'Inventory Lookup'!$O$2:$O$20765,'Calculated Fields'!$AI27,'Inventory Lookup'!$M$2:$M$20765,"Other"),"")</f>
        <v>0</v>
      </c>
      <c r="AZ27" s="78"/>
      <c r="BA27" s="89" t="s">
        <v>96</v>
      </c>
      <c r="BB27" s="91">
        <v>0</v>
      </c>
      <c r="BC27" s="85">
        <f t="shared" ca="1" si="30"/>
        <v>0</v>
      </c>
      <c r="BD27" s="92">
        <f ca="1">IFERROR(BC27/'Calculated Fields'!$W27,0)</f>
        <v>0</v>
      </c>
      <c r="BE27" s="92">
        <f ca="1">IFERROR('Calculated Fields'!$C27/BC27,0)</f>
        <v>0</v>
      </c>
      <c r="BF27" s="93"/>
      <c r="BG27" s="93"/>
      <c r="BH27" s="85">
        <f t="array" aca="1" ref="BH27" ca="1">IFERROR(INDEX('Agent Activity'!$AC$5:$AD$51,MATCH('Calculated Fields'!$BA27,'Agent Activity'!$AB$5:$AB$51,0),1),0)</f>
        <v>0</v>
      </c>
      <c r="BI27" s="93"/>
      <c r="BJ27" s="93"/>
      <c r="BK27" s="94">
        <f t="array" aca="1" ref="BK27" ca="1">IFERROR(INDEX('Agent Activity'!$AC$5:$AD$51,MATCH('Calculated Fields'!$BA27,'Agent Activity'!$AB$5:AB$51,0),2),0)</f>
        <v>0</v>
      </c>
      <c r="BL27" s="93"/>
      <c r="BM27" s="85">
        <f>SUMIF('RingCentral - Office'!$A$2:$A$482,$BA27,'RingCentral - Office'!$E$2:$E$482)</f>
        <v>0</v>
      </c>
      <c r="BN27" s="85">
        <f>SUMIF('RingCentral - Office'!$A$2:$A$482,$BA27,'RingCentral - Office'!$F$2:$F$482)</f>
        <v>0</v>
      </c>
      <c r="BO27" s="87">
        <f t="shared" si="31"/>
        <v>0</v>
      </c>
      <c r="BP27" s="85">
        <f>-SUMIF('RingCentral - Office'!$A$2:$A$482,$BA27,'RingCentral - Office'!$H$2:$H$482)</f>
        <v>0</v>
      </c>
      <c r="BQ27" s="94">
        <f>SUMIF('RingCentral - Office'!$A$2:$A$482,$BA27,'RingCentral - Office'!$I$2:$I$482)</f>
        <v>0</v>
      </c>
      <c r="BR27" s="85">
        <f>_xlfn.IFNA(INDEX(Audits!$B$2:$E$19,MATCH($BA27,Audits!$A$2:$A$19,0),MATCH('Calculated Fields'!BR$2,Audits!$B$1:$E$1,0)),0)</f>
        <v>0</v>
      </c>
      <c r="BS27" s="88" t="s">
        <v>1058</v>
      </c>
      <c r="BT27" s="88" t="s">
        <v>1058</v>
      </c>
      <c r="BU27" s="160" t="s">
        <v>1058</v>
      </c>
      <c r="BV27" s="85">
        <f>_xlfn.IFNA(INDEX(Audits!$B$2:$E$19,MATCH($BA27,Audits!$A$2:$A$19,0),MATCH('Calculated Fields'!BV$2,Audits!$B$1:$E$1,0)),0)</f>
        <v>0</v>
      </c>
      <c r="BW27" s="88" t="s">
        <v>1058</v>
      </c>
      <c r="BX27" s="88" t="s">
        <v>1058</v>
      </c>
      <c r="BY27" s="88" t="s">
        <v>1058</v>
      </c>
      <c r="BZ27" s="88" t="s">
        <v>1058</v>
      </c>
      <c r="CA27" s="88" t="s">
        <v>1058</v>
      </c>
      <c r="CB27" s="88" t="s">
        <v>1058</v>
      </c>
      <c r="CC27" s="88" t="s">
        <v>1058</v>
      </c>
      <c r="CD27" s="88" t="s">
        <v>1058</v>
      </c>
      <c r="CE27" s="88" t="s">
        <v>1058</v>
      </c>
      <c r="CF27" s="88" t="s">
        <v>1058</v>
      </c>
      <c r="CG27" s="3"/>
      <c r="CH27" s="3"/>
      <c r="CI27" s="3"/>
      <c r="CJ27" s="3"/>
      <c r="CK27" s="3"/>
      <c r="CL27" s="3"/>
      <c r="CM27" s="3"/>
      <c r="CN27" s="3"/>
    </row>
    <row r="28" spans="1:92" ht="14.4">
      <c r="A28" s="78"/>
      <c r="B28" s="89" t="str">
        <f ca="1">IFERROR(__xludf.DUMMYFUNCTION("""COMPUTED_VALUE"""),"Site")</f>
        <v>Site</v>
      </c>
      <c r="C28" s="85">
        <f ca="1">SUMIF('Sales  Returns'!$C$1:$C$19998,'Calculated Fields'!B28,'Sales  Returns'!$D$1:$D$19998)</f>
        <v>1413</v>
      </c>
      <c r="D28" s="85">
        <f t="shared" ca="1" si="22"/>
        <v>73.259999999999991</v>
      </c>
      <c r="E28" s="85">
        <f t="shared" ca="1" si="23"/>
        <v>81.259999999999991</v>
      </c>
      <c r="F28" s="85">
        <f ca="1">SUMIF('Y2Y sales'!$J$2:$J$2000,$B28,'Y2Y sales'!$G$2:$G$2000)</f>
        <v>0</v>
      </c>
      <c r="G28" s="85">
        <f t="shared" ca="1" si="24"/>
        <v>73.259999999999991</v>
      </c>
      <c r="H28" s="85">
        <f ca="1">SUMIF('Sales  Returns'!$C$1:$C$19998,'Calculated Fields'!B28,'Sales  Returns'!$G$1:$G$19998)</f>
        <v>73.259999999999991</v>
      </c>
      <c r="I28" s="85">
        <f ca="1">SUMIF('Sales  Returns'!$C$1:$C$19998,'Calculated Fields'!B28,'Sales  Returns'!$J$1:$J$19998)</f>
        <v>0</v>
      </c>
      <c r="J28" s="85">
        <f ca="1">SUMIF('Sales  Returns'!$C$1:$C$19998,'Calculated Fields'!B28,'Sales  Returns'!$K$1:$K$19998)</f>
        <v>0</v>
      </c>
      <c r="K28" s="86">
        <f t="shared" ca="1" si="25"/>
        <v>0</v>
      </c>
      <c r="L28" s="85">
        <f ca="1">SUMIF('Sales  Returns'!$C$1:$C$19998,'Calculated Fields'!B28,'Sales  Returns'!$O$1:$O$19998)</f>
        <v>0</v>
      </c>
      <c r="M28" s="87">
        <f t="shared" ca="1" si="26"/>
        <v>0</v>
      </c>
      <c r="N28" s="85">
        <f ca="1">SUMIF('Sales  Returns'!$C$1:$C$19998,'Calculated Fields'!B28,'Sales  Returns'!$P$1:$P$19998)</f>
        <v>8</v>
      </c>
      <c r="O28" s="85">
        <f ca="1">SUMIF('Sales  Returns'!$C$1:$C$19998,'Calculated Fields'!B28,'Sales  Returns'!$F$1:$F$19998)</f>
        <v>4</v>
      </c>
      <c r="P28" s="85">
        <f ca="1">SUMIF('Sales  Returns'!$C$1:$C$19998,'Calculated Fields'!B28,'Sales  Returns'!$T$1:$T$19998)</f>
        <v>5</v>
      </c>
      <c r="Q28" s="85">
        <f ca="1">SUMIF('Sales  Returns'!$C$1:$C$19998,'Calculated Fields'!B28,'Sales  Returns'!$E$1:$E$19998)</f>
        <v>-20</v>
      </c>
      <c r="R28" s="85">
        <f ca="1">SUMIF('Sales  Returns'!$C$1:$C$19998,'Calculated Fields'!B28,'Sales  Returns'!$R$1:$R$19998)</f>
        <v>-30</v>
      </c>
      <c r="S28" s="85">
        <f ca="1">SUMIF('Sales  Returns'!$C$1:$C$19998,'Calculated Fields'!B28,'Sales  Returns'!$Q$1:$Q$19998)</f>
        <v>0</v>
      </c>
      <c r="T28" s="85">
        <f ca="1">-COUNTIFS('Sales  Returns'!$C$1:$C$19998,'Calculated Fields'!$B28, 'Sales  Returns'!$B$1:$B$19998,'Calculated Fields'!$T$2)</f>
        <v>-1</v>
      </c>
      <c r="U28" s="85">
        <f ca="1">SUMIFS('Sales  Returns'!$D$1:$D$19998,'Sales  Returns'!$C$1:$C$19998,'Calculated Fields'!$B28,'Sales  Returns'!$B$1:$B$19998,'Calculated Fields'!$T$2)</f>
        <v>-100</v>
      </c>
      <c r="V28" s="86">
        <f t="shared" ca="1" si="27"/>
        <v>0.5</v>
      </c>
      <c r="W28" s="85">
        <f ca="1">COUNTIFS('Sales  Returns'!$C$1:$C$19998,'Calculated Fields'!$B28, 'Sales  Returns'!$B$1:$B$19998,"Sales")</f>
        <v>2</v>
      </c>
      <c r="X28" s="188">
        <v>0</v>
      </c>
      <c r="Y28" s="85">
        <f ca="1">SUMIF('Sales  Returns'!$C$1:$C$19998,'Calculated Fields'!$B28,'Sales  Returns'!$H$1:$H$19998)</f>
        <v>2</v>
      </c>
      <c r="Z28" s="85">
        <f ca="1">SUMIF('Sales  Returns'!$C$1:$C$19998,'Calculated Fields'!$B28,'Sales  Returns'!$I$1:$I$19998)</f>
        <v>1</v>
      </c>
      <c r="AA28" s="86">
        <f t="shared" ca="1" si="28"/>
        <v>0.5</v>
      </c>
      <c r="AB28" s="85">
        <f ca="1">SUMIF('Sales  Returns'!$C$1:$C$19998,'Calculated Fields'!$B28,'Sales  Returns'!$M$1:$M$19998)</f>
        <v>0</v>
      </c>
      <c r="AC28" s="85">
        <f ca="1">SUMIF('Sales  Returns'!$C$1:$C$19998,'Calculated Fields'!$B28,'Sales  Returns'!$N$1:$N$19998)</f>
        <v>0</v>
      </c>
      <c r="AD28" s="86">
        <f t="shared" ca="1" si="29"/>
        <v>0</v>
      </c>
      <c r="AE28" s="88" t="s">
        <v>1058</v>
      </c>
      <c r="AF28" s="85">
        <f ca="1">SUMIF('WO &amp; Quote'!$S:$S,TRIM('Calculated Fields'!$B28),'WO &amp; Quote'!$I:$I)</f>
        <v>1263.99</v>
      </c>
      <c r="AG28" s="85">
        <f ca="1">SUMIF('WO &amp; Quote'!$S:$S,TRIM('Calculated Fields'!$B28),'WO &amp; Quote'!$J:$J) + SUMIF('WO &amp; Quote'!$S:$S,TRIM('Calculated Fields'!$B28),'WO &amp; Quote'!$K:$K)</f>
        <v>0</v>
      </c>
      <c r="AH28" s="78"/>
      <c r="AI28" s="89" t="s">
        <v>92</v>
      </c>
      <c r="AJ28" s="90">
        <f>IFERROR(SUMIF('Inventory Lookup'!$O$2:$O$20765,'Calculated Fields'!$AI28,'Inventory Lookup'!$E$2:$E$20765)/SUMIF('Inventory Lookup'!$O$2:$O$20765,'Calculated Fields'!$AI28,'Inventory Lookup'!$D$2:$D$20765),0)</f>
        <v>0</v>
      </c>
      <c r="AK28" s="90">
        <f>IFERROR(AU28/SUMIFS('Inventory Lookup'!$D$2:$D$20765,'Inventory Lookup'!$O$2:$O$20765,'Calculated Fields'!$AI28,'Inventory Lookup'!$M$2:$M$20765,"Drive Train"),0)</f>
        <v>0</v>
      </c>
      <c r="AL28" s="90">
        <f>IFERROR(AV28/SUMIFS('Inventory Lookup'!$D$2:$D$20765,'Inventory Lookup'!$O$2:$O$20765,'Calculated Fields'!$AI28,'Inventory Lookup'!$M$2:$M$20765,"Body Parts"),0)</f>
        <v>0</v>
      </c>
      <c r="AM28" s="90">
        <f>IFERROR(AW28/SUMIFS('Inventory Lookup'!$D$2:$D$20765,'Inventory Lookup'!$O$2:$O$20765,'Calculated Fields'!$AI28,'Inventory Lookup'!$M$2:$M$20765,"Suspension"),0)</f>
        <v>0</v>
      </c>
      <c r="AN28" s="90">
        <f>IFERROR(AX28/SUMIFS('Inventory Lookup'!$D$2:$D$20765,'Inventory Lookup'!$O$2:$O$20765,'Calculated Fields'!$AI28,'Inventory Lookup'!$M$2:$M$20765,"Electrical"),0)</f>
        <v>0</v>
      </c>
      <c r="AO28" s="86">
        <f>IFERROR(VLOOKUP(AI28,Emp.Lookup!$A$1:$E$40,5,0),0)</f>
        <v>0</v>
      </c>
      <c r="AP28" s="85">
        <f>IFERROR(SUMIFS('Inventory Lookup'!$D$2:$D$20765,'Inventory Lookup'!$O$2:$O$20765,'Calculated Fields'!$AI28,'Inventory Lookup'!$M$2:$M$20765,"Drive Train"),"")</f>
        <v>0</v>
      </c>
      <c r="AQ28" s="85">
        <f>IFERROR(SUMIFS('Inventory Lookup'!$D$2:$D$20765,'Inventory Lookup'!$O$2:$O$20765,'Calculated Fields'!$AI28,'Inventory Lookup'!$M$2:$M$20765,"Body Parts"),"")</f>
        <v>0</v>
      </c>
      <c r="AR28" s="85">
        <f>IFERROR(SUMIFS('Inventory Lookup'!$D$2:$D$20765,'Inventory Lookup'!$O$2:$O$20765,'Calculated Fields'!$AI28,'Inventory Lookup'!$M$2:$M$20765,"Suspension"),"")</f>
        <v>0</v>
      </c>
      <c r="AS28" s="85">
        <f>IFERROR(SUMIFS('Inventory Lookup'!$D$2:$D$20765,'Inventory Lookup'!$O$2:$O$20765,'Calculated Fields'!$AI28,'Inventory Lookup'!$M$2:$M$20765,"Electrical"),"")</f>
        <v>0</v>
      </c>
      <c r="AT28" s="85">
        <f>IFERROR(SUMIFS('Inventory Lookup'!$D$2:$D$20765,'Inventory Lookup'!$O$2:$O$20765,'Calculated Fields'!$AI28,'Inventory Lookup'!$M$2:$M$20765,"Other"),"")</f>
        <v>0</v>
      </c>
      <c r="AU28" s="85">
        <f>IFERROR(SUMIFS('Inventory Lookup'!$E$2:$E$20765,'Inventory Lookup'!$O$2:$O$20765,'Calculated Fields'!$AI28,'Inventory Lookup'!$M$2:$M$20765,"Drive Train"),"")</f>
        <v>0</v>
      </c>
      <c r="AV28" s="85">
        <f>IFERROR(SUMIFS('Inventory Lookup'!$E$2:$E$20765,'Inventory Lookup'!$O$2:$O$20765,'Calculated Fields'!$AI28,'Inventory Lookup'!$M$2:$M$20765,"Body Parts"),"")</f>
        <v>0</v>
      </c>
      <c r="AW28" s="85">
        <f>IFERROR(SUMIFS('Inventory Lookup'!$E$2:$E$20765,'Inventory Lookup'!$O$2:$O$20765,'Calculated Fields'!$AI28,'Inventory Lookup'!$M$2:$M$20765,"Suspension"),"")</f>
        <v>0</v>
      </c>
      <c r="AX28" s="85">
        <f>IFERROR(SUMIFS('Inventory Lookup'!$E$2:$E$20765,'Inventory Lookup'!$O$2:$O$20765,'Calculated Fields'!$AI28,'Inventory Lookup'!$M$2:$M$20765,"Electrical"),"")</f>
        <v>0</v>
      </c>
      <c r="AY28" s="85">
        <f>IFERROR(SUMIFS('Inventory Lookup'!$E$2:$E$20765,'Inventory Lookup'!$O$2:$O$20765,'Calculated Fields'!$AI28,'Inventory Lookup'!$M$2:$M$20765,"Other"),"")</f>
        <v>0</v>
      </c>
      <c r="AZ28" s="78"/>
      <c r="BA28" s="89" t="s">
        <v>92</v>
      </c>
      <c r="BB28" s="91">
        <v>0</v>
      </c>
      <c r="BC28" s="85">
        <f t="shared" ca="1" si="30"/>
        <v>0</v>
      </c>
      <c r="BD28" s="92">
        <f ca="1">IFERROR(BC28/'Calculated Fields'!$W28,0)</f>
        <v>0</v>
      </c>
      <c r="BE28" s="92">
        <f ca="1">IFERROR('Calculated Fields'!$C28/BC28,0)</f>
        <v>0</v>
      </c>
      <c r="BF28" s="93"/>
      <c r="BG28" s="93"/>
      <c r="BH28" s="85">
        <f t="array" aca="1" ref="BH28" ca="1">IFERROR(INDEX('Agent Activity'!$AC$5:$AD$51,MATCH('Calculated Fields'!$BA28,'Agent Activity'!$AB$5:$AB$51,0),1),0)</f>
        <v>0</v>
      </c>
      <c r="BI28" s="93"/>
      <c r="BJ28" s="93"/>
      <c r="BK28" s="94">
        <f t="array" aca="1" ref="BK28" ca="1">IFERROR(INDEX('Agent Activity'!$AC$5:$AD$51,MATCH('Calculated Fields'!$BA28,'Agent Activity'!$AB$5:AB$51,0),2),0)</f>
        <v>0</v>
      </c>
      <c r="BL28" s="93"/>
      <c r="BM28" s="85">
        <f>SUMIF('RingCentral - Office'!$A$2:$A$482,$BA28,'RingCentral - Office'!$E$2:$E$482)</f>
        <v>0</v>
      </c>
      <c r="BN28" s="85">
        <f>SUMIF('RingCentral - Office'!$A$2:$A$482,$BA28,'RingCentral - Office'!$F$2:$F$482)</f>
        <v>0</v>
      </c>
      <c r="BO28" s="87">
        <f t="shared" si="31"/>
        <v>0</v>
      </c>
      <c r="BP28" s="85">
        <f>-SUMIF('RingCentral - Office'!$A$2:$A$482,$BA28,'RingCentral - Office'!$H$2:$H$482)</f>
        <v>0</v>
      </c>
      <c r="BQ28" s="94">
        <f>SUMIF('RingCentral - Office'!$A$2:$A$482,$BA28,'RingCentral - Office'!$I$2:$I$482)</f>
        <v>0</v>
      </c>
      <c r="BR28" s="85">
        <f>_xlfn.IFNA(INDEX(Audits!$B$2:$E$19,MATCH($BA28,Audits!$A$2:$A$19,0),MATCH('Calculated Fields'!BR$2,Audits!$B$1:$E$1,0)),0)</f>
        <v>0</v>
      </c>
      <c r="BS28" s="88" t="s">
        <v>1058</v>
      </c>
      <c r="BT28" s="88" t="s">
        <v>1058</v>
      </c>
      <c r="BU28" s="160" t="s">
        <v>1058</v>
      </c>
      <c r="BV28" s="85">
        <f>_xlfn.IFNA(INDEX(Audits!$B$2:$E$19,MATCH($BA28,Audits!$A$2:$A$19,0),MATCH('Calculated Fields'!BV$2,Audits!$B$1:$E$1,0)),0)</f>
        <v>0</v>
      </c>
      <c r="BW28" s="88" t="s">
        <v>1058</v>
      </c>
      <c r="BX28" s="88" t="s">
        <v>1058</v>
      </c>
      <c r="BY28" s="88" t="s">
        <v>1058</v>
      </c>
      <c r="BZ28" s="88" t="s">
        <v>1058</v>
      </c>
      <c r="CA28" s="88" t="s">
        <v>1058</v>
      </c>
      <c r="CB28" s="88" t="s">
        <v>1058</v>
      </c>
      <c r="CC28" s="88" t="s">
        <v>1058</v>
      </c>
      <c r="CD28" s="88" t="s">
        <v>1058</v>
      </c>
      <c r="CE28" s="88" t="s">
        <v>1058</v>
      </c>
      <c r="CF28" s="88" t="s">
        <v>1058</v>
      </c>
      <c r="CG28" s="3"/>
      <c r="CH28" s="3"/>
      <c r="CI28" s="3"/>
      <c r="CJ28" s="3"/>
      <c r="CK28" s="3"/>
      <c r="CL28" s="3"/>
      <c r="CM28" s="3"/>
      <c r="CN28" s="3"/>
    </row>
    <row r="29" spans="1:92" ht="14.4">
      <c r="A29" s="78"/>
      <c r="B29" s="97"/>
      <c r="C29" s="85">
        <f>SUMIF('Sales  Returns'!$C$1:$C$19998,'Calculated Fields'!B29,'Sales  Returns'!$D$1:$D$19998)</f>
        <v>0</v>
      </c>
      <c r="D29" s="85">
        <f t="shared" si="22"/>
        <v>0</v>
      </c>
      <c r="E29" s="85">
        <f t="shared" si="23"/>
        <v>0</v>
      </c>
      <c r="F29" s="85">
        <f>SUMIF('Y2Y sales'!$J$2:$J$2000,$B29,'Y2Y sales'!$G$2:$G$2000)</f>
        <v>0</v>
      </c>
      <c r="G29" s="85">
        <f t="shared" si="24"/>
        <v>0</v>
      </c>
      <c r="H29" s="85">
        <f>SUMIF('Sales  Returns'!$C$1:$C$19998,'Calculated Fields'!B29,'Sales  Returns'!$G$1:$G$19998)</f>
        <v>0</v>
      </c>
      <c r="I29" s="85">
        <f>SUMIF('Sales  Returns'!$C$1:$C$19998,'Calculated Fields'!B29,'Sales  Returns'!$J$1:$J$19998)</f>
        <v>0</v>
      </c>
      <c r="J29" s="85">
        <f>SUMIF('Sales  Returns'!$C$1:$C$19998,'Calculated Fields'!B29,'Sales  Returns'!$K$1:$K$19998)</f>
        <v>0</v>
      </c>
      <c r="K29" s="86">
        <f t="shared" si="25"/>
        <v>0</v>
      </c>
      <c r="L29" s="85">
        <f>SUMIF('Sales  Returns'!$C$1:$C$19998,'Calculated Fields'!B29,'Sales  Returns'!$O$1:$O$19998)</f>
        <v>0</v>
      </c>
      <c r="M29" s="87">
        <f t="shared" si="26"/>
        <v>0</v>
      </c>
      <c r="N29" s="85">
        <f>SUMIF('Sales  Returns'!$C$1:$C$19998,'Calculated Fields'!B29,'Sales  Returns'!$P$1:$P$19998)</f>
        <v>0</v>
      </c>
      <c r="O29" s="85">
        <f>SUMIF('Sales  Returns'!$C$1:$C$19998,'Calculated Fields'!B29,'Sales  Returns'!$F$1:$F$19998)</f>
        <v>0</v>
      </c>
      <c r="P29" s="85">
        <f>SUMIF('Sales  Returns'!$C$1:$C$19998,'Calculated Fields'!B29,'Sales  Returns'!$T$1:$T$19998)</f>
        <v>0</v>
      </c>
      <c r="Q29" s="85">
        <f>SUMIF('Sales  Returns'!$C$1:$C$19998,'Calculated Fields'!B29,'Sales  Returns'!$E$1:$E$19998)</f>
        <v>0</v>
      </c>
      <c r="R29" s="85">
        <f>SUMIF('Sales  Returns'!$C$1:$C$19998,'Calculated Fields'!B29,'Sales  Returns'!$R$1:$R$19998)</f>
        <v>0</v>
      </c>
      <c r="S29" s="85">
        <f>SUMIF('Sales  Returns'!$C$1:$C$19998,'Calculated Fields'!B29,'Sales  Returns'!$Q$1:$Q$19998)</f>
        <v>0</v>
      </c>
      <c r="T29" s="85">
        <f>-COUNTIFS('Sales  Returns'!$C$1:$C$19998,'Calculated Fields'!$B29, 'Sales  Returns'!$B$1:$B$19998,'Calculated Fields'!$T$2)</f>
        <v>0</v>
      </c>
      <c r="U29" s="85">
        <f>SUMIFS('Sales  Returns'!$D$1:$D$19998,'Sales  Returns'!$C$1:$C$19998,'Calculated Fields'!$B29,'Sales  Returns'!$B$1:$B$19998,'Calculated Fields'!$T$2)</f>
        <v>0</v>
      </c>
      <c r="V29" s="86">
        <f t="shared" si="27"/>
        <v>0</v>
      </c>
      <c r="W29" s="85">
        <f>COUNTIFS('Sales  Returns'!$C$1:$C$19998,'Calculated Fields'!$B29, 'Sales  Returns'!$B$1:$B$19998,"Sales")</f>
        <v>0</v>
      </c>
      <c r="X29" s="188">
        <v>0</v>
      </c>
      <c r="Y29" s="85">
        <f>SUMIF('Sales  Returns'!$C$1:$C$19998,'Calculated Fields'!$B29,'Sales  Returns'!$H$1:$H$19998)</f>
        <v>0</v>
      </c>
      <c r="Z29" s="85">
        <f>SUMIF('Sales  Returns'!$C$1:$C$19998,'Calculated Fields'!$B29,'Sales  Returns'!$I$1:$I$19998)</f>
        <v>0</v>
      </c>
      <c r="AA29" s="86">
        <f t="shared" si="28"/>
        <v>0</v>
      </c>
      <c r="AB29" s="85">
        <f>SUMIF('Sales  Returns'!$C$1:$C$19998,'Calculated Fields'!$B29,'Sales  Returns'!$M$1:$M$19998)</f>
        <v>0</v>
      </c>
      <c r="AC29" s="85">
        <f>SUMIF('Sales  Returns'!$C$1:$C$19998,'Calculated Fields'!$B29,'Sales  Returns'!$N$1:$N$19998)</f>
        <v>0</v>
      </c>
      <c r="AD29" s="86">
        <f t="shared" si="29"/>
        <v>0</v>
      </c>
      <c r="AE29" s="88" t="s">
        <v>1058</v>
      </c>
      <c r="AF29" s="85">
        <f>SUMIF('WO &amp; Quote'!$S:$S,TRIM('Calculated Fields'!$B29),'WO &amp; Quote'!$I:$I)</f>
        <v>0</v>
      </c>
      <c r="AG29" s="85">
        <f>SUMIF('WO &amp; Quote'!$S:$S,TRIM('Calculated Fields'!$B29),'WO &amp; Quote'!$J:$J) + SUMIF('WO &amp; Quote'!$S:$S,TRIM('Calculated Fields'!$B29),'WO &amp; Quote'!$K:$K)</f>
        <v>0</v>
      </c>
      <c r="AH29" s="78"/>
      <c r="AI29" s="97"/>
      <c r="AJ29" s="90">
        <f>IFERROR(SUMIF('Inventory Lookup'!$O$2:$O$20765,'Calculated Fields'!$AI29,'Inventory Lookup'!$E$2:$E$20765)/SUMIF('Inventory Lookup'!$O$2:$O$20765,'Calculated Fields'!$AI29,'Inventory Lookup'!$D$2:$D$20765),0)</f>
        <v>0</v>
      </c>
      <c r="AK29" s="90">
        <f>IFERROR(AU29/SUMIFS('Inventory Lookup'!$D$2:$D$20765,'Inventory Lookup'!$O$2:$O$20765,'Calculated Fields'!$AI29,'Inventory Lookup'!$M$2:$M$20765,"Drive Train"),0)</f>
        <v>0</v>
      </c>
      <c r="AL29" s="90">
        <f>IFERROR(AV29/SUMIFS('Inventory Lookup'!$D$2:$D$20765,'Inventory Lookup'!$O$2:$O$20765,'Calculated Fields'!$AI29,'Inventory Lookup'!$M$2:$M$20765,"Body Parts"),0)</f>
        <v>0</v>
      </c>
      <c r="AM29" s="90">
        <f>IFERROR(AW29/SUMIFS('Inventory Lookup'!$D$2:$D$20765,'Inventory Lookup'!$O$2:$O$20765,'Calculated Fields'!$AI29,'Inventory Lookup'!$M$2:$M$20765,"Suspension"),0)</f>
        <v>0</v>
      </c>
      <c r="AN29" s="90">
        <f>IFERROR(AX29/SUMIFS('Inventory Lookup'!$D$2:$D$20765,'Inventory Lookup'!$O$2:$O$20765,'Calculated Fields'!$AI29,'Inventory Lookup'!$M$2:$M$20765,"Electrical"),0)</f>
        <v>0</v>
      </c>
      <c r="AO29" s="86">
        <f>IFERROR(VLOOKUP(AI29,Emp.Lookup!$A$1:$E$40,5,0),0)</f>
        <v>0</v>
      </c>
      <c r="AP29" s="85">
        <f>IFERROR(SUMIFS('Inventory Lookup'!$D$2:$D$20765,'Inventory Lookup'!$O$2:$O$20765,'Calculated Fields'!$AI29,'Inventory Lookup'!$M$2:$M$20765,"Drive Train"),"")</f>
        <v>0</v>
      </c>
      <c r="AQ29" s="85">
        <f>IFERROR(SUMIFS('Inventory Lookup'!$D$2:$D$20765,'Inventory Lookup'!$O$2:$O$20765,'Calculated Fields'!$AI29,'Inventory Lookup'!$M$2:$M$20765,"Body Parts"),"")</f>
        <v>0</v>
      </c>
      <c r="AR29" s="85">
        <f>IFERROR(SUMIFS('Inventory Lookup'!$D$2:$D$20765,'Inventory Lookup'!$O$2:$O$20765,'Calculated Fields'!$AI29,'Inventory Lookup'!$M$2:$M$20765,"Suspension"),"")</f>
        <v>0</v>
      </c>
      <c r="AS29" s="85">
        <f>IFERROR(SUMIFS('Inventory Lookup'!$D$2:$D$20765,'Inventory Lookup'!$O$2:$O$20765,'Calculated Fields'!$AI29,'Inventory Lookup'!$M$2:$M$20765,"Electrical"),"")</f>
        <v>0</v>
      </c>
      <c r="AT29" s="85">
        <f>IFERROR(SUMIFS('Inventory Lookup'!$D$2:$D$20765,'Inventory Lookup'!$O$2:$O$20765,'Calculated Fields'!$AI29,'Inventory Lookup'!$M$2:$M$20765,"Other"),"")</f>
        <v>0</v>
      </c>
      <c r="AU29" s="85">
        <f>IFERROR(SUMIFS('Inventory Lookup'!$E$2:$E$20765,'Inventory Lookup'!$O$2:$O$20765,'Calculated Fields'!$AI29,'Inventory Lookup'!$M$2:$M$20765,"Drive Train"),"")</f>
        <v>0</v>
      </c>
      <c r="AV29" s="85">
        <f>IFERROR(SUMIFS('Inventory Lookup'!$E$2:$E$20765,'Inventory Lookup'!$O$2:$O$20765,'Calculated Fields'!$AI29,'Inventory Lookup'!$M$2:$M$20765,"Body Parts"),"")</f>
        <v>0</v>
      </c>
      <c r="AW29" s="85">
        <f>IFERROR(SUMIFS('Inventory Lookup'!$E$2:$E$20765,'Inventory Lookup'!$O$2:$O$20765,'Calculated Fields'!$AI29,'Inventory Lookup'!$M$2:$M$20765,"Suspension"),"")</f>
        <v>0</v>
      </c>
      <c r="AX29" s="85">
        <f>IFERROR(SUMIFS('Inventory Lookup'!$E$2:$E$20765,'Inventory Lookup'!$O$2:$O$20765,'Calculated Fields'!$AI29,'Inventory Lookup'!$M$2:$M$20765,"Electrical"),"")</f>
        <v>0</v>
      </c>
      <c r="AY29" s="85">
        <f>IFERROR(SUMIFS('Inventory Lookup'!$E$2:$E$20765,'Inventory Lookup'!$O$2:$O$20765,'Calculated Fields'!$AI29,'Inventory Lookup'!$M$2:$M$20765,"Other"),"")</f>
        <v>0</v>
      </c>
      <c r="AZ29" s="78"/>
      <c r="BA29" s="97"/>
      <c r="BB29" s="91">
        <v>0</v>
      </c>
      <c r="BC29" s="85">
        <f t="shared" ca="1" si="30"/>
        <v>0</v>
      </c>
      <c r="BD29" s="92">
        <f ca="1">IFERROR(BC29/'Calculated Fields'!$W29,0)</f>
        <v>0</v>
      </c>
      <c r="BE29" s="92">
        <f ca="1">IFERROR('Calculated Fields'!$C29/BC29,0)</f>
        <v>0</v>
      </c>
      <c r="BF29" s="93"/>
      <c r="BG29" s="93"/>
      <c r="BH29" s="85">
        <f t="array" aca="1" ref="BH29" ca="1">IFERROR(INDEX('Agent Activity'!$AC$5:$AD$51,MATCH('Calculated Fields'!$BA29,'Agent Activity'!$AB$5:$AB$51,0),1),0)</f>
        <v>0</v>
      </c>
      <c r="BI29" s="93"/>
      <c r="BJ29" s="93"/>
      <c r="BK29" s="94">
        <f t="array" aca="1" ref="BK29" ca="1">IFERROR(INDEX('Agent Activity'!$AC$5:$AD$51,MATCH('Calculated Fields'!$BA29,'Agent Activity'!$AB$5:AB$51,0),2),0)</f>
        <v>0</v>
      </c>
      <c r="BL29" s="93"/>
      <c r="BM29" s="85">
        <f>SUMIF('RingCentral - Office'!$A$2:$A$482,$BA29,'RingCentral - Office'!$E$2:$E$482)</f>
        <v>0</v>
      </c>
      <c r="BN29" s="85">
        <f>SUMIF('RingCentral - Office'!$A$2:$A$482,$BA29,'RingCentral - Office'!$F$2:$F$482)</f>
        <v>0</v>
      </c>
      <c r="BO29" s="87">
        <f t="shared" si="31"/>
        <v>0</v>
      </c>
      <c r="BP29" s="85">
        <f>-SUMIF('RingCentral - Office'!$A$2:$A$482,$BA29,'RingCentral - Office'!$H$2:$H$482)</f>
        <v>0</v>
      </c>
      <c r="BQ29" s="94">
        <f>SUMIF('RingCentral - Office'!$A$2:$A$482,$BA29,'RingCentral - Office'!$I$2:$I$482)</f>
        <v>0</v>
      </c>
      <c r="BR29" s="85">
        <f>_xlfn.IFNA(INDEX(Audits!$B$2:$E$19,MATCH($BA29,Audits!$A$2:$A$19,0),MATCH('Calculated Fields'!BR$2,Audits!$B$1:$E$1,0)),0)</f>
        <v>0</v>
      </c>
      <c r="BS29" s="88" t="s">
        <v>1058</v>
      </c>
      <c r="BT29" s="88" t="s">
        <v>1058</v>
      </c>
      <c r="BU29" s="160" t="s">
        <v>1058</v>
      </c>
      <c r="BV29" s="85">
        <f>_xlfn.IFNA(INDEX(Audits!$B$2:$E$19,MATCH($BA29,Audits!$A$2:$A$19,0),MATCH('Calculated Fields'!BV$2,Audits!$B$1:$E$1,0)),0)</f>
        <v>0</v>
      </c>
      <c r="BW29" s="88" t="s">
        <v>1058</v>
      </c>
      <c r="BX29" s="88" t="s">
        <v>1058</v>
      </c>
      <c r="BY29" s="88" t="s">
        <v>1058</v>
      </c>
      <c r="BZ29" s="88" t="s">
        <v>1058</v>
      </c>
      <c r="CA29" s="88" t="s">
        <v>1058</v>
      </c>
      <c r="CB29" s="88" t="s">
        <v>1058</v>
      </c>
      <c r="CC29" s="88" t="s">
        <v>1058</v>
      </c>
      <c r="CD29" s="88" t="s">
        <v>1058</v>
      </c>
      <c r="CE29" s="88" t="s">
        <v>1058</v>
      </c>
      <c r="CF29" s="88" t="s">
        <v>1058</v>
      </c>
      <c r="CG29" s="3"/>
      <c r="CH29" s="3"/>
      <c r="CI29" s="3"/>
      <c r="CJ29" s="3"/>
      <c r="CK29" s="3"/>
      <c r="CL29" s="3"/>
      <c r="CM29" s="3"/>
      <c r="CN29" s="3"/>
    </row>
    <row r="30" spans="1:92" ht="14.4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53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80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166"/>
      <c r="BS30" s="166"/>
      <c r="BT30" s="166"/>
      <c r="BU30" s="162"/>
      <c r="BV30" s="163"/>
      <c r="BW30" s="163"/>
      <c r="BX30" s="163"/>
      <c r="BY30" s="163"/>
      <c r="BZ30" s="163"/>
      <c r="CA30" s="163"/>
      <c r="CB30" s="166"/>
      <c r="CC30" s="166"/>
      <c r="CD30" s="166"/>
      <c r="CE30" s="166"/>
      <c r="CF30" s="166"/>
      <c r="CG30" s="3"/>
      <c r="CH30" s="3"/>
      <c r="CI30" s="3"/>
      <c r="CJ30" s="3"/>
      <c r="CK30" s="3"/>
      <c r="CL30" s="3"/>
      <c r="CM30" s="3"/>
      <c r="CN30" s="3"/>
    </row>
    <row r="31" spans="1:92" ht="14.4">
      <c r="A31" s="78"/>
      <c r="B31" s="81" t="s">
        <v>1061</v>
      </c>
      <c r="C31" s="82" t="s">
        <v>994</v>
      </c>
      <c r="D31" s="82" t="s">
        <v>995</v>
      </c>
      <c r="E31" s="82" t="s">
        <v>996</v>
      </c>
      <c r="F31" s="82" t="s">
        <v>997</v>
      </c>
      <c r="G31" s="82" t="s">
        <v>998</v>
      </c>
      <c r="H31" s="82" t="s">
        <v>999</v>
      </c>
      <c r="I31" s="82" t="s">
        <v>1000</v>
      </c>
      <c r="J31" s="82" t="s">
        <v>75</v>
      </c>
      <c r="K31" s="82" t="s">
        <v>1001</v>
      </c>
      <c r="L31" s="82" t="s">
        <v>1002</v>
      </c>
      <c r="M31" s="82" t="s">
        <v>1003</v>
      </c>
      <c r="N31" s="82" t="s">
        <v>80</v>
      </c>
      <c r="O31" s="82" t="s">
        <v>70</v>
      </c>
      <c r="P31" s="82" t="s">
        <v>84</v>
      </c>
      <c r="Q31" s="82" t="s">
        <v>69</v>
      </c>
      <c r="R31" s="82" t="s">
        <v>82</v>
      </c>
      <c r="S31" s="82" t="s">
        <v>1004</v>
      </c>
      <c r="T31" s="82" t="s">
        <v>104</v>
      </c>
      <c r="U31" s="82" t="s">
        <v>1005</v>
      </c>
      <c r="V31" s="82" t="s">
        <v>1006</v>
      </c>
      <c r="W31" s="82" t="s">
        <v>1007</v>
      </c>
      <c r="X31" s="82" t="s">
        <v>1008</v>
      </c>
      <c r="Y31" s="82" t="s">
        <v>72</v>
      </c>
      <c r="Z31" s="82" t="s">
        <v>1009</v>
      </c>
      <c r="AA31" s="82" t="s">
        <v>1010</v>
      </c>
      <c r="AB31" s="82" t="s">
        <v>77</v>
      </c>
      <c r="AC31" s="82" t="s">
        <v>1011</v>
      </c>
      <c r="AD31" s="82" t="s">
        <v>1012</v>
      </c>
      <c r="AE31" s="82" t="s">
        <v>1013</v>
      </c>
      <c r="AF31" s="82" t="s">
        <v>1014</v>
      </c>
      <c r="AG31" s="82" t="s">
        <v>1015</v>
      </c>
      <c r="AH31" s="78"/>
      <c r="AI31" s="81" t="s">
        <v>1061</v>
      </c>
      <c r="AJ31" s="82" t="s">
        <v>1016</v>
      </c>
      <c r="AK31" s="82" t="s">
        <v>1017</v>
      </c>
      <c r="AL31" s="82" t="s">
        <v>1018</v>
      </c>
      <c r="AM31" s="82" t="s">
        <v>1019</v>
      </c>
      <c r="AN31" s="82" t="s">
        <v>1020</v>
      </c>
      <c r="AO31" s="83" t="s">
        <v>1021</v>
      </c>
      <c r="AP31" s="82" t="s">
        <v>1022</v>
      </c>
      <c r="AQ31" s="82" t="s">
        <v>1023</v>
      </c>
      <c r="AR31" s="82" t="s">
        <v>1024</v>
      </c>
      <c r="AS31" s="82" t="s">
        <v>1025</v>
      </c>
      <c r="AT31" s="82" t="s">
        <v>1026</v>
      </c>
      <c r="AU31" s="82" t="s">
        <v>1027</v>
      </c>
      <c r="AV31" s="82" t="s">
        <v>1028</v>
      </c>
      <c r="AW31" s="82" t="s">
        <v>1029</v>
      </c>
      <c r="AX31" s="82" t="s">
        <v>1030</v>
      </c>
      <c r="AY31" s="82" t="s">
        <v>1031</v>
      </c>
      <c r="AZ31" s="78"/>
      <c r="BA31" s="81" t="s">
        <v>1061</v>
      </c>
      <c r="BB31" s="82" t="s">
        <v>1032</v>
      </c>
      <c r="BC31" s="82" t="s">
        <v>1033</v>
      </c>
      <c r="BD31" s="82" t="s">
        <v>1034</v>
      </c>
      <c r="BE31" s="82" t="s">
        <v>1035</v>
      </c>
      <c r="BF31" s="82" t="s">
        <v>1036</v>
      </c>
      <c r="BG31" s="82" t="s">
        <v>1037</v>
      </c>
      <c r="BH31" s="82" t="s">
        <v>1059</v>
      </c>
      <c r="BI31" s="82" t="s">
        <v>1039</v>
      </c>
      <c r="BJ31" s="82" t="s">
        <v>1040</v>
      </c>
      <c r="BK31" s="82" t="s">
        <v>1041</v>
      </c>
      <c r="BL31" s="82" t="s">
        <v>1042</v>
      </c>
      <c r="BM31" s="82" t="s">
        <v>1043</v>
      </c>
      <c r="BN31" s="82" t="s">
        <v>1044</v>
      </c>
      <c r="BO31" s="82" t="s">
        <v>1045</v>
      </c>
      <c r="BP31" s="82" t="s">
        <v>1046</v>
      </c>
      <c r="BQ31" s="82" t="s">
        <v>1047</v>
      </c>
      <c r="BR31" s="82" t="s">
        <v>590</v>
      </c>
      <c r="BS31" s="82" t="s">
        <v>591</v>
      </c>
      <c r="BT31" s="82" t="s">
        <v>592</v>
      </c>
      <c r="BU31" s="159" t="s">
        <v>593</v>
      </c>
      <c r="BV31" s="82" t="s">
        <v>1048</v>
      </c>
      <c r="BW31" s="83" t="s">
        <v>1049</v>
      </c>
      <c r="BX31" s="83" t="s">
        <v>1050</v>
      </c>
      <c r="BY31" s="83" t="s">
        <v>1051</v>
      </c>
      <c r="BZ31" s="83" t="s">
        <v>1052</v>
      </c>
      <c r="CA31" s="83" t="s">
        <v>124</v>
      </c>
      <c r="CB31" s="83" t="s">
        <v>1053</v>
      </c>
      <c r="CC31" s="83" t="s">
        <v>1054</v>
      </c>
      <c r="CD31" s="83" t="s">
        <v>1055</v>
      </c>
      <c r="CE31" s="83" t="s">
        <v>1056</v>
      </c>
      <c r="CF31" s="83" t="s">
        <v>1057</v>
      </c>
      <c r="CG31" s="3"/>
      <c r="CH31" s="3"/>
      <c r="CI31" s="3"/>
      <c r="CJ31" s="3"/>
      <c r="CK31" s="3"/>
      <c r="CL31" s="3"/>
      <c r="CM31" s="3"/>
      <c r="CN31" s="3"/>
    </row>
    <row r="32" spans="1:92" ht="14.4">
      <c r="A32" s="78"/>
      <c r="B32" s="89" t="str">
        <f ca="1">IFERROR(__xludf.DUMMYFUNCTION("SORT(UNIQUE(FILTER('Sales  Returns'!$C$1:$C$19968,'Sales  Returns'!$T$1:$T$19968=""MANAGED Agent"")))"),"AutoZonePro")</f>
        <v>AutoZonePro</v>
      </c>
      <c r="C32" s="85">
        <f ca="1">SUMIF('Sales  Returns'!$C$1:$C$19998,'Calculated Fields'!B32,'Sales  Returns'!$D$1:$D$19998)</f>
        <v>5515</v>
      </c>
      <c r="D32" s="85">
        <f t="shared" ref="D32:D34" ca="1" si="32">H32+I32</f>
        <v>5225</v>
      </c>
      <c r="E32" s="85">
        <f t="shared" ref="E32:E34" ca="1" si="33">H32+J32+L32+N32</f>
        <v>5225</v>
      </c>
      <c r="F32" s="85">
        <f ca="1">SUMIF('Y2Y sales'!$J$2:$J$2000,$B32,'Y2Y sales'!$G$2:$G$2000)</f>
        <v>0</v>
      </c>
      <c r="G32" s="85">
        <f t="shared" ref="G32:G34" ca="1" si="34">H32-F32</f>
        <v>5225</v>
      </c>
      <c r="H32" s="85">
        <f ca="1">SUMIF('Sales  Returns'!$C$1:$C$19998,'Calculated Fields'!B32,'Sales  Returns'!$G$1:$G$19998)</f>
        <v>5225</v>
      </c>
      <c r="I32" s="85">
        <f ca="1">SUMIF('Sales  Returns'!$C$1:$C$19998,'Calculated Fields'!B32,'Sales  Returns'!$J$1:$J$19998)</f>
        <v>0</v>
      </c>
      <c r="J32" s="85">
        <f ca="1">SUMIF('Sales  Returns'!$C$1:$C$19998,'Calculated Fields'!B32,'Sales  Returns'!$K$1:$K$19998)</f>
        <v>0</v>
      </c>
      <c r="K32" s="86">
        <f t="shared" ref="K32:K34" ca="1" si="35">IFERROR(J32/I32,0%)</f>
        <v>0</v>
      </c>
      <c r="L32" s="85">
        <f ca="1">SUMIF('Sales  Returns'!$C$1:$C$19998,'Calculated Fields'!B32,'Sales  Returns'!$O$1:$O$19998)</f>
        <v>0</v>
      </c>
      <c r="M32" s="87">
        <f t="shared" ref="M32:M34" ca="1" si="36">IFERROR(L32/G32,0)</f>
        <v>0</v>
      </c>
      <c r="N32" s="85">
        <f ca="1">SUMIF('Sales  Returns'!$C$1:$C$19998,'Calculated Fields'!B32,'Sales  Returns'!$P$1:$P$19998)</f>
        <v>0</v>
      </c>
      <c r="O32" s="85">
        <f ca="1">SUMIF('Sales  Returns'!$C$1:$C$19998,'Calculated Fields'!B32,'Sales  Returns'!$F$1:$F$19998)</f>
        <v>0</v>
      </c>
      <c r="P32" s="85">
        <f ca="1">SUMIF('Sales  Returns'!$C$1:$C$19998,'Calculated Fields'!B32,'Sales  Returns'!$T$1:$T$19998)</f>
        <v>235</v>
      </c>
      <c r="Q32" s="85">
        <f ca="1">SUMIF('Sales  Returns'!$C$1:$C$19998,'Calculated Fields'!B32,'Sales  Returns'!$E$1:$E$19998)</f>
        <v>290</v>
      </c>
      <c r="R32" s="85">
        <f ca="1">SUMIF('Sales  Returns'!$C$1:$C$19998,'Calculated Fields'!B32,'Sales  Returns'!$R$1:$R$19998)</f>
        <v>0</v>
      </c>
      <c r="S32" s="85">
        <f ca="1">SUMIF('Sales  Returns'!$C$1:$C$19998,'Calculated Fields'!B32,'Sales  Returns'!$Q$1:$Q$19998)</f>
        <v>25</v>
      </c>
      <c r="T32" s="85">
        <f ca="1">-COUNTIFS('Sales  Returns'!$C$1:$C$19998,'Calculated Fields'!$B32, 'Sales  Returns'!$B$1:$B$19998,'Calculated Fields'!$T$2)</f>
        <v>-5</v>
      </c>
      <c r="U32" s="85">
        <f ca="1">SUMIFS('Sales  Returns'!$D$1:$D$19998,'Sales  Returns'!$C$1:$C$19998,'Calculated Fields'!$B32,'Sales  Returns'!$B$1:$B$19998,'Calculated Fields'!$T$2)</f>
        <v>-1220</v>
      </c>
      <c r="V32" s="86">
        <f t="shared" ref="V32:V34" ca="1" si="37">IFERROR((Z32+AC32)/(Y32+AB32),0)</f>
        <v>0.24</v>
      </c>
      <c r="W32" s="85">
        <f ca="1">COUNTIFS('Sales  Returns'!$C$1:$C$19998,'Calculated Fields'!$B32, 'Sales  Returns'!$B$1:$B$19998,"Sales")</f>
        <v>21</v>
      </c>
      <c r="X32" s="188">
        <v>0</v>
      </c>
      <c r="Y32" s="85">
        <f ca="1">SUMIF('Sales  Returns'!$C$1:$C$19998,'Calculated Fields'!$B32,'Sales  Returns'!$H$1:$H$19998)</f>
        <v>25</v>
      </c>
      <c r="Z32" s="85">
        <f ca="1">SUMIF('Sales  Returns'!$C$1:$C$19998,'Calculated Fields'!$B32,'Sales  Returns'!$I$1:$I$19998)</f>
        <v>6</v>
      </c>
      <c r="AA32" s="86">
        <f t="shared" ref="AA32:AA34" ca="1" si="38">IFERROR(Z32/Y32,0%)</f>
        <v>0.24</v>
      </c>
      <c r="AB32" s="85">
        <f ca="1">SUMIF('Sales  Returns'!$C$1:$C$19998,'Calculated Fields'!$B32,'Sales  Returns'!$M$1:$M$19998)</f>
        <v>0</v>
      </c>
      <c r="AC32" s="85">
        <f ca="1">SUMIF('Sales  Returns'!$C$1:$C$19998,'Calculated Fields'!$B32,'Sales  Returns'!$N$1:$N$19998)</f>
        <v>0</v>
      </c>
      <c r="AD32" s="86">
        <f t="shared" ref="AD32:AD34" ca="1" si="39">IFERROR(AC32/AB32,0%)</f>
        <v>0</v>
      </c>
      <c r="AE32" s="88" t="s">
        <v>1058</v>
      </c>
      <c r="AF32" s="85">
        <f ca="1">SUMIF('WO &amp; Quote'!$S:$S,TRIM('Calculated Fields'!$B32),'WO &amp; Quote'!$I:$I)</f>
        <v>3569</v>
      </c>
      <c r="AG32" s="85">
        <f ca="1">SUMIF('WO &amp; Quote'!$S:$S,TRIM('Calculated Fields'!$B32),'WO &amp; Quote'!$J:$J) + SUMIF('WO &amp; Quote'!$S:$S,TRIM('Calculated Fields'!$B32),'WO &amp; Quote'!$K:$K)</f>
        <v>0</v>
      </c>
      <c r="AH32" s="78"/>
      <c r="AI32" s="89" t="s">
        <v>94</v>
      </c>
      <c r="AJ32" s="90">
        <f>IFERROR(SUMIF('Inventory Lookup'!$O$2:$O$20765,#REF!,'Inventory Lookup'!$E$2:$E$20765)/SUMIF('Inventory Lookup'!$O$2:$O$20765,#REF!,'Inventory Lookup'!$D$2:$D$20765),0)</f>
        <v>0</v>
      </c>
      <c r="AK32" s="90">
        <f>IFERROR(AU32/SUMIFS('Inventory Lookup'!$D$2:$D$20765,'Inventory Lookup'!$O$2:$O$20765,#REF!,'Inventory Lookup'!$M$2:$M$20765,"Drive Train"),0)</f>
        <v>0</v>
      </c>
      <c r="AL32" s="90">
        <f>IFERROR(AV32/SUMIFS('Inventory Lookup'!$D$2:$D$20765,'Inventory Lookup'!$O$2:$O$20765,#REF!,'Inventory Lookup'!$M$2:$M$20765,"Body Parts"),0)</f>
        <v>0</v>
      </c>
      <c r="AM32" s="90">
        <f>IFERROR(AW32/SUMIFS('Inventory Lookup'!$D$2:$D$20765,'Inventory Lookup'!$O$2:$O$20765,#REF!,'Inventory Lookup'!$M$2:$M$20765,"Suspension"),0)</f>
        <v>0</v>
      </c>
      <c r="AN32" s="90">
        <f>IFERROR(AX32/SUMIFS('Inventory Lookup'!$D$2:$D$20765,'Inventory Lookup'!$O$2:$O$20765,#REF!,'Inventory Lookup'!$M$2:$M$20765,"Electrical"),0)</f>
        <v>0</v>
      </c>
      <c r="AO32" s="86">
        <f>IFERROR(VLOOKUP(AI32,Emp.Lookup!$A$1:$E$40,5,0),0)</f>
        <v>0</v>
      </c>
      <c r="AP32" s="85">
        <f>IFERROR(SUMIFS('Inventory Lookup'!$D$2:$D$20765,'Inventory Lookup'!$O$2:$O$20765,'Calculated Fields'!$AI32,'Inventory Lookup'!$M$2:$M$20765,"Drive Train"),"")</f>
        <v>0</v>
      </c>
      <c r="AQ32" s="85">
        <f>IFERROR(SUMIFS('Inventory Lookup'!$D$2:$D$20765,'Inventory Lookup'!$O$2:$O$20765,'Calculated Fields'!$AI32,'Inventory Lookup'!$M$2:$M$20765,"Body Parts"),"")</f>
        <v>0</v>
      </c>
      <c r="AR32" s="85">
        <f>IFERROR(SUMIFS('Inventory Lookup'!$D$2:$D$20765,'Inventory Lookup'!$O$2:$O$20765,'Calculated Fields'!$AI32,'Inventory Lookup'!$M$2:$M$20765,"Suspension"),"")</f>
        <v>0</v>
      </c>
      <c r="AS32" s="85">
        <f>IFERROR(SUMIFS('Inventory Lookup'!$D$2:$D$20765,'Inventory Lookup'!$O$2:$O$20765,'Calculated Fields'!$AI32,'Inventory Lookup'!$M$2:$M$20765,"Electrical"),"")</f>
        <v>0</v>
      </c>
      <c r="AT32" s="85">
        <f>IFERROR(SUMIFS('Inventory Lookup'!$D$2:$D$20765,'Inventory Lookup'!$O$2:$O$20765,'Calculated Fields'!$AI32,'Inventory Lookup'!$M$2:$M$20765,"Other"),"")</f>
        <v>0</v>
      </c>
      <c r="AU32" s="85">
        <f>IFERROR(SUMIFS('Inventory Lookup'!$E$2:$E$20765,'Inventory Lookup'!$O$2:$O$20765,#REF!,'Inventory Lookup'!$M$2:$M$20765,"Drive Train"),"")</f>
        <v>0</v>
      </c>
      <c r="AV32" s="85">
        <f>IFERROR(SUMIFS('Inventory Lookup'!$E$2:$E$20765,'Inventory Lookup'!$O$2:$O$20765,#REF!,'Inventory Lookup'!$M$2:$M$20765,"Body Parts"),"")</f>
        <v>0</v>
      </c>
      <c r="AW32" s="85">
        <f>IFERROR(SUMIFS('Inventory Lookup'!$E$2:$E$20765,'Inventory Lookup'!$O$2:$O$20765,#REF!,'Inventory Lookup'!$M$2:$M$20765,"Suspension"),"")</f>
        <v>0</v>
      </c>
      <c r="AX32" s="85">
        <f>IFERROR(SUMIFS('Inventory Lookup'!$E$2:$E$20765,'Inventory Lookup'!$O$2:$O$20765,#REF!,'Inventory Lookup'!$M$2:$M$20765,"Electrical"),"")</f>
        <v>0</v>
      </c>
      <c r="AY32" s="85">
        <f>IFERROR(SUMIFS('Inventory Lookup'!$E$2:$E$20765,'Inventory Lookup'!$O$2:$O$20765,#REF!,'Inventory Lookup'!$M$2:$M$20765,"Other"),"")</f>
        <v>0</v>
      </c>
      <c r="AZ32" s="78"/>
      <c r="BA32" s="89" t="s">
        <v>94</v>
      </c>
      <c r="BB32" s="91">
        <v>0</v>
      </c>
      <c r="BC32" s="85">
        <f t="shared" ref="BC32:BC34" ca="1" si="40">SUBTOTAL(9,BB32,BH32,BM32,BN32,BP32)</f>
        <v>0</v>
      </c>
      <c r="BD32" s="92">
        <f ca="1">IFERROR(BC32/'Calculated Fields'!$W32,0)</f>
        <v>0</v>
      </c>
      <c r="BE32" s="92">
        <f ca="1">IFERROR('Calculated Fields'!$C32/BC32,0)</f>
        <v>0</v>
      </c>
      <c r="BF32" s="93"/>
      <c r="BG32" s="93"/>
      <c r="BH32" s="85">
        <f t="array" aca="1" ref="BH32" ca="1">IFERROR(INDEX('Agent Activity'!$AC$5:$AD$51,MATCH('Calculated Fields'!$BA32,'Agent Activity'!$AB$5:$AB$51,0),1),0)</f>
        <v>0</v>
      </c>
      <c r="BI32" s="93"/>
      <c r="BJ32" s="93"/>
      <c r="BK32" s="94">
        <f t="array" aca="1" ref="BK32" ca="1">IFERROR(INDEX('Agent Activity'!$AC$5:$AD$51,MATCH('Calculated Fields'!$BA32,'Agent Activity'!$AB$5:AB$51,0),2),0)</f>
        <v>0</v>
      </c>
      <c r="BL32" s="93"/>
      <c r="BM32" s="85">
        <f>SUMIF('RingCentral - Office'!$A$2:$A$482,$BA32,'RingCentral - Office'!$E$2:$E$482)</f>
        <v>0</v>
      </c>
      <c r="BN32" s="85">
        <f>SUMIF('RingCentral - Office'!$A$2:$A$482,$BA32,'RingCentral - Office'!$F$2:$F$482)</f>
        <v>0</v>
      </c>
      <c r="BO32" s="87">
        <f t="shared" ref="BO32:BO34" si="41">IFERROR(BP32/BM32,0)</f>
        <v>0</v>
      </c>
      <c r="BP32" s="85">
        <f>-SUMIF('RingCentral - Office'!$A$2:$A$482,$BA32,'RingCentral - Office'!$H$2:$H$482)</f>
        <v>0</v>
      </c>
      <c r="BQ32" s="94">
        <f>SUMIF('RingCentral - Office'!$A$2:$A$482,$BA32,'RingCentral - Office'!$I$2:$I$482)</f>
        <v>0</v>
      </c>
      <c r="BR32" s="85">
        <f>_xlfn.IFNA(INDEX(Audits!$B$2:$E$19,MATCH($BA32,Audits!$A$2:$A$19,0),MATCH('Calculated Fields'!BR$2,Audits!$B$1:$E$1,0)),0)</f>
        <v>0</v>
      </c>
      <c r="BS32" s="88" t="s">
        <v>1058</v>
      </c>
      <c r="BT32" s="88" t="s">
        <v>1058</v>
      </c>
      <c r="BU32" s="160" t="s">
        <v>1058</v>
      </c>
      <c r="BV32" s="85">
        <f>_xlfn.IFNA(INDEX(Audits!$B$2:$E$19,MATCH($BA32,Audits!$A$2:$A$19,0),MATCH('Calculated Fields'!BV$2,Audits!$B$1:$E$1,0)),0)</f>
        <v>0</v>
      </c>
      <c r="BW32" s="88" t="s">
        <v>1058</v>
      </c>
      <c r="BX32" s="88" t="s">
        <v>1058</v>
      </c>
      <c r="BY32" s="88" t="s">
        <v>1058</v>
      </c>
      <c r="BZ32" s="88" t="s">
        <v>1058</v>
      </c>
      <c r="CA32" s="88" t="s">
        <v>1058</v>
      </c>
      <c r="CB32" s="88" t="s">
        <v>1058</v>
      </c>
      <c r="CC32" s="88" t="s">
        <v>1058</v>
      </c>
      <c r="CD32" s="88" t="s">
        <v>1058</v>
      </c>
      <c r="CE32" s="88" t="s">
        <v>1058</v>
      </c>
      <c r="CF32" s="88" t="s">
        <v>1058</v>
      </c>
      <c r="CG32" s="3"/>
      <c r="CH32" s="3"/>
      <c r="CI32" s="3"/>
      <c r="CJ32" s="3"/>
      <c r="CK32" s="3"/>
      <c r="CL32" s="3"/>
      <c r="CM32" s="3"/>
      <c r="CN32" s="3"/>
    </row>
    <row r="33" spans="1:92" ht="14.4">
      <c r="A33" s="78"/>
      <c r="B33" s="89" t="str">
        <f ca="1">IFERROR(__xludf.DUMMYFUNCTION("""COMPUTED_VALUE"""),"NAPA ProLink")</f>
        <v>NAPA ProLink</v>
      </c>
      <c r="C33" s="85">
        <f ca="1">SUMIF('Sales  Returns'!$C$1:$C$19998,'Calculated Fields'!B33,'Sales  Returns'!$D$1:$D$19998)</f>
        <v>365</v>
      </c>
      <c r="D33" s="85">
        <f t="shared" ca="1" si="32"/>
        <v>365</v>
      </c>
      <c r="E33" s="85">
        <f t="shared" ca="1" si="33"/>
        <v>365</v>
      </c>
      <c r="F33" s="85">
        <f ca="1">SUMIF('Y2Y sales'!$J$2:$J$2000,$B33,'Y2Y sales'!$G$2:$G$2000)</f>
        <v>0</v>
      </c>
      <c r="G33" s="85">
        <f t="shared" ca="1" si="34"/>
        <v>365</v>
      </c>
      <c r="H33" s="85">
        <f ca="1">SUMIF('Sales  Returns'!$C$1:$C$19998,'Calculated Fields'!B33,'Sales  Returns'!$G$1:$G$19998)</f>
        <v>365</v>
      </c>
      <c r="I33" s="85">
        <f ca="1">SUMIF('Sales  Returns'!$C$1:$C$19998,'Calculated Fields'!B33,'Sales  Returns'!$J$1:$J$19998)</f>
        <v>0</v>
      </c>
      <c r="J33" s="85">
        <f ca="1">SUMIF('Sales  Returns'!$C$1:$C$19998,'Calculated Fields'!B33,'Sales  Returns'!$K$1:$K$19998)</f>
        <v>0</v>
      </c>
      <c r="K33" s="86">
        <f t="shared" ca="1" si="35"/>
        <v>0</v>
      </c>
      <c r="L33" s="85">
        <f ca="1">SUMIF('Sales  Returns'!$C$1:$C$19998,'Calculated Fields'!B33,'Sales  Returns'!$O$1:$O$19998)</f>
        <v>0</v>
      </c>
      <c r="M33" s="87">
        <f t="shared" ca="1" si="36"/>
        <v>0</v>
      </c>
      <c r="N33" s="85">
        <f ca="1">SUMIF('Sales  Returns'!$C$1:$C$19998,'Calculated Fields'!B33,'Sales  Returns'!$P$1:$P$19998)</f>
        <v>0</v>
      </c>
      <c r="O33" s="85">
        <f ca="1">SUMIF('Sales  Returns'!$C$1:$C$19998,'Calculated Fields'!B33,'Sales  Returns'!$F$1:$F$19998)</f>
        <v>0</v>
      </c>
      <c r="P33" s="85">
        <f ca="1">SUMIF('Sales  Returns'!$C$1:$C$19998,'Calculated Fields'!B33,'Sales  Returns'!$T$1:$T$19998)</f>
        <v>16</v>
      </c>
      <c r="Q33" s="85">
        <f ca="1">SUMIF('Sales  Returns'!$C$1:$C$19998,'Calculated Fields'!B33,'Sales  Returns'!$E$1:$E$19998)</f>
        <v>0</v>
      </c>
      <c r="R33" s="85">
        <f ca="1">SUMIF('Sales  Returns'!$C$1:$C$19998,'Calculated Fields'!B33,'Sales  Returns'!$R$1:$R$19998)</f>
        <v>0</v>
      </c>
      <c r="S33" s="85">
        <f ca="1">SUMIF('Sales  Returns'!$C$1:$C$19998,'Calculated Fields'!B33,'Sales  Returns'!$Q$1:$Q$19998)</f>
        <v>0</v>
      </c>
      <c r="T33" s="85">
        <f ca="1">-COUNTIFS('Sales  Returns'!$C$1:$C$19998,'Calculated Fields'!$B33, 'Sales  Returns'!$B$1:$B$19998,'Calculated Fields'!$T$2)</f>
        <v>-2</v>
      </c>
      <c r="U33" s="85">
        <f ca="1">SUMIFS('Sales  Returns'!$D$1:$D$19998,'Sales  Returns'!$C$1:$C$19998,'Calculated Fields'!$B33,'Sales  Returns'!$B$1:$B$19998,'Calculated Fields'!$T$2)</f>
        <v>-250</v>
      </c>
      <c r="V33" s="86">
        <f t="shared" ca="1" si="37"/>
        <v>0.4</v>
      </c>
      <c r="W33" s="85">
        <f ca="1">COUNTIFS('Sales  Returns'!$C$1:$C$19998,'Calculated Fields'!$B33, 'Sales  Returns'!$B$1:$B$19998,"Sales")</f>
        <v>4</v>
      </c>
      <c r="X33" s="188">
        <v>0</v>
      </c>
      <c r="Y33" s="85">
        <f ca="1">SUMIF('Sales  Returns'!$C$1:$C$19998,'Calculated Fields'!$B33,'Sales  Returns'!$H$1:$H$19998)</f>
        <v>5</v>
      </c>
      <c r="Z33" s="85">
        <f ca="1">SUMIF('Sales  Returns'!$C$1:$C$19998,'Calculated Fields'!$B33,'Sales  Returns'!$I$1:$I$19998)</f>
        <v>2</v>
      </c>
      <c r="AA33" s="86">
        <f t="shared" ca="1" si="38"/>
        <v>0.4</v>
      </c>
      <c r="AB33" s="85">
        <f ca="1">SUMIF('Sales  Returns'!$C$1:$C$19998,'Calculated Fields'!$B33,'Sales  Returns'!$M$1:$M$19998)</f>
        <v>0</v>
      </c>
      <c r="AC33" s="85">
        <f ca="1">SUMIF('Sales  Returns'!$C$1:$C$19998,'Calculated Fields'!$B33,'Sales  Returns'!$N$1:$N$19998)</f>
        <v>0</v>
      </c>
      <c r="AD33" s="86">
        <f t="shared" ca="1" si="39"/>
        <v>0</v>
      </c>
      <c r="AE33" s="88" t="s">
        <v>1058</v>
      </c>
      <c r="AF33" s="85">
        <f ca="1">SUMIF('WO &amp; Quote'!$S:$S,TRIM('Calculated Fields'!$B33),'WO &amp; Quote'!$I:$I)</f>
        <v>1461</v>
      </c>
      <c r="AG33" s="85">
        <f ca="1">SUMIF('WO &amp; Quote'!$S:$S,TRIM('Calculated Fields'!$B33),'WO &amp; Quote'!$J:$J) + SUMIF('WO &amp; Quote'!$S:$S,TRIM('Calculated Fields'!$B33),'WO &amp; Quote'!$K:$K)</f>
        <v>0</v>
      </c>
      <c r="AH33" s="78"/>
      <c r="AI33" s="89" t="s">
        <v>101</v>
      </c>
      <c r="AJ33" s="90">
        <f>IFERROR(SUMIF('Inventory Lookup'!$O$2:$O$20765,#REF!,'Inventory Lookup'!$E$2:$E$20765)/SUMIF('Inventory Lookup'!$O$2:$O$20765,#REF!,'Inventory Lookup'!$D$2:$D$20765),0)</f>
        <v>0</v>
      </c>
      <c r="AK33" s="90">
        <f>IFERROR(AU33/SUMIFS('Inventory Lookup'!$D$2:$D$20765,'Inventory Lookup'!$O$2:$O$20765,#REF!,'Inventory Lookup'!$M$2:$M$20765,"Drive Train"),0)</f>
        <v>0</v>
      </c>
      <c r="AL33" s="90">
        <f>IFERROR(AV33/SUMIFS('Inventory Lookup'!$D$2:$D$20765,'Inventory Lookup'!$O$2:$O$20765,#REF!,'Inventory Lookup'!$M$2:$M$20765,"Body Parts"),0)</f>
        <v>0</v>
      </c>
      <c r="AM33" s="90">
        <f>IFERROR(AW33/SUMIFS('Inventory Lookup'!$D$2:$D$20765,'Inventory Lookup'!$O$2:$O$20765,#REF!,'Inventory Lookup'!$M$2:$M$20765,"Suspension"),0)</f>
        <v>0</v>
      </c>
      <c r="AN33" s="90">
        <f>IFERROR(AX33/SUMIFS('Inventory Lookup'!$D$2:$D$20765,'Inventory Lookup'!$O$2:$O$20765,#REF!,'Inventory Lookup'!$M$2:$M$20765,"Electrical"),0)</f>
        <v>0</v>
      </c>
      <c r="AO33" s="86">
        <f>IFERROR(VLOOKUP(AI33,Emp.Lookup!$A$1:$E$40,5,0),0)</f>
        <v>0</v>
      </c>
      <c r="AP33" s="85">
        <f>IFERROR(SUMIFS('Inventory Lookup'!$D$2:$D$20765,'Inventory Lookup'!$O$2:$O$20765,'Calculated Fields'!$AI33,'Inventory Lookup'!$M$2:$M$20765,"Drive Train"),"")</f>
        <v>0</v>
      </c>
      <c r="AQ33" s="85">
        <f>IFERROR(SUMIFS('Inventory Lookup'!$D$2:$D$20765,'Inventory Lookup'!$O$2:$O$20765,'Calculated Fields'!$AI33,'Inventory Lookup'!$M$2:$M$20765,"Body Parts"),"")</f>
        <v>0</v>
      </c>
      <c r="AR33" s="85">
        <f>IFERROR(SUMIFS('Inventory Lookup'!$D$2:$D$20765,'Inventory Lookup'!$O$2:$O$20765,'Calculated Fields'!$AI33,'Inventory Lookup'!$M$2:$M$20765,"Suspension"),"")</f>
        <v>0</v>
      </c>
      <c r="AS33" s="85">
        <f>IFERROR(SUMIFS('Inventory Lookup'!$D$2:$D$20765,'Inventory Lookup'!$O$2:$O$20765,'Calculated Fields'!$AI33,'Inventory Lookup'!$M$2:$M$20765,"Electrical"),"")</f>
        <v>0</v>
      </c>
      <c r="AT33" s="85">
        <f>IFERROR(SUMIFS('Inventory Lookup'!$D$2:$D$20765,'Inventory Lookup'!$O$2:$O$20765,'Calculated Fields'!$AI33,'Inventory Lookup'!$M$2:$M$20765,"Other"),"")</f>
        <v>0</v>
      </c>
      <c r="AU33" s="85">
        <f>IFERROR(SUMIFS('Inventory Lookup'!$E$2:$E$20765,'Inventory Lookup'!$O$2:$O$20765,#REF!,'Inventory Lookup'!$M$2:$M$20765,"Drive Train"),"")</f>
        <v>0</v>
      </c>
      <c r="AV33" s="85">
        <f>IFERROR(SUMIFS('Inventory Lookup'!$E$2:$E$20765,'Inventory Lookup'!$O$2:$O$20765,#REF!,'Inventory Lookup'!$M$2:$M$20765,"Body Parts"),"")</f>
        <v>0</v>
      </c>
      <c r="AW33" s="85">
        <f>IFERROR(SUMIFS('Inventory Lookup'!$E$2:$E$20765,'Inventory Lookup'!$O$2:$O$20765,#REF!,'Inventory Lookup'!$M$2:$M$20765,"Suspension"),"")</f>
        <v>0</v>
      </c>
      <c r="AX33" s="85">
        <f>IFERROR(SUMIFS('Inventory Lookup'!$E$2:$E$20765,'Inventory Lookup'!$O$2:$O$20765,#REF!,'Inventory Lookup'!$M$2:$M$20765,"Electrical"),"")</f>
        <v>0</v>
      </c>
      <c r="AY33" s="85">
        <f>IFERROR(SUMIFS('Inventory Lookup'!$E$2:$E$20765,'Inventory Lookup'!$O$2:$O$20765,#REF!,'Inventory Lookup'!$M$2:$M$20765,"Other"),"")</f>
        <v>0</v>
      </c>
      <c r="AZ33" s="78"/>
      <c r="BA33" s="89" t="s">
        <v>101</v>
      </c>
      <c r="BB33" s="91">
        <v>0</v>
      </c>
      <c r="BC33" s="85">
        <f t="shared" ca="1" si="40"/>
        <v>0</v>
      </c>
      <c r="BD33" s="92">
        <f ca="1">IFERROR(BC33/'Calculated Fields'!$W33,0)</f>
        <v>0</v>
      </c>
      <c r="BE33" s="92">
        <f ca="1">IFERROR('Calculated Fields'!$C33/BC33,0)</f>
        <v>0</v>
      </c>
      <c r="BF33" s="93"/>
      <c r="BG33" s="93"/>
      <c r="BH33" s="85">
        <f t="array" aca="1" ref="BH33" ca="1">IFERROR(INDEX('Agent Activity'!$AC$5:$AD$51,MATCH('Calculated Fields'!$BA33,'Agent Activity'!$AB$5:$AB$51,0),1),0)</f>
        <v>0</v>
      </c>
      <c r="BI33" s="93"/>
      <c r="BJ33" s="93"/>
      <c r="BK33" s="94">
        <f t="array" aca="1" ref="BK33" ca="1">IFERROR(INDEX('Agent Activity'!$AC$5:$AD$51,MATCH('Calculated Fields'!$BA33,'Agent Activity'!$AB$5:AB$51,0),2),0)</f>
        <v>0</v>
      </c>
      <c r="BL33" s="93"/>
      <c r="BM33" s="85">
        <f>SUMIF('RingCentral - Office'!$A$2:$A$482,$BA33,'RingCentral - Office'!$E$2:$E$482)</f>
        <v>0</v>
      </c>
      <c r="BN33" s="85">
        <f>SUMIF('RingCentral - Office'!$A$2:$A$482,$BA33,'RingCentral - Office'!$F$2:$F$482)</f>
        <v>0</v>
      </c>
      <c r="BO33" s="87">
        <f t="shared" si="41"/>
        <v>0</v>
      </c>
      <c r="BP33" s="85">
        <f>-SUMIF('RingCentral - Office'!$A$2:$A$482,$BA33,'RingCentral - Office'!$H$2:$H$482)</f>
        <v>0</v>
      </c>
      <c r="BQ33" s="94">
        <f>SUMIF('RingCentral - Office'!$A$2:$A$482,$BA33,'RingCentral - Office'!$I$2:$I$482)</f>
        <v>0</v>
      </c>
      <c r="BR33" s="85">
        <f>_xlfn.IFNA(INDEX(Audits!$B$2:$E$19,MATCH($BA33,Audits!$A$2:$A$19,0),MATCH('Calculated Fields'!BR$2,Audits!$B$1:$E$1,0)),0)</f>
        <v>0</v>
      </c>
      <c r="BS33" s="88" t="s">
        <v>1058</v>
      </c>
      <c r="BT33" s="88" t="s">
        <v>1058</v>
      </c>
      <c r="BU33" s="160" t="s">
        <v>1058</v>
      </c>
      <c r="BV33" s="85">
        <f>_xlfn.IFNA(INDEX(Audits!$B$2:$E$19,MATCH($BA33,Audits!$A$2:$A$19,0),MATCH('Calculated Fields'!BV$2,Audits!$B$1:$E$1,0)),0)</f>
        <v>0</v>
      </c>
      <c r="BW33" s="88" t="s">
        <v>1058</v>
      </c>
      <c r="BX33" s="88" t="s">
        <v>1058</v>
      </c>
      <c r="BY33" s="88" t="s">
        <v>1058</v>
      </c>
      <c r="BZ33" s="88" t="s">
        <v>1058</v>
      </c>
      <c r="CA33" s="88" t="s">
        <v>1058</v>
      </c>
      <c r="CB33" s="88" t="s">
        <v>1058</v>
      </c>
      <c r="CC33" s="88" t="s">
        <v>1058</v>
      </c>
      <c r="CD33" s="88" t="s">
        <v>1058</v>
      </c>
      <c r="CE33" s="88" t="s">
        <v>1058</v>
      </c>
      <c r="CF33" s="88" t="s">
        <v>1058</v>
      </c>
      <c r="CG33" s="3"/>
      <c r="CH33" s="3"/>
      <c r="CI33" s="3"/>
      <c r="CJ33" s="3"/>
      <c r="CK33" s="3"/>
      <c r="CL33" s="3"/>
      <c r="CM33" s="3"/>
      <c r="CN33" s="3"/>
    </row>
    <row r="34" spans="1:92" ht="14.4">
      <c r="A34" s="78"/>
      <c r="B34" s="97"/>
      <c r="C34" s="85">
        <f>SUMIF('Sales  Returns'!$C$1:$C$19998,'Calculated Fields'!B34,'Sales  Returns'!$D$1:$D$19998)</f>
        <v>0</v>
      </c>
      <c r="D34" s="85">
        <f t="shared" si="32"/>
        <v>0</v>
      </c>
      <c r="E34" s="85">
        <f t="shared" si="33"/>
        <v>0</v>
      </c>
      <c r="F34" s="85">
        <f>SUMIF('Y2Y sales'!$J$2:$J$2000,$B34,'Y2Y sales'!$G$2:$G$2000)</f>
        <v>0</v>
      </c>
      <c r="G34" s="85">
        <f t="shared" si="34"/>
        <v>0</v>
      </c>
      <c r="H34" s="85">
        <f>SUMIF('Sales  Returns'!$C$1:$C$19998,'Calculated Fields'!B34,'Sales  Returns'!$G$1:$G$19998)</f>
        <v>0</v>
      </c>
      <c r="I34" s="85">
        <f>SUMIF('Sales  Returns'!$C$1:$C$19998,'Calculated Fields'!B34,'Sales  Returns'!$J$1:$J$19998)</f>
        <v>0</v>
      </c>
      <c r="J34" s="85">
        <f>SUMIF('Sales  Returns'!$C$1:$C$19998,'Calculated Fields'!B34,'Sales  Returns'!$K$1:$K$19998)</f>
        <v>0</v>
      </c>
      <c r="K34" s="86">
        <f t="shared" si="35"/>
        <v>0</v>
      </c>
      <c r="L34" s="85">
        <f>SUMIF('Sales  Returns'!$C$1:$C$19998,'Calculated Fields'!B34,'Sales  Returns'!$O$1:$O$19998)</f>
        <v>0</v>
      </c>
      <c r="M34" s="87">
        <f t="shared" si="36"/>
        <v>0</v>
      </c>
      <c r="N34" s="85">
        <f>SUMIF('Sales  Returns'!$C$1:$C$19998,'Calculated Fields'!B34,'Sales  Returns'!$P$1:$P$19998)</f>
        <v>0</v>
      </c>
      <c r="O34" s="85">
        <f>SUMIF('Sales  Returns'!$C$1:$C$19998,'Calculated Fields'!B34,'Sales  Returns'!$F$1:$F$19998)</f>
        <v>0</v>
      </c>
      <c r="P34" s="85">
        <f>SUMIF('Sales  Returns'!$C$1:$C$19998,'Calculated Fields'!B34,'Sales  Returns'!$T$1:$T$19998)</f>
        <v>0</v>
      </c>
      <c r="Q34" s="85">
        <f>SUMIF('Sales  Returns'!$C$1:$C$19998,'Calculated Fields'!B34,'Sales  Returns'!$E$1:$E$19998)</f>
        <v>0</v>
      </c>
      <c r="R34" s="85">
        <f>SUMIF('Sales  Returns'!$C$1:$C$19998,'Calculated Fields'!B34,'Sales  Returns'!$R$1:$R$19998)</f>
        <v>0</v>
      </c>
      <c r="S34" s="85">
        <f>SUMIF('Sales  Returns'!$C$1:$C$19998,'Calculated Fields'!B34,'Sales  Returns'!$Q$1:$Q$19998)</f>
        <v>0</v>
      </c>
      <c r="T34" s="85">
        <f>-COUNTIFS('Sales  Returns'!$C$1:$C$19998,'Calculated Fields'!$B34, 'Sales  Returns'!$B$1:$B$19998,'Calculated Fields'!$T$2)</f>
        <v>0</v>
      </c>
      <c r="U34" s="85">
        <f>SUMIFS('Sales  Returns'!$D$1:$D$19998,'Sales  Returns'!$C$1:$C$19998,'Calculated Fields'!$B34,'Sales  Returns'!$B$1:$B$19998,'Calculated Fields'!$T$2)</f>
        <v>0</v>
      </c>
      <c r="V34" s="86">
        <f t="shared" si="37"/>
        <v>0</v>
      </c>
      <c r="W34" s="85">
        <f>COUNTIFS('Sales  Returns'!$C$1:$C$19998,'Calculated Fields'!$B34, 'Sales  Returns'!$B$1:$B$19998,"Sales")</f>
        <v>0</v>
      </c>
      <c r="X34" s="188">
        <v>0</v>
      </c>
      <c r="Y34" s="85">
        <f>SUMIF('Sales  Returns'!$C$1:$C$19998,'Calculated Fields'!$B34,'Sales  Returns'!$H$1:$H$19998)</f>
        <v>0</v>
      </c>
      <c r="Z34" s="85">
        <f>SUMIF('Sales  Returns'!$C$1:$C$19998,'Calculated Fields'!$B34,'Sales  Returns'!$I$1:$I$19998)</f>
        <v>0</v>
      </c>
      <c r="AA34" s="86">
        <f t="shared" si="38"/>
        <v>0</v>
      </c>
      <c r="AB34" s="85">
        <f>SUMIF('Sales  Returns'!$C$1:$C$19998,'Calculated Fields'!$B34,'Sales  Returns'!$M$1:$M$19998)</f>
        <v>0</v>
      </c>
      <c r="AC34" s="85">
        <f>SUMIF('Sales  Returns'!$C$1:$C$19998,'Calculated Fields'!$B34,'Sales  Returns'!$N$1:$N$19998)</f>
        <v>0</v>
      </c>
      <c r="AD34" s="86">
        <f t="shared" si="39"/>
        <v>0</v>
      </c>
      <c r="AE34" s="88" t="s">
        <v>1058</v>
      </c>
      <c r="AF34" s="85">
        <f>SUMIF('WO &amp; Quote'!$S:$S,TRIM('Calculated Fields'!$B34),'WO &amp; Quote'!$I:$I)</f>
        <v>0</v>
      </c>
      <c r="AG34" s="85">
        <f>SUMIF('WO &amp; Quote'!$S:$S,TRIM('Calculated Fields'!$B34),'WO &amp; Quote'!$J:$J) + SUMIF('WO &amp; Quote'!$S:$S,TRIM('Calculated Fields'!$B34),'WO &amp; Quote'!$K:$K)</f>
        <v>0</v>
      </c>
      <c r="AH34" s="78"/>
      <c r="AI34" s="97"/>
      <c r="AJ34" s="90">
        <f>IFERROR(SUMIF('Inventory Lookup'!$O$2:$O$20765,#REF!,'Inventory Lookup'!$E$2:$E$20765)/SUMIF('Inventory Lookup'!$O$2:$O$20765,#REF!,'Inventory Lookup'!$D$2:$D$20765),0)</f>
        <v>0</v>
      </c>
      <c r="AK34" s="90">
        <f>IFERROR(AU34/SUMIFS('Inventory Lookup'!$D$2:$D$20765,'Inventory Lookup'!$O$2:$O$20765,#REF!,'Inventory Lookup'!$M$2:$M$20765,"Drive Train"),0)</f>
        <v>0</v>
      </c>
      <c r="AL34" s="90">
        <f>IFERROR(AV34/SUMIFS('Inventory Lookup'!$D$2:$D$20765,'Inventory Lookup'!$O$2:$O$20765,#REF!,'Inventory Lookup'!$M$2:$M$20765,"Body Parts"),0)</f>
        <v>0</v>
      </c>
      <c r="AM34" s="90">
        <f>IFERROR(AW34/SUMIFS('Inventory Lookup'!$D$2:$D$20765,'Inventory Lookup'!$O$2:$O$20765,#REF!,'Inventory Lookup'!$M$2:$M$20765,"Suspension"),0)</f>
        <v>0</v>
      </c>
      <c r="AN34" s="90">
        <f>IFERROR(AX34/SUMIFS('Inventory Lookup'!$D$2:$D$20765,'Inventory Lookup'!$O$2:$O$20765,#REF!,'Inventory Lookup'!$M$2:$M$20765,"Electrical"),0)</f>
        <v>0</v>
      </c>
      <c r="AO34" s="86">
        <f>IFERROR(VLOOKUP(AI34,Emp.Lookup!$A$1:$E$40,5,0),0)</f>
        <v>0</v>
      </c>
      <c r="AP34" s="85">
        <f>IFERROR(SUMIFS('Inventory Lookup'!$D$2:$D$20765,'Inventory Lookup'!$O$2:$O$20765,'Calculated Fields'!$AI34,'Inventory Lookup'!$M$2:$M$20765,"Drive Train"),"")</f>
        <v>0</v>
      </c>
      <c r="AQ34" s="85">
        <f>IFERROR(SUMIFS('Inventory Lookup'!$D$2:$D$20765,'Inventory Lookup'!$O$2:$O$20765,'Calculated Fields'!$AI34,'Inventory Lookup'!$M$2:$M$20765,"Body Parts"),"")</f>
        <v>0</v>
      </c>
      <c r="AR34" s="85">
        <f>IFERROR(SUMIFS('Inventory Lookup'!$D$2:$D$20765,'Inventory Lookup'!$O$2:$O$20765,'Calculated Fields'!$AI34,'Inventory Lookup'!$M$2:$M$20765,"Suspension"),"")</f>
        <v>0</v>
      </c>
      <c r="AS34" s="85">
        <f>IFERROR(SUMIFS('Inventory Lookup'!$D$2:$D$20765,'Inventory Lookup'!$O$2:$O$20765,'Calculated Fields'!$AI34,'Inventory Lookup'!$M$2:$M$20765,"Electrical"),"")</f>
        <v>0</v>
      </c>
      <c r="AT34" s="85">
        <f>IFERROR(SUMIFS('Inventory Lookup'!$D$2:$D$20765,'Inventory Lookup'!$O$2:$O$20765,'Calculated Fields'!$AI34,'Inventory Lookup'!$M$2:$M$20765,"Other"),"")</f>
        <v>0</v>
      </c>
      <c r="AU34" s="85">
        <f>IFERROR(SUMIFS('Inventory Lookup'!$E$2:$E$20765,'Inventory Lookup'!$O$2:$O$20765,#REF!,'Inventory Lookup'!$M$2:$M$20765,"Drive Train"),"")</f>
        <v>0</v>
      </c>
      <c r="AV34" s="85">
        <f>IFERROR(SUMIFS('Inventory Lookup'!$E$2:$E$20765,'Inventory Lookup'!$O$2:$O$20765,#REF!,'Inventory Lookup'!$M$2:$M$20765,"Body Parts"),"")</f>
        <v>0</v>
      </c>
      <c r="AW34" s="85">
        <f>IFERROR(SUMIFS('Inventory Lookup'!$E$2:$E$20765,'Inventory Lookup'!$O$2:$O$20765,#REF!,'Inventory Lookup'!$M$2:$M$20765,"Suspension"),"")</f>
        <v>0</v>
      </c>
      <c r="AX34" s="85">
        <f>IFERROR(SUMIFS('Inventory Lookup'!$E$2:$E$20765,'Inventory Lookup'!$O$2:$O$20765,#REF!,'Inventory Lookup'!$M$2:$M$20765,"Electrical"),"")</f>
        <v>0</v>
      </c>
      <c r="AY34" s="85">
        <f>IFERROR(SUMIFS('Inventory Lookup'!$E$2:$E$20765,'Inventory Lookup'!$O$2:$O$20765,#REF!,'Inventory Lookup'!$M$2:$M$20765,"Other"),"")</f>
        <v>0</v>
      </c>
      <c r="AZ34" s="78"/>
      <c r="BA34" s="97"/>
      <c r="BB34" s="91">
        <v>0</v>
      </c>
      <c r="BC34" s="85">
        <f t="shared" ca="1" si="40"/>
        <v>0</v>
      </c>
      <c r="BD34" s="92">
        <f ca="1">IFERROR(BC34/'Calculated Fields'!$W34,0)</f>
        <v>0</v>
      </c>
      <c r="BE34" s="92">
        <f ca="1">IFERROR('Calculated Fields'!$C34/BC34,0)</f>
        <v>0</v>
      </c>
      <c r="BF34" s="93"/>
      <c r="BG34" s="93"/>
      <c r="BH34" s="85">
        <f t="array" aca="1" ref="BH34" ca="1">IFERROR(INDEX('Agent Activity'!$AC$5:$AD$51,MATCH('Calculated Fields'!$BA34,'Agent Activity'!$AB$5:$AB$51,0),1),0)</f>
        <v>0</v>
      </c>
      <c r="BI34" s="93"/>
      <c r="BJ34" s="93"/>
      <c r="BK34" s="94">
        <f t="array" aca="1" ref="BK34" ca="1">IFERROR(INDEX('Agent Activity'!$AC$5:$AD$51,MATCH('Calculated Fields'!$BA34,'Agent Activity'!$AB$5:AB$51,0),2),0)</f>
        <v>0</v>
      </c>
      <c r="BL34" s="93"/>
      <c r="BM34" s="85">
        <f>SUMIF('RingCentral - Office'!$A$2:$A$482,$BA34,'RingCentral - Office'!$E$2:$E$482)</f>
        <v>0</v>
      </c>
      <c r="BN34" s="85">
        <f>SUMIF('RingCentral - Office'!$A$2:$A$482,$BA34,'RingCentral - Office'!$F$2:$F$482)</f>
        <v>0</v>
      </c>
      <c r="BO34" s="87">
        <f t="shared" si="41"/>
        <v>0</v>
      </c>
      <c r="BP34" s="85">
        <f>-SUMIF('RingCentral - Office'!$A$2:$A$482,$BA34,'RingCentral - Office'!$H$2:$H$482)</f>
        <v>0</v>
      </c>
      <c r="BQ34" s="94">
        <f>SUMIF('RingCentral - Office'!$A$2:$A$482,$BA34,'RingCentral - Office'!$I$2:$I$482)</f>
        <v>0</v>
      </c>
      <c r="BR34" s="85">
        <f>_xlfn.IFNA(INDEX(Audits!$B$2:$E$19,MATCH($BA34,Audits!$A$2:$A$19,0),MATCH('Calculated Fields'!BR$2,Audits!$B$1:$E$1,0)),0)</f>
        <v>0</v>
      </c>
      <c r="BS34" s="88" t="s">
        <v>1058</v>
      </c>
      <c r="BT34" s="88" t="s">
        <v>1058</v>
      </c>
      <c r="BU34" s="160" t="s">
        <v>1058</v>
      </c>
      <c r="BV34" s="85">
        <f>_xlfn.IFNA(INDEX(Audits!$B$2:$E$19,MATCH($BA34,Audits!$A$2:$A$19,0),MATCH('Calculated Fields'!BV$2,Audits!$B$1:$E$1,0)),0)</f>
        <v>0</v>
      </c>
      <c r="BW34" s="88" t="s">
        <v>1058</v>
      </c>
      <c r="BX34" s="88" t="s">
        <v>1058</v>
      </c>
      <c r="BY34" s="88" t="s">
        <v>1058</v>
      </c>
      <c r="BZ34" s="88" t="s">
        <v>1058</v>
      </c>
      <c r="CA34" s="88" t="s">
        <v>1058</v>
      </c>
      <c r="CB34" s="88" t="s">
        <v>1058</v>
      </c>
      <c r="CC34" s="88" t="s">
        <v>1058</v>
      </c>
      <c r="CD34" s="88" t="s">
        <v>1058</v>
      </c>
      <c r="CE34" s="88" t="s">
        <v>1058</v>
      </c>
      <c r="CF34" s="88" t="s">
        <v>1058</v>
      </c>
      <c r="CG34" s="3"/>
      <c r="CH34" s="3"/>
      <c r="CI34" s="3"/>
      <c r="CJ34" s="3"/>
      <c r="CK34" s="3"/>
      <c r="CL34" s="3"/>
      <c r="CM34" s="3"/>
      <c r="CN34" s="3"/>
    </row>
    <row r="35" spans="1:92" ht="14.4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100"/>
      <c r="L35" s="78"/>
      <c r="M35" s="101"/>
      <c r="N35" s="78"/>
      <c r="O35" s="78"/>
      <c r="P35" s="78"/>
      <c r="Q35" s="78"/>
      <c r="R35" s="78"/>
      <c r="S35" s="78"/>
      <c r="T35" s="78"/>
      <c r="U35" s="78"/>
      <c r="V35" s="100"/>
      <c r="W35" s="78"/>
      <c r="X35" s="53"/>
      <c r="Y35" s="78"/>
      <c r="Z35" s="78"/>
      <c r="AA35" s="100"/>
      <c r="AB35" s="78"/>
      <c r="AC35" s="78"/>
      <c r="AD35" s="100"/>
      <c r="AE35" s="78"/>
      <c r="AF35" s="78"/>
      <c r="AG35" s="78"/>
      <c r="AH35" s="78"/>
      <c r="AI35" s="78"/>
      <c r="AJ35" s="80"/>
      <c r="AK35" s="80"/>
      <c r="AL35" s="80"/>
      <c r="AM35" s="80"/>
      <c r="AN35" s="80"/>
      <c r="AO35" s="80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99"/>
      <c r="BE35" s="99"/>
      <c r="BF35" s="78"/>
      <c r="BG35" s="78"/>
      <c r="BH35" s="78"/>
      <c r="BI35" s="78"/>
      <c r="BJ35" s="78"/>
      <c r="BK35" s="102"/>
      <c r="BL35" s="78"/>
      <c r="BM35" s="78"/>
      <c r="BN35" s="78"/>
      <c r="BO35" s="101"/>
      <c r="BP35" s="78"/>
      <c r="BQ35" s="102"/>
      <c r="BR35" s="161"/>
      <c r="BS35" s="161"/>
      <c r="BT35" s="161"/>
      <c r="BU35" s="162"/>
      <c r="BV35" s="163"/>
      <c r="BW35" s="163"/>
      <c r="BX35" s="163"/>
      <c r="BY35" s="163"/>
      <c r="BZ35" s="163"/>
      <c r="CA35" s="163"/>
      <c r="CB35" s="161"/>
      <c r="CC35" s="161"/>
      <c r="CD35" s="161"/>
      <c r="CE35" s="161"/>
      <c r="CF35" s="161"/>
      <c r="CG35" s="3"/>
      <c r="CH35" s="3"/>
      <c r="CI35" s="3"/>
      <c r="CJ35" s="3"/>
      <c r="CK35" s="3"/>
      <c r="CL35" s="3"/>
      <c r="CM35" s="3"/>
      <c r="CN35" s="3"/>
    </row>
    <row r="36" spans="1:92" ht="14.4">
      <c r="A36" s="78"/>
      <c r="B36" s="81" t="s">
        <v>1062</v>
      </c>
      <c r="C36" s="82" t="s">
        <v>994</v>
      </c>
      <c r="D36" s="82" t="s">
        <v>995</v>
      </c>
      <c r="E36" s="82" t="s">
        <v>996</v>
      </c>
      <c r="F36" s="82" t="s">
        <v>997</v>
      </c>
      <c r="G36" s="82" t="s">
        <v>998</v>
      </c>
      <c r="H36" s="82" t="s">
        <v>999</v>
      </c>
      <c r="I36" s="82" t="s">
        <v>1000</v>
      </c>
      <c r="J36" s="82" t="s">
        <v>75</v>
      </c>
      <c r="K36" s="82" t="s">
        <v>1001</v>
      </c>
      <c r="L36" s="82" t="s">
        <v>1002</v>
      </c>
      <c r="M36" s="82" t="s">
        <v>1003</v>
      </c>
      <c r="N36" s="82" t="s">
        <v>80</v>
      </c>
      <c r="O36" s="82" t="s">
        <v>70</v>
      </c>
      <c r="P36" s="82" t="s">
        <v>84</v>
      </c>
      <c r="Q36" s="82" t="s">
        <v>69</v>
      </c>
      <c r="R36" s="82" t="s">
        <v>82</v>
      </c>
      <c r="S36" s="82" t="s">
        <v>1004</v>
      </c>
      <c r="T36" s="82" t="s">
        <v>104</v>
      </c>
      <c r="U36" s="82" t="s">
        <v>1005</v>
      </c>
      <c r="V36" s="82" t="s">
        <v>1006</v>
      </c>
      <c r="W36" s="82" t="s">
        <v>1007</v>
      </c>
      <c r="X36" s="82" t="s">
        <v>1008</v>
      </c>
      <c r="Y36" s="82" t="s">
        <v>72</v>
      </c>
      <c r="Z36" s="82" t="s">
        <v>1009</v>
      </c>
      <c r="AA36" s="82" t="s">
        <v>1010</v>
      </c>
      <c r="AB36" s="82" t="s">
        <v>77</v>
      </c>
      <c r="AC36" s="82" t="s">
        <v>1011</v>
      </c>
      <c r="AD36" s="82" t="s">
        <v>1012</v>
      </c>
      <c r="AE36" s="82" t="s">
        <v>1013</v>
      </c>
      <c r="AF36" s="82" t="s">
        <v>1014</v>
      </c>
      <c r="AG36" s="82" t="s">
        <v>1015</v>
      </c>
      <c r="AH36" s="78"/>
      <c r="AI36" s="81" t="s">
        <v>1062</v>
      </c>
      <c r="AJ36" s="82" t="s">
        <v>1016</v>
      </c>
      <c r="AK36" s="82" t="s">
        <v>1017</v>
      </c>
      <c r="AL36" s="82" t="s">
        <v>1018</v>
      </c>
      <c r="AM36" s="82" t="s">
        <v>1019</v>
      </c>
      <c r="AN36" s="82" t="s">
        <v>1020</v>
      </c>
      <c r="AO36" s="83" t="s">
        <v>1021</v>
      </c>
      <c r="AP36" s="82" t="s">
        <v>1022</v>
      </c>
      <c r="AQ36" s="82" t="s">
        <v>1023</v>
      </c>
      <c r="AR36" s="82" t="s">
        <v>1024</v>
      </c>
      <c r="AS36" s="82" t="s">
        <v>1025</v>
      </c>
      <c r="AT36" s="82" t="s">
        <v>1026</v>
      </c>
      <c r="AU36" s="82" t="s">
        <v>1027</v>
      </c>
      <c r="AV36" s="82" t="s">
        <v>1028</v>
      </c>
      <c r="AW36" s="82" t="s">
        <v>1029</v>
      </c>
      <c r="AX36" s="82" t="s">
        <v>1030</v>
      </c>
      <c r="AY36" s="82" t="s">
        <v>1031</v>
      </c>
      <c r="AZ36" s="78"/>
      <c r="BA36" s="81" t="s">
        <v>1062</v>
      </c>
      <c r="BB36" s="82" t="s">
        <v>1032</v>
      </c>
      <c r="BC36" s="82" t="s">
        <v>1033</v>
      </c>
      <c r="BD36" s="82" t="s">
        <v>1034</v>
      </c>
      <c r="BE36" s="82" t="s">
        <v>1035</v>
      </c>
      <c r="BF36" s="82" t="s">
        <v>1036</v>
      </c>
      <c r="BG36" s="82" t="s">
        <v>1037</v>
      </c>
      <c r="BH36" s="82" t="s">
        <v>1059</v>
      </c>
      <c r="BI36" s="82" t="s">
        <v>1039</v>
      </c>
      <c r="BJ36" s="82" t="s">
        <v>1040</v>
      </c>
      <c r="BK36" s="82" t="s">
        <v>1041</v>
      </c>
      <c r="BL36" s="82" t="s">
        <v>1042</v>
      </c>
      <c r="BM36" s="82" t="s">
        <v>1043</v>
      </c>
      <c r="BN36" s="82" t="s">
        <v>1044</v>
      </c>
      <c r="BO36" s="82" t="s">
        <v>1045</v>
      </c>
      <c r="BP36" s="82" t="s">
        <v>1046</v>
      </c>
      <c r="BQ36" s="82" t="s">
        <v>1047</v>
      </c>
      <c r="BR36" s="82" t="s">
        <v>590</v>
      </c>
      <c r="BS36" s="82" t="s">
        <v>591</v>
      </c>
      <c r="BT36" s="82" t="s">
        <v>592</v>
      </c>
      <c r="BU36" s="159" t="s">
        <v>593</v>
      </c>
      <c r="BV36" s="82" t="s">
        <v>1048</v>
      </c>
      <c r="BW36" s="83" t="s">
        <v>1049</v>
      </c>
      <c r="BX36" s="83" t="s">
        <v>1050</v>
      </c>
      <c r="BY36" s="83" t="s">
        <v>1051</v>
      </c>
      <c r="BZ36" s="83" t="s">
        <v>1052</v>
      </c>
      <c r="CA36" s="83" t="s">
        <v>124</v>
      </c>
      <c r="CB36" s="83" t="s">
        <v>1053</v>
      </c>
      <c r="CC36" s="83" t="s">
        <v>1054</v>
      </c>
      <c r="CD36" s="83" t="s">
        <v>1055</v>
      </c>
      <c r="CE36" s="83" t="s">
        <v>1056</v>
      </c>
      <c r="CF36" s="83" t="s">
        <v>1057</v>
      </c>
      <c r="CG36" s="3"/>
      <c r="CH36" s="3"/>
      <c r="CI36" s="3"/>
      <c r="CJ36" s="3"/>
      <c r="CK36" s="3"/>
      <c r="CL36" s="3"/>
      <c r="CM36" s="3"/>
      <c r="CN36" s="3"/>
    </row>
    <row r="37" spans="1:92" ht="14.4">
      <c r="A37" s="78"/>
      <c r="B37" s="89" t="str">
        <f ca="1">IFERROR(__xludf.DUMMYFUNCTION("SORT(UNIQUE(FILTER('Sales  Returns'!$C$1:$C$19968,'Sales  Returns'!$T$1:$T$19968=""Other"")))"),"Nicholas Hill")</f>
        <v>Nicholas Hill</v>
      </c>
      <c r="C37" s="85">
        <f ca="1">SUMIF('Sales  Returns'!$C$1:$C$19998,'Calculated Fields'!B37,'Sales  Returns'!$D$1:$D$19998)</f>
        <v>785</v>
      </c>
      <c r="D37" s="85">
        <f t="shared" ref="D37:D38" ca="1" si="42">H37+I37</f>
        <v>0</v>
      </c>
      <c r="E37" s="85">
        <f t="shared" ref="E37:E38" ca="1" si="43">H37+J37+L37+N37</f>
        <v>0</v>
      </c>
      <c r="F37" s="85">
        <f ca="1">SUMIF('Y2Y sales'!$J$2:$J$2000,'Calculated Fields'!$B37,'Y2Y sales'!$G$2:$G$2000)</f>
        <v>0</v>
      </c>
      <c r="G37" s="85">
        <f t="shared" ref="G37:G38" ca="1" si="44">H37-F37</f>
        <v>0</v>
      </c>
      <c r="H37" s="85">
        <f ca="1">SUMIF('Sales  Returns'!$C$1:$C$19998,'Calculated Fields'!B37,'Sales  Returns'!$G$1:$G$19998)</f>
        <v>0</v>
      </c>
      <c r="I37" s="85">
        <f ca="1">SUMIF('Sales  Returns'!$C$1:$C$19998,'Calculated Fields'!B37,'Sales  Returns'!$J$1:$J$19998)</f>
        <v>0</v>
      </c>
      <c r="J37" s="85">
        <f ca="1">SUMIF('Sales  Returns'!$C$1:$C$19998,'Calculated Fields'!B37,'Sales  Returns'!$K$1:$K$19998)</f>
        <v>0</v>
      </c>
      <c r="K37" s="86">
        <f t="shared" ref="K37:K38" ca="1" si="45">IFERROR(J37/I37,0%)</f>
        <v>0</v>
      </c>
      <c r="L37" s="85">
        <f ca="1">SUMIF('Sales  Returns'!$C$1:$C$19998,'Calculated Fields'!B37,'Sales  Returns'!$O$1:$O$19998)</f>
        <v>0</v>
      </c>
      <c r="M37" s="87">
        <f t="shared" ref="M37:M38" ca="1" si="46">IFERROR(L37/G37,0)</f>
        <v>0</v>
      </c>
      <c r="N37" s="85">
        <f ca="1">SUMIF('Sales  Returns'!$C$1:$C$19998,'Calculated Fields'!B37,'Sales  Returns'!$P$1:$P$19998)</f>
        <v>0</v>
      </c>
      <c r="O37" s="85">
        <f ca="1">SUMIF('Sales  Returns'!$C$1:$C$19998,'Calculated Fields'!B37,'Sales  Returns'!$F$1:$F$19998)</f>
        <v>0</v>
      </c>
      <c r="P37" s="85">
        <f ca="1">SUMIF('Sales  Returns'!$C$1:$C$19998,'Calculated Fields'!B37,'Sales  Returns'!$T$1:$T$19998)</f>
        <v>0</v>
      </c>
      <c r="Q37" s="85">
        <f ca="1">SUMIF('Sales  Returns'!$C$1:$C$19998,'Calculated Fields'!B37,'Sales  Returns'!$E$1:$E$19998)</f>
        <v>0</v>
      </c>
      <c r="R37" s="85">
        <f ca="1">SUMIF('Sales  Returns'!$C$1:$C$19998,'Calculated Fields'!B37,'Sales  Returns'!$R$1:$R$19998)</f>
        <v>0</v>
      </c>
      <c r="S37" s="85">
        <f ca="1">SUMIF('Sales  Returns'!$C$1:$C$19998,'Calculated Fields'!B37,'Sales  Returns'!$Q$1:$Q$19998)</f>
        <v>0</v>
      </c>
      <c r="T37" s="85">
        <f ca="1">-COUNTIFS('Sales  Returns'!$C$1:$C$19998,'Calculated Fields'!$B37, 'Sales  Returns'!$B$1:$B$19998,'Calculated Fields'!$T$2)</f>
        <v>0</v>
      </c>
      <c r="U37" s="85">
        <f ca="1">SUMIFS('Sales  Returns'!$D$1:$D$19998,'Sales  Returns'!$C$1:$C$19998,'Calculated Fields'!$B37,'Sales  Returns'!$B$1:$B$19998,'Calculated Fields'!$T$2)</f>
        <v>0</v>
      </c>
      <c r="V37" s="86">
        <f t="shared" ref="V37:V38" ca="1" si="47">IFERROR((Z37+AC37)/(Y37+AB37),0)</f>
        <v>0</v>
      </c>
      <c r="W37" s="85">
        <f ca="1">COUNTIFS('Sales  Returns'!$C$1:$C$19998,'Calculated Fields'!$B37, 'Sales  Returns'!$B$1:$B$19998,"Sales")</f>
        <v>0</v>
      </c>
      <c r="X37" s="188">
        <v>0</v>
      </c>
      <c r="Y37" s="85">
        <f ca="1">SUMIF('Sales  Returns'!$C$1:$C$19998,'Calculated Fields'!$B37,'Sales  Returns'!$H$1:$H$19998)</f>
        <v>0</v>
      </c>
      <c r="Z37" s="85">
        <f ca="1">SUMIF('Sales  Returns'!$C$1:$C$19998,'Calculated Fields'!$B37,'Sales  Returns'!$I$1:$I$19998)</f>
        <v>0</v>
      </c>
      <c r="AA37" s="86">
        <f t="shared" ref="AA37:AA38" ca="1" si="48">IFERROR(Z37/Y37,0%)</f>
        <v>0</v>
      </c>
      <c r="AB37" s="85">
        <f ca="1">SUMIF('Sales  Returns'!$C$1:$C$19998,'Calculated Fields'!$B37,'Sales  Returns'!$M$1:$M$19998)</f>
        <v>0</v>
      </c>
      <c r="AC37" s="85">
        <f ca="1">SUMIF('Sales  Returns'!$C$1:$C$19998,'Calculated Fields'!$B37,'Sales  Returns'!$N$1:$N$19998)</f>
        <v>0</v>
      </c>
      <c r="AD37" s="86">
        <f t="shared" ref="AD37:AD38" ca="1" si="49">IFERROR(AC37/AB37,0%)</f>
        <v>0</v>
      </c>
      <c r="AE37" s="88" t="s">
        <v>1058</v>
      </c>
      <c r="AF37" s="85">
        <f ca="1">SUMIF('WO &amp; Quote'!$S:$S,TRIM('Calculated Fields'!$B37),'WO &amp; Quote'!$I:$I)</f>
        <v>0</v>
      </c>
      <c r="AG37" s="85">
        <f ca="1">SUMIF('WO &amp; Quote'!$S:$S,TRIM('Calculated Fields'!$B37),'WO &amp; Quote'!$J:$J) + SUMIF('WO &amp; Quote'!$S:$S,TRIM('Calculated Fields'!$B37),'WO &amp; Quote'!$K:$K)</f>
        <v>0</v>
      </c>
      <c r="AH37" s="78"/>
      <c r="AI37" s="89" t="s">
        <v>99</v>
      </c>
      <c r="AJ37" s="90">
        <f>IFERROR(SUMIF('Inventory Lookup'!$O$2:$O$20765,#REF!,'Inventory Lookup'!$E$2:$E$20765)/SUMIF('Inventory Lookup'!$O$2:$O$20765,#REF!,'Inventory Lookup'!$D$2:$D$20765),0)</f>
        <v>0</v>
      </c>
      <c r="AK37" s="90">
        <f>IFERROR(AU37/SUMIFS('Inventory Lookup'!$D$2:$D$20765,'Inventory Lookup'!$O$2:$O$20765,#REF!,'Inventory Lookup'!$M$2:$M$20765,"Drive Train"),0)</f>
        <v>0</v>
      </c>
      <c r="AL37" s="90">
        <f>IFERROR(AV37/SUMIFS('Inventory Lookup'!$D$2:$D$20765,'Inventory Lookup'!$O$2:$O$20765,#REF!,'Inventory Lookup'!$M$2:$M$20765,"Body Parts"),0)</f>
        <v>0</v>
      </c>
      <c r="AM37" s="90">
        <f>IFERROR(AW37/SUMIFS('Inventory Lookup'!$D$2:$D$20765,'Inventory Lookup'!$O$2:$O$20765,#REF!,'Inventory Lookup'!$M$2:$M$20765,"Suspension"),0)</f>
        <v>0</v>
      </c>
      <c r="AN37" s="90">
        <f>IFERROR(AX37/SUMIFS('Inventory Lookup'!$D$2:$D$20765,'Inventory Lookup'!$O$2:$O$20765,#REF!,'Inventory Lookup'!$M$2:$M$20765,"Electrical"),0)</f>
        <v>0</v>
      </c>
      <c r="AO37" s="86">
        <f>IFERROR(VLOOKUP(AI37,Emp.Lookup!$A$1:$E$40,5,0),0)</f>
        <v>0</v>
      </c>
      <c r="AP37" s="85">
        <f>IFERROR(SUMIFS('Inventory Lookup'!$D$2:$D$20765,'Inventory Lookup'!$O$2:$O$20765,'Calculated Fields'!$AI37,'Inventory Lookup'!$M$2:$M$20765,"Drive Train"),"")</f>
        <v>0</v>
      </c>
      <c r="AQ37" s="85">
        <f>IFERROR(SUMIFS('Inventory Lookup'!$D$2:$D$20765,'Inventory Lookup'!$O$2:$O$20765,'Calculated Fields'!$AI37,'Inventory Lookup'!$M$2:$M$20765,"Body Parts"),"")</f>
        <v>0</v>
      </c>
      <c r="AR37" s="85">
        <f>IFERROR(SUMIFS('Inventory Lookup'!$D$2:$D$20765,'Inventory Lookup'!$O$2:$O$20765,'Calculated Fields'!$AI37,'Inventory Lookup'!$M$2:$M$20765,"Suspension"),"")</f>
        <v>0</v>
      </c>
      <c r="AS37" s="85">
        <f>IFERROR(SUMIFS('Inventory Lookup'!$D$2:$D$20765,'Inventory Lookup'!$O$2:$O$20765,'Calculated Fields'!$AI37,'Inventory Lookup'!$M$2:$M$20765,"Electrical"),"")</f>
        <v>0</v>
      </c>
      <c r="AT37" s="85">
        <f>IFERROR(SUMIFS('Inventory Lookup'!$D$2:$D$20765,'Inventory Lookup'!$O$2:$O$20765,'Calculated Fields'!$AI37,'Inventory Lookup'!$M$2:$M$20765,"Other"),"")</f>
        <v>0</v>
      </c>
      <c r="AU37" s="85">
        <f>IFERROR(SUMIFS('Inventory Lookup'!$E$2:$E$20765,'Inventory Lookup'!$O$2:$O$20765,#REF!,'Inventory Lookup'!$M$2:$M$20765,"Drive Train"),"")</f>
        <v>0</v>
      </c>
      <c r="AV37" s="85">
        <f>IFERROR(SUMIFS('Inventory Lookup'!$E$2:$E$20765,'Inventory Lookup'!$O$2:$O$20765,#REF!,'Inventory Lookup'!$M$2:$M$20765,"Body Parts"),"")</f>
        <v>0</v>
      </c>
      <c r="AW37" s="85">
        <f>IFERROR(SUMIFS('Inventory Lookup'!$E$2:$E$20765,'Inventory Lookup'!$O$2:$O$20765,#REF!,'Inventory Lookup'!$M$2:$M$20765,"Suspension"),"")</f>
        <v>0</v>
      </c>
      <c r="AX37" s="85">
        <f>IFERROR(SUMIFS('Inventory Lookup'!$E$2:$E$20765,'Inventory Lookup'!$O$2:$O$20765,#REF!,'Inventory Lookup'!$M$2:$M$20765,"Electrical"),"")</f>
        <v>0</v>
      </c>
      <c r="AY37" s="85">
        <f>IFERROR(SUMIFS('Inventory Lookup'!$E$2:$E$20765,'Inventory Lookup'!$O$2:$O$20765,#REF!,'Inventory Lookup'!$M$2:$M$20765,"Other"),"")</f>
        <v>0</v>
      </c>
      <c r="AZ37" s="78"/>
      <c r="BA37" s="89" t="s">
        <v>99</v>
      </c>
      <c r="BB37" s="91">
        <v>0</v>
      </c>
      <c r="BC37" s="85">
        <f t="shared" ref="BC37:BC38" ca="1" si="50">SUBTOTAL(9,BB37,BH37,BM37,BN37,BP37)</f>
        <v>0</v>
      </c>
      <c r="BD37" s="92">
        <f ca="1">IFERROR(BC37/'Calculated Fields'!$W37,0)</f>
        <v>0</v>
      </c>
      <c r="BE37" s="92">
        <f ca="1">IFERROR('Calculated Fields'!$C37/BC37,0)</f>
        <v>0</v>
      </c>
      <c r="BF37" s="93"/>
      <c r="BG37" s="93"/>
      <c r="BH37" s="85">
        <f t="array" aca="1" ref="BH37" ca="1">IFERROR(INDEX('Agent Activity'!$AC$5:$AD$51,MATCH('Calculated Fields'!$BA37,'Agent Activity'!$AB$5:$AB$51,0),1),0)</f>
        <v>0</v>
      </c>
      <c r="BI37" s="93"/>
      <c r="BJ37" s="93"/>
      <c r="BK37" s="94">
        <f t="array" aca="1" ref="BK37" ca="1">IFERROR(INDEX('Agent Activity'!$AC$5:$AD$51,MATCH('Calculated Fields'!$BA37,'Agent Activity'!$AB$5:AB$51,0),2),0)</f>
        <v>0</v>
      </c>
      <c r="BL37" s="93"/>
      <c r="BM37" s="85">
        <f>SUMIF('RingCentral - Office'!$A$2:$A$482,$BA37,'RingCentral - Office'!$E$2:$E$482)</f>
        <v>0</v>
      </c>
      <c r="BN37" s="85">
        <f>SUMIF('RingCentral - Office'!$A$2:$A$482,$BA37,'RingCentral - Office'!$F$2:$F$482)</f>
        <v>0</v>
      </c>
      <c r="BO37" s="87">
        <f t="shared" ref="BO37:BO38" si="51">IFERROR(BP37/BM37,0)</f>
        <v>0</v>
      </c>
      <c r="BP37" s="85">
        <f>-SUMIF('RingCentral - Office'!$A$2:$A$482,$BA37,'RingCentral - Office'!$H$2:$H$482)</f>
        <v>0</v>
      </c>
      <c r="BQ37" s="94">
        <f>SUMIF('RingCentral - Office'!$A$2:$A$482,$BA37,'RingCentral - Office'!$I$2:$I$482)</f>
        <v>0</v>
      </c>
      <c r="BR37" s="85">
        <f>_xlfn.IFNA(INDEX(Audits!$B$2:$E$19,MATCH($BA37,Audits!$A$2:$A$19,0),MATCH('Calculated Fields'!BR$2,Audits!$B$1:$E$1,0)),0)</f>
        <v>0</v>
      </c>
      <c r="BS37" s="88" t="s">
        <v>1058</v>
      </c>
      <c r="BT37" s="88" t="s">
        <v>1058</v>
      </c>
      <c r="BU37" s="160" t="s">
        <v>1058</v>
      </c>
      <c r="BV37" s="85">
        <f>_xlfn.IFNA(INDEX(Audits!$B$2:$E$19,MATCH($BA37,Audits!$A$2:$A$19,0),MATCH('Calculated Fields'!BV$2,Audits!$B$1:$E$1,0)),0)</f>
        <v>0</v>
      </c>
      <c r="BW37" s="88" t="s">
        <v>1058</v>
      </c>
      <c r="BX37" s="88" t="s">
        <v>1058</v>
      </c>
      <c r="BY37" s="88" t="s">
        <v>1058</v>
      </c>
      <c r="BZ37" s="88" t="s">
        <v>1058</v>
      </c>
      <c r="CA37" s="88" t="s">
        <v>1058</v>
      </c>
      <c r="CB37" s="88" t="s">
        <v>1058</v>
      </c>
      <c r="CC37" s="88" t="s">
        <v>1058</v>
      </c>
      <c r="CD37" s="88" t="s">
        <v>1058</v>
      </c>
      <c r="CE37" s="88" t="s">
        <v>1058</v>
      </c>
      <c r="CF37" s="88" t="s">
        <v>1058</v>
      </c>
      <c r="CG37" s="3"/>
      <c r="CH37" s="3"/>
      <c r="CI37" s="3"/>
      <c r="CJ37" s="3"/>
      <c r="CK37" s="3"/>
      <c r="CL37" s="3"/>
      <c r="CM37" s="3"/>
      <c r="CN37" s="3"/>
    </row>
    <row r="38" spans="1:92" ht="14.4">
      <c r="A38" s="78"/>
      <c r="B38" s="97"/>
      <c r="C38" s="85">
        <f>SUMIF('Sales  Returns'!$C$1:$C$19998,'Calculated Fields'!B38,'Sales  Returns'!$D$1:$D$19998)</f>
        <v>0</v>
      </c>
      <c r="D38" s="85">
        <f t="shared" si="42"/>
        <v>0</v>
      </c>
      <c r="E38" s="85">
        <f t="shared" si="43"/>
        <v>0</v>
      </c>
      <c r="F38" s="85">
        <f>SUMIF('Y2Y sales'!$J$2:$J$2000,'Calculated Fields'!$B38,'Y2Y sales'!$G$2:$G$2000)</f>
        <v>0</v>
      </c>
      <c r="G38" s="85">
        <f t="shared" si="44"/>
        <v>0</v>
      </c>
      <c r="H38" s="85">
        <f>SUMIF('Sales  Returns'!$C$1:$C$19998,'Calculated Fields'!B38,'Sales  Returns'!$G$1:$G$19998)</f>
        <v>0</v>
      </c>
      <c r="I38" s="85">
        <f>SUMIF('Sales  Returns'!$C$1:$C$19998,'Calculated Fields'!B38,'Sales  Returns'!$J$1:$J$19998)</f>
        <v>0</v>
      </c>
      <c r="J38" s="85">
        <f>SUMIF('Sales  Returns'!$C$1:$C$19998,'Calculated Fields'!B38,'Sales  Returns'!$K$1:$K$19998)</f>
        <v>0</v>
      </c>
      <c r="K38" s="86">
        <f t="shared" si="45"/>
        <v>0</v>
      </c>
      <c r="L38" s="85">
        <f>SUMIF('Sales  Returns'!$C$1:$C$19998,'Calculated Fields'!B38,'Sales  Returns'!$O$1:$O$19998)</f>
        <v>0</v>
      </c>
      <c r="M38" s="87">
        <f t="shared" si="46"/>
        <v>0</v>
      </c>
      <c r="N38" s="85">
        <f>SUMIF('Sales  Returns'!$C$1:$C$19998,'Calculated Fields'!B38,'Sales  Returns'!$P$1:$P$19998)</f>
        <v>0</v>
      </c>
      <c r="O38" s="85">
        <f>SUMIF('Sales  Returns'!$C$1:$C$19998,'Calculated Fields'!B38,'Sales  Returns'!$F$1:$F$19998)</f>
        <v>0</v>
      </c>
      <c r="P38" s="85">
        <f>SUMIF('Sales  Returns'!$C$1:$C$19998,'Calculated Fields'!B38,'Sales  Returns'!$T$1:$T$19998)</f>
        <v>0</v>
      </c>
      <c r="Q38" s="85">
        <f>SUMIF('Sales  Returns'!$C$1:$C$19998,'Calculated Fields'!B38,'Sales  Returns'!$E$1:$E$19998)</f>
        <v>0</v>
      </c>
      <c r="R38" s="85">
        <f>SUMIF('Sales  Returns'!$C$1:$C$19998,'Calculated Fields'!B38,'Sales  Returns'!$R$1:$R$19998)</f>
        <v>0</v>
      </c>
      <c r="S38" s="85">
        <f>SUMIF('Sales  Returns'!$C$1:$C$19998,'Calculated Fields'!B38,'Sales  Returns'!$Q$1:$Q$19998)</f>
        <v>0</v>
      </c>
      <c r="T38" s="85">
        <f>-COUNTIFS('Sales  Returns'!$C$1:$C$19998,'Calculated Fields'!$B38, 'Sales  Returns'!$B$1:$B$19998,'Calculated Fields'!$T$2)</f>
        <v>0</v>
      </c>
      <c r="U38" s="85">
        <f>SUMIFS('Sales  Returns'!$D$1:$D$19998,'Sales  Returns'!$C$1:$C$19998,'Calculated Fields'!$B38,'Sales  Returns'!$B$1:$B$19998,'Calculated Fields'!$T$2)</f>
        <v>0</v>
      </c>
      <c r="V38" s="86">
        <f t="shared" si="47"/>
        <v>0</v>
      </c>
      <c r="W38" s="85">
        <f>COUNTIFS('Sales  Returns'!$C$1:$C$19998,'Calculated Fields'!$B38, 'Sales  Returns'!$B$1:$B$19998,"Sales")</f>
        <v>0</v>
      </c>
      <c r="X38" s="188">
        <v>0</v>
      </c>
      <c r="Y38" s="85">
        <f>SUMIF('Sales  Returns'!$C$1:$C$19998,'Calculated Fields'!$B38,'Sales  Returns'!$H$1:$H$19998)</f>
        <v>0</v>
      </c>
      <c r="Z38" s="85">
        <f>SUMIF('Sales  Returns'!$C$1:$C$19998,'Calculated Fields'!$B38,'Sales  Returns'!$I$1:$I$19998)</f>
        <v>0</v>
      </c>
      <c r="AA38" s="86">
        <f t="shared" si="48"/>
        <v>0</v>
      </c>
      <c r="AB38" s="85">
        <f>SUMIF('Sales  Returns'!$C$1:$C$19998,'Calculated Fields'!$B38,'Sales  Returns'!$M$1:$M$19998)</f>
        <v>0</v>
      </c>
      <c r="AC38" s="85">
        <f>SUMIF('Sales  Returns'!$C$1:$C$19998,'Calculated Fields'!$B38,'Sales  Returns'!$N$1:$N$19998)</f>
        <v>0</v>
      </c>
      <c r="AD38" s="86">
        <f t="shared" si="49"/>
        <v>0</v>
      </c>
      <c r="AE38" s="88" t="s">
        <v>1058</v>
      </c>
      <c r="AF38" s="85">
        <f>SUMIF('WO &amp; Quote'!$S:$S,TRIM('Calculated Fields'!$B38),'WO &amp; Quote'!$I:$I)</f>
        <v>0</v>
      </c>
      <c r="AG38" s="85">
        <f>SUMIF('WO &amp; Quote'!$S:$S,TRIM('Calculated Fields'!$B38),'WO &amp; Quote'!$J:$J) + SUMIF('WO &amp; Quote'!$S:$S,TRIM('Calculated Fields'!$B38),'WO &amp; Quote'!$K:$K)</f>
        <v>0</v>
      </c>
      <c r="AH38" s="78"/>
      <c r="AI38" s="97"/>
      <c r="AJ38" s="90">
        <f>IFERROR(SUMIF('Inventory Lookup'!$O$2:$O$20765,#REF!,'Inventory Lookup'!$E$2:$E$20765)/SUMIF('Inventory Lookup'!$O$2:$O$20765,#REF!,'Inventory Lookup'!$D$2:$D$20765),0)</f>
        <v>0</v>
      </c>
      <c r="AK38" s="90">
        <f>IFERROR(AU38/SUMIFS('Inventory Lookup'!$D$2:$D$20765,'Inventory Lookup'!$O$2:$O$20765,#REF!,'Inventory Lookup'!$M$2:$M$20765,"Drive Train"),0)</f>
        <v>0</v>
      </c>
      <c r="AL38" s="90">
        <f>IFERROR(AV38/SUMIFS('Inventory Lookup'!$D$2:$D$20765,'Inventory Lookup'!$O$2:$O$20765,#REF!,'Inventory Lookup'!$M$2:$M$20765,"Body Parts"),0)</f>
        <v>0</v>
      </c>
      <c r="AM38" s="90">
        <f>IFERROR(AW38/SUMIFS('Inventory Lookup'!$D$2:$D$20765,'Inventory Lookup'!$O$2:$O$20765,#REF!,'Inventory Lookup'!$M$2:$M$20765,"Suspension"),0)</f>
        <v>0</v>
      </c>
      <c r="AN38" s="90">
        <f>IFERROR(AX38/SUMIFS('Inventory Lookup'!$D$2:$D$20765,'Inventory Lookup'!$O$2:$O$20765,#REF!,'Inventory Lookup'!$M$2:$M$20765,"Electrical"),0)</f>
        <v>0</v>
      </c>
      <c r="AO38" s="86">
        <f>IFERROR(VLOOKUP(AI38,Emp.Lookup!$A$1:$E$40,5,0),0)</f>
        <v>0</v>
      </c>
      <c r="AP38" s="85">
        <f>IFERROR(SUMIFS('Inventory Lookup'!$D$2:$D$20765,'Inventory Lookup'!$O$2:$O$20765,'Calculated Fields'!$AI38,'Inventory Lookup'!$M$2:$M$20765,"Drive Train"),"")</f>
        <v>0</v>
      </c>
      <c r="AQ38" s="85">
        <f>IFERROR(SUMIFS('Inventory Lookup'!$D$2:$D$20765,'Inventory Lookup'!$O$2:$O$20765,'Calculated Fields'!$AI38,'Inventory Lookup'!$M$2:$M$20765,"Body Parts"),"")</f>
        <v>0</v>
      </c>
      <c r="AR38" s="85">
        <f>IFERROR(SUMIFS('Inventory Lookup'!$D$2:$D$20765,'Inventory Lookup'!$O$2:$O$20765,'Calculated Fields'!$AI38,'Inventory Lookup'!$M$2:$M$20765,"Suspension"),"")</f>
        <v>0</v>
      </c>
      <c r="AS38" s="85">
        <f>IFERROR(SUMIFS('Inventory Lookup'!$D$2:$D$20765,'Inventory Lookup'!$O$2:$O$20765,'Calculated Fields'!$AI38,'Inventory Lookup'!$M$2:$M$20765,"Electrical"),"")</f>
        <v>0</v>
      </c>
      <c r="AT38" s="85">
        <f>IFERROR(SUMIFS('Inventory Lookup'!$D$2:$D$20765,'Inventory Lookup'!$O$2:$O$20765,'Calculated Fields'!$AI38,'Inventory Lookup'!$M$2:$M$20765,"Other"),"")</f>
        <v>0</v>
      </c>
      <c r="AU38" s="85">
        <f>IFERROR(SUMIFS('Inventory Lookup'!$E$2:$E$20765,'Inventory Lookup'!$O$2:$O$20765,#REF!,'Inventory Lookup'!$M$2:$M$20765,"Drive Train"),"")</f>
        <v>0</v>
      </c>
      <c r="AV38" s="85">
        <f>IFERROR(SUMIFS('Inventory Lookup'!$E$2:$E$20765,'Inventory Lookup'!$O$2:$O$20765,#REF!,'Inventory Lookup'!$M$2:$M$20765,"Body Parts"),"")</f>
        <v>0</v>
      </c>
      <c r="AW38" s="85">
        <f>IFERROR(SUMIFS('Inventory Lookup'!$E$2:$E$20765,'Inventory Lookup'!$O$2:$O$20765,#REF!,'Inventory Lookup'!$M$2:$M$20765,"Suspension"),"")</f>
        <v>0</v>
      </c>
      <c r="AX38" s="85">
        <f>IFERROR(SUMIFS('Inventory Lookup'!$E$2:$E$20765,'Inventory Lookup'!$O$2:$O$20765,#REF!,'Inventory Lookup'!$M$2:$M$20765,"Electrical"),"")</f>
        <v>0</v>
      </c>
      <c r="AY38" s="85">
        <f>IFERROR(SUMIFS('Inventory Lookup'!$E$2:$E$20765,'Inventory Lookup'!$O$2:$O$20765,#REF!,'Inventory Lookup'!$M$2:$M$20765,"Other"),"")</f>
        <v>0</v>
      </c>
      <c r="AZ38" s="78"/>
      <c r="BA38" s="97"/>
      <c r="BB38" s="91">
        <v>0</v>
      </c>
      <c r="BC38" s="85">
        <f t="shared" ca="1" si="50"/>
        <v>0</v>
      </c>
      <c r="BD38" s="92">
        <f ca="1">IFERROR(BC38/'Calculated Fields'!$W38,0)</f>
        <v>0</v>
      </c>
      <c r="BE38" s="92">
        <f ca="1">IFERROR('Calculated Fields'!$C38/BC38,0)</f>
        <v>0</v>
      </c>
      <c r="BF38" s="93"/>
      <c r="BG38" s="93"/>
      <c r="BH38" s="85">
        <f t="array" aca="1" ref="BH38" ca="1">IFERROR(INDEX('Agent Activity'!$AC$5:$AD$51,MATCH('Calculated Fields'!$BA38,'Agent Activity'!$AB$5:$AB$51,0),1),0)</f>
        <v>0</v>
      </c>
      <c r="BI38" s="93"/>
      <c r="BJ38" s="93"/>
      <c r="BK38" s="94">
        <f t="array" aca="1" ref="BK38" ca="1">IFERROR(INDEX('Agent Activity'!$AC$5:$AD$51,MATCH('Calculated Fields'!$BA38,'Agent Activity'!$AB$5:AB$51,0),2),0)</f>
        <v>0</v>
      </c>
      <c r="BL38" s="93"/>
      <c r="BM38" s="85">
        <f>SUMIF('RingCentral - Office'!$A$2:$A$482,$BA38,'RingCentral - Office'!$E$2:$E$482)</f>
        <v>0</v>
      </c>
      <c r="BN38" s="85">
        <f>SUMIF('RingCentral - Office'!$A$2:$A$482,$BA38,'RingCentral - Office'!$F$2:$F$482)</f>
        <v>0</v>
      </c>
      <c r="BO38" s="87">
        <f t="shared" si="51"/>
        <v>0</v>
      </c>
      <c r="BP38" s="85">
        <f>-SUMIF('RingCentral - Office'!$A$2:$A$482,$BA38,'RingCentral - Office'!$H$2:$H$482)</f>
        <v>0</v>
      </c>
      <c r="BQ38" s="94">
        <f>SUMIF('RingCentral - Office'!$A$2:$A$482,$BA38,'RingCentral - Office'!$I$2:$I$482)</f>
        <v>0</v>
      </c>
      <c r="BR38" s="85">
        <f>_xlfn.IFNA(INDEX(Audits!$B$2:$E$19,MATCH($BA38,Audits!$A$2:$A$19,0),MATCH('Calculated Fields'!BR$2,Audits!$B$1:$E$1,0)),0)</f>
        <v>0</v>
      </c>
      <c r="BS38" s="88" t="s">
        <v>1058</v>
      </c>
      <c r="BT38" s="88" t="s">
        <v>1058</v>
      </c>
      <c r="BU38" s="160" t="s">
        <v>1058</v>
      </c>
      <c r="BV38" s="85">
        <f>_xlfn.IFNA(INDEX(Audits!$B$2:$E$19,MATCH($BA38,Audits!$A$2:$A$19,0),MATCH('Calculated Fields'!BV$2,Audits!$B$1:$E$1,0)),0)</f>
        <v>0</v>
      </c>
      <c r="BW38" s="88" t="s">
        <v>1058</v>
      </c>
      <c r="BX38" s="88" t="s">
        <v>1058</v>
      </c>
      <c r="BY38" s="88" t="s">
        <v>1058</v>
      </c>
      <c r="BZ38" s="88" t="s">
        <v>1058</v>
      </c>
      <c r="CA38" s="88" t="s">
        <v>1058</v>
      </c>
      <c r="CB38" s="88" t="s">
        <v>1058</v>
      </c>
      <c r="CC38" s="88" t="s">
        <v>1058</v>
      </c>
      <c r="CD38" s="88" t="s">
        <v>1058</v>
      </c>
      <c r="CE38" s="88" t="s">
        <v>1058</v>
      </c>
      <c r="CF38" s="88" t="s">
        <v>1058</v>
      </c>
      <c r="CG38" s="3"/>
      <c r="CH38" s="3"/>
      <c r="CI38" s="3"/>
      <c r="CJ38" s="3"/>
      <c r="CK38" s="3"/>
      <c r="CL38" s="3"/>
      <c r="CM38" s="3"/>
      <c r="CN38" s="3"/>
    </row>
    <row r="39" spans="1:92" ht="14.4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100"/>
      <c r="L39" s="78"/>
      <c r="M39" s="101"/>
      <c r="N39" s="78"/>
      <c r="O39" s="78"/>
      <c r="P39" s="78"/>
      <c r="Q39" s="78"/>
      <c r="R39" s="78"/>
      <c r="S39" s="78"/>
      <c r="T39" s="78"/>
      <c r="U39" s="78"/>
      <c r="V39" s="100"/>
      <c r="W39" s="78"/>
      <c r="X39" s="53"/>
      <c r="Y39" s="78"/>
      <c r="Z39" s="78"/>
      <c r="AA39" s="100"/>
      <c r="AB39" s="78"/>
      <c r="AC39" s="78"/>
      <c r="AD39" s="100"/>
      <c r="AE39" s="78"/>
      <c r="AF39" s="78"/>
      <c r="AG39" s="78"/>
      <c r="AH39" s="78"/>
      <c r="AI39" s="78"/>
      <c r="AJ39" s="80"/>
      <c r="AK39" s="80"/>
      <c r="AL39" s="80"/>
      <c r="AM39" s="80"/>
      <c r="AN39" s="80"/>
      <c r="AO39" s="80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99"/>
      <c r="BE39" s="99"/>
      <c r="BF39" s="78"/>
      <c r="BG39" s="78"/>
      <c r="BH39" s="78"/>
      <c r="BI39" s="78"/>
      <c r="BJ39" s="78"/>
      <c r="BK39" s="102"/>
      <c r="BL39" s="78"/>
      <c r="BM39" s="78"/>
      <c r="BN39" s="78"/>
      <c r="BO39" s="101"/>
      <c r="BP39" s="78"/>
      <c r="BQ39" s="102"/>
      <c r="BR39" s="161"/>
      <c r="BS39" s="161"/>
      <c r="BT39" s="161"/>
      <c r="BU39" s="162"/>
      <c r="BV39" s="163"/>
      <c r="BW39" s="163"/>
      <c r="BX39" s="163"/>
      <c r="BY39" s="163"/>
      <c r="BZ39" s="163"/>
      <c r="CA39" s="163"/>
      <c r="CB39" s="161"/>
      <c r="CC39" s="161"/>
      <c r="CD39" s="161"/>
      <c r="CE39" s="161"/>
      <c r="CF39" s="161"/>
      <c r="CG39" s="3"/>
      <c r="CH39" s="3"/>
      <c r="CI39" s="3"/>
      <c r="CJ39" s="3"/>
      <c r="CK39" s="3"/>
      <c r="CL39" s="3"/>
      <c r="CM39" s="3"/>
      <c r="CN39" s="3"/>
    </row>
    <row r="40" spans="1:92" ht="14.4">
      <c r="A40" s="78"/>
      <c r="B40" s="81" t="s">
        <v>1063</v>
      </c>
      <c r="C40" s="82" t="s">
        <v>994</v>
      </c>
      <c r="D40" s="82" t="s">
        <v>995</v>
      </c>
      <c r="E40" s="82" t="s">
        <v>996</v>
      </c>
      <c r="F40" s="82" t="s">
        <v>997</v>
      </c>
      <c r="G40" s="82" t="s">
        <v>998</v>
      </c>
      <c r="H40" s="82" t="s">
        <v>999</v>
      </c>
      <c r="I40" s="82" t="s">
        <v>1000</v>
      </c>
      <c r="J40" s="82" t="s">
        <v>75</v>
      </c>
      <c r="K40" s="82" t="s">
        <v>1001</v>
      </c>
      <c r="L40" s="82" t="s">
        <v>1002</v>
      </c>
      <c r="M40" s="82" t="s">
        <v>1003</v>
      </c>
      <c r="N40" s="82" t="s">
        <v>80</v>
      </c>
      <c r="O40" s="82" t="s">
        <v>70</v>
      </c>
      <c r="P40" s="82" t="s">
        <v>84</v>
      </c>
      <c r="Q40" s="82" t="s">
        <v>69</v>
      </c>
      <c r="R40" s="82" t="s">
        <v>82</v>
      </c>
      <c r="S40" s="82" t="s">
        <v>1004</v>
      </c>
      <c r="T40" s="82" t="s">
        <v>104</v>
      </c>
      <c r="U40" s="82" t="s">
        <v>1005</v>
      </c>
      <c r="V40" s="82" t="s">
        <v>1006</v>
      </c>
      <c r="W40" s="82" t="s">
        <v>1007</v>
      </c>
      <c r="X40" s="82" t="s">
        <v>1008</v>
      </c>
      <c r="Y40" s="82" t="s">
        <v>72</v>
      </c>
      <c r="Z40" s="82" t="s">
        <v>1009</v>
      </c>
      <c r="AA40" s="82" t="s">
        <v>1010</v>
      </c>
      <c r="AB40" s="82" t="s">
        <v>77</v>
      </c>
      <c r="AC40" s="82" t="s">
        <v>1011</v>
      </c>
      <c r="AD40" s="82" t="s">
        <v>1012</v>
      </c>
      <c r="AE40" s="82" t="s">
        <v>1013</v>
      </c>
      <c r="AF40" s="82" t="s">
        <v>1014</v>
      </c>
      <c r="AG40" s="82" t="s">
        <v>1015</v>
      </c>
      <c r="AH40" s="78"/>
      <c r="AI40" s="103" t="s">
        <v>1064</v>
      </c>
      <c r="AJ40" s="104" t="s">
        <v>1016</v>
      </c>
      <c r="AK40" s="104" t="s">
        <v>1017</v>
      </c>
      <c r="AL40" s="104" t="s">
        <v>1018</v>
      </c>
      <c r="AM40" s="104" t="s">
        <v>1019</v>
      </c>
      <c r="AN40" s="104" t="s">
        <v>1020</v>
      </c>
      <c r="AO40" s="83" t="s">
        <v>1021</v>
      </c>
      <c r="AP40" s="82" t="s">
        <v>1022</v>
      </c>
      <c r="AQ40" s="82" t="s">
        <v>1023</v>
      </c>
      <c r="AR40" s="82" t="s">
        <v>1024</v>
      </c>
      <c r="AS40" s="82" t="s">
        <v>1025</v>
      </c>
      <c r="AT40" s="82" t="s">
        <v>1026</v>
      </c>
      <c r="AU40" s="104" t="s">
        <v>1027</v>
      </c>
      <c r="AV40" s="104" t="s">
        <v>1028</v>
      </c>
      <c r="AW40" s="104" t="s">
        <v>1029</v>
      </c>
      <c r="AX40" s="104" t="s">
        <v>1030</v>
      </c>
      <c r="AY40" s="104" t="s">
        <v>1031</v>
      </c>
      <c r="AZ40" s="78"/>
      <c r="BA40" s="103" t="s">
        <v>1064</v>
      </c>
      <c r="BB40" s="104" t="s">
        <v>1032</v>
      </c>
      <c r="BC40" s="104" t="s">
        <v>1033</v>
      </c>
      <c r="BD40" s="104" t="s">
        <v>1034</v>
      </c>
      <c r="BE40" s="104" t="s">
        <v>1035</v>
      </c>
      <c r="BF40" s="104" t="s">
        <v>1036</v>
      </c>
      <c r="BG40" s="104" t="s">
        <v>1037</v>
      </c>
      <c r="BH40" s="104" t="s">
        <v>1059</v>
      </c>
      <c r="BI40" s="104" t="s">
        <v>1039</v>
      </c>
      <c r="BJ40" s="104" t="s">
        <v>1040</v>
      </c>
      <c r="BK40" s="104" t="s">
        <v>1041</v>
      </c>
      <c r="BL40" s="104" t="s">
        <v>1042</v>
      </c>
      <c r="BM40" s="104" t="s">
        <v>1043</v>
      </c>
      <c r="BN40" s="104" t="s">
        <v>1044</v>
      </c>
      <c r="BO40" s="104" t="s">
        <v>1045</v>
      </c>
      <c r="BP40" s="104" t="s">
        <v>1046</v>
      </c>
      <c r="BQ40" s="104" t="s">
        <v>1047</v>
      </c>
      <c r="BR40" s="82" t="s">
        <v>590</v>
      </c>
      <c r="BS40" s="82" t="s">
        <v>591</v>
      </c>
      <c r="BT40" s="82" t="s">
        <v>592</v>
      </c>
      <c r="BU40" s="159" t="s">
        <v>593</v>
      </c>
      <c r="BV40" s="82" t="s">
        <v>1048</v>
      </c>
      <c r="BW40" s="83" t="s">
        <v>1049</v>
      </c>
      <c r="BX40" s="83" t="s">
        <v>1050</v>
      </c>
      <c r="BY40" s="83" t="s">
        <v>1051</v>
      </c>
      <c r="BZ40" s="83" t="s">
        <v>1052</v>
      </c>
      <c r="CA40" s="83" t="s">
        <v>124</v>
      </c>
      <c r="CB40" s="83" t="s">
        <v>1053</v>
      </c>
      <c r="CC40" s="83" t="s">
        <v>1054</v>
      </c>
      <c r="CD40" s="83" t="s">
        <v>1055</v>
      </c>
      <c r="CE40" s="83" t="s">
        <v>1056</v>
      </c>
      <c r="CF40" s="83" t="s">
        <v>1057</v>
      </c>
      <c r="CG40" s="3"/>
      <c r="CH40" s="3"/>
      <c r="CI40" s="3"/>
      <c r="CJ40" s="3"/>
      <c r="CK40" s="3"/>
      <c r="CL40" s="3"/>
      <c r="CM40" s="3"/>
      <c r="CN40" s="3"/>
    </row>
    <row r="41" spans="1:92" ht="14.4">
      <c r="A41" s="78"/>
      <c r="B41" s="89" t="s">
        <v>31</v>
      </c>
      <c r="C41" s="172">
        <f>SUM(SUMIF('Sales  Returns'!$S$1:$S$19968,"USA Agent",'Sales  Returns'!$D$1:$D$19968))</f>
        <v>40356</v>
      </c>
      <c r="D41" s="172">
        <f t="shared" ref="D41:D45" si="52">H41+I41</f>
        <v>72526.66</v>
      </c>
      <c r="E41" s="172">
        <f t="shared" ref="E41:E45" si="53">H41+J41+L41+N41</f>
        <v>69990.66</v>
      </c>
      <c r="F41" s="172">
        <f t="array" aca="1" ref="F41" ca="1">SUM(SUMIF('Y2Y sales'!$J$2:$J$2000,Agents!$K$2:$K$34,'Y2Y sales'!$G$2:$G$2000))</f>
        <v>12555</v>
      </c>
      <c r="G41" s="172">
        <f t="shared" ref="G41:G45" ca="1" si="54">H41-F41</f>
        <v>56571.66</v>
      </c>
      <c r="H41" s="172">
        <f>SUM(SUMIF('Sales  Returns'!$S$1:$S$19968,"USA Agent",'Sales  Returns'!$G$1:$G$19968))</f>
        <v>69126.66</v>
      </c>
      <c r="I41" s="172">
        <f>SUM(SUMIF('Sales  Returns'!$S$1:$S$19968,"USA Agent",'Sales  Returns'!$J$1:$J$19968))</f>
        <v>3400</v>
      </c>
      <c r="J41" s="172">
        <f>SUM(SUMIF('Sales  Returns'!$S$1:$S$19968,"USA Agent",'Sales  Returns'!$K$1:$K$19968))</f>
        <v>318</v>
      </c>
      <c r="K41" s="173">
        <f t="shared" ref="K41:K46" si="55">IFERROR(J41/I41,0%)</f>
        <v>9.3529411764705889E-2</v>
      </c>
      <c r="L41" s="172">
        <f>SUM(SUMIF('Sales  Returns'!$S$1:$S$19968,"USA Agent",'Sales  Returns'!$O$1:$O$19968))</f>
        <v>500</v>
      </c>
      <c r="M41" s="174">
        <f t="shared" ref="M41:M46" ca="1" si="56">IFERROR(L41/G41,0)</f>
        <v>8.8383476815069584E-3</v>
      </c>
      <c r="N41" s="172">
        <f>SUM(SUMIF('Sales  Returns'!$S$1:$S$19968,"USA Agent",'Sales  Returns'!$P$1:$P$19968))</f>
        <v>46</v>
      </c>
      <c r="O41" s="172">
        <f>SUM(SUMIF('Sales  Returns'!$S$1:$S$19968,"USA Agent",'Sales  Returns'!$F$1:$F$19968))</f>
        <v>1791</v>
      </c>
      <c r="P41" s="172">
        <f>SUM(SUMIF('Sales  Returns'!$S$1:$S$19968,"USA Agent",'Sales  Returns'!$T$1:$T$19968))</f>
        <v>3255</v>
      </c>
      <c r="Q41" s="172">
        <f>SUM(SUMIF('Sales  Returns'!$S$1:$S$19968,"USA Agent",'Sales  Returns'!$E$1:$E$19968))</f>
        <v>6355</v>
      </c>
      <c r="R41" s="172">
        <f>SUM(SUMIF('Sales  Returns'!$S$1:$S$19968,"USA Agent",'Sales  Returns'!$R$1:$R$19968))</f>
        <v>1669</v>
      </c>
      <c r="S41" s="172">
        <f>SUM(SUMIF('Sales  Returns'!$S$1:$S$19968,"USA Agent",'Sales  Returns'!$Q$1:$Q$19968))</f>
        <v>5094</v>
      </c>
      <c r="T41" s="172">
        <f>-COUNTIFS('Sales  Returns'!$S$1:$S$19968,"USA Agent",'Sales  Returns'!$B$1:$B$19968,"Returns")</f>
        <v>-31</v>
      </c>
      <c r="U41" s="172">
        <f>SUMIFS('Sales  Returns'!$D$1:$D$19968,'Sales  Returns'!$S$1:$S$19968,"USA Agent",'Sales  Returns'!$B$1:$B$19968,"Returns")</f>
        <v>-7404</v>
      </c>
      <c r="V41" s="173">
        <f t="shared" ref="V41:V46" si="57">IFERROR(((Z41+AC41)/(Y41+AB41)),0)</f>
        <v>0.21052631578947367</v>
      </c>
      <c r="W41" s="172">
        <f>COUNTIFS('Sales  Returns'!$B$1:$B$19968,"Sales",'Sales  Returns'!$S$1:$S$19968,"USA Agent")</f>
        <v>134</v>
      </c>
      <c r="X41" s="207">
        <v>0</v>
      </c>
      <c r="Y41" s="172">
        <f>SUMIF('Sales  Returns'!$S$1:$S$19968,"USA Agent",'Sales  Returns'!$H$1:$H$19968)</f>
        <v>188</v>
      </c>
      <c r="Z41" s="172">
        <f>SUMIF('Sales  Returns'!$S$1:$S$19968,"USA Agent",'Sales  Returns'!$I$1:$I$19968)</f>
        <v>39</v>
      </c>
      <c r="AA41" s="173">
        <f t="shared" ref="AA41:AA46" si="58">IFERROR(Z41/Y41,0%)</f>
        <v>0.20744680851063829</v>
      </c>
      <c r="AB41" s="172">
        <f>SUMIF('Sales  Returns'!$S$1:$S$19968,"USA Agent",'Sales  Returns'!$M$1:$M$19968)</f>
        <v>2</v>
      </c>
      <c r="AC41" s="172">
        <f>SUMIF('Sales  Returns'!$S$1:$S$19968,"USA Agent",'Sales  Returns'!$N$1:$N$19968)</f>
        <v>1</v>
      </c>
      <c r="AD41" s="173">
        <f t="shared" ref="AD41:AD46" si="59">IFERROR(AC41/AB41,0%)</f>
        <v>0.5</v>
      </c>
      <c r="AE41" s="173">
        <f t="shared" ref="AE41:AE46" si="60">IFERROR(T41/W41,0)</f>
        <v>-0.23134328358208955</v>
      </c>
      <c r="AF41" s="172">
        <f t="array" aca="1" ref="AF41" ca="1">SUM(SUMIF('WO &amp; Quote'!$S:$S,TRIM($B$3:$B$15),'WO &amp; Quote'!$I:$I))</f>
        <v>47569.33</v>
      </c>
      <c r="AG41" s="172">
        <f t="array" aca="1" ref="AG41" ca="1">SUM(SUMIF('WO &amp; Quote'!$S:$S,TRIM($B$3:$B$15),'WO &amp; Quote'!$J:$J)) + SUM(SUMIF('WO &amp; Quote'!$S:$S,TRIM($B$3:$B$15),'WO &amp; Quote'!$K:$K))</f>
        <v>0</v>
      </c>
      <c r="AH41" s="78"/>
      <c r="AI41" s="89" t="s">
        <v>31</v>
      </c>
      <c r="AJ41" s="90">
        <f>IFERROR(SUM(SUMIF('Inventory Lookup'!$N$2:$N$20765,"USA Agent",'Inventory Lookup'!$E$2:$E$20765))/SUM(SUMIF('Inventory Lookup'!$N$2:$N$20765,"USA Agent",'Inventory Lookup'!$D$2:$D$20765)),0)</f>
        <v>0.17101710171017101</v>
      </c>
      <c r="AK41" s="90">
        <f>IFERROR(AU41/SUM(SUMIFS('Inventory Lookup'!$D$2:$D$20765,'Inventory Lookup'!$N$2:$N$20765,"USA Agent",'Inventory Lookup'!$M$2:$M$20765,"Drive Train")),0)</f>
        <v>0.19318181818181818</v>
      </c>
      <c r="AL41" s="90">
        <f>IFERROR(AV41/SUM(SUMIFS('Inventory Lookup'!$D$2:$D$20765,'Inventory Lookup'!$N$2:$N$20765,"USA Agent",'Inventory Lookup'!$M$2:$M$20765,"Body Parts")),0)</f>
        <v>0.11931818181818182</v>
      </c>
      <c r="AM41" s="90">
        <f>IFERROR(AW41/SUM(SUMIFS('Inventory Lookup'!$D$2:$D$20765,'Inventory Lookup'!$N$2:$N$20765,"USA Agent",'Inventory Lookup'!$M$2:$M$20765,"Suspension")),0)</f>
        <v>0.23809523809523808</v>
      </c>
      <c r="AN41" s="90">
        <f>IFERROR(AX41/SUM(SUMIFS('Inventory Lookup'!$D$2:$D$20765,'Inventory Lookup'!$N$2:$N$20765,"USA Agent",'Inventory Lookup'!$M$2:$M$20765,"Electrical")),0)</f>
        <v>0.31818181818181818</v>
      </c>
      <c r="AO41" s="86">
        <f t="array" ref="AO41">SUM(SUMIF(Emp.Lookup!$A:$A,$AI$3:$AI$14,Emp.Lookup!$D:$D))/SUM(SUMIF(Emp.Lookup!$A:$A,$AI$3:$AI$14,Emp.Lookup!$C:$C))</f>
        <v>0.42792792792792794</v>
      </c>
      <c r="AP41" s="85">
        <f>IFERROR(SUMIFS('Inventory Lookup'!$D$2:$D$20765,'Inventory Lookup'!$N$2:$N$20765,"USA Agent",'Inventory Lookup'!$M$2:$M$20765,"Drive Train"),0)</f>
        <v>176</v>
      </c>
      <c r="AQ41" s="85">
        <f>IFERROR(SUMIFS('Inventory Lookup'!$D$2:$D$20765,'Inventory Lookup'!$N$2:$N$20765,"USA Agent",'Inventory Lookup'!$M$2:$M$20765,"Body Parts"),0)</f>
        <v>352</v>
      </c>
      <c r="AR41" s="85">
        <f>IFERROR(SUMIFS('Inventory Lookup'!$D$2:$D$20765,'Inventory Lookup'!$N$2:$N$20765,"USA Agent",'Inventory Lookup'!$M$2:$M$20765,"Suspension"),0)</f>
        <v>63</v>
      </c>
      <c r="AS41" s="85">
        <f>IFERROR(SUMIFS('Inventory Lookup'!$D$2:$D$20765,'Inventory Lookup'!$N$2:$N$20765,"USA Agent",'Inventory Lookup'!$M$2:$M$20765,"Electrical"),0)</f>
        <v>44</v>
      </c>
      <c r="AT41" s="85">
        <f>IFERROR(SUMIFS('Inventory Lookup'!$D$2:$D$20765,'Inventory Lookup'!$N$2:$N$20765,"USA Agent",'Inventory Lookup'!$M$2:$M$20765,"Other"),0)</f>
        <v>476</v>
      </c>
      <c r="AU41" s="85">
        <f>IFERROR(SUMIFS('Inventory Lookup'!$E$2:$E$20765,'Inventory Lookup'!$N$2:$N$20765,"USA Agent",'Inventory Lookup'!$M$2:$M$20765,"Drive Train"),0)</f>
        <v>34</v>
      </c>
      <c r="AV41" s="85">
        <f>IFERROR(SUMIFS('Inventory Lookup'!$E$2:$E$20765,'Inventory Lookup'!$N$2:$N$20765,"USA Agent",'Inventory Lookup'!$M$2:$M$20765,"Body Parts"),0)</f>
        <v>42</v>
      </c>
      <c r="AW41" s="85">
        <f>IFERROR(SUMIFS('Inventory Lookup'!$E$2:$E$20765,'Inventory Lookup'!$N$2:$N$20765,"USA Agent",'Inventory Lookup'!$M$2:$M$20765,"Suspension"),0)</f>
        <v>15</v>
      </c>
      <c r="AX41" s="85">
        <f>IFERROR(SUMIFS('Inventory Lookup'!$E$2:$E$20765,'Inventory Lookup'!$N$2:$N$20765,"USA Agent",'Inventory Lookup'!$M$2:$M$20765,"Electrical"),0)</f>
        <v>14</v>
      </c>
      <c r="AY41" s="85">
        <f>IFERROR(SUMIFS('Inventory Lookup'!$E$2:$E$20765,'Inventory Lookup'!$N$2:$N$20765,"USA Agent",'Inventory Lookup'!$M$2:$M$20765,"Other"),0)</f>
        <v>85</v>
      </c>
      <c r="AZ41" s="78"/>
      <c r="BA41" s="89" t="s">
        <v>31</v>
      </c>
      <c r="BB41" s="85">
        <f>SUM(BB3:BB34)</f>
        <v>42</v>
      </c>
      <c r="BC41" s="85">
        <f t="shared" ref="BC41:BC42" ca="1" si="61">SUBTOTAL(9,BB41,BH41,BM41,BN41,BP41)</f>
        <v>684</v>
      </c>
      <c r="BD41" s="92">
        <f ca="1">BC41/'Calculated Fields'!$W41</f>
        <v>5.1044776119402986</v>
      </c>
      <c r="BE41" s="92">
        <f ca="1">IFERROR('Calculated Fields'!$C41/BC41,0)</f>
        <v>59</v>
      </c>
      <c r="BF41" s="88" t="s">
        <v>1058</v>
      </c>
      <c r="BG41" s="88" t="s">
        <v>1058</v>
      </c>
      <c r="BH41" s="85">
        <f t="array" aca="1" ref="BH41" ca="1">SUM(SUMIF('Agent Activity'!$AB$5:$AB$51,$BA$3:$BA$15,'Agent Activity'!$AC$5:$AC$51))</f>
        <v>185</v>
      </c>
      <c r="BI41" s="88" t="s">
        <v>1058</v>
      </c>
      <c r="BJ41" s="88" t="s">
        <v>1058</v>
      </c>
      <c r="BK41" s="94">
        <f t="array" aca="1" ref="BK41" ca="1">SUM(SUMIF('Agent Activity'!$AB$5:$AB$51,$BA$3:$BA$15,'Agent Activity'!$AD$5:$AD$51))</f>
        <v>0.38856481481481481</v>
      </c>
      <c r="BL41" s="88" t="s">
        <v>1058</v>
      </c>
      <c r="BM41" s="85">
        <f t="array" ref="BM41">SUM(SUMIF('RingCentral - Office'!$A$2:$A$482,$BA$3:$BA$15,'RingCentral - Office'!$E$2:$E$482))</f>
        <v>553</v>
      </c>
      <c r="BN41" s="85">
        <f t="array" ref="BN41">SUM(SUMIF('RingCentral - Office'!$A$2:$A$482,$BA$3:$BA$15,'RingCentral - Office'!$F$2:$F$482))</f>
        <v>137</v>
      </c>
      <c r="BO41" s="87">
        <f t="shared" ref="BO41:BO42" si="62">BP41/BM41</f>
        <v>-0.42133815551537068</v>
      </c>
      <c r="BP41" s="85">
        <f t="array" ref="BP41">-SUM(SUMIF('RingCentral - Office'!$A$2:$A$482,$BA$3:$BA$15,'RingCentral - Office'!$H$2:$H$482))</f>
        <v>-233</v>
      </c>
      <c r="BQ41" s="94">
        <f t="array" ref="BQ41">SUM(SUMIF('RingCentral - Office'!$A$2:$A$482,$BA$3:$BA$15,'RingCentral - Office'!$I$2:$I$482))</f>
        <v>0.82738425925925929</v>
      </c>
      <c r="BR41" s="85">
        <f t="array" aca="1" ref="BR41" ca="1">SUM(SUMIF(Audits!$A$2:$A$29,$B$3:$B$15,Audits!B$2:B$29))</f>
        <v>2</v>
      </c>
      <c r="BS41" s="85">
        <f t="array" aca="1" ref="BS41" ca="1">SUM(SUMIF(Audits!$A$2:$A$29,$B$3:$B$15,Audits!C$2:C$29))</f>
        <v>163</v>
      </c>
      <c r="BT41" s="85">
        <f t="array" aca="1" ref="BT41" ca="1">SUM(SUMIF(Audits!$A$2:$A$29,$B$3:$B$15,Audits!D$2:D$29))</f>
        <v>3</v>
      </c>
      <c r="BU41" s="164">
        <f t="shared" ref="BU41:BU46" ca="1" si="63">IFERROR(BT41/BS41,0)</f>
        <v>1.8404907975460124E-2</v>
      </c>
      <c r="BV41" s="85">
        <f t="array" aca="1" ref="BV41" ca="1">SUM(SUMIF(Audits!$G$2:$G$79,$B$3:$B$15,Audits!K$2:K$79))</f>
        <v>120</v>
      </c>
      <c r="BW41" s="165" cm="1">
        <f t="array" ref="BW41">_xlfn.IFS(E41="","CHECK", E41&lt;=15000,1, E41&lt;=20000,2, E41&lt;=30000,3, E41&lt;=40000,4, E41&gt;40000,5)</f>
        <v>5</v>
      </c>
      <c r="BX41" s="132" cm="1">
        <f t="array" aca="1" ref="BX41" ca="1">_xlfn.IFS(BU41="","", BU41&lt;=60%,1, BU41&lt;=70%,2, BU41&lt;=80%,3, BU41&lt;=90%,4, BU41&gt;90%,5)</f>
        <v>1</v>
      </c>
      <c r="BY41" s="132" cm="1">
        <f t="array" aca="1" ref="BY41" ca="1">_xlfn.IFS(BE41="","", BE41&lt;=60,1, BE41&lt;=70,2, BE41&lt;=80,3, BE41&lt;=90,4, BE41&gt;90,5)</f>
        <v>1</v>
      </c>
      <c r="BZ41" s="92">
        <f ca="1">AVERAGE(BW41:BY41)</f>
        <v>2.3333333333333335</v>
      </c>
      <c r="CA41" s="90" t="str" cm="1">
        <f t="array" aca="1" ref="CA41" ca="1">_xlfn.IFS(BZ41="","CHECK", BZ41&gt;=5,"A", BZ41&gt;=4,"B", BZ41&gt;=3,"C", BZ41&gt;=2,"D", BZ41&gt;=1,"E")</f>
        <v>D</v>
      </c>
      <c r="CB41" s="85">
        <f ca="1">COUNTIF($CA$3:$CA$15,"A")</f>
        <v>0</v>
      </c>
      <c r="CC41" s="85">
        <f ca="1">COUNTIF($CA$3:$CA$15,"B")</f>
        <v>0</v>
      </c>
      <c r="CD41" s="85">
        <f ca="1">COUNTIF($CA$3:$CA$15,"C")</f>
        <v>0</v>
      </c>
      <c r="CE41" s="85">
        <f ca="1">COUNTIF($CA$3:$CA$15,"D")</f>
        <v>5</v>
      </c>
      <c r="CF41" s="85">
        <f ca="1">COUNTIF($CA$3:$CA$15,"E")</f>
        <v>5</v>
      </c>
      <c r="CG41" s="3"/>
      <c r="CH41" s="3"/>
      <c r="CI41" s="3"/>
      <c r="CJ41" s="3"/>
      <c r="CK41" s="3"/>
      <c r="CL41" s="3"/>
      <c r="CM41" s="3"/>
      <c r="CN41" s="3"/>
    </row>
    <row r="42" spans="1:92" ht="14.4">
      <c r="A42" s="78"/>
      <c r="B42" s="89" t="s">
        <v>32</v>
      </c>
      <c r="C42" s="172">
        <f>SUM(SUMIF('Sales  Returns'!$S$1:$S$19968,"INDIA Agent",'Sales  Returns'!$D$1:$D$19968))</f>
        <v>16834</v>
      </c>
      <c r="D42" s="172">
        <f t="shared" si="52"/>
        <v>14306.01</v>
      </c>
      <c r="E42" s="172">
        <f t="shared" si="53"/>
        <v>14756.01</v>
      </c>
      <c r="F42" s="172">
        <f t="array" aca="1" ref="F42" ca="1">SUM(SUMIF('Y2Y sales'!$J$2:$J$2000,Agents!$M$2:$M$34,'Y2Y sales'!$G$2:$G$2000))</f>
        <v>0</v>
      </c>
      <c r="G42" s="172">
        <f t="shared" ca="1" si="54"/>
        <v>14306.01</v>
      </c>
      <c r="H42" s="172">
        <f>SUM(SUMIF('Sales  Returns'!$S$1:$S$19968,"INDIA Agent",'Sales  Returns'!$G$1:$G$19968))</f>
        <v>14306.01</v>
      </c>
      <c r="I42" s="172">
        <f>SUM(SUMIF('Sales  Returns'!$S$1:$S$19968,"INDIA Agent",'Sales  Returns'!$J$1:$J$19968))</f>
        <v>0</v>
      </c>
      <c r="J42" s="172">
        <f>SUM(SUMIF('Sales  Returns'!$S$1:$S$19968,"INDIA Agent",'Sales  Returns'!$K$1:$K$19968))</f>
        <v>0</v>
      </c>
      <c r="K42" s="173">
        <f t="shared" si="55"/>
        <v>0</v>
      </c>
      <c r="L42" s="172">
        <f>SUM(SUMIF('Sales  Returns'!$S$1:$S$19968,"INDIA Agent",'Sales  Returns'!$O$1:$O$19968))</f>
        <v>300</v>
      </c>
      <c r="M42" s="174">
        <f t="shared" ca="1" si="56"/>
        <v>2.0970207626025705E-2</v>
      </c>
      <c r="N42" s="172">
        <f>SUM(SUMIF('Sales  Returns'!$S$1:$S$19968,"INDIA Agent",'Sales  Returns'!$P$1:$P$19968))</f>
        <v>150</v>
      </c>
      <c r="O42" s="172">
        <f>SUM(SUMIF('Sales  Returns'!$S$1:$S$19968,"INDIA Agent",'Sales  Returns'!$F$1:$F$19968))</f>
        <v>177</v>
      </c>
      <c r="P42" s="172">
        <f>SUM(SUMIF('Sales  Returns'!$S$1:$S$19968,"INDIA Agent",'Sales  Returns'!$T$1:$T$19968))</f>
        <v>734</v>
      </c>
      <c r="Q42" s="172">
        <f>SUM(SUMIF('Sales  Returns'!$S$1:$S$19968,"INDIA Agent",'Sales  Returns'!$E$1:$E$19968))</f>
        <v>1305</v>
      </c>
      <c r="R42" s="172">
        <f>SUM(SUMIF('Sales  Returns'!$S$1:$S$19968,"INDIA Agent",'Sales  Returns'!$R$1:$R$19968))</f>
        <v>0</v>
      </c>
      <c r="S42" s="172">
        <f>SUM(SUMIF('Sales  Returns'!$S$1:$S$19968,"INDIA Agent",'Sales  Returns'!$Q$1:$Q$19968))</f>
        <v>896</v>
      </c>
      <c r="T42" s="172">
        <f>-COUNTIFS('Sales  Returns'!$S$1:$S$19968,"INDIA Agent",'Sales  Returns'!$B$1:$B$19968,"Returns")</f>
        <v>-8</v>
      </c>
      <c r="U42" s="172">
        <f>SUMIFS('Sales  Returns'!$D$1:$D$19968,'Sales  Returns'!$S$1:$S$19968,"INDIA Agent",'Sales  Returns'!$B$1:$B$19968,"Returns")</f>
        <v>-1285</v>
      </c>
      <c r="V42" s="173">
        <f t="shared" si="57"/>
        <v>0.16981132075471697</v>
      </c>
      <c r="W42" s="172">
        <f>COUNTIFS('Sales  Returns'!$B$1:$B$19968,"Sales",'Sales  Returns'!$S$1:$S$19968,"INDIA Agent")</f>
        <v>38</v>
      </c>
      <c r="X42" s="207">
        <v>0</v>
      </c>
      <c r="Y42" s="172">
        <f>SUMIF('Sales  Returns'!$S$1:$S$19968,"INDIA Agent",'Sales  Returns'!$H$1:$H$19968)</f>
        <v>53</v>
      </c>
      <c r="Z42" s="172">
        <f>SUMIF('Sales  Returns'!$S$1:$S$19968,"INDIA Agent",'Sales  Returns'!$I$1:$I$19968)</f>
        <v>9</v>
      </c>
      <c r="AA42" s="173">
        <f t="shared" si="58"/>
        <v>0.16981132075471697</v>
      </c>
      <c r="AB42" s="172">
        <f>SUMIF('Sales  Returns'!$S$1:$S$19968,"INDIA Agent",'Sales  Returns'!$M$1:$M$19968)</f>
        <v>0</v>
      </c>
      <c r="AC42" s="172">
        <f>SUMIF('Sales  Returns'!$S$1:$S$19968,"INDIA Agent",'Sales  Returns'!$N$1:$N$19968)</f>
        <v>0</v>
      </c>
      <c r="AD42" s="173">
        <f t="shared" si="59"/>
        <v>0</v>
      </c>
      <c r="AE42" s="173">
        <f t="shared" si="60"/>
        <v>-0.21052631578947367</v>
      </c>
      <c r="AF42" s="172">
        <f t="array" aca="1" ref="AF42" ca="1">SUM(SUMIF('WO &amp; Quote'!$S:$S,TRIM('Calculated Fields'!$B$17:$B$23),'WO &amp; Quote'!$I:$I))</f>
        <v>16825</v>
      </c>
      <c r="AG42" s="172">
        <f t="array" aca="1" ref="AG42" ca="1">SUM(SUMIF('WO &amp; Quote'!$S:$S,TRIM('Calculated Fields'!$B$17:$B$23),'WO &amp; Quote'!$J:$J)) + SUM(SUMIF('WO &amp; Quote'!$S:$S,TRIM('Calculated Fields'!$B$17:$B$23),'WO &amp; Quote'!$K:$K))</f>
        <v>0</v>
      </c>
      <c r="AH42" s="78"/>
      <c r="AI42" s="89" t="s">
        <v>32</v>
      </c>
      <c r="AJ42" s="90">
        <f>IFERROR(SUM(SUMIF('Inventory Lookup'!$N$2:$N$20765,"INDIA Agent",'Inventory Lookup'!$E$2:$E$20765))/SUM(SUMIF('Inventory Lookup'!$N$2:$N$20765,"INDIA Agent",'Inventory Lookup'!$D$2:$D$20765)),0)</f>
        <v>0.15963855421686746</v>
      </c>
      <c r="AK42" s="90">
        <f>IFERROR(AU42/SUM(SUMIFS('Inventory Lookup'!$D$2:$D$20765,'Inventory Lookup'!$N$2:$N$20765,"INDIA Agent",'Inventory Lookup'!$M$2:$M$20765,"Drive Train")),0)</f>
        <v>0.1875</v>
      </c>
      <c r="AL42" s="90">
        <f>IFERROR(AV42/SUM(SUMIFS('Inventory Lookup'!$D$2:$D$20765,'Inventory Lookup'!$N$2:$N$20765,"INDIA Agent",'Inventory Lookup'!$M$2:$M$20765,"Body Parts")),0)</f>
        <v>0.12582781456953643</v>
      </c>
      <c r="AM42" s="90">
        <f>IFERROR(AW42/SUM(SUMIFS('Inventory Lookup'!$D$2:$D$20765,'Inventory Lookup'!$N$2:$N$20765,"INDIA Agent",'Inventory Lookup'!$M$2:$M$20765,"Suspension")),0)</f>
        <v>0.2</v>
      </c>
      <c r="AN42" s="90">
        <f>IFERROR(AX42/SUM(SUMIFS('Inventory Lookup'!$D$2:$D$20765,'Inventory Lookup'!$N$2:$N$20765,"INDIA Agent",'Inventory Lookup'!$M$2:$M$20765,"Electrical")),0)</f>
        <v>4.1666666666666664E-2</v>
      </c>
      <c r="AO42" s="86">
        <f t="array" ref="AO42">SUM(SUMIF(Emp.Lookup!$A:$A,$AI$17:$AI$22,Emp.Lookup!$D:$D))/SUM(SUMIF(Emp.Lookup!$A:$A,$AI$17:$AI$22,Emp.Lookup!$C:$C))</f>
        <v>0.29775280898876405</v>
      </c>
      <c r="AP42" s="85">
        <f>IFERROR(SUMIFS('Inventory Lookup'!$D$2:$D$20765,'Inventory Lookup'!$N$2:$N$20765,"INDIA Agent",'Inventory Lookup'!$M$2:$M$20765,"Drive Train"),0)</f>
        <v>32</v>
      </c>
      <c r="AQ42" s="85">
        <f>IFERROR(SUMIFS('Inventory Lookup'!$D$2:$D$20765,'Inventory Lookup'!$N$2:$N$20765,"INDIA Agent",'Inventory Lookup'!$M$2:$M$20765,"Body Parts"),0)</f>
        <v>151</v>
      </c>
      <c r="AR42" s="85">
        <f>IFERROR(SUMIFS('Inventory Lookup'!$D$2:$D$20765,'Inventory Lookup'!$N$2:$N$20765,"INDIA Agent",'Inventory Lookup'!$M$2:$M$20765,"Suspension"),0)</f>
        <v>20</v>
      </c>
      <c r="AS42" s="85">
        <f>IFERROR(SUMIFS('Inventory Lookup'!$D$2:$D$20765,'Inventory Lookup'!$N$2:$N$20765,"INDIA Agent",'Inventory Lookup'!$M$2:$M$20765,"Electrical"),0)</f>
        <v>24</v>
      </c>
      <c r="AT42" s="85">
        <f>IFERROR(SUMIFS('Inventory Lookup'!$D$2:$D$20765,'Inventory Lookup'!$N$2:$N$20765,"INDIA Agent",'Inventory Lookup'!$M$2:$M$20765,"Other"),0)</f>
        <v>105</v>
      </c>
      <c r="AU42" s="85">
        <f>IFERROR(SUMIFS('Inventory Lookup'!$E$2:$E$20765,'Inventory Lookup'!$N$2:$N$20765,"INDIA Agent",'Inventory Lookup'!$M$2:$M$20765,"Drive Train"),0)</f>
        <v>6</v>
      </c>
      <c r="AV42" s="85">
        <f>IFERROR(SUMIFS('Inventory Lookup'!$E$2:$E$20765,'Inventory Lookup'!$N$2:$N$20765,"INDIA Agent",'Inventory Lookup'!$M$2:$M$20765,"Body Parts"),0)</f>
        <v>19</v>
      </c>
      <c r="AW42" s="85">
        <f>IFERROR(SUMIFS('Inventory Lookup'!$E$2:$E$20765,'Inventory Lookup'!$N$2:$N$20765,"INDIA Agent",'Inventory Lookup'!$M$2:$M$20765,"Suspension"),0)</f>
        <v>4</v>
      </c>
      <c r="AX42" s="85">
        <f>IFERROR(SUMIFS('Inventory Lookup'!$E$2:$E$20765,'Inventory Lookup'!$N$2:$N$20765,"INDIA Agent",'Inventory Lookup'!$M$2:$M$20765,"Electrical"),0)</f>
        <v>1</v>
      </c>
      <c r="AY42" s="85">
        <f>IFERROR(SUMIFS('Inventory Lookup'!$E$2:$E$20765,'Inventory Lookup'!$N$2:$N$20765,"INDIA Agent",'Inventory Lookup'!$M$2:$M$20765,"Other"),0)</f>
        <v>23</v>
      </c>
      <c r="AZ42" s="78"/>
      <c r="BA42" s="89" t="s">
        <v>32</v>
      </c>
      <c r="BB42" s="85">
        <f>SUM(BB17:BB23)</f>
        <v>0</v>
      </c>
      <c r="BC42" s="85">
        <f t="shared" ca="1" si="61"/>
        <v>193</v>
      </c>
      <c r="BD42" s="92">
        <f ca="1">BC42/'Calculated Fields'!$W42</f>
        <v>5.0789473684210522</v>
      </c>
      <c r="BE42" s="92">
        <f ca="1">IFERROR('Calculated Fields'!$C42/BC42,0)</f>
        <v>87.222797927461144</v>
      </c>
      <c r="BF42" s="88" t="s">
        <v>1058</v>
      </c>
      <c r="BG42" s="88" t="s">
        <v>1058</v>
      </c>
      <c r="BH42" s="85">
        <f t="array" aca="1" ref="BH42" ca="1">SUM(SUMIF('Agent Activity'!$AB$5:$AB$51,$BA$17:$BA$23,'Agent Activity'!$AC$5:$AC$51))</f>
        <v>34</v>
      </c>
      <c r="BI42" s="88" t="s">
        <v>1058</v>
      </c>
      <c r="BJ42" s="88" t="s">
        <v>1058</v>
      </c>
      <c r="BK42" s="94">
        <f t="array" aca="1" ref="BK42" ca="1">SUM(SUMIF('Agent Activity'!$AB$5:$AB$51,$BA$17:$BA$23,'Agent Activity'!$AD$5:$AD$51))</f>
        <v>7.1076388888888883E-2</v>
      </c>
      <c r="BL42" s="88" t="s">
        <v>1058</v>
      </c>
      <c r="BM42" s="85">
        <f t="array" ref="BM42">SUM(SUMIF('RingCentral - Office'!$A$2:$A$482,$BA$17:$BA$23,'RingCentral - Office'!$E$2:$E$482))</f>
        <v>77</v>
      </c>
      <c r="BN42" s="85">
        <f t="array" ref="BN42">SUM(SUMIF('RingCentral - Office'!$A$2:$A$482,$BA$17:$BA$23,'RingCentral - Office'!$F$2:$F$482))</f>
        <v>108</v>
      </c>
      <c r="BO42" s="87">
        <f t="shared" si="62"/>
        <v>-0.33766233766233766</v>
      </c>
      <c r="BP42" s="85">
        <f t="array" ref="BP42">-SUM(SUMIF('RingCentral - Office'!$A$2:$A$482,$BA$17:$BA$23,'RingCentral - Office'!$H$2:$H$482))</f>
        <v>-26</v>
      </c>
      <c r="BQ42" s="94">
        <f t="array" ref="BQ42">SUM(SUMIF('RingCentral - Office'!$A$2:$A$482,$BA$17:$BA$23,'RingCentral - Office'!$I$2:$I$482))</f>
        <v>0.25405092592592593</v>
      </c>
      <c r="BR42" s="85">
        <f t="array" aca="1" ref="BR42" ca="1">SUM(SUMIF(Audits!$A$2:$A$29,$B$17:$B$23,Audits!B$2:B$29))</f>
        <v>2</v>
      </c>
      <c r="BS42" s="85">
        <f t="array" aca="1" ref="BS42" ca="1">SUM(SUMIF(Audits!$A$2:$A$29,$B$17:$B$23,Audits!C$2:C$29))</f>
        <v>53</v>
      </c>
      <c r="BT42" s="85">
        <f t="array" aca="1" ref="BT42" ca="1">SUM(SUMIF(Audits!$A$2:$A$29,$B$17:$B$23,Audits!D$2:D$29))</f>
        <v>0</v>
      </c>
      <c r="BU42" s="164">
        <f t="shared" ca="1" si="63"/>
        <v>0</v>
      </c>
      <c r="BV42" s="85">
        <f t="array" aca="1" ref="BV42" ca="1">SUM(SUMIF(Audits!$G$2:$G$79,$B$17:$B$23,Audits!K$2:K$79))</f>
        <v>22</v>
      </c>
      <c r="BW42" s="165" cm="1">
        <f t="array" ref="BW42">_xlfn.IFS(E42="","CHECK", E42&lt;=15000,1, E42&lt;=20000,2, E42&lt;=30000,3, E42&lt;=40000,4, E42&gt;40000,5)</f>
        <v>1</v>
      </c>
      <c r="BX42" s="132" cm="1">
        <f t="array" aca="1" ref="BX42" ca="1">_xlfn.IFS(BU42="","", BU42&lt;=60%,1, BU42&lt;=70%,2, BU42&lt;=80%,3, BU42&lt;=90%,4, BU42&gt;90%,5)</f>
        <v>1</v>
      </c>
      <c r="BY42" s="132" cm="1">
        <f t="array" aca="1" ref="BY42" ca="1">_xlfn.IFS(BE42="","", BE42&lt;=60,1, BE42&lt;=70,2, BE42&lt;=80,3, BE42&lt;=90,4, BE42&gt;90,5)</f>
        <v>4</v>
      </c>
      <c r="BZ42" s="92">
        <f t="shared" ref="BZ42:BZ46" ca="1" si="64">AVERAGE(BW42:BY42)</f>
        <v>2</v>
      </c>
      <c r="CA42" s="90" t="str" cm="1">
        <f t="array" aca="1" ref="CA42" ca="1">_xlfn.IFS(BZ42="","CHECK", BZ42&gt;=5,"A", BZ42&gt;=4,"B", BZ42&gt;=3,"C", BZ42&gt;=2,"D", BZ42&gt;=1,"E")</f>
        <v>D</v>
      </c>
      <c r="CB42" s="85">
        <f ca="1">COUNTIF($CA$17:$CA$23,"A")</f>
        <v>0</v>
      </c>
      <c r="CC42" s="85">
        <f ca="1">COUNTIF($CA$17:$CA$23,"B")</f>
        <v>0</v>
      </c>
      <c r="CD42" s="85">
        <f ca="1">COUNTIF($CA$17:$CA$23,"C")</f>
        <v>0</v>
      </c>
      <c r="CE42" s="85">
        <f ca="1">COUNTIF($CA$17:$CA$23,"D")</f>
        <v>1</v>
      </c>
      <c r="CF42" s="85">
        <f ca="1">COUNTIF($CA$17:$CA$23,"E")</f>
        <v>4</v>
      </c>
      <c r="CG42" s="3"/>
      <c r="CH42" s="3"/>
      <c r="CI42" s="3"/>
      <c r="CJ42" s="3"/>
      <c r="CK42" s="3"/>
      <c r="CL42" s="3"/>
      <c r="CM42" s="3"/>
      <c r="CN42" s="3"/>
    </row>
    <row r="43" spans="1:92" ht="14.4">
      <c r="A43" s="78"/>
      <c r="B43" s="89" t="s">
        <v>61</v>
      </c>
      <c r="C43" s="172">
        <f>SUM(SUMIF('Sales  Returns'!$S$1:$S$19968,"DIGITAL Agent",'Sales  Returns'!$D$1:$D$19968))</f>
        <v>7783</v>
      </c>
      <c r="D43" s="172">
        <f t="shared" si="52"/>
        <v>8376.01</v>
      </c>
      <c r="E43" s="172">
        <f t="shared" si="53"/>
        <v>8384.01</v>
      </c>
      <c r="F43" s="172">
        <f t="array" aca="1" ref="F43" ca="1">SUM(SUMIF('Y2Y sales'!$J$2:$J$2000,Agents!$O$2:$O$34,'Y2Y sales'!$G$2:$G$2000))</f>
        <v>0</v>
      </c>
      <c r="G43" s="172">
        <f t="shared" ca="1" si="54"/>
        <v>8376.01</v>
      </c>
      <c r="H43" s="172">
        <f>SUM(SUMIF('Sales  Returns'!$S$1:$S$19968,"DIGITAL Agent",'Sales  Returns'!$G$1:$G$19968))</f>
        <v>8376.01</v>
      </c>
      <c r="I43" s="172">
        <f>SUM(SUMIF('Sales  Returns'!$S$1:$S$19968,"DIGITAL Agent",'Sales  Returns'!$J$1:$J$19968))</f>
        <v>0</v>
      </c>
      <c r="J43" s="172">
        <f>SUM(SUMIF('Sales  Returns'!$S$1:$S$19968,"DIGITAL Agent",'Sales  Returns'!$K$1:$K$19968))</f>
        <v>0</v>
      </c>
      <c r="K43" s="173">
        <f t="shared" si="55"/>
        <v>0</v>
      </c>
      <c r="L43" s="172">
        <f>SUM(SUMIF('Sales  Returns'!$S$1:$S$19968,"DIGITAL Agent",'Sales  Returns'!$O$1:$O$19968))</f>
        <v>0</v>
      </c>
      <c r="M43" s="174">
        <f t="shared" ca="1" si="56"/>
        <v>0</v>
      </c>
      <c r="N43" s="172">
        <f>SUM(SUMIF('Sales  Returns'!$S$1:$S$19968,"DIGITAL Agent",'Sales  Returns'!$P$1:$P$19968))</f>
        <v>8</v>
      </c>
      <c r="O43" s="172">
        <f>SUM(SUMIF('Sales  Returns'!$S$1:$S$19968,"DIGITAL Agent",'Sales  Returns'!$F$1:$F$19968))</f>
        <v>4</v>
      </c>
      <c r="P43" s="172">
        <f>SUM(SUMIF('Sales  Returns'!$S$1:$S$19968,"DIGITAL Agent",'Sales  Returns'!$T$1:$T$19968))</f>
        <v>378</v>
      </c>
      <c r="Q43" s="172">
        <f>SUM(SUMIF('Sales  Returns'!$S$1:$S$19968,"DIGITAL Agent",'Sales  Returns'!$E$1:$E$19968))</f>
        <v>3355</v>
      </c>
      <c r="R43" s="172">
        <f>SUM(SUMIF('Sales  Returns'!$S$1:$S$19968,"DIGITAL Agent",'Sales  Returns'!$R$1:$R$19968))</f>
        <v>-30</v>
      </c>
      <c r="S43" s="172">
        <f>SUM(SUMIF('Sales  Returns'!$S$1:$S$19968,"DIGITAL Agent",'Sales  Returns'!$Q$1:$Q$19968))</f>
        <v>658</v>
      </c>
      <c r="T43" s="172">
        <f>-COUNTIFS('Sales  Returns'!$S$1:$S$19968,"DIGITAL Agent",'Sales  Returns'!$B$1:$B$19968,"Returns")</f>
        <v>-12</v>
      </c>
      <c r="U43" s="172">
        <f>SUMIFS('Sales  Returns'!$D$1:$D$19968,'Sales  Returns'!$S$1:$S$19968,"DIGITAL Agent",'Sales  Returns'!$B$1:$B$19968,"Returns")</f>
        <v>-2515</v>
      </c>
      <c r="V43" s="173">
        <f t="shared" si="57"/>
        <v>0.10714285714285714</v>
      </c>
      <c r="W43" s="172">
        <f>COUNTIFS('Sales  Returns'!$B$1:$B$19968,"Sales",'Sales  Returns'!$S$1:$S$19968,"DIGITAL Agent")</f>
        <v>112</v>
      </c>
      <c r="X43" s="207">
        <v>0</v>
      </c>
      <c r="Y43" s="172">
        <f>SUMIF('Sales  Returns'!$S$1:$S$19968,"DIGITAL Agent",'Sales  Returns'!$H$1:$H$19968)</f>
        <v>112</v>
      </c>
      <c r="Z43" s="172">
        <f>SUMIF('Sales  Returns'!$S$1:$S$19968,"DIGITAL Agent",'Sales  Returns'!$I$1:$I$19968)</f>
        <v>12</v>
      </c>
      <c r="AA43" s="173">
        <f t="shared" si="58"/>
        <v>0.10714285714285714</v>
      </c>
      <c r="AB43" s="172">
        <f>SUMIF('Sales  Returns'!$S$1:$S$19968,"DIGITAL Agent",'Sales  Returns'!$M$1:$M$19968)</f>
        <v>0</v>
      </c>
      <c r="AC43" s="172">
        <f>SUMIF('Sales  Returns'!$S$1:$S$19968,"DIGITAL Agent",'Sales  Returns'!$N$1:$N$19968)</f>
        <v>0</v>
      </c>
      <c r="AD43" s="173">
        <f t="shared" si="59"/>
        <v>0</v>
      </c>
      <c r="AE43" s="173">
        <f t="shared" si="60"/>
        <v>-0.10714285714285714</v>
      </c>
      <c r="AF43" s="172">
        <f t="array" aca="1" ref="AF43" ca="1">SUM(SUMIF('WO &amp; Quote'!$S:$S,TRIM($B$24:$B$30),'WO &amp; Quote'!$I:$I))</f>
        <v>7303.99</v>
      </c>
      <c r="AG43" s="172">
        <f t="array" aca="1" ref="AG43" ca="1">SUM(SUMIF('WO &amp; Quote'!$S:$S,TRIM($B$24:$B$30),'WO &amp; Quote'!$J:$J)) + SUM(SUMIF('WO &amp; Quote'!$S:$S,TRIM($B$24:$B$30),'WO &amp; Quote'!$K:$K))</f>
        <v>0</v>
      </c>
      <c r="AH43" s="78"/>
      <c r="AI43" s="89" t="s">
        <v>33</v>
      </c>
      <c r="AJ43" s="88" t="s">
        <v>1058</v>
      </c>
      <c r="AK43" s="88" t="s">
        <v>1058</v>
      </c>
      <c r="AL43" s="88" t="s">
        <v>1058</v>
      </c>
      <c r="AM43" s="88" t="s">
        <v>1058</v>
      </c>
      <c r="AN43" s="88" t="s">
        <v>1058</v>
      </c>
      <c r="AO43" s="105" t="s">
        <v>1058</v>
      </c>
      <c r="AP43" s="85">
        <f>IFERROR(SUMIFS('Inventory Lookup'!$D$2:$D$20765,'Inventory Lookup'!$N$2:$N$20765,"DIGITAL Agent",'Inventory Lookup'!$M$2:$M$20765,"Drive Train"),0)</f>
        <v>0</v>
      </c>
      <c r="AQ43" s="85">
        <f>IFERROR(SUMIFS('Inventory Lookup'!$D$2:$D$20765,'Inventory Lookup'!$N$2:$N$20765,"DIGITAL Agent",'Inventory Lookup'!$M$2:$M$20765,"Body Parts"),0)</f>
        <v>0</v>
      </c>
      <c r="AR43" s="85">
        <f>IFERROR(SUMIFS('Inventory Lookup'!$D$2:$D$20765,'Inventory Lookup'!$N$2:$N$20765,"DIGITAL Agent",'Inventory Lookup'!$M$2:$M$20765,"Suspension"),0)</f>
        <v>0</v>
      </c>
      <c r="AS43" s="85">
        <f>IFERROR(SUMIFS('Inventory Lookup'!$D$2:$D$20765,'Inventory Lookup'!$N$2:$N$20765,"DIGITAL Agent",'Inventory Lookup'!$M$2:$M$20765,"Electrical"),0)</f>
        <v>0</v>
      </c>
      <c r="AT43" s="85">
        <f>IFERROR(SUMIFS('Inventory Lookup'!$D$2:$D$20765,'Inventory Lookup'!$N$2:$N$20765,"DIGITAL Agent",'Inventory Lookup'!$M$2:$M$20765,"Other"),0)</f>
        <v>0</v>
      </c>
      <c r="AU43" s="85">
        <f>IFERROR(SUMIFS('Inventory Lookup'!$E$2:$E$20765,'Inventory Lookup'!$N$2:$N$20765,"Digital Agent",'Inventory Lookup'!$M$2:$M$20765,"Drive Train"),0)</f>
        <v>0</v>
      </c>
      <c r="AV43" s="85">
        <f>IFERROR(SUMIFS('Inventory Lookup'!$E$2:$E$20765,'Inventory Lookup'!$N$2:$N$20765,"Digital Agent",'Inventory Lookup'!$M$2:$M$20765,"Body Parts"),0)</f>
        <v>0</v>
      </c>
      <c r="AW43" s="85">
        <f>IFERROR(SUMIFS('Inventory Lookup'!$E$2:$E$20765,'Inventory Lookup'!$N$2:$N$20765,"Digital Agent",'Inventory Lookup'!$M$2:$M$20765,"Suspension"),0)</f>
        <v>0</v>
      </c>
      <c r="AX43" s="85">
        <f>IFERROR(SUMIFS('Inventory Lookup'!$E$2:$E$20765,'Inventory Lookup'!$N$2:$N$20765,"Digital Agent",'Inventory Lookup'!$M$2:$M$20765,"Electrical"),0)</f>
        <v>0</v>
      </c>
      <c r="AY43" s="85">
        <f>IFERROR(SUMIFS('Inventory Lookup'!$E$2:$E$20765,'Inventory Lookup'!$N$2:$N$20765,"Digital Agent",'Inventory Lookup'!$M$2:$M$20765,"Other"),0)</f>
        <v>0</v>
      </c>
      <c r="AZ43" s="78"/>
      <c r="BA43" s="89" t="s">
        <v>61</v>
      </c>
      <c r="BB43" s="88" t="s">
        <v>1058</v>
      </c>
      <c r="BC43" s="88" t="s">
        <v>1058</v>
      </c>
      <c r="BD43" s="88" t="s">
        <v>1058</v>
      </c>
      <c r="BE43" s="88" t="s">
        <v>1058</v>
      </c>
      <c r="BF43" s="88" t="s">
        <v>1058</v>
      </c>
      <c r="BG43" s="88" t="s">
        <v>1058</v>
      </c>
      <c r="BH43" s="88" t="s">
        <v>1058</v>
      </c>
      <c r="BI43" s="88" t="s">
        <v>1058</v>
      </c>
      <c r="BJ43" s="88" t="s">
        <v>1058</v>
      </c>
      <c r="BK43" s="88" t="s">
        <v>1058</v>
      </c>
      <c r="BL43" s="88" t="s">
        <v>1058</v>
      </c>
      <c r="BM43" s="88" t="s">
        <v>1058</v>
      </c>
      <c r="BN43" s="88" t="s">
        <v>1058</v>
      </c>
      <c r="BO43" s="88" t="s">
        <v>1058</v>
      </c>
      <c r="BP43" s="88" t="s">
        <v>1058</v>
      </c>
      <c r="BQ43" s="88" t="s">
        <v>1058</v>
      </c>
      <c r="BR43" s="85">
        <f t="array" aca="1" ref="BR43" ca="1">SUM(SUMIF(Audits!$A$2:$A$29,$B$25:$B$30,Audits!B$2:B$29))</f>
        <v>0</v>
      </c>
      <c r="BS43" s="85">
        <f t="array" aca="1" ref="BS43" ca="1">SUM(SUMIF(Audits!$A$2:$A$29,$B$25:$B$30,Audits!C$2:C$29))</f>
        <v>0</v>
      </c>
      <c r="BT43" s="85">
        <f t="array" aca="1" ref="BT43" ca="1">SUM(SUMIF(Audits!$A$2:$A$29,$B$25:$B$30,Audits!D$2:D$29))</f>
        <v>0</v>
      </c>
      <c r="BU43" s="164">
        <f t="shared" ca="1" si="63"/>
        <v>0</v>
      </c>
      <c r="BV43" s="85">
        <f t="array" aca="1" ref="BV43" ca="1">SUM(SUMIF(Audits!$G$2:$G$79,$B$25:$B$30,Audits!K$2:K$79))</f>
        <v>21</v>
      </c>
      <c r="BW43" s="165" cm="1">
        <f t="array" ref="BW43">_xlfn.IFS(E43="","CHECK", E43&lt;=15000,1, E43&lt;=20000,2, E43&lt;=30000,3, E43&lt;=40000,4, E43&gt;40000,5)</f>
        <v>1</v>
      </c>
      <c r="BX43" s="132" cm="1">
        <f t="array" aca="1" ref="BX43" ca="1">_xlfn.IFS(BU43="","", BU43&lt;=60%,1, BU43&lt;=70%,2, BU43&lt;=80%,3, BU43&lt;=90%,4, BU43&gt;90%,5)</f>
        <v>1</v>
      </c>
      <c r="BY43" s="132" cm="1">
        <f t="array" ref="BY43">_xlfn.IFS(BE43="","", BE43&lt;=60,1, BE43&lt;=70,2, BE43&lt;=80,3, BE43&lt;=90,4, BE43&gt;90,5)</f>
        <v>5</v>
      </c>
      <c r="BZ43" s="92">
        <f t="shared" ca="1" si="64"/>
        <v>2.3333333333333335</v>
      </c>
      <c r="CA43" s="90" t="str" cm="1">
        <f t="array" aca="1" ref="CA43" ca="1">_xlfn.IFS(BZ43="","CHECK", BZ43&gt;=5,"A", BZ43&gt;=4,"B", BZ43&gt;=3,"C", BZ43&gt;=2,"D", BZ43&gt;=1,"E")</f>
        <v>D</v>
      </c>
      <c r="CB43" s="85">
        <f>COUNTIF($CA$25:$CA$30,"A")</f>
        <v>0</v>
      </c>
      <c r="CC43" s="85">
        <f>COUNTIF($CA$25:$CA$30,"B")</f>
        <v>0</v>
      </c>
      <c r="CD43" s="85">
        <f>COUNTIF($CA$25:$CA$30,"C")</f>
        <v>0</v>
      </c>
      <c r="CE43" s="85">
        <f>COUNTIF($CA$25:$CA$30,"D")</f>
        <v>0</v>
      </c>
      <c r="CF43" s="85">
        <f>COUNTIF($CA$25:$CA$30,"E")</f>
        <v>0</v>
      </c>
      <c r="CG43" s="3"/>
      <c r="CH43" s="3"/>
      <c r="CI43" s="3"/>
      <c r="CJ43" s="3"/>
      <c r="CK43" s="3"/>
      <c r="CL43" s="3"/>
      <c r="CM43" s="3"/>
      <c r="CN43" s="3"/>
    </row>
    <row r="44" spans="1:92" ht="14.4">
      <c r="A44" s="78"/>
      <c r="B44" s="89" t="s">
        <v>62</v>
      </c>
      <c r="C44" s="172">
        <f>SUM(SUMIF('Sales  Returns'!$S$1:$S$19968,"MANAGED Agent",'Sales  Returns'!$D$1:$D$19968))</f>
        <v>5880</v>
      </c>
      <c r="D44" s="172">
        <f t="shared" si="52"/>
        <v>5590</v>
      </c>
      <c r="E44" s="172">
        <f t="shared" si="53"/>
        <v>5590</v>
      </c>
      <c r="F44" s="172">
        <f t="array" aca="1" ref="F44" ca="1">SUM(SUMIF('Y2Y sales'!$J$2:$J$2000,Agents!$Q$2:$Q$34,'Y2Y sales'!$G$2:$G$2000))</f>
        <v>0</v>
      </c>
      <c r="G44" s="172">
        <f t="shared" ca="1" si="54"/>
        <v>5590</v>
      </c>
      <c r="H44" s="172">
        <f>SUM(SUMIF('Sales  Returns'!$S$1:$S$19968,"MANAGED Agent",'Sales  Returns'!$G$1:$G$19968))</f>
        <v>5590</v>
      </c>
      <c r="I44" s="172">
        <f>SUM(SUMIF('Sales  Returns'!$S$1:$S$19968,"MANAGED Agent",'Sales  Returns'!$J$1:$J$19968))</f>
        <v>0</v>
      </c>
      <c r="J44" s="172">
        <f>SUM(SUMIF('Sales  Returns'!$S$1:$S$19968,"MANAGED Agent",'Sales  Returns'!$K$1:$K$19968))</f>
        <v>0</v>
      </c>
      <c r="K44" s="173">
        <f t="shared" si="55"/>
        <v>0</v>
      </c>
      <c r="L44" s="172">
        <f>SUM(SUMIF('Sales  Returns'!$S$1:$S$19968,"MANAGED Agent",'Sales  Returns'!$O$1:$O$19968))</f>
        <v>0</v>
      </c>
      <c r="M44" s="174">
        <f t="shared" ca="1" si="56"/>
        <v>0</v>
      </c>
      <c r="N44" s="172">
        <f>SUM(SUMIF('Sales  Returns'!$S$1:$S$19968,"MANAGED Agent",'Sales  Returns'!$P$1:$P$19968))</f>
        <v>0</v>
      </c>
      <c r="O44" s="172">
        <f>SUM(SUMIF('Sales  Returns'!$S$1:$S$19968,"MANAGED Agent",'Sales  Returns'!$F$1:$F$19968))</f>
        <v>0</v>
      </c>
      <c r="P44" s="172">
        <f>SUM(SUMIF('Sales  Returns'!$S$1:$S$19968,"MANAGED Agent",'Sales  Returns'!$T$1:$T$19968))</f>
        <v>251</v>
      </c>
      <c r="Q44" s="172">
        <f>SUM(SUMIF('Sales  Returns'!$S$1:$S$19968,"MANAGED Agent",'Sales  Returns'!$E$1:$E$19968))</f>
        <v>290</v>
      </c>
      <c r="R44" s="172">
        <f>SUM(SUMIF('Sales  Returns'!$S$1:$S$19968,"MANAGED Agent",'Sales  Returns'!$R$1:$R$19968))</f>
        <v>0</v>
      </c>
      <c r="S44" s="172">
        <f>SUM(SUMIF('Sales  Returns'!$S$1:$S$19968,"MANAGED Agent",'Sales  Returns'!$Q$1:$Q$19968))</f>
        <v>25</v>
      </c>
      <c r="T44" s="172">
        <f>-COUNTIFS('Sales  Returns'!$S$1:$S$19968,"MANAGED Agent",'Sales  Returns'!$B$1:$B$19968,"Returns")</f>
        <v>-7</v>
      </c>
      <c r="U44" s="172">
        <f>SUMIFS('Sales  Returns'!$D$1:$D$19968,'Sales  Returns'!$S$1:$S$19968,"MANAGED Agent",'Sales  Returns'!$B$1:$B$19968,"Returns")</f>
        <v>-1470</v>
      </c>
      <c r="V44" s="173">
        <f t="shared" si="57"/>
        <v>0.26666666666666666</v>
      </c>
      <c r="W44" s="172">
        <f>COUNTIFS('Sales  Returns'!$B$1:$B$19968,"Sales",'Sales  Returns'!$S$1:$S$19968,"MANAGED Agent")</f>
        <v>25</v>
      </c>
      <c r="X44" s="207">
        <v>0</v>
      </c>
      <c r="Y44" s="172">
        <f>SUMIF('Sales  Returns'!$S$1:$S$19968,"MANAGED Agent",'Sales  Returns'!$H$1:$H$19968)</f>
        <v>30</v>
      </c>
      <c r="Z44" s="172">
        <f>SUMIF('Sales  Returns'!$S$1:$S$19968,"MANAGED Agent",'Sales  Returns'!$I$1:$I$19968)</f>
        <v>8</v>
      </c>
      <c r="AA44" s="173">
        <f t="shared" si="58"/>
        <v>0.26666666666666666</v>
      </c>
      <c r="AB44" s="172">
        <f>SUMIF('Sales  Returns'!$S$1:$S$19968,"MANAGED Agent",'Sales  Returns'!$M$1:$M$19968)</f>
        <v>0</v>
      </c>
      <c r="AC44" s="172">
        <f>SUMIF('Sales  Returns'!$S$1:$S$19968,"MANAGED Agent",'Sales  Returns'!$N$1:$N$19968)</f>
        <v>0</v>
      </c>
      <c r="AD44" s="173">
        <f t="shared" si="59"/>
        <v>0</v>
      </c>
      <c r="AE44" s="173">
        <f t="shared" si="60"/>
        <v>-0.28000000000000003</v>
      </c>
      <c r="AF44" s="172">
        <f t="array" aca="1" ref="AF44" ca="1">SUM(SUMIF('WO &amp; Quote'!$S:$S,TRIM($B$31:$B$35),'WO &amp; Quote'!$I:$I))</f>
        <v>5030</v>
      </c>
      <c r="AG44" s="172">
        <f t="array" aca="1" ref="AG44" ca="1">SUM(SUMIF('WO &amp; Quote'!$S:$S,TRIM($B$31:$B$35),'WO &amp; Quote'!$J:$J)) + SUM(SUMIF('WO &amp; Quote'!$S:$S,TRIM($B$31:$B$35),'WO &amp; Quote'!$K:$K))</f>
        <v>0</v>
      </c>
      <c r="AH44" s="78"/>
      <c r="AI44" s="89" t="s">
        <v>34</v>
      </c>
      <c r="AJ44" s="88" t="s">
        <v>1058</v>
      </c>
      <c r="AK44" s="88" t="s">
        <v>1058</v>
      </c>
      <c r="AL44" s="88" t="s">
        <v>1058</v>
      </c>
      <c r="AM44" s="88" t="s">
        <v>1058</v>
      </c>
      <c r="AN44" s="88" t="s">
        <v>1058</v>
      </c>
      <c r="AO44" s="105" t="s">
        <v>1058</v>
      </c>
      <c r="AP44" s="85">
        <f>IFERROR(SUMIFS('Inventory Lookup'!$D$2:$D$20765,'Inventory Lookup'!$N$2:$N$20765,"MANAGED Agent",'Inventory Lookup'!$M$2:$M$20765,"Drive Train"),0)</f>
        <v>0</v>
      </c>
      <c r="AQ44" s="85">
        <f>IFERROR(SUMIFS('Inventory Lookup'!$D$2:$D$20765,'Inventory Lookup'!$N$2:$N$20765,"MANAGED Agent",'Inventory Lookup'!$M$2:$M$20765,"Body Parts"),0)</f>
        <v>0</v>
      </c>
      <c r="AR44" s="85">
        <f>IFERROR(SUMIFS('Inventory Lookup'!$D$2:$D$20765,'Inventory Lookup'!$N$2:$N$20765,"MANAGED Agent",'Inventory Lookup'!$M$2:$M$20765,"Suspension"),0)</f>
        <v>0</v>
      </c>
      <c r="AS44" s="85">
        <f>IFERROR(SUMIFS('Inventory Lookup'!$D$2:$D$20765,'Inventory Lookup'!$N$2:$N$20765,"MANAGED Agent",'Inventory Lookup'!$M$2:$M$20765,"Electrical"),0)</f>
        <v>0</v>
      </c>
      <c r="AT44" s="85">
        <f>IFERROR(SUMIFS('Inventory Lookup'!$D$2:$D$20765,'Inventory Lookup'!$N$2:$N$20765,"MANAGED Agent",'Inventory Lookup'!$M$2:$M$20765,"Other"),0)</f>
        <v>0</v>
      </c>
      <c r="AU44" s="85">
        <f>IFERROR(SUMIFS('Inventory Lookup'!$E$2:$E$20765,'Inventory Lookup'!$N$2:$N$20765,"Managed Agent",'Inventory Lookup'!$M$2:$M$20765,"Drive Train"),0)</f>
        <v>0</v>
      </c>
      <c r="AV44" s="85">
        <f>IFERROR(SUMIFS('Inventory Lookup'!$E$2:$E$20765,'Inventory Lookup'!$N$2:$N$20765,"Managed Agent",'Inventory Lookup'!$M$2:$M$20765,"Body Parts"),0)</f>
        <v>0</v>
      </c>
      <c r="AW44" s="85">
        <f>IFERROR(SUMIFS('Inventory Lookup'!$E$2:$E$20765,'Inventory Lookup'!$N$2:$N$20765,"Managed Agent",'Inventory Lookup'!$M$2:$M$20765,"Suspension"),0)</f>
        <v>0</v>
      </c>
      <c r="AX44" s="85">
        <f>IFERROR(SUMIFS('Inventory Lookup'!$E$2:$E$20765,'Inventory Lookup'!$N$2:$N$20765,"Managed Agent",'Inventory Lookup'!$M$2:$M$20765,"Electrical"),0)</f>
        <v>0</v>
      </c>
      <c r="AY44" s="85">
        <f>IFERROR(SUMIFS('Inventory Lookup'!$E$2:$E$20765,'Inventory Lookup'!$N$2:$N$20765,"Managed Agent",'Inventory Lookup'!$M$2:$M$20765,"Other"),0)</f>
        <v>0</v>
      </c>
      <c r="AZ44" s="78"/>
      <c r="BA44" s="89" t="s">
        <v>62</v>
      </c>
      <c r="BB44" s="88" t="s">
        <v>1058</v>
      </c>
      <c r="BC44" s="88" t="s">
        <v>1058</v>
      </c>
      <c r="BD44" s="88" t="s">
        <v>1058</v>
      </c>
      <c r="BE44" s="88" t="s">
        <v>1058</v>
      </c>
      <c r="BF44" s="88" t="s">
        <v>1058</v>
      </c>
      <c r="BG44" s="88" t="s">
        <v>1058</v>
      </c>
      <c r="BH44" s="88" t="s">
        <v>1058</v>
      </c>
      <c r="BI44" s="88" t="s">
        <v>1058</v>
      </c>
      <c r="BJ44" s="88" t="s">
        <v>1058</v>
      </c>
      <c r="BK44" s="88" t="s">
        <v>1058</v>
      </c>
      <c r="BL44" s="88" t="s">
        <v>1058</v>
      </c>
      <c r="BM44" s="88" t="s">
        <v>1058</v>
      </c>
      <c r="BN44" s="88" t="s">
        <v>1058</v>
      </c>
      <c r="BO44" s="88" t="s">
        <v>1058</v>
      </c>
      <c r="BP44" s="88" t="s">
        <v>1058</v>
      </c>
      <c r="BQ44" s="88" t="s">
        <v>1058</v>
      </c>
      <c r="BR44" s="85">
        <f t="array" aca="1" ref="BR44" ca="1">SUM(SUMIF(Audits!$A$2:$A$29,$B$32:$B$35,Audits!B$2:B$29))</f>
        <v>0</v>
      </c>
      <c r="BS44" s="85">
        <f t="array" aca="1" ref="BS44" ca="1">SUM(SUMIF(Audits!$A$2:$A$29,$B$32:$B$35,Audits!C$2:C$29))</f>
        <v>0</v>
      </c>
      <c r="BT44" s="85">
        <f t="array" aca="1" ref="BT44" ca="1">SUM(SUMIF(Audits!$A$2:$A$29,$B$32:$B$35,Audits!D$2:D$29))</f>
        <v>0</v>
      </c>
      <c r="BU44" s="164">
        <f t="shared" ca="1" si="63"/>
        <v>0</v>
      </c>
      <c r="BV44" s="85">
        <f t="array" aca="1" ref="BV44" ca="1">SUM(SUMIF(Audits!$G$2:$G$79,$B$32:$B$35,Audits!K$2:K$79))</f>
        <v>14</v>
      </c>
      <c r="BW44" s="165" cm="1">
        <f t="array" ref="BW44">_xlfn.IFS(E44="","CHECK", E44&lt;=15000,1, E44&lt;=20000,2, E44&lt;=30000,3, E44&lt;=40000,4, E44&gt;40000,5)</f>
        <v>1</v>
      </c>
      <c r="BX44" s="132" cm="1">
        <f t="array" aca="1" ref="BX44" ca="1">_xlfn.IFS(BU44="","", BU44&lt;=60%,1, BU44&lt;=70%,2, BU44&lt;=80%,3, BU44&lt;=90%,4, BU44&gt;90%,5)</f>
        <v>1</v>
      </c>
      <c r="BY44" s="132" cm="1">
        <f t="array" ref="BY44">_xlfn.IFS(BE44="","", BE44&lt;=60,1, BE44&lt;=70,2, BE44&lt;=80,3, BE44&lt;=90,4, BE44&gt;90,5)</f>
        <v>5</v>
      </c>
      <c r="BZ44" s="92">
        <f t="shared" ca="1" si="64"/>
        <v>2.3333333333333335</v>
      </c>
      <c r="CA44" s="90" t="str" cm="1">
        <f t="array" aca="1" ref="CA44" ca="1">_xlfn.IFS(BZ44="","CHECK", BZ44&gt;=5,"A", BZ44&gt;=4,"B", BZ44&gt;=3,"C", BZ44&gt;=2,"D", BZ44&gt;=1,"E")</f>
        <v>D</v>
      </c>
      <c r="CB44" s="85">
        <f>COUNTIF($CA$32:$CA$35,"A")</f>
        <v>0</v>
      </c>
      <c r="CC44" s="85">
        <f>COUNTIF($CA$32:$CA$35,"B")</f>
        <v>0</v>
      </c>
      <c r="CD44" s="85">
        <f>COUNTIF($CA$32:$CA$35,"C")</f>
        <v>0</v>
      </c>
      <c r="CE44" s="85">
        <f>COUNTIF($CA$32:$CA$35,"D")</f>
        <v>0</v>
      </c>
      <c r="CF44" s="85">
        <f>COUNTIF($CA$32:$CA$35,"E")</f>
        <v>0</v>
      </c>
      <c r="CG44" s="3"/>
      <c r="CH44" s="3"/>
      <c r="CI44" s="3"/>
      <c r="CJ44" s="3"/>
      <c r="CK44" s="3"/>
      <c r="CL44" s="3"/>
      <c r="CM44" s="3"/>
      <c r="CN44" s="3"/>
    </row>
    <row r="45" spans="1:92" ht="14.4">
      <c r="A45" s="78"/>
      <c r="B45" s="89" t="s">
        <v>35</v>
      </c>
      <c r="C45" s="172">
        <f>SUM(SUMIF('Sales  Returns'!$S$1:$S$19968,"Other",'Sales  Returns'!$D$1:$D$19968))</f>
        <v>785</v>
      </c>
      <c r="D45" s="172">
        <f t="shared" si="52"/>
        <v>0</v>
      </c>
      <c r="E45" s="172">
        <f t="shared" si="53"/>
        <v>0</v>
      </c>
      <c r="F45" s="172">
        <f t="array" aca="1" ref="F45" ca="1">SUM(SUMIF('Y2Y sales'!$J$2:$J$2000,Agents!$S$2:$S$34,'Y2Y sales'!$G$2:$G$2000))</f>
        <v>0</v>
      </c>
      <c r="G45" s="172">
        <f t="shared" ca="1" si="54"/>
        <v>0</v>
      </c>
      <c r="H45" s="172">
        <f>SUM(SUMIF('Sales  Returns'!$S$1:$S$19968,"Other",'Sales  Returns'!$G$1:$G$19968))</f>
        <v>0</v>
      </c>
      <c r="I45" s="172">
        <f>SUM(SUMIF('Sales  Returns'!$S$1:$S$19968,"Other",'Sales  Returns'!$J$1:$J$19968))</f>
        <v>0</v>
      </c>
      <c r="J45" s="172">
        <f>SUM(SUMIF('Sales  Returns'!$S$1:$S$19968,"Other",'Sales  Returns'!$K$1:$K$19968))</f>
        <v>0</v>
      </c>
      <c r="K45" s="173">
        <f t="shared" si="55"/>
        <v>0</v>
      </c>
      <c r="L45" s="172">
        <f>SUM(SUMIF('Sales  Returns'!$S$1:$S$19968,"Other",'Sales  Returns'!$O$1:$O$19968))</f>
        <v>0</v>
      </c>
      <c r="M45" s="174">
        <f t="shared" ca="1" si="56"/>
        <v>0</v>
      </c>
      <c r="N45" s="172">
        <f>SUM(SUMIF('Sales  Returns'!$S$1:$S$19968,"Other",'Sales  Returns'!$P$1:$P$19968))</f>
        <v>0</v>
      </c>
      <c r="O45" s="172">
        <f>SUM(SUMIF('Sales  Returns'!$S$1:$S$19968,"Other",'Sales  Returns'!$F$1:$F$19968))</f>
        <v>0</v>
      </c>
      <c r="P45" s="172">
        <f>SUM(SUMIF('Sales  Returns'!$S$1:$S$19968,"Other",'Sales  Returns'!$T$1:$T$19968))</f>
        <v>0</v>
      </c>
      <c r="Q45" s="172">
        <f>SUM(SUMIF('Sales  Returns'!$S$1:$S$19968,"Other",'Sales  Returns'!$E$1:$E$19968))</f>
        <v>0</v>
      </c>
      <c r="R45" s="172">
        <f>SUM(SUMIF('Sales  Returns'!$S$1:$S$19968,"Other",'Sales  Returns'!$R$1:$R$19968))</f>
        <v>0</v>
      </c>
      <c r="S45" s="172">
        <f>SUM(SUMIF('Sales  Returns'!$S$1:$S$19968,"Other",'Sales  Returns'!$Q$1:$Q$19968))</f>
        <v>0</v>
      </c>
      <c r="T45" s="172">
        <f>-COUNTIFS('Sales  Returns'!$S$1:$S$19968,"Other",'Sales  Returns'!$B$1:$B$19968,"Returns")</f>
        <v>0</v>
      </c>
      <c r="U45" s="172">
        <f>SUMIFS('Sales  Returns'!$D$1:$D$19968,'Sales  Returns'!$S$1:$S$19968,"Other",'Sales  Returns'!$B$1:$B$19968,"Returns")</f>
        <v>0</v>
      </c>
      <c r="V45" s="173">
        <f t="shared" si="57"/>
        <v>0</v>
      </c>
      <c r="W45" s="172">
        <f>COUNTIFS('Sales  Returns'!$B$1:$B$19968,"Sales",'Sales  Returns'!$S$1:$S$19968,"Other")</f>
        <v>0</v>
      </c>
      <c r="X45" s="207">
        <v>0</v>
      </c>
      <c r="Y45" s="172">
        <f>SUMIF('Sales  Returns'!$S$1:$S$19968,"Other",'Sales  Returns'!$H$1:$H$19968)</f>
        <v>0</v>
      </c>
      <c r="Z45" s="172">
        <f>SUMIF('Sales  Returns'!$S$1:$S$19968,"Other",'Sales  Returns'!$I$1:$I$19968)</f>
        <v>0</v>
      </c>
      <c r="AA45" s="173">
        <f t="shared" si="58"/>
        <v>0</v>
      </c>
      <c r="AB45" s="172">
        <f>SUMIF('Sales  Returns'!$S$1:$S$19968,"Other",'Sales  Returns'!$M$1:$M$19968)</f>
        <v>0</v>
      </c>
      <c r="AC45" s="172">
        <f>SUMIF('Sales  Returns'!$S$1:$S$19968,"Other",'Sales  Returns'!$N$1:$N$19968)</f>
        <v>0</v>
      </c>
      <c r="AD45" s="173">
        <f t="shared" si="59"/>
        <v>0</v>
      </c>
      <c r="AE45" s="173">
        <f t="shared" si="60"/>
        <v>0</v>
      </c>
      <c r="AF45" s="172">
        <f t="array" aca="1" ref="AF45" ca="1">SUM(SUMIF('WO &amp; Quote'!$S:$S,TRIM($B$37:$B$39),'WO &amp; Quote'!$I:$I))</f>
        <v>0</v>
      </c>
      <c r="AG45" s="172">
        <f t="array" aca="1" ref="AG45" ca="1">SUM(SUMIF('WO &amp; Quote'!$S:$S,TRIM($B$37:$B$39),'WO &amp; Quote'!$J:$J)) + SUM(SUMIF('WO &amp; Quote'!$S:$S,TRIM($B$37:$B$39),'WO &amp; Quote'!$K:$K))</f>
        <v>0</v>
      </c>
      <c r="AH45" s="78"/>
      <c r="AI45" s="89" t="s">
        <v>35</v>
      </c>
      <c r="AJ45" s="88" t="s">
        <v>1058</v>
      </c>
      <c r="AK45" s="88" t="s">
        <v>1058</v>
      </c>
      <c r="AL45" s="88" t="s">
        <v>1058</v>
      </c>
      <c r="AM45" s="88" t="s">
        <v>1058</v>
      </c>
      <c r="AN45" s="88" t="s">
        <v>1058</v>
      </c>
      <c r="AO45" s="105" t="s">
        <v>1058</v>
      </c>
      <c r="AP45" s="85">
        <f>IFERROR(SUMIFS('Inventory Lookup'!$D$2:$D$20765,'Inventory Lookup'!$N$2:$N$20765,"Other",'Inventory Lookup'!$M$2:$M$20765,"Drive Train"),0)</f>
        <v>0</v>
      </c>
      <c r="AQ45" s="85">
        <f>IFERROR(SUMIFS('Inventory Lookup'!$D$2:$D$20765,'Inventory Lookup'!$N$2:$N$20765,"Other",'Inventory Lookup'!$M$2:$M$20765,"Body Parts"),0)</f>
        <v>0</v>
      </c>
      <c r="AR45" s="85">
        <f>IFERROR(SUMIFS('Inventory Lookup'!$D$2:$D$20765,'Inventory Lookup'!$N$2:$N$20765,"Other",'Inventory Lookup'!$M$2:$M$20765,"Suspension"),0)</f>
        <v>0</v>
      </c>
      <c r="AS45" s="85">
        <f>IFERROR(SUMIFS('Inventory Lookup'!$D$2:$D$20765,'Inventory Lookup'!$N$2:$N$20765,"Other",'Inventory Lookup'!$M$2:$M$20765,"Electrical"),0)</f>
        <v>0</v>
      </c>
      <c r="AT45" s="85">
        <f>IFERROR(SUMIFS('Inventory Lookup'!$D$2:$D$20765,'Inventory Lookup'!$N$2:$N$20765,"Other",'Inventory Lookup'!$M$2:$M$20765,"Other"),0)</f>
        <v>0</v>
      </c>
      <c r="AU45" s="85">
        <f>IFERROR(SUMIFS('Inventory Lookup'!$E$2:$E$20765,'Inventory Lookup'!$N$2:$N$20765,"Other",'Inventory Lookup'!$M$2:$M$20765,"Drive Train"),0)</f>
        <v>0</v>
      </c>
      <c r="AV45" s="85">
        <f>IFERROR(SUMIFS('Inventory Lookup'!$E$2:$E$20765,'Inventory Lookup'!$N$2:$N$20765,"Other",'Inventory Lookup'!$M$2:$M$20765,"Body Parts"),0)</f>
        <v>0</v>
      </c>
      <c r="AW45" s="85">
        <f>IFERROR(SUMIFS('Inventory Lookup'!$E$2:$E$20765,'Inventory Lookup'!$N$2:$N$20765,"Other",'Inventory Lookup'!$M$2:$M$20765,"Suspension"),0)</f>
        <v>0</v>
      </c>
      <c r="AX45" s="85">
        <f>IFERROR(SUMIFS('Inventory Lookup'!$E$2:$E$20765,'Inventory Lookup'!$N$2:$N$20765,"Other",'Inventory Lookup'!$M$2:$M$20765,"Electrical"),0)</f>
        <v>0</v>
      </c>
      <c r="AY45" s="85">
        <f>IFERROR(SUMIFS('Inventory Lookup'!$E$2:$E$20765,'Inventory Lookup'!$N$2:$N$20765,"Other",'Inventory Lookup'!$M$2:$M$20765,"Other"),0)</f>
        <v>0</v>
      </c>
      <c r="AZ45" s="78"/>
      <c r="BA45" s="89" t="s">
        <v>1065</v>
      </c>
      <c r="BB45" s="88" t="s">
        <v>1058</v>
      </c>
      <c r="BC45" s="88" t="s">
        <v>1058</v>
      </c>
      <c r="BD45" s="88" t="s">
        <v>1058</v>
      </c>
      <c r="BE45" s="88" t="s">
        <v>1058</v>
      </c>
      <c r="BF45" s="88" t="s">
        <v>1058</v>
      </c>
      <c r="BG45" s="88" t="s">
        <v>1058</v>
      </c>
      <c r="BH45" s="88" t="s">
        <v>1058</v>
      </c>
      <c r="BI45" s="88" t="s">
        <v>1058</v>
      </c>
      <c r="BJ45" s="88" t="s">
        <v>1058</v>
      </c>
      <c r="BK45" s="88" t="s">
        <v>1058</v>
      </c>
      <c r="BL45" s="88" t="s">
        <v>1058</v>
      </c>
      <c r="BM45" s="88" t="s">
        <v>1058</v>
      </c>
      <c r="BN45" s="88" t="s">
        <v>1058</v>
      </c>
      <c r="BO45" s="88" t="s">
        <v>1058</v>
      </c>
      <c r="BP45" s="88" t="s">
        <v>1058</v>
      </c>
      <c r="BQ45" s="88" t="s">
        <v>1058</v>
      </c>
      <c r="BR45" s="85">
        <f t="array" aca="1" ref="BR45" ca="1">SUM(SUMIF(Audits!$A$2:$A$29,$B$37:$B$39,Audits!B$2:B$29))</f>
        <v>0</v>
      </c>
      <c r="BS45" s="85">
        <f t="array" aca="1" ref="BS45" ca="1">SUM(SUMIF(Audits!$A$2:$A$29,$B$37:$B$39,Audits!C$2:C$29))</f>
        <v>0</v>
      </c>
      <c r="BT45" s="85">
        <f t="array" aca="1" ref="BT45" ca="1">SUM(SUMIF(Audits!$A$2:$A$29,$B$37:$B$39,Audits!D$2:D$29))</f>
        <v>0</v>
      </c>
      <c r="BU45" s="164">
        <f t="shared" ca="1" si="63"/>
        <v>0</v>
      </c>
      <c r="BV45" s="85">
        <f t="array" aca="1" ref="BV45" ca="1">SUM(SUMIF(Audits!$G$2:$G$79,$B$37:$B$39,Audits!K$2:K$79))</f>
        <v>0</v>
      </c>
      <c r="BW45" s="165" cm="1">
        <f t="array" ref="BW45">_xlfn.IFS(E45="","CHECK", E45&lt;=15000,1, E45&lt;=20000,2, E45&lt;=30000,3, E45&lt;=40000,4, E45&gt;40000,5)</f>
        <v>1</v>
      </c>
      <c r="BX45" s="132" cm="1">
        <f t="array" aca="1" ref="BX45" ca="1">_xlfn.IFS(BU45="","", BU45&lt;=60%,1, BU45&lt;=70%,2, BU45&lt;=80%,3, BU45&lt;=90%,4, BU45&gt;90%,5)</f>
        <v>1</v>
      </c>
      <c r="BY45" s="132" cm="1">
        <f t="array" ref="BY45">_xlfn.IFS(BE45="","", BE45&lt;=60,1, BE45&lt;=70,2, BE45&lt;=80,3, BE45&lt;=90,4, BE45&gt;90,5)</f>
        <v>5</v>
      </c>
      <c r="BZ45" s="92">
        <f t="shared" ca="1" si="64"/>
        <v>2.3333333333333335</v>
      </c>
      <c r="CA45" s="90" t="str" cm="1">
        <f t="array" aca="1" ref="CA45" ca="1">_xlfn.IFS(BZ45="","CHECK", BZ45&gt;=5,"A", BZ45&gt;=4,"B", BZ45&gt;=3,"C", BZ45&gt;=2,"D", BZ45&gt;=1,"E")</f>
        <v>D</v>
      </c>
      <c r="CB45" s="85">
        <f>COUNTIF($CA$37:$CA$39,"A")</f>
        <v>0</v>
      </c>
      <c r="CC45" s="85">
        <f>COUNTIF($CA$37:$CA$39,"B")</f>
        <v>0</v>
      </c>
      <c r="CD45" s="85">
        <f>COUNTIF($CA$37:$CA$39,"C")</f>
        <v>0</v>
      </c>
      <c r="CE45" s="85">
        <f>COUNTIF($CA$37:$CA$39,"D")</f>
        <v>0</v>
      </c>
      <c r="CF45" s="85">
        <f>COUNTIF($CA$37:$CA$39,"E")</f>
        <v>0</v>
      </c>
      <c r="CG45" s="3"/>
      <c r="CH45" s="3"/>
      <c r="CI45" s="3"/>
      <c r="CJ45" s="3"/>
      <c r="CK45" s="3"/>
      <c r="CL45" s="3"/>
      <c r="CM45" s="3"/>
      <c r="CN45" s="3"/>
    </row>
    <row r="46" spans="1:92" ht="14.4">
      <c r="A46" s="78"/>
      <c r="B46" s="89" t="s">
        <v>1066</v>
      </c>
      <c r="C46" s="172">
        <f t="shared" ref="C46:J46" si="65">SUM(C41:C42)</f>
        <v>57190</v>
      </c>
      <c r="D46" s="172">
        <f t="shared" si="65"/>
        <v>86832.67</v>
      </c>
      <c r="E46" s="172">
        <f t="shared" si="65"/>
        <v>84746.67</v>
      </c>
      <c r="F46" s="172">
        <f t="shared" ca="1" si="65"/>
        <v>12555</v>
      </c>
      <c r="G46" s="172">
        <f t="shared" ca="1" si="65"/>
        <v>70877.67</v>
      </c>
      <c r="H46" s="172">
        <f t="shared" si="65"/>
        <v>83432.67</v>
      </c>
      <c r="I46" s="172">
        <f t="shared" si="65"/>
        <v>3400</v>
      </c>
      <c r="J46" s="172">
        <f t="shared" si="65"/>
        <v>318</v>
      </c>
      <c r="K46" s="173">
        <f t="shared" si="55"/>
        <v>9.3529411764705889E-2</v>
      </c>
      <c r="L46" s="172">
        <f>SUM(L41:L42)</f>
        <v>800</v>
      </c>
      <c r="M46" s="174">
        <f t="shared" ca="1" si="56"/>
        <v>1.1287052748771228E-2</v>
      </c>
      <c r="N46" s="172">
        <f t="shared" ref="N46:U46" si="66">SUM(N41:N42)</f>
        <v>196</v>
      </c>
      <c r="O46" s="172">
        <f t="shared" si="66"/>
        <v>1968</v>
      </c>
      <c r="P46" s="172">
        <f t="shared" si="66"/>
        <v>3989</v>
      </c>
      <c r="Q46" s="172">
        <f t="shared" si="66"/>
        <v>7660</v>
      </c>
      <c r="R46" s="172">
        <f t="shared" si="66"/>
        <v>1669</v>
      </c>
      <c r="S46" s="172">
        <f t="shared" si="66"/>
        <v>5990</v>
      </c>
      <c r="T46" s="172">
        <f t="shared" si="66"/>
        <v>-39</v>
      </c>
      <c r="U46" s="172">
        <f t="shared" si="66"/>
        <v>-8689</v>
      </c>
      <c r="V46" s="173">
        <f t="shared" si="57"/>
        <v>0.20164609053497942</v>
      </c>
      <c r="W46" s="172">
        <f>SUM(W41:W42)</f>
        <v>172</v>
      </c>
      <c r="X46" s="207">
        <v>0</v>
      </c>
      <c r="Y46" s="172">
        <f t="shared" ref="Y46:Z46" si="67">SUM(Y41:Y42)</f>
        <v>241</v>
      </c>
      <c r="Z46" s="172">
        <f t="shared" si="67"/>
        <v>48</v>
      </c>
      <c r="AA46" s="173">
        <f t="shared" si="58"/>
        <v>0.19917012448132779</v>
      </c>
      <c r="AB46" s="172">
        <f t="shared" ref="AB46:AC46" si="68">SUM(AB41:AB42)</f>
        <v>2</v>
      </c>
      <c r="AC46" s="172">
        <f t="shared" si="68"/>
        <v>1</v>
      </c>
      <c r="AD46" s="173">
        <f t="shared" si="59"/>
        <v>0.5</v>
      </c>
      <c r="AE46" s="173">
        <f t="shared" si="60"/>
        <v>-0.22674418604651161</v>
      </c>
      <c r="AF46" s="172">
        <f t="shared" ref="AF46:AG46" ca="1" si="69">SUM(AF41:AF42)</f>
        <v>64394.33</v>
      </c>
      <c r="AG46" s="172">
        <f t="shared" ca="1" si="69"/>
        <v>0</v>
      </c>
      <c r="AH46" s="78"/>
      <c r="AI46" s="89" t="s">
        <v>1066</v>
      </c>
      <c r="AJ46" s="90">
        <f>IFERROR(SUM('Inventory Lookup'!$E$2:$E$20765)/SUM('Inventory Lookup'!$D$2:$D$20765),0)</f>
        <v>0.16839916839916841</v>
      </c>
      <c r="AK46" s="90">
        <f>IFERROR(AU46/SUMIF('Inventory Lookup'!$M$2:$M$20765,"Drive Train",'Inventory Lookup'!$D$2:$D$20765),0)</f>
        <v>0.19230769230769232</v>
      </c>
      <c r="AL46" s="90">
        <f>IFERROR(AV46/SUMIF('Inventory Lookup'!$M$2:$M$20765,"Body Parts",'Inventory Lookup'!$D$2:$D$20765),0)</f>
        <v>0.12127236580516898</v>
      </c>
      <c r="AM46" s="90">
        <f>IFERROR(AW46/SUMIF('Inventory Lookup'!$M$2:$M$20765,"Suspension",'Inventory Lookup'!$D$2:$D$20765),0)</f>
        <v>0.2289156626506024</v>
      </c>
      <c r="AN46" s="90">
        <f>IFERROR(AX46/SUMIF('Inventory Lookup'!$M$2:$M$20765,"Electrical",'Inventory Lookup'!$D$2:$D$20765),0)</f>
        <v>0.22058823529411764</v>
      </c>
      <c r="AO46" s="86">
        <f t="array" ref="AO46">SUM(SUMIF(Emp.Lookup!$A:$A,$AI$3:$AI$22,Emp.Lookup!$D:$D))/SUM(SUMIF(Emp.Lookup!$A:$A,$AI$3:$AI$22,Emp.Lookup!$C:$C))</f>
        <v>0.39067524115755625</v>
      </c>
      <c r="AP46" s="85">
        <f t="shared" ref="AP46:AY46" si="70">SUM(AP41:AP42)</f>
        <v>208</v>
      </c>
      <c r="AQ46" s="85">
        <f t="shared" si="70"/>
        <v>503</v>
      </c>
      <c r="AR46" s="85">
        <f t="shared" si="70"/>
        <v>83</v>
      </c>
      <c r="AS46" s="85">
        <f t="shared" si="70"/>
        <v>68</v>
      </c>
      <c r="AT46" s="85">
        <f t="shared" si="70"/>
        <v>581</v>
      </c>
      <c r="AU46" s="85">
        <f t="shared" si="70"/>
        <v>40</v>
      </c>
      <c r="AV46" s="85">
        <f t="shared" si="70"/>
        <v>61</v>
      </c>
      <c r="AW46" s="85">
        <f t="shared" si="70"/>
        <v>19</v>
      </c>
      <c r="AX46" s="85">
        <f t="shared" si="70"/>
        <v>15</v>
      </c>
      <c r="AY46" s="85">
        <f t="shared" si="70"/>
        <v>108</v>
      </c>
      <c r="AZ46" s="78"/>
      <c r="BA46" s="89" t="s">
        <v>1066</v>
      </c>
      <c r="BB46" s="85">
        <f t="shared" ref="BB46:BC46" si="71">SUM(BB41:BB42)</f>
        <v>42</v>
      </c>
      <c r="BC46" s="85">
        <f t="shared" ca="1" si="71"/>
        <v>877</v>
      </c>
      <c r="BD46" s="92">
        <f ca="1">BC46/'Calculated Fields'!$W46</f>
        <v>5.0988372093023253</v>
      </c>
      <c r="BE46" s="92">
        <f ca="1">IFERROR('Calculated Fields'!$C46/BC46,0)</f>
        <v>65.210946408209807</v>
      </c>
      <c r="BF46" s="88" t="s">
        <v>1058</v>
      </c>
      <c r="BG46" s="88" t="s">
        <v>1058</v>
      </c>
      <c r="BH46" s="85">
        <f ca="1">SUM(BH41:BH42)</f>
        <v>219</v>
      </c>
      <c r="BI46" s="88" t="s">
        <v>1058</v>
      </c>
      <c r="BJ46" s="88" t="s">
        <v>1058</v>
      </c>
      <c r="BK46" s="94">
        <f ca="1">SUM(BK41:BK42)</f>
        <v>0.4596412037037037</v>
      </c>
      <c r="BL46" s="88" t="s">
        <v>1058</v>
      </c>
      <c r="BM46" s="85">
        <f t="shared" ref="BM46:BN46" si="72">SUM(BM41:BM42)</f>
        <v>630</v>
      </c>
      <c r="BN46" s="85">
        <f t="shared" si="72"/>
        <v>245</v>
      </c>
      <c r="BO46" s="87">
        <f>BP46/BM46</f>
        <v>-0.41111111111111109</v>
      </c>
      <c r="BP46" s="85">
        <f t="shared" ref="BP46:BT46" si="73">SUM(BP41:BP42)</f>
        <v>-259</v>
      </c>
      <c r="BQ46" s="94">
        <f t="shared" si="73"/>
        <v>1.0814351851851853</v>
      </c>
      <c r="BR46" s="85">
        <f t="shared" ca="1" si="73"/>
        <v>4</v>
      </c>
      <c r="BS46" s="85">
        <f t="shared" ca="1" si="73"/>
        <v>216</v>
      </c>
      <c r="BT46" s="85">
        <f t="shared" ca="1" si="73"/>
        <v>3</v>
      </c>
      <c r="BU46" s="164">
        <f t="shared" ca="1" si="63"/>
        <v>1.3888888888888888E-2</v>
      </c>
      <c r="BV46" s="85">
        <f t="shared" ref="BV46" ca="1" si="74">SUM(BV41:BV42)</f>
        <v>142</v>
      </c>
      <c r="BW46" s="165" cm="1">
        <f t="array" ref="BW46">_xlfn.IFS(E46="","CHECK", E46&lt;=15000,1, E46&lt;=20000,2, E46&lt;=30000,3, E46&lt;=40000,4, E46&gt;40000,5)</f>
        <v>5</v>
      </c>
      <c r="BX46" s="132" cm="1">
        <f t="array" aca="1" ref="BX46" ca="1">_xlfn.IFS(BU46="","", BU46&lt;=60%,1, BU46&lt;=70%,2, BU46&lt;=80%,3, BU46&lt;=90%,4, BU46&gt;90%,5)</f>
        <v>1</v>
      </c>
      <c r="BY46" s="132" cm="1">
        <f t="array" aca="1" ref="BY46" ca="1">_xlfn.IFS(BE46="","", BE46&lt;=60,1, BE46&lt;=70,2, BE46&lt;=80,3, BE46&lt;=90,4, BE46&gt;90,5)</f>
        <v>2</v>
      </c>
      <c r="BZ46" s="92">
        <f t="shared" ca="1" si="64"/>
        <v>2.6666666666666665</v>
      </c>
      <c r="CA46" s="90" t="str" cm="1">
        <f t="array" aca="1" ref="CA46" ca="1">_xlfn.IFS(BZ46="","CHECK", BZ46&gt;=5,"A", BZ46&gt;=4,"B", BZ46&gt;=3,"C", BZ46&gt;=2,"D", BZ46&gt;=1,"E")</f>
        <v>D</v>
      </c>
      <c r="CB46" s="85">
        <f t="shared" ref="CB46:CF46" ca="1" si="75">SUM(CB41:CB42)</f>
        <v>0</v>
      </c>
      <c r="CC46" s="85">
        <f t="shared" ca="1" si="75"/>
        <v>0</v>
      </c>
      <c r="CD46" s="85">
        <f t="shared" ca="1" si="75"/>
        <v>0</v>
      </c>
      <c r="CE46" s="85">
        <f t="shared" ca="1" si="75"/>
        <v>6</v>
      </c>
      <c r="CF46" s="85">
        <f t="shared" ca="1" si="75"/>
        <v>9</v>
      </c>
      <c r="CG46" s="3"/>
      <c r="CH46" s="3"/>
      <c r="CI46" s="3"/>
      <c r="CJ46" s="3"/>
      <c r="CK46" s="3"/>
      <c r="CL46" s="3"/>
      <c r="CM46" s="3"/>
      <c r="CN46" s="3"/>
    </row>
    <row r="47" spans="1:92" ht="14.4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53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80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161"/>
      <c r="BS47" s="161"/>
      <c r="BT47" s="161"/>
      <c r="BU47" s="162"/>
      <c r="BV47" s="163"/>
      <c r="BW47" s="163"/>
      <c r="BX47" s="163"/>
      <c r="BY47" s="163"/>
      <c r="BZ47" s="163"/>
      <c r="CA47" s="163"/>
      <c r="CB47" s="161"/>
      <c r="CC47" s="161"/>
      <c r="CD47" s="161"/>
      <c r="CE47" s="161"/>
      <c r="CF47" s="161"/>
      <c r="CG47" s="3"/>
      <c r="CH47" s="3"/>
      <c r="CI47" s="3"/>
      <c r="CJ47" s="3"/>
      <c r="CK47" s="3"/>
      <c r="CL47" s="3"/>
      <c r="CM47" s="3"/>
      <c r="CN47" s="3"/>
    </row>
    <row r="48" spans="1:92" ht="14.4">
      <c r="A48" s="78"/>
      <c r="B48" s="81" t="s">
        <v>1067</v>
      </c>
      <c r="C48" s="82" t="s">
        <v>994</v>
      </c>
      <c r="D48" s="82" t="s">
        <v>995</v>
      </c>
      <c r="E48" s="82" t="s">
        <v>996</v>
      </c>
      <c r="F48" s="82" t="s">
        <v>997</v>
      </c>
      <c r="G48" s="82" t="s">
        <v>998</v>
      </c>
      <c r="H48" s="82" t="s">
        <v>999</v>
      </c>
      <c r="I48" s="82" t="s">
        <v>1000</v>
      </c>
      <c r="J48" s="82" t="s">
        <v>75</v>
      </c>
      <c r="K48" s="82" t="s">
        <v>1001</v>
      </c>
      <c r="L48" s="82" t="s">
        <v>1002</v>
      </c>
      <c r="M48" s="82" t="s">
        <v>1003</v>
      </c>
      <c r="N48" s="82" t="s">
        <v>80</v>
      </c>
      <c r="O48" s="82" t="s">
        <v>70</v>
      </c>
      <c r="P48" s="82" t="s">
        <v>84</v>
      </c>
      <c r="Q48" s="82" t="s">
        <v>69</v>
      </c>
      <c r="R48" s="82" t="s">
        <v>82</v>
      </c>
      <c r="S48" s="82" t="s">
        <v>1004</v>
      </c>
      <c r="T48" s="82" t="s">
        <v>104</v>
      </c>
      <c r="U48" s="82" t="s">
        <v>1005</v>
      </c>
      <c r="V48" s="82" t="s">
        <v>1006</v>
      </c>
      <c r="W48" s="82" t="s">
        <v>1007</v>
      </c>
      <c r="X48" s="82" t="s">
        <v>1008</v>
      </c>
      <c r="Y48" s="82" t="s">
        <v>72</v>
      </c>
      <c r="Z48" s="82" t="s">
        <v>1009</v>
      </c>
      <c r="AA48" s="82" t="s">
        <v>1010</v>
      </c>
      <c r="AB48" s="82" t="s">
        <v>77</v>
      </c>
      <c r="AC48" s="82" t="s">
        <v>1011</v>
      </c>
      <c r="AD48" s="82" t="s">
        <v>1012</v>
      </c>
      <c r="AE48" s="82" t="s">
        <v>1013</v>
      </c>
      <c r="AF48" s="82" t="s">
        <v>1014</v>
      </c>
      <c r="AG48" s="82" t="s">
        <v>1015</v>
      </c>
      <c r="AH48" s="78"/>
      <c r="AI48" s="81" t="s">
        <v>1067</v>
      </c>
      <c r="AJ48" s="82" t="s">
        <v>1016</v>
      </c>
      <c r="AK48" s="82" t="s">
        <v>1017</v>
      </c>
      <c r="AL48" s="82" t="s">
        <v>1018</v>
      </c>
      <c r="AM48" s="82" t="s">
        <v>1019</v>
      </c>
      <c r="AN48" s="82" t="s">
        <v>1020</v>
      </c>
      <c r="AO48" s="83" t="s">
        <v>1021</v>
      </c>
      <c r="AP48" s="82" t="s">
        <v>1022</v>
      </c>
      <c r="AQ48" s="82" t="s">
        <v>1023</v>
      </c>
      <c r="AR48" s="82" t="s">
        <v>1024</v>
      </c>
      <c r="AS48" s="82" t="s">
        <v>1025</v>
      </c>
      <c r="AT48" s="82" t="s">
        <v>1026</v>
      </c>
      <c r="AU48" s="82" t="s">
        <v>1027</v>
      </c>
      <c r="AV48" s="82" t="s">
        <v>1028</v>
      </c>
      <c r="AW48" s="82" t="s">
        <v>1029</v>
      </c>
      <c r="AX48" s="82" t="s">
        <v>1030</v>
      </c>
      <c r="AY48" s="82" t="s">
        <v>1031</v>
      </c>
      <c r="AZ48" s="78"/>
      <c r="BA48" s="81" t="s">
        <v>1067</v>
      </c>
      <c r="BB48" s="82" t="s">
        <v>1032</v>
      </c>
      <c r="BC48" s="82" t="s">
        <v>1033</v>
      </c>
      <c r="BD48" s="82" t="s">
        <v>1034</v>
      </c>
      <c r="BE48" s="82" t="s">
        <v>1035</v>
      </c>
      <c r="BF48" s="82" t="s">
        <v>1036</v>
      </c>
      <c r="BG48" s="82" t="s">
        <v>1037</v>
      </c>
      <c r="BH48" s="82" t="s">
        <v>1059</v>
      </c>
      <c r="BI48" s="82" t="s">
        <v>1039</v>
      </c>
      <c r="BJ48" s="82" t="s">
        <v>1040</v>
      </c>
      <c r="BK48" s="82" t="s">
        <v>1041</v>
      </c>
      <c r="BL48" s="82" t="s">
        <v>1042</v>
      </c>
      <c r="BM48" s="82" t="s">
        <v>1043</v>
      </c>
      <c r="BN48" s="82" t="s">
        <v>1044</v>
      </c>
      <c r="BO48" s="82" t="s">
        <v>1045</v>
      </c>
      <c r="BP48" s="82" t="s">
        <v>1046</v>
      </c>
      <c r="BQ48" s="82" t="s">
        <v>1047</v>
      </c>
      <c r="BR48" s="82" t="s">
        <v>590</v>
      </c>
      <c r="BS48" s="82" t="s">
        <v>591</v>
      </c>
      <c r="BT48" s="82" t="s">
        <v>592</v>
      </c>
      <c r="BU48" s="159" t="s">
        <v>593</v>
      </c>
      <c r="BV48" s="158" t="s">
        <v>1048</v>
      </c>
      <c r="BW48" s="83" t="s">
        <v>1049</v>
      </c>
      <c r="BX48" s="83" t="s">
        <v>1050</v>
      </c>
      <c r="BY48" s="83" t="s">
        <v>1051</v>
      </c>
      <c r="BZ48" s="83" t="s">
        <v>1052</v>
      </c>
      <c r="CA48" s="83" t="s">
        <v>124</v>
      </c>
      <c r="CB48" s="83" t="s">
        <v>1053</v>
      </c>
      <c r="CC48" s="83" t="s">
        <v>1054</v>
      </c>
      <c r="CD48" s="83" t="s">
        <v>1055</v>
      </c>
      <c r="CE48" s="83" t="s">
        <v>1056</v>
      </c>
      <c r="CF48" s="83" t="s">
        <v>1057</v>
      </c>
      <c r="CG48" s="3"/>
      <c r="CH48" s="3"/>
      <c r="CI48" s="3"/>
      <c r="CJ48" s="3"/>
      <c r="CK48" s="3"/>
      <c r="CL48" s="3"/>
      <c r="CM48" s="3"/>
      <c r="CN48" s="3"/>
    </row>
    <row r="49" spans="1:92" ht="14.4">
      <c r="A49" s="78"/>
      <c r="B49" s="89" t="s">
        <v>63</v>
      </c>
      <c r="C49" s="85">
        <f>SUM('Sales  Returns'!$D:$D)</f>
        <v>71638</v>
      </c>
      <c r="D49" s="85">
        <f>H49+I49</f>
        <v>100798.68</v>
      </c>
      <c r="E49" s="85">
        <f>H49+J49+L49+N49</f>
        <v>98720.68</v>
      </c>
      <c r="F49" s="85">
        <f>SUM('Y2Y sales'!$G:$G)</f>
        <v>12555</v>
      </c>
      <c r="G49" s="85">
        <f>H49-F49</f>
        <v>84843.68</v>
      </c>
      <c r="H49" s="85">
        <f>SUM('Sales  Returns'!$G:$G)</f>
        <v>97398.68</v>
      </c>
      <c r="I49" s="85">
        <f>SUM('Sales  Returns'!$J:$J)</f>
        <v>3400</v>
      </c>
      <c r="J49" s="85">
        <f>SUM('Sales  Returns'!$K:$K)</f>
        <v>318</v>
      </c>
      <c r="K49" s="86">
        <f>IFERROR(J49/I49,0%)</f>
        <v>9.3529411764705889E-2</v>
      </c>
      <c r="L49" s="85">
        <f>SUM('Sales  Returns'!$O:$O)</f>
        <v>800</v>
      </c>
      <c r="M49" s="87">
        <f>IFERROR(L49/G49,0)</f>
        <v>9.4291053853392502E-3</v>
      </c>
      <c r="N49" s="85">
        <f>SUM('Sales  Returns'!$P:$P)</f>
        <v>204</v>
      </c>
      <c r="O49" s="85">
        <f>SUM('Sales  Returns'!$F:$F)</f>
        <v>1972</v>
      </c>
      <c r="P49" s="85">
        <f>SUM('Sales  Returns'!$T:$T)</f>
        <v>4618</v>
      </c>
      <c r="Q49" s="85">
        <f>SUM('Sales  Returns'!$E:$E)</f>
        <v>11305</v>
      </c>
      <c r="R49" s="85">
        <f>SUM('Sales  Returns'!$R:$R)</f>
        <v>1639</v>
      </c>
      <c r="S49" s="85">
        <f>SUM('Sales  Returns'!$Q:$Q)</f>
        <v>6673</v>
      </c>
      <c r="T49" s="85">
        <f>COUNTIF('Sales  Returns'!$B:$B,'Calculated Fields'!$T$48)</f>
        <v>58</v>
      </c>
      <c r="U49" s="85">
        <f>SUMIF('Sales  Returns'!$B:$B,"returns",'Sales  Returns'!$D:$D)</f>
        <v>-12674</v>
      </c>
      <c r="V49" s="86">
        <f>IFERROR(((Z49+AC49)/(Y49+AB49)),0)</f>
        <v>0.17922077922077922</v>
      </c>
      <c r="W49" s="85">
        <f>W41+W42</f>
        <v>172</v>
      </c>
      <c r="X49" s="188">
        <v>0</v>
      </c>
      <c r="Y49" s="85">
        <f>SUM('Sales  Returns'!$H:$H)</f>
        <v>383</v>
      </c>
      <c r="Z49" s="85">
        <f>SUM('Sales  Returns'!$I:$I)</f>
        <v>68</v>
      </c>
      <c r="AA49" s="86">
        <f>IFERROR(Z49/Y49,0%)</f>
        <v>0.17754569190600522</v>
      </c>
      <c r="AB49" s="85">
        <f>SUM('Sales  Returns'!$M:$M)</f>
        <v>2</v>
      </c>
      <c r="AC49" s="85">
        <f>SUM('Sales  Returns'!$N:$N)</f>
        <v>1</v>
      </c>
      <c r="AD49" s="86">
        <f>IFERROR(AC49/AB49,0%)</f>
        <v>0.5</v>
      </c>
      <c r="AE49" s="86">
        <f>IFERROR(T49/W49,0)</f>
        <v>0.33720930232558138</v>
      </c>
      <c r="AF49" s="85">
        <f>SUM('WO &amp; Quote'!$I:$I)</f>
        <v>77868.320000000007</v>
      </c>
      <c r="AG49" s="85">
        <f>SUM('WO &amp; Quote'!$J:$J) + SUM('WO &amp; Quote'!$K:$K)</f>
        <v>0</v>
      </c>
      <c r="AH49" s="78"/>
      <c r="AI49" s="89" t="s">
        <v>63</v>
      </c>
      <c r="AJ49" s="90">
        <f>SUM('Inventory Lookup'!$E:$E)/SUM('Inventory Lookup'!$D:$D)</f>
        <v>0.16839916839916841</v>
      </c>
      <c r="AK49" s="90">
        <f>IFERROR(AU49/SUMIF('Inventory Lookup'!$M:$M,"Drive Train",'Inventory Lookup'!$D:$D),0)</f>
        <v>0.19230769230769232</v>
      </c>
      <c r="AL49" s="90">
        <f>IFERROR(AV49/SUMIF('Inventory Lookup'!$M:$M,"Body Parts",'Inventory Lookup'!$D:$D),0)</f>
        <v>0.12127236580516898</v>
      </c>
      <c r="AM49" s="90">
        <f>IFERROR(AW49/SUMIF('Inventory Lookup'!$M:$M,"Suspension",'Inventory Lookup'!$D:$D),0)</f>
        <v>0.2289156626506024</v>
      </c>
      <c r="AN49" s="90">
        <f>IFERROR(AX49/SUMIF('Inventory Lookup'!$M:$M,"Electrical",'Inventory Lookup'!$D:$D),0)</f>
        <v>0.22058823529411764</v>
      </c>
      <c r="AO49" s="86">
        <f>SUM(Emp.Lookup!$D:$D)/SUM(Emp.Lookup!$C:$C)</f>
        <v>0.39067524115755625</v>
      </c>
      <c r="AP49" s="85">
        <f>SUMIF('Inventory Lookup'!$M:$M,"Drive Train",'Inventory Lookup'!$D:$D)</f>
        <v>208</v>
      </c>
      <c r="AQ49" s="85">
        <f>SUMIF('Inventory Lookup'!$M:$M,"Body Parts",'Inventory Lookup'!$D:$D)</f>
        <v>503</v>
      </c>
      <c r="AR49" s="85">
        <f>SUMIF('Inventory Lookup'!$M:$M,"Suspension",'Inventory Lookup'!$D:$D)</f>
        <v>83</v>
      </c>
      <c r="AS49" s="85">
        <f>SUMIF('Inventory Lookup'!$M:$M,"Electrical",'Inventory Lookup'!$D:$D)</f>
        <v>68</v>
      </c>
      <c r="AT49" s="85">
        <f>SUMIF('Inventory Lookup'!$M:$M,"Other",'Inventory Lookup'!$D:$D)</f>
        <v>581</v>
      </c>
      <c r="AU49" s="85">
        <f>SUMIF('Inventory Lookup'!$M:$M,"Drive Train",'Inventory Lookup'!$E:$E)</f>
        <v>40</v>
      </c>
      <c r="AV49" s="85">
        <f>SUMIF('Inventory Lookup'!$M:$M,"Body Parts",'Inventory Lookup'!$E:$E)</f>
        <v>61</v>
      </c>
      <c r="AW49" s="85">
        <f>SUMIF('Inventory Lookup'!$M:$M,"Suspension",'Inventory Lookup'!$E:$E)</f>
        <v>19</v>
      </c>
      <c r="AX49" s="85">
        <f>SUMIF('Inventory Lookup'!$M:$M,"Electrical",'Inventory Lookup'!$E:$E)</f>
        <v>15</v>
      </c>
      <c r="AY49" s="85">
        <f>SUMIF('Inventory Lookup'!$M:$M,"Other",'Inventory Lookup'!$E:$E)</f>
        <v>108</v>
      </c>
      <c r="AZ49" s="78"/>
      <c r="BA49" s="89" t="s">
        <v>63</v>
      </c>
      <c r="BB49" s="85">
        <f>SUM(BB41:BB45)</f>
        <v>42</v>
      </c>
      <c r="BC49" s="85">
        <f ca="1">SUBTOTAL(9,BB49,BH49,BM49,BN49,BP49)</f>
        <v>877</v>
      </c>
      <c r="BD49" s="92">
        <f ca="1">BC49/'Calculated Fields'!$W49</f>
        <v>5.0988372093023253</v>
      </c>
      <c r="BE49" s="92">
        <f ca="1">IFERROR(('Calculated Fields'!$C42+$C41)/$BC$49,0)</f>
        <v>65.210946408209807</v>
      </c>
      <c r="BF49" s="94">
        <f t="array" ref="BF49">MAX(INDEX('Gate Statistics'!$B$3:$L933,,MATCH("Avg Queue",'Gate Statistics'!$B$2:$L$2,0)))</f>
        <v>1.6087962962962963E-3</v>
      </c>
      <c r="BG49" s="85">
        <f t="array" ref="BG49">MAX(INDEX('Gate Statistics'!$B$3:$L933,,MATCH("Presented",'Gate Statistics'!$B$2:$L$2,0)))</f>
        <v>657</v>
      </c>
      <c r="BH49" s="85">
        <f ca="1">SUM($BH$41:$BH$42)</f>
        <v>219</v>
      </c>
      <c r="BI49" s="85">
        <f t="array" ref="BI49">MAX(INDEX('Gate Statistics'!$B$3:$L933,,MATCH("Abandoned",'Gate Statistics'!$B$2:$L$2,0)))</f>
        <v>155</v>
      </c>
      <c r="BJ49" s="85">
        <f t="array" ref="BJ49">MAX(INDEX('Gate Statistics'!$B$3:$L933,,MATCH("Deflected",'Gate Statistics'!$B$2:$L$2,0)))</f>
        <v>108</v>
      </c>
      <c r="BK49" s="94">
        <f ca="1">SUM('Agent Activity'!$AD$5:$AD$61)</f>
        <v>0.82665509259259251</v>
      </c>
      <c r="BL49" s="86">
        <f>MAX('Gate Statistics'!$D:$D)/MAX('Gate Statistics'!$B:$B)</f>
        <v>0.23592085235920851</v>
      </c>
      <c r="BM49" s="85">
        <f>SUM($BM$41:$BM$42)</f>
        <v>630</v>
      </c>
      <c r="BN49" s="85">
        <f>SUM($BN$41:$BN$42)</f>
        <v>245</v>
      </c>
      <c r="BO49" s="87">
        <f>BP49/BM49</f>
        <v>-0.41111111111111109</v>
      </c>
      <c r="BP49" s="85">
        <f>SUM($BP$41:$BP$42)</f>
        <v>-259</v>
      </c>
      <c r="BQ49" s="94">
        <f>BQ42+BQ41</f>
        <v>1.0814351851851853</v>
      </c>
      <c r="BR49" s="85">
        <f>SUM(Audits!$B:$B)</f>
        <v>4</v>
      </c>
      <c r="BS49" s="85">
        <f>SUM(Audits!$C:$C)</f>
        <v>216</v>
      </c>
      <c r="BT49" s="85">
        <f>SUM(Audits!$D:$D)</f>
        <v>3</v>
      </c>
      <c r="BU49" s="167">
        <f>IFERROR(BT49/BS49,0)</f>
        <v>1.3888888888888888E-2</v>
      </c>
      <c r="BV49" s="171">
        <f>_xlfn.IFNA(INDEX(Audits!$G$3:$K$100,MATCH("Totals",Audits!$G$3:$G$100,0),5),0)</f>
        <v>199</v>
      </c>
      <c r="BW49" s="168" cm="1">
        <f t="array" ref="BW49">_xlfn.IFS(E49="","CHECK", E49&lt;=15000,1, E49&lt;=20000,2, E49&lt;=30000,3, E49&lt;=40000,4, E49&gt;40000,5)</f>
        <v>5</v>
      </c>
      <c r="BX49" s="132" cm="1">
        <f t="array" ref="BX49">_xlfn.IFS(BU49="","", BU49&lt;=60%,1, BU49&lt;=70%,2, BU49&lt;=80%,3, BU49&lt;=90%,4, BU49&gt;90%,5)</f>
        <v>1</v>
      </c>
      <c r="BY49" s="132" cm="1">
        <f t="array" aca="1" ref="BY49" ca="1">_xlfn.IFS(BE49="","", BE49&lt;=60,1, BE49&lt;=70,2, BE49&lt;=80,3, BE49&lt;=90,4, BE49&gt;90,5)</f>
        <v>2</v>
      </c>
      <c r="BZ49" s="92">
        <f ca="1">AVERAGE(BW49:BY49)</f>
        <v>2.6666666666666665</v>
      </c>
      <c r="CA49" s="90" t="str" cm="1">
        <f t="array" aca="1" ref="CA49" ca="1">_xlfn.IFS(BZ49="","CHECK", BZ49&gt;=5,"A", BZ49&gt;=4,"B", BZ49&gt;=3,"C", BZ49&gt;=2,"D", BZ49&gt;=1,"E")</f>
        <v>D</v>
      </c>
      <c r="CB49" s="85">
        <f ca="1">SUM($CB$41:$CB$45)</f>
        <v>0</v>
      </c>
      <c r="CC49" s="85">
        <f ca="1">SUM($CC$41:$CC$45)</f>
        <v>0</v>
      </c>
      <c r="CD49" s="85">
        <f ca="1">SUM($CD$41:$CD$45)</f>
        <v>0</v>
      </c>
      <c r="CE49" s="85">
        <f ca="1">SUM($CE$41:$CE$45)</f>
        <v>6</v>
      </c>
      <c r="CF49" s="85">
        <f ca="1">SUM($CF$41:$CF$45)</f>
        <v>9</v>
      </c>
      <c r="CG49" s="3"/>
      <c r="CH49" s="3"/>
      <c r="CI49" s="3"/>
      <c r="CJ49" s="3"/>
      <c r="CK49" s="3"/>
      <c r="CL49" s="3"/>
      <c r="CM49" s="3"/>
      <c r="CN49" s="3"/>
    </row>
    <row r="50" spans="1:92" ht="14.4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53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161"/>
      <c r="BS50" s="161"/>
      <c r="BT50" s="161"/>
      <c r="BU50" s="162"/>
      <c r="BV50" s="163"/>
      <c r="BW50" s="163"/>
      <c r="BX50" s="163"/>
      <c r="BY50" s="163"/>
      <c r="BZ50" s="163"/>
      <c r="CA50" s="163"/>
      <c r="CB50" s="161"/>
      <c r="CC50" s="161"/>
      <c r="CD50" s="161"/>
      <c r="CE50" s="161"/>
      <c r="CF50" s="161"/>
      <c r="CG50" s="3"/>
      <c r="CH50" s="3"/>
      <c r="CI50" s="3"/>
      <c r="CJ50" s="3"/>
      <c r="CK50" s="3"/>
      <c r="CL50" s="3"/>
      <c r="CM50" s="3"/>
      <c r="CN50" s="3"/>
    </row>
    <row r="51" spans="1:92" ht="14.4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53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80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161"/>
      <c r="BS51" s="161"/>
      <c r="BT51" s="161"/>
      <c r="BU51" s="162"/>
      <c r="BV51" s="163"/>
      <c r="BW51" s="163"/>
      <c r="BX51" s="163"/>
      <c r="BY51" s="163"/>
      <c r="BZ51" s="163"/>
      <c r="CA51" s="163"/>
      <c r="CB51" s="161"/>
      <c r="CC51" s="161"/>
      <c r="CD51" s="161"/>
      <c r="CE51" s="161"/>
      <c r="CF51" s="161"/>
      <c r="CG51" s="3"/>
      <c r="CH51" s="3"/>
      <c r="CI51" s="3"/>
      <c r="CJ51" s="3"/>
      <c r="CK51" s="3"/>
      <c r="CL51" s="3"/>
      <c r="CM51" s="3"/>
      <c r="CN51" s="3"/>
    </row>
    <row r="52" spans="1:92" ht="14.4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53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80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161"/>
      <c r="BS52" s="161"/>
      <c r="BT52" s="161"/>
      <c r="BU52" s="162"/>
      <c r="BV52" s="163"/>
      <c r="BW52" s="163"/>
      <c r="BX52" s="163"/>
      <c r="BY52" s="163"/>
      <c r="BZ52" s="163"/>
      <c r="CA52" s="163"/>
      <c r="CB52" s="161"/>
      <c r="CC52" s="161"/>
      <c r="CD52" s="161"/>
      <c r="CE52" s="161"/>
      <c r="CF52" s="161"/>
      <c r="CG52" s="3"/>
      <c r="CH52" s="3"/>
      <c r="CI52" s="3"/>
      <c r="CJ52" s="3"/>
      <c r="CK52" s="3"/>
      <c r="CL52" s="3"/>
      <c r="CM52" s="3"/>
      <c r="CN52" s="3"/>
    </row>
    <row r="53" spans="1:92" ht="14.4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53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80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161"/>
      <c r="BS53" s="161"/>
      <c r="BT53" s="161"/>
      <c r="BU53" s="162"/>
      <c r="BV53" s="163"/>
      <c r="BW53" s="163"/>
      <c r="BX53" s="163"/>
      <c r="BY53" s="163"/>
      <c r="BZ53" s="163"/>
      <c r="CA53" s="163"/>
      <c r="CB53" s="161"/>
      <c r="CC53" s="161"/>
      <c r="CD53" s="161"/>
      <c r="CE53" s="161"/>
      <c r="CF53" s="161"/>
      <c r="CG53" s="3"/>
      <c r="CH53" s="3"/>
      <c r="CI53" s="3"/>
      <c r="CJ53" s="3"/>
      <c r="CK53" s="3"/>
      <c r="CL53" s="3"/>
      <c r="CM53" s="3"/>
      <c r="CN53" s="3"/>
    </row>
    <row r="54" spans="1:92" ht="14.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53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80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161"/>
      <c r="BS54" s="161"/>
      <c r="BT54" s="161"/>
      <c r="BU54" s="162"/>
      <c r="BV54" s="163"/>
      <c r="BW54" s="163"/>
      <c r="BX54" s="163"/>
      <c r="BY54" s="163"/>
      <c r="BZ54" s="163"/>
      <c r="CA54" s="163"/>
      <c r="CB54" s="161"/>
      <c r="CC54" s="161"/>
      <c r="CD54" s="161"/>
      <c r="CE54" s="161"/>
      <c r="CF54" s="161"/>
      <c r="CG54" s="3"/>
      <c r="CH54" s="3"/>
      <c r="CI54" s="3"/>
      <c r="CJ54" s="3"/>
      <c r="CK54" s="3"/>
      <c r="CL54" s="3"/>
      <c r="CM54" s="3"/>
      <c r="CN54" s="3"/>
    </row>
    <row r="55" spans="1:92" ht="14.4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53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80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161"/>
      <c r="BS55" s="161"/>
      <c r="BT55" s="161"/>
      <c r="BU55" s="162"/>
      <c r="BV55" s="163"/>
      <c r="BW55" s="163"/>
      <c r="BX55" s="163"/>
      <c r="BY55" s="163"/>
      <c r="BZ55" s="163"/>
      <c r="CA55" s="163"/>
      <c r="CB55" s="161"/>
      <c r="CC55" s="161"/>
      <c r="CD55" s="161"/>
      <c r="CE55" s="161"/>
      <c r="CF55" s="161"/>
      <c r="CG55" s="3"/>
      <c r="CH55" s="3"/>
      <c r="CI55" s="3"/>
      <c r="CJ55" s="3"/>
      <c r="CK55" s="3"/>
      <c r="CL55" s="3"/>
      <c r="CM55" s="3"/>
      <c r="CN55" s="3"/>
    </row>
    <row r="56" spans="1:92" ht="14.4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53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80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161"/>
      <c r="BS56" s="161"/>
      <c r="BT56" s="161"/>
      <c r="BU56" s="162"/>
      <c r="BV56" s="163"/>
      <c r="BW56" s="163"/>
      <c r="BX56" s="163"/>
      <c r="BY56" s="163"/>
      <c r="BZ56" s="163"/>
      <c r="CA56" s="163"/>
      <c r="CB56" s="161"/>
      <c r="CC56" s="161"/>
      <c r="CD56" s="161"/>
      <c r="CE56" s="161"/>
      <c r="CF56" s="161"/>
      <c r="CG56" s="3"/>
      <c r="CH56" s="3"/>
      <c r="CI56" s="3"/>
      <c r="CJ56" s="3"/>
      <c r="CK56" s="3"/>
      <c r="CL56" s="3"/>
      <c r="CM56" s="3"/>
      <c r="CN56" s="3"/>
    </row>
    <row r="57" spans="1:92" ht="14.4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53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80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161"/>
      <c r="BS57" s="161"/>
      <c r="BT57" s="161"/>
      <c r="BU57" s="162"/>
      <c r="BV57" s="163"/>
      <c r="BW57" s="163"/>
      <c r="BX57" s="163"/>
      <c r="BY57" s="163"/>
      <c r="BZ57" s="163"/>
      <c r="CA57" s="163"/>
      <c r="CB57" s="161"/>
      <c r="CC57" s="161"/>
      <c r="CD57" s="161"/>
      <c r="CE57" s="161"/>
      <c r="CF57" s="161"/>
      <c r="CG57" s="3"/>
      <c r="CH57" s="3"/>
      <c r="CI57" s="3"/>
      <c r="CJ57" s="3"/>
      <c r="CK57" s="3"/>
      <c r="CL57" s="3"/>
      <c r="CM57" s="3"/>
      <c r="CN57" s="3"/>
    </row>
    <row r="58" spans="1:92" ht="14.4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53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80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161"/>
      <c r="BS58" s="161"/>
      <c r="BT58" s="161"/>
      <c r="BU58" s="162"/>
      <c r="BV58" s="163"/>
      <c r="BW58" s="163"/>
      <c r="BX58" s="163"/>
      <c r="BY58" s="163"/>
      <c r="BZ58" s="163"/>
      <c r="CA58" s="163"/>
      <c r="CB58" s="161"/>
      <c r="CC58" s="161"/>
      <c r="CD58" s="161"/>
      <c r="CE58" s="161"/>
      <c r="CF58" s="161"/>
      <c r="CG58" s="3"/>
      <c r="CH58" s="3"/>
      <c r="CI58" s="3"/>
      <c r="CJ58" s="3"/>
      <c r="CK58" s="3"/>
      <c r="CL58" s="3"/>
      <c r="CM58" s="3"/>
      <c r="CN58" s="3"/>
    </row>
    <row r="59" spans="1:92" ht="14.4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53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80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161"/>
      <c r="BS59" s="161"/>
      <c r="BT59" s="161"/>
      <c r="BU59" s="162"/>
      <c r="BV59" s="163"/>
      <c r="BW59" s="163"/>
      <c r="BX59" s="163"/>
      <c r="BY59" s="163"/>
      <c r="BZ59" s="163"/>
      <c r="CA59" s="163"/>
      <c r="CB59" s="161"/>
      <c r="CC59" s="161"/>
      <c r="CD59" s="161"/>
      <c r="CE59" s="161"/>
      <c r="CF59" s="161"/>
      <c r="CG59" s="3"/>
      <c r="CH59" s="3"/>
      <c r="CI59" s="3"/>
      <c r="CJ59" s="3"/>
      <c r="CK59" s="3"/>
      <c r="CL59" s="3"/>
      <c r="CM59" s="3"/>
      <c r="CN59" s="3"/>
    </row>
    <row r="60" spans="1:92" ht="14.4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106"/>
      <c r="P60" s="78"/>
      <c r="Q60" s="78"/>
      <c r="R60" s="78"/>
      <c r="S60" s="78"/>
      <c r="T60" s="78"/>
      <c r="U60" s="78"/>
      <c r="V60" s="78"/>
      <c r="W60" s="78"/>
      <c r="X60" s="53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80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161"/>
      <c r="BS60" s="161"/>
      <c r="BT60" s="161"/>
      <c r="BU60" s="162"/>
      <c r="BV60" s="163"/>
      <c r="BW60" s="163"/>
      <c r="BX60" s="163"/>
      <c r="BY60" s="163"/>
      <c r="BZ60" s="163"/>
      <c r="CA60" s="163"/>
      <c r="CB60" s="161"/>
      <c r="CC60" s="161"/>
      <c r="CD60" s="161"/>
      <c r="CE60" s="161"/>
      <c r="CF60" s="161"/>
      <c r="CG60" s="3"/>
      <c r="CH60" s="3"/>
      <c r="CI60" s="3"/>
      <c r="CJ60" s="3"/>
      <c r="CK60" s="3"/>
      <c r="CL60" s="3"/>
      <c r="CM60" s="3"/>
      <c r="CN60" s="3"/>
    </row>
    <row r="61" spans="1:92" ht="14.4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53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80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161"/>
      <c r="BS61" s="161"/>
      <c r="BT61" s="161"/>
      <c r="BU61" s="162"/>
      <c r="BV61" s="163"/>
      <c r="BW61" s="163"/>
      <c r="BX61" s="163"/>
      <c r="BY61" s="163"/>
      <c r="BZ61" s="163"/>
      <c r="CA61" s="163"/>
      <c r="CB61" s="161"/>
      <c r="CC61" s="161"/>
      <c r="CD61" s="161"/>
      <c r="CE61" s="161"/>
      <c r="CF61" s="161"/>
      <c r="CG61" s="3"/>
      <c r="CH61" s="3"/>
      <c r="CI61" s="3"/>
      <c r="CJ61" s="3"/>
      <c r="CK61" s="3"/>
      <c r="CL61" s="3"/>
      <c r="CM61" s="3"/>
      <c r="CN61" s="3"/>
    </row>
    <row r="62" spans="1:92" ht="14.4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80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161"/>
      <c r="BS62" s="161"/>
      <c r="BT62" s="161"/>
      <c r="BU62" s="162"/>
      <c r="BV62" s="163"/>
      <c r="BW62" s="163"/>
      <c r="BX62" s="163"/>
      <c r="BY62" s="163"/>
      <c r="BZ62" s="163"/>
      <c r="CA62" s="163"/>
      <c r="CB62" s="161"/>
      <c r="CC62" s="161"/>
      <c r="CD62" s="161"/>
      <c r="CE62" s="161"/>
      <c r="CF62" s="161"/>
      <c r="CG62" s="3"/>
      <c r="CH62" s="3"/>
      <c r="CI62" s="3"/>
      <c r="CJ62" s="3"/>
      <c r="CK62" s="3"/>
      <c r="CL62" s="3"/>
      <c r="CM62" s="3"/>
      <c r="CN62" s="3"/>
    </row>
    <row r="63" spans="1:92" ht="14.4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80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161"/>
      <c r="BS63" s="161"/>
      <c r="BT63" s="161"/>
      <c r="BU63" s="162"/>
      <c r="BV63" s="163"/>
      <c r="BW63" s="163"/>
      <c r="BX63" s="163"/>
      <c r="BY63" s="163"/>
      <c r="BZ63" s="163"/>
      <c r="CA63" s="163"/>
      <c r="CB63" s="161"/>
      <c r="CC63" s="161"/>
      <c r="CD63" s="161"/>
      <c r="CE63" s="161"/>
      <c r="CF63" s="161"/>
      <c r="CG63" s="3"/>
      <c r="CH63" s="3"/>
      <c r="CI63" s="3"/>
      <c r="CJ63" s="3"/>
      <c r="CK63" s="3"/>
      <c r="CL63" s="3"/>
      <c r="CM63" s="3"/>
      <c r="CN63" s="3"/>
    </row>
    <row r="64" spans="1:92" ht="14.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53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80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161"/>
      <c r="BS64" s="161"/>
      <c r="BT64" s="161"/>
      <c r="BU64" s="162"/>
      <c r="BV64" s="163"/>
      <c r="BW64" s="163"/>
      <c r="BX64" s="163"/>
      <c r="BY64" s="163"/>
      <c r="BZ64" s="163"/>
      <c r="CA64" s="163"/>
      <c r="CB64" s="161"/>
      <c r="CC64" s="161"/>
      <c r="CD64" s="161"/>
      <c r="CE64" s="161"/>
      <c r="CF64" s="161"/>
      <c r="CG64" s="3"/>
      <c r="CH64" s="3"/>
      <c r="CI64" s="3"/>
      <c r="CJ64" s="3"/>
      <c r="CK64" s="3"/>
      <c r="CL64" s="3"/>
      <c r="CM64" s="3"/>
      <c r="CN64" s="3"/>
    </row>
    <row r="65" spans="1:92" ht="14.4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53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80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161"/>
      <c r="BS65" s="161"/>
      <c r="BT65" s="161"/>
      <c r="BU65" s="162"/>
      <c r="BV65" s="163"/>
      <c r="BW65" s="163"/>
      <c r="BX65" s="163"/>
      <c r="BY65" s="163"/>
      <c r="BZ65" s="163"/>
      <c r="CA65" s="163"/>
      <c r="CB65" s="161"/>
      <c r="CC65" s="161"/>
      <c r="CD65" s="161"/>
      <c r="CE65" s="161"/>
      <c r="CF65" s="161"/>
      <c r="CG65" s="3"/>
      <c r="CH65" s="3"/>
      <c r="CI65" s="3"/>
      <c r="CJ65" s="3"/>
      <c r="CK65" s="3"/>
      <c r="CL65" s="3"/>
      <c r="CM65" s="3"/>
      <c r="CN65" s="3"/>
    </row>
    <row r="66" spans="1:92" ht="14.4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53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80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161"/>
      <c r="BS66" s="161"/>
      <c r="BT66" s="161"/>
      <c r="BU66" s="162"/>
      <c r="BV66" s="163"/>
      <c r="BW66" s="163"/>
      <c r="BX66" s="163"/>
      <c r="BY66" s="163"/>
      <c r="BZ66" s="163"/>
      <c r="CA66" s="163"/>
      <c r="CB66" s="161"/>
      <c r="CC66" s="161"/>
      <c r="CD66" s="161"/>
      <c r="CE66" s="161"/>
      <c r="CF66" s="161"/>
      <c r="CG66" s="3"/>
      <c r="CH66" s="3"/>
      <c r="CI66" s="3"/>
      <c r="CJ66" s="3"/>
      <c r="CK66" s="3"/>
      <c r="CL66" s="3"/>
      <c r="CM66" s="3"/>
      <c r="CN66" s="3"/>
    </row>
    <row r="67" spans="1:92" ht="14.4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53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80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161"/>
      <c r="BS67" s="161"/>
      <c r="BT67" s="161"/>
      <c r="BU67" s="162"/>
      <c r="BV67" s="163"/>
      <c r="BW67" s="163"/>
      <c r="BX67" s="163"/>
      <c r="BY67" s="163"/>
      <c r="BZ67" s="163"/>
      <c r="CA67" s="163"/>
      <c r="CB67" s="161"/>
      <c r="CC67" s="161"/>
      <c r="CD67" s="161"/>
      <c r="CE67" s="161"/>
      <c r="CF67" s="161"/>
      <c r="CG67" s="3"/>
      <c r="CH67" s="3"/>
      <c r="CI67" s="3"/>
      <c r="CJ67" s="3"/>
      <c r="CK67" s="3"/>
      <c r="CL67" s="3"/>
      <c r="CM67" s="3"/>
      <c r="CN67" s="3"/>
    </row>
    <row r="68" spans="1:92" ht="14.4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53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80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161"/>
      <c r="BS68" s="161"/>
      <c r="BT68" s="161"/>
      <c r="BU68" s="162"/>
      <c r="BV68" s="163"/>
      <c r="BW68" s="163"/>
      <c r="BX68" s="163"/>
      <c r="BY68" s="163"/>
      <c r="BZ68" s="163"/>
      <c r="CA68" s="163"/>
      <c r="CB68" s="161"/>
      <c r="CC68" s="161"/>
      <c r="CD68" s="161"/>
      <c r="CE68" s="161"/>
      <c r="CF68" s="161"/>
      <c r="CG68" s="3"/>
      <c r="CH68" s="3"/>
      <c r="CI68" s="3"/>
      <c r="CJ68" s="3"/>
      <c r="CK68" s="3"/>
      <c r="CL68" s="3"/>
      <c r="CM68" s="3"/>
      <c r="CN68" s="3"/>
    </row>
    <row r="69" spans="1:92" ht="14.4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53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80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161"/>
      <c r="BS69" s="161"/>
      <c r="BT69" s="161"/>
      <c r="BU69" s="162"/>
      <c r="BV69" s="163"/>
      <c r="BW69" s="163"/>
      <c r="BX69" s="163"/>
      <c r="BY69" s="163"/>
      <c r="BZ69" s="163"/>
      <c r="CA69" s="163"/>
      <c r="CB69" s="161"/>
      <c r="CC69" s="161"/>
      <c r="CD69" s="161"/>
      <c r="CE69" s="161"/>
      <c r="CF69" s="161"/>
      <c r="CG69" s="3"/>
      <c r="CH69" s="3"/>
      <c r="CI69" s="3"/>
      <c r="CJ69" s="3"/>
      <c r="CK69" s="3"/>
      <c r="CL69" s="3"/>
      <c r="CM69" s="3"/>
      <c r="CN69" s="3"/>
    </row>
    <row r="70" spans="1:92" ht="14.4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53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80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161"/>
      <c r="BS70" s="161"/>
      <c r="BT70" s="161"/>
      <c r="BU70" s="162"/>
      <c r="BV70" s="163"/>
      <c r="BW70" s="163"/>
      <c r="BX70" s="163"/>
      <c r="BY70" s="163"/>
      <c r="BZ70" s="163"/>
      <c r="CA70" s="163"/>
      <c r="CB70" s="161"/>
      <c r="CC70" s="161"/>
      <c r="CD70" s="161"/>
      <c r="CE70" s="161"/>
      <c r="CF70" s="161"/>
      <c r="CG70" s="3"/>
      <c r="CH70" s="3"/>
      <c r="CI70" s="3"/>
      <c r="CJ70" s="3"/>
      <c r="CK70" s="3"/>
      <c r="CL70" s="3"/>
      <c r="CM70" s="3"/>
      <c r="CN70" s="3"/>
    </row>
    <row r="71" spans="1:92" ht="14.4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53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80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161"/>
      <c r="BS71" s="161"/>
      <c r="BT71" s="161"/>
      <c r="BU71" s="162"/>
      <c r="BV71" s="163"/>
      <c r="BW71" s="163"/>
      <c r="BX71" s="163"/>
      <c r="BY71" s="163"/>
      <c r="BZ71" s="163"/>
      <c r="CA71" s="163"/>
      <c r="CB71" s="161"/>
      <c r="CC71" s="161"/>
      <c r="CD71" s="161"/>
      <c r="CE71" s="161"/>
      <c r="CF71" s="161"/>
      <c r="CG71" s="3"/>
      <c r="CH71" s="3"/>
      <c r="CI71" s="3"/>
      <c r="CJ71" s="3"/>
      <c r="CK71" s="3"/>
      <c r="CL71" s="3"/>
      <c r="CM71" s="3"/>
      <c r="CN71" s="3"/>
    </row>
    <row r="72" spans="1:92" ht="14.4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53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80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161"/>
      <c r="BS72" s="161"/>
      <c r="BT72" s="161"/>
      <c r="BU72" s="162"/>
      <c r="BV72" s="163"/>
      <c r="BW72" s="163"/>
      <c r="BX72" s="163"/>
      <c r="BY72" s="163"/>
      <c r="BZ72" s="163"/>
      <c r="CA72" s="163"/>
      <c r="CB72" s="161"/>
      <c r="CC72" s="161"/>
      <c r="CD72" s="161"/>
      <c r="CE72" s="161"/>
      <c r="CF72" s="161"/>
      <c r="CG72" s="3"/>
      <c r="CH72" s="3"/>
      <c r="CI72" s="3"/>
      <c r="CJ72" s="3"/>
      <c r="CK72" s="3"/>
      <c r="CL72" s="3"/>
      <c r="CM72" s="3"/>
      <c r="CN72" s="3"/>
    </row>
    <row r="73" spans="1:92" ht="14.4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53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80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161"/>
      <c r="BS73" s="161"/>
      <c r="BT73" s="161"/>
      <c r="BU73" s="162"/>
      <c r="BV73" s="163"/>
      <c r="BW73" s="163"/>
      <c r="BX73" s="163"/>
      <c r="BY73" s="163"/>
      <c r="BZ73" s="163"/>
      <c r="CA73" s="163"/>
      <c r="CB73" s="161"/>
      <c r="CC73" s="161"/>
      <c r="CD73" s="161"/>
      <c r="CE73" s="161"/>
      <c r="CF73" s="161"/>
      <c r="CG73" s="3"/>
      <c r="CH73" s="3"/>
      <c r="CI73" s="3"/>
      <c r="CJ73" s="3"/>
      <c r="CK73" s="3"/>
      <c r="CL73" s="3"/>
      <c r="CM73" s="3"/>
      <c r="CN73" s="3"/>
    </row>
    <row r="74" spans="1:92" ht="14.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53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80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161"/>
      <c r="BS74" s="161"/>
      <c r="BT74" s="161"/>
      <c r="BU74" s="162"/>
      <c r="BV74" s="163"/>
      <c r="BW74" s="163"/>
      <c r="BX74" s="163"/>
      <c r="BY74" s="163"/>
      <c r="BZ74" s="163"/>
      <c r="CA74" s="163"/>
      <c r="CB74" s="161"/>
      <c r="CC74" s="161"/>
      <c r="CD74" s="161"/>
      <c r="CE74" s="161"/>
      <c r="CF74" s="161"/>
      <c r="CG74" s="3"/>
      <c r="CH74" s="3"/>
      <c r="CI74" s="3"/>
      <c r="CJ74" s="3"/>
      <c r="CK74" s="3"/>
      <c r="CL74" s="3"/>
      <c r="CM74" s="3"/>
      <c r="CN74" s="3"/>
    </row>
    <row r="75" spans="1:92" ht="14.4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53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80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161"/>
      <c r="BS75" s="161"/>
      <c r="BT75" s="161"/>
      <c r="BU75" s="162"/>
      <c r="BV75" s="163"/>
      <c r="BW75" s="163"/>
      <c r="BX75" s="163"/>
      <c r="BY75" s="163"/>
      <c r="BZ75" s="163"/>
      <c r="CA75" s="163"/>
      <c r="CB75" s="161"/>
      <c r="CC75" s="161"/>
      <c r="CD75" s="161"/>
      <c r="CE75" s="161"/>
      <c r="CF75" s="161"/>
      <c r="CG75" s="3"/>
      <c r="CH75" s="3"/>
      <c r="CI75" s="3"/>
      <c r="CJ75" s="3"/>
      <c r="CK75" s="3"/>
      <c r="CL75" s="3"/>
      <c r="CM75" s="3"/>
      <c r="CN75" s="3"/>
    </row>
    <row r="76" spans="1:92" ht="14.4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53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80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161"/>
      <c r="BS76" s="161"/>
      <c r="BT76" s="161"/>
      <c r="BU76" s="162"/>
      <c r="BV76" s="163"/>
      <c r="BW76" s="163"/>
      <c r="BX76" s="163"/>
      <c r="BY76" s="163"/>
      <c r="BZ76" s="163"/>
      <c r="CA76" s="163"/>
      <c r="CB76" s="161"/>
      <c r="CC76" s="161"/>
      <c r="CD76" s="161"/>
      <c r="CE76" s="161"/>
      <c r="CF76" s="161"/>
      <c r="CG76" s="3"/>
      <c r="CH76" s="3"/>
      <c r="CI76" s="3"/>
      <c r="CJ76" s="3"/>
      <c r="CK76" s="3"/>
      <c r="CL76" s="3"/>
      <c r="CM76" s="3"/>
      <c r="CN76" s="3"/>
    </row>
    <row r="77" spans="1:92" ht="14.4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53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80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161"/>
      <c r="BS77" s="161"/>
      <c r="BT77" s="161"/>
      <c r="BU77" s="162"/>
      <c r="BV77" s="163"/>
      <c r="BW77" s="163"/>
      <c r="BX77" s="163"/>
      <c r="BY77" s="163"/>
      <c r="BZ77" s="163"/>
      <c r="CA77" s="163"/>
      <c r="CB77" s="161"/>
      <c r="CC77" s="161"/>
      <c r="CD77" s="161"/>
      <c r="CE77" s="161"/>
      <c r="CF77" s="161"/>
      <c r="CG77" s="3"/>
      <c r="CH77" s="3"/>
      <c r="CI77" s="3"/>
      <c r="CJ77" s="3"/>
      <c r="CK77" s="3"/>
      <c r="CL77" s="3"/>
      <c r="CM77" s="3"/>
      <c r="CN77" s="3"/>
    </row>
    <row r="78" spans="1:92" ht="14.4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53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80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161"/>
      <c r="BS78" s="161"/>
      <c r="BT78" s="161"/>
      <c r="BU78" s="162"/>
      <c r="BV78" s="163"/>
      <c r="BW78" s="163"/>
      <c r="BX78" s="163"/>
      <c r="BY78" s="163"/>
      <c r="BZ78" s="163"/>
      <c r="CA78" s="163"/>
      <c r="CB78" s="161"/>
      <c r="CC78" s="161"/>
      <c r="CD78" s="161"/>
      <c r="CE78" s="161"/>
      <c r="CF78" s="161"/>
      <c r="CG78" s="3"/>
      <c r="CH78" s="3"/>
      <c r="CI78" s="3"/>
      <c r="CJ78" s="3"/>
      <c r="CK78" s="3"/>
      <c r="CL78" s="3"/>
      <c r="CM78" s="3"/>
      <c r="CN78" s="3"/>
    </row>
    <row r="79" spans="1:92" ht="14.4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53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80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161"/>
      <c r="BS79" s="161"/>
      <c r="BT79" s="161"/>
      <c r="BU79" s="162"/>
      <c r="BV79" s="163"/>
      <c r="BW79" s="163"/>
      <c r="BX79" s="163"/>
      <c r="BY79" s="163"/>
      <c r="BZ79" s="163"/>
      <c r="CA79" s="163"/>
      <c r="CB79" s="161"/>
      <c r="CC79" s="161"/>
      <c r="CD79" s="161"/>
      <c r="CE79" s="161"/>
      <c r="CF79" s="161"/>
      <c r="CG79" s="3"/>
      <c r="CH79" s="3"/>
      <c r="CI79" s="3"/>
      <c r="CJ79" s="3"/>
      <c r="CK79" s="3"/>
      <c r="CL79" s="3"/>
      <c r="CM79" s="3"/>
      <c r="CN79" s="3"/>
    </row>
    <row r="80" spans="1:92" ht="14.4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53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80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161"/>
      <c r="BS80" s="161"/>
      <c r="BT80" s="161"/>
      <c r="BU80" s="162"/>
      <c r="BV80" s="163"/>
      <c r="BW80" s="163"/>
      <c r="BX80" s="163"/>
      <c r="BY80" s="163"/>
      <c r="BZ80" s="163"/>
      <c r="CA80" s="163"/>
      <c r="CB80" s="161"/>
      <c r="CC80" s="161"/>
      <c r="CD80" s="161"/>
      <c r="CE80" s="161"/>
      <c r="CF80" s="161"/>
      <c r="CG80" s="3"/>
      <c r="CH80" s="3"/>
      <c r="CI80" s="3"/>
      <c r="CJ80" s="3"/>
      <c r="CK80" s="3"/>
      <c r="CL80" s="3"/>
      <c r="CM80" s="3"/>
      <c r="CN80" s="3"/>
    </row>
    <row r="81" spans="1:92" ht="14.4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53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80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161"/>
      <c r="BS81" s="161"/>
      <c r="BT81" s="161"/>
      <c r="BU81" s="162"/>
      <c r="BV81" s="163"/>
      <c r="BW81" s="163"/>
      <c r="BX81" s="163"/>
      <c r="BY81" s="163"/>
      <c r="BZ81" s="163"/>
      <c r="CA81" s="163"/>
      <c r="CB81" s="161"/>
      <c r="CC81" s="161"/>
      <c r="CD81" s="161"/>
      <c r="CE81" s="161"/>
      <c r="CF81" s="161"/>
      <c r="CG81" s="3"/>
      <c r="CH81" s="3"/>
      <c r="CI81" s="3"/>
      <c r="CJ81" s="3"/>
      <c r="CK81" s="3"/>
      <c r="CL81" s="3"/>
      <c r="CM81" s="3"/>
      <c r="CN81" s="3"/>
    </row>
    <row r="82" spans="1:92" ht="14.4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53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80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161"/>
      <c r="BS82" s="161"/>
      <c r="BT82" s="161"/>
      <c r="BU82" s="162"/>
      <c r="BV82" s="163"/>
      <c r="BW82" s="163"/>
      <c r="BX82" s="163"/>
      <c r="BY82" s="163"/>
      <c r="BZ82" s="163"/>
      <c r="CA82" s="163"/>
      <c r="CB82" s="161"/>
      <c r="CC82" s="161"/>
      <c r="CD82" s="161"/>
      <c r="CE82" s="161"/>
      <c r="CF82" s="161"/>
      <c r="CG82" s="3"/>
      <c r="CH82" s="3"/>
      <c r="CI82" s="3"/>
      <c r="CJ82" s="3"/>
      <c r="CK82" s="3"/>
      <c r="CL82" s="3"/>
      <c r="CM82" s="3"/>
      <c r="CN82" s="3"/>
    </row>
    <row r="83" spans="1:92" ht="14.4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53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80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161"/>
      <c r="BS83" s="161"/>
      <c r="BT83" s="161"/>
      <c r="BU83" s="162"/>
      <c r="BV83" s="163"/>
      <c r="BW83" s="163"/>
      <c r="BX83" s="163"/>
      <c r="BY83" s="163"/>
      <c r="BZ83" s="163"/>
      <c r="CA83" s="163"/>
      <c r="CB83" s="161"/>
      <c r="CC83" s="161"/>
      <c r="CD83" s="161"/>
      <c r="CE83" s="161"/>
      <c r="CF83" s="161"/>
      <c r="CG83" s="3"/>
      <c r="CH83" s="3"/>
      <c r="CI83" s="3"/>
      <c r="CJ83" s="3"/>
      <c r="CK83" s="3"/>
      <c r="CL83" s="3"/>
      <c r="CM83" s="3"/>
      <c r="CN83" s="3"/>
    </row>
    <row r="84" spans="1:92" ht="14.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53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80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161"/>
      <c r="BS84" s="161"/>
      <c r="BT84" s="161"/>
      <c r="BU84" s="162"/>
      <c r="BV84" s="163"/>
      <c r="BW84" s="163"/>
      <c r="BX84" s="163"/>
      <c r="BY84" s="163"/>
      <c r="BZ84" s="163"/>
      <c r="CA84" s="163"/>
      <c r="CB84" s="161"/>
      <c r="CC84" s="161"/>
      <c r="CD84" s="161"/>
      <c r="CE84" s="161"/>
      <c r="CF84" s="161"/>
      <c r="CG84" s="3"/>
      <c r="CH84" s="3"/>
      <c r="CI84" s="3"/>
      <c r="CJ84" s="3"/>
      <c r="CK84" s="3"/>
      <c r="CL84" s="3"/>
      <c r="CM84" s="3"/>
      <c r="CN84" s="3"/>
    </row>
    <row r="85" spans="1:92" ht="14.4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53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80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161"/>
      <c r="BS85" s="161"/>
      <c r="BT85" s="161"/>
      <c r="BU85" s="162"/>
      <c r="BV85" s="163"/>
      <c r="BW85" s="163"/>
      <c r="BX85" s="163"/>
      <c r="BY85" s="163"/>
      <c r="BZ85" s="163"/>
      <c r="CA85" s="163"/>
      <c r="CB85" s="161"/>
      <c r="CC85" s="161"/>
      <c r="CD85" s="161"/>
      <c r="CE85" s="161"/>
      <c r="CF85" s="161"/>
      <c r="CG85" s="3"/>
      <c r="CH85" s="3"/>
      <c r="CI85" s="3"/>
      <c r="CJ85" s="3"/>
      <c r="CK85" s="3"/>
      <c r="CL85" s="3"/>
      <c r="CM85" s="3"/>
      <c r="CN85" s="3"/>
    </row>
    <row r="86" spans="1:92" ht="14.4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53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80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161"/>
      <c r="BS86" s="161"/>
      <c r="BT86" s="161"/>
      <c r="BU86" s="162"/>
      <c r="BV86" s="163"/>
      <c r="BW86" s="163"/>
      <c r="BX86" s="163"/>
      <c r="BY86" s="163"/>
      <c r="BZ86" s="163"/>
      <c r="CA86" s="163"/>
      <c r="CB86" s="161"/>
      <c r="CC86" s="161"/>
      <c r="CD86" s="161"/>
      <c r="CE86" s="161"/>
      <c r="CF86" s="161"/>
      <c r="CG86" s="3"/>
      <c r="CH86" s="3"/>
      <c r="CI86" s="3"/>
      <c r="CJ86" s="3"/>
      <c r="CK86" s="3"/>
      <c r="CL86" s="3"/>
      <c r="CM86" s="3"/>
      <c r="CN86" s="3"/>
    </row>
    <row r="87" spans="1:92" ht="14.4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53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80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161"/>
      <c r="BS87" s="161"/>
      <c r="BT87" s="161"/>
      <c r="BU87" s="162"/>
      <c r="BV87" s="163"/>
      <c r="BW87" s="163"/>
      <c r="BX87" s="163"/>
      <c r="BY87" s="163"/>
      <c r="BZ87" s="163"/>
      <c r="CA87" s="163"/>
      <c r="CB87" s="161"/>
      <c r="CC87" s="161"/>
      <c r="CD87" s="161"/>
      <c r="CE87" s="161"/>
      <c r="CF87" s="161"/>
      <c r="CG87" s="3"/>
      <c r="CH87" s="3"/>
      <c r="CI87" s="3"/>
      <c r="CJ87" s="3"/>
      <c r="CK87" s="3"/>
      <c r="CL87" s="3"/>
      <c r="CM87" s="3"/>
      <c r="CN87" s="3"/>
    </row>
    <row r="88" spans="1:92" ht="14.4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53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80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161"/>
      <c r="BS88" s="161"/>
      <c r="BT88" s="161"/>
      <c r="BU88" s="162"/>
      <c r="BV88" s="163"/>
      <c r="BW88" s="163"/>
      <c r="BX88" s="163"/>
      <c r="BY88" s="163"/>
      <c r="BZ88" s="163"/>
      <c r="CA88" s="163"/>
      <c r="CB88" s="161"/>
      <c r="CC88" s="161"/>
      <c r="CD88" s="161"/>
      <c r="CE88" s="161"/>
      <c r="CF88" s="161"/>
      <c r="CG88" s="3"/>
      <c r="CH88" s="3"/>
      <c r="CI88" s="3"/>
      <c r="CJ88" s="3"/>
      <c r="CK88" s="3"/>
      <c r="CL88" s="3"/>
      <c r="CM88" s="3"/>
      <c r="CN88" s="3"/>
    </row>
    <row r="89" spans="1:92" ht="14.4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53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80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161"/>
      <c r="BS89" s="161"/>
      <c r="BT89" s="161"/>
      <c r="BU89" s="162"/>
      <c r="BV89" s="163"/>
      <c r="BW89" s="163"/>
      <c r="BX89" s="163"/>
      <c r="BY89" s="163"/>
      <c r="BZ89" s="163"/>
      <c r="CA89" s="163"/>
      <c r="CB89" s="161"/>
      <c r="CC89" s="161"/>
      <c r="CD89" s="161"/>
      <c r="CE89" s="161"/>
      <c r="CF89" s="161"/>
      <c r="CG89" s="3"/>
      <c r="CH89" s="3"/>
      <c r="CI89" s="3"/>
      <c r="CJ89" s="3"/>
      <c r="CK89" s="3"/>
      <c r="CL89" s="3"/>
      <c r="CM89" s="3"/>
      <c r="CN89" s="3"/>
    </row>
    <row r="90" spans="1:92" ht="14.4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53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80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161"/>
      <c r="BS90" s="161"/>
      <c r="BT90" s="161"/>
      <c r="BU90" s="162"/>
      <c r="BV90" s="163"/>
      <c r="BW90" s="163"/>
      <c r="BX90" s="163"/>
      <c r="BY90" s="163"/>
      <c r="BZ90" s="163"/>
      <c r="CA90" s="163"/>
      <c r="CB90" s="161"/>
      <c r="CC90" s="161"/>
      <c r="CD90" s="161"/>
      <c r="CE90" s="161"/>
      <c r="CF90" s="161"/>
      <c r="CG90" s="3"/>
      <c r="CH90" s="3"/>
      <c r="CI90" s="3"/>
      <c r="CJ90" s="3"/>
      <c r="CK90" s="3"/>
      <c r="CL90" s="3"/>
      <c r="CM90" s="3"/>
      <c r="CN90" s="3"/>
    </row>
    <row r="91" spans="1:92" ht="14.4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53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80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161"/>
      <c r="BS91" s="161"/>
      <c r="BT91" s="161"/>
      <c r="BU91" s="162"/>
      <c r="BV91" s="163"/>
      <c r="BW91" s="163"/>
      <c r="BX91" s="163"/>
      <c r="BY91" s="163"/>
      <c r="BZ91" s="163"/>
      <c r="CA91" s="163"/>
      <c r="CB91" s="161"/>
      <c r="CC91" s="161"/>
      <c r="CD91" s="161"/>
      <c r="CE91" s="161"/>
      <c r="CF91" s="161"/>
      <c r="CG91" s="3"/>
      <c r="CH91" s="3"/>
      <c r="CI91" s="3"/>
      <c r="CJ91" s="3"/>
      <c r="CK91" s="3"/>
      <c r="CL91" s="3"/>
      <c r="CM91" s="3"/>
      <c r="CN91" s="3"/>
    </row>
    <row r="92" spans="1:92" ht="14.4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53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80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161"/>
      <c r="BS92" s="161"/>
      <c r="BT92" s="161"/>
      <c r="BU92" s="162"/>
      <c r="BV92" s="163"/>
      <c r="BW92" s="163"/>
      <c r="BX92" s="163"/>
      <c r="BY92" s="163"/>
      <c r="BZ92" s="163"/>
      <c r="CA92" s="163"/>
      <c r="CB92" s="161"/>
      <c r="CC92" s="161"/>
      <c r="CD92" s="161"/>
      <c r="CE92" s="161"/>
      <c r="CF92" s="161"/>
      <c r="CG92" s="3"/>
      <c r="CH92" s="3"/>
      <c r="CI92" s="3"/>
      <c r="CJ92" s="3"/>
      <c r="CK92" s="3"/>
      <c r="CL92" s="3"/>
      <c r="CM92" s="3"/>
      <c r="CN92" s="3"/>
    </row>
    <row r="93" spans="1:92" ht="14.4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53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80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161"/>
      <c r="BS93" s="161"/>
      <c r="BT93" s="161"/>
      <c r="BU93" s="162"/>
      <c r="BV93" s="163"/>
      <c r="BW93" s="163"/>
      <c r="BX93" s="163"/>
      <c r="BY93" s="163"/>
      <c r="BZ93" s="163"/>
      <c r="CA93" s="163"/>
      <c r="CB93" s="161"/>
      <c r="CC93" s="161"/>
      <c r="CD93" s="161"/>
      <c r="CE93" s="161"/>
      <c r="CF93" s="161"/>
      <c r="CG93" s="3"/>
      <c r="CH93" s="3"/>
      <c r="CI93" s="3"/>
      <c r="CJ93" s="3"/>
      <c r="CK93" s="3"/>
      <c r="CL93" s="3"/>
      <c r="CM93" s="3"/>
      <c r="CN93" s="3"/>
    </row>
    <row r="94" spans="1:92" ht="14.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53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80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161"/>
      <c r="BS94" s="161"/>
      <c r="BT94" s="161"/>
      <c r="BU94" s="162"/>
      <c r="BV94" s="163"/>
      <c r="BW94" s="163"/>
      <c r="BX94" s="163"/>
      <c r="BY94" s="163"/>
      <c r="BZ94" s="163"/>
      <c r="CA94" s="163"/>
      <c r="CB94" s="161"/>
      <c r="CC94" s="161"/>
      <c r="CD94" s="161"/>
      <c r="CE94" s="161"/>
      <c r="CF94" s="161"/>
      <c r="CG94" s="3"/>
      <c r="CH94" s="3"/>
      <c r="CI94" s="3"/>
      <c r="CJ94" s="3"/>
      <c r="CK94" s="3"/>
      <c r="CL94" s="3"/>
      <c r="CM94" s="3"/>
      <c r="CN94" s="3"/>
    </row>
    <row r="95" spans="1:92" ht="14.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53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80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161"/>
      <c r="BS95" s="161"/>
      <c r="BT95" s="161"/>
      <c r="BU95" s="162"/>
      <c r="BV95" s="163"/>
      <c r="BW95" s="163"/>
      <c r="BX95" s="163"/>
      <c r="BY95" s="163"/>
      <c r="BZ95" s="163"/>
      <c r="CA95" s="163"/>
      <c r="CB95" s="161"/>
      <c r="CC95" s="161"/>
      <c r="CD95" s="161"/>
      <c r="CE95" s="161"/>
      <c r="CF95" s="161"/>
      <c r="CG95" s="3"/>
      <c r="CH95" s="3"/>
      <c r="CI95" s="3"/>
      <c r="CJ95" s="3"/>
      <c r="CK95" s="3"/>
      <c r="CL95" s="3"/>
      <c r="CM95" s="3"/>
      <c r="CN95" s="3"/>
    </row>
    <row r="96" spans="1:92" ht="14.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53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80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161"/>
      <c r="BS96" s="161"/>
      <c r="BT96" s="161"/>
      <c r="BU96" s="162"/>
      <c r="BV96" s="163"/>
      <c r="BW96" s="163"/>
      <c r="BX96" s="163"/>
      <c r="BY96" s="163"/>
      <c r="BZ96" s="163"/>
      <c r="CA96" s="163"/>
      <c r="CB96" s="161"/>
      <c r="CC96" s="161"/>
      <c r="CD96" s="161"/>
      <c r="CE96" s="161"/>
      <c r="CF96" s="161"/>
      <c r="CG96" s="3"/>
      <c r="CH96" s="3"/>
      <c r="CI96" s="3"/>
      <c r="CJ96" s="3"/>
      <c r="CK96" s="3"/>
      <c r="CL96" s="3"/>
      <c r="CM96" s="3"/>
      <c r="CN96" s="3"/>
    </row>
    <row r="97" spans="1:92" ht="14.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53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80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161"/>
      <c r="BS97" s="161"/>
      <c r="BT97" s="161"/>
      <c r="BU97" s="162"/>
      <c r="BV97" s="163"/>
      <c r="BW97" s="163"/>
      <c r="BX97" s="163"/>
      <c r="BY97" s="163"/>
      <c r="BZ97" s="163"/>
      <c r="CA97" s="163"/>
      <c r="CB97" s="161"/>
      <c r="CC97" s="161"/>
      <c r="CD97" s="161"/>
      <c r="CE97" s="161"/>
      <c r="CF97" s="161"/>
      <c r="CG97" s="3"/>
      <c r="CH97" s="3"/>
      <c r="CI97" s="3"/>
      <c r="CJ97" s="3"/>
      <c r="CK97" s="3"/>
      <c r="CL97" s="3"/>
      <c r="CM97" s="3"/>
      <c r="CN97" s="3"/>
    </row>
    <row r="98" spans="1:92" ht="14.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53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80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161"/>
      <c r="BS98" s="161"/>
      <c r="BT98" s="161"/>
      <c r="BU98" s="162"/>
      <c r="BV98" s="163"/>
      <c r="BW98" s="163"/>
      <c r="BX98" s="163"/>
      <c r="BY98" s="163"/>
      <c r="BZ98" s="163"/>
      <c r="CA98" s="163"/>
      <c r="CB98" s="161"/>
      <c r="CC98" s="161"/>
      <c r="CD98" s="161"/>
      <c r="CE98" s="161"/>
      <c r="CF98" s="161"/>
      <c r="CG98" s="3"/>
      <c r="CH98" s="3"/>
      <c r="CI98" s="3"/>
      <c r="CJ98" s="3"/>
      <c r="CK98" s="3"/>
      <c r="CL98" s="3"/>
      <c r="CM98" s="3"/>
      <c r="CN98" s="3"/>
    </row>
    <row r="99" spans="1:92" ht="14.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53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80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161"/>
      <c r="BS99" s="161"/>
      <c r="BT99" s="161"/>
      <c r="BU99" s="162"/>
      <c r="BV99" s="163"/>
      <c r="BW99" s="163"/>
      <c r="BX99" s="163"/>
      <c r="BY99" s="163"/>
      <c r="BZ99" s="163"/>
      <c r="CA99" s="163"/>
      <c r="CB99" s="161"/>
      <c r="CC99" s="161"/>
      <c r="CD99" s="161"/>
      <c r="CE99" s="161"/>
      <c r="CF99" s="161"/>
      <c r="CG99" s="3"/>
      <c r="CH99" s="3"/>
      <c r="CI99" s="3"/>
      <c r="CJ99" s="3"/>
      <c r="CK99" s="3"/>
      <c r="CL99" s="3"/>
      <c r="CM99" s="3"/>
      <c r="CN99" s="3"/>
    </row>
    <row r="100" spans="1:92" ht="14.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53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80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161"/>
      <c r="BS100" s="161"/>
      <c r="BT100" s="161"/>
      <c r="BU100" s="162"/>
      <c r="BV100" s="163"/>
      <c r="BW100" s="163"/>
      <c r="BX100" s="163"/>
      <c r="BY100" s="163"/>
      <c r="BZ100" s="163"/>
      <c r="CA100" s="163"/>
      <c r="CB100" s="161"/>
      <c r="CC100" s="161"/>
      <c r="CD100" s="161"/>
      <c r="CE100" s="161"/>
      <c r="CF100" s="161"/>
      <c r="CG100" s="3"/>
      <c r="CH100" s="3"/>
      <c r="CI100" s="3"/>
      <c r="CJ100" s="3"/>
      <c r="CK100" s="3"/>
      <c r="CL100" s="3"/>
      <c r="CM100" s="3"/>
      <c r="CN100" s="3"/>
    </row>
    <row r="101" spans="1:92" ht="14.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53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80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161"/>
      <c r="BS101" s="161"/>
      <c r="BT101" s="161"/>
      <c r="BU101" s="162"/>
      <c r="BV101" s="163"/>
      <c r="BW101" s="163"/>
      <c r="BX101" s="163"/>
      <c r="BY101" s="163"/>
      <c r="BZ101" s="163"/>
      <c r="CA101" s="163"/>
      <c r="CB101" s="161"/>
      <c r="CC101" s="161"/>
      <c r="CD101" s="161"/>
      <c r="CE101" s="161"/>
      <c r="CF101" s="161"/>
      <c r="CG101" s="3"/>
      <c r="CH101" s="3"/>
      <c r="CI101" s="3"/>
      <c r="CJ101" s="3"/>
      <c r="CK101" s="3"/>
      <c r="CL101" s="3"/>
      <c r="CM101" s="3"/>
      <c r="CN101" s="3"/>
    </row>
    <row r="102" spans="1:92" ht="14.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53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80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161"/>
      <c r="BS102" s="161"/>
      <c r="BT102" s="161"/>
      <c r="BU102" s="162"/>
      <c r="BV102" s="163"/>
      <c r="BW102" s="163"/>
      <c r="BX102" s="163"/>
      <c r="BY102" s="163"/>
      <c r="BZ102" s="163"/>
      <c r="CA102" s="163"/>
      <c r="CB102" s="161"/>
      <c r="CC102" s="161"/>
      <c r="CD102" s="161"/>
      <c r="CE102" s="161"/>
      <c r="CF102" s="161"/>
      <c r="CG102" s="3"/>
      <c r="CH102" s="3"/>
      <c r="CI102" s="3"/>
      <c r="CJ102" s="3"/>
      <c r="CK102" s="3"/>
      <c r="CL102" s="3"/>
      <c r="CM102" s="3"/>
      <c r="CN102" s="3"/>
    </row>
    <row r="103" spans="1:92" ht="14.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53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80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161"/>
      <c r="BS103" s="161"/>
      <c r="BT103" s="161"/>
      <c r="BU103" s="162"/>
      <c r="BV103" s="163"/>
      <c r="BW103" s="163"/>
      <c r="BX103" s="163"/>
      <c r="BY103" s="163"/>
      <c r="BZ103" s="163"/>
      <c r="CA103" s="163"/>
      <c r="CB103" s="161"/>
      <c r="CC103" s="161"/>
      <c r="CD103" s="161"/>
      <c r="CE103" s="161"/>
      <c r="CF103" s="161"/>
      <c r="CG103" s="3"/>
      <c r="CH103" s="3"/>
      <c r="CI103" s="3"/>
      <c r="CJ103" s="3"/>
      <c r="CK103" s="3"/>
      <c r="CL103" s="3"/>
      <c r="CM103" s="3"/>
      <c r="CN103" s="3"/>
    </row>
    <row r="104" spans="1:92" ht="14.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53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80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161"/>
      <c r="BS104" s="161"/>
      <c r="BT104" s="161"/>
      <c r="BU104" s="162"/>
      <c r="BV104" s="163"/>
      <c r="BW104" s="163"/>
      <c r="BX104" s="163"/>
      <c r="BY104" s="163"/>
      <c r="BZ104" s="163"/>
      <c r="CA104" s="163"/>
      <c r="CB104" s="161"/>
      <c r="CC104" s="161"/>
      <c r="CD104" s="161"/>
      <c r="CE104" s="161"/>
      <c r="CF104" s="161"/>
      <c r="CG104" s="3"/>
      <c r="CH104" s="3"/>
      <c r="CI104" s="3"/>
      <c r="CJ104" s="3"/>
      <c r="CK104" s="3"/>
      <c r="CL104" s="3"/>
      <c r="CM104" s="3"/>
      <c r="CN104" s="3"/>
    </row>
    <row r="105" spans="1:92" ht="14.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53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80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161"/>
      <c r="BS105" s="161"/>
      <c r="BT105" s="161"/>
      <c r="BU105" s="162"/>
      <c r="BV105" s="163"/>
      <c r="BW105" s="163"/>
      <c r="BX105" s="163"/>
      <c r="BY105" s="163"/>
      <c r="BZ105" s="163"/>
      <c r="CA105" s="163"/>
      <c r="CB105" s="161"/>
      <c r="CC105" s="161"/>
      <c r="CD105" s="161"/>
      <c r="CE105" s="161"/>
      <c r="CF105" s="161"/>
      <c r="CG105" s="3"/>
      <c r="CH105" s="3"/>
      <c r="CI105" s="3"/>
      <c r="CJ105" s="3"/>
      <c r="CK105" s="3"/>
      <c r="CL105" s="3"/>
      <c r="CM105" s="3"/>
      <c r="CN105" s="3"/>
    </row>
    <row r="106" spans="1:92" ht="14.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53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80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161"/>
      <c r="BS106" s="161"/>
      <c r="BT106" s="161"/>
      <c r="BU106" s="162"/>
      <c r="BV106" s="163"/>
      <c r="BW106" s="163"/>
      <c r="BX106" s="163"/>
      <c r="BY106" s="163"/>
      <c r="BZ106" s="163"/>
      <c r="CA106" s="163"/>
      <c r="CB106" s="161"/>
      <c r="CC106" s="161"/>
      <c r="CD106" s="161"/>
      <c r="CE106" s="161"/>
      <c r="CF106" s="161"/>
      <c r="CG106" s="3"/>
      <c r="CH106" s="3"/>
      <c r="CI106" s="3"/>
      <c r="CJ106" s="3"/>
      <c r="CK106" s="3"/>
      <c r="CL106" s="3"/>
      <c r="CM106" s="3"/>
      <c r="CN106" s="3"/>
    </row>
    <row r="107" spans="1:92" ht="14.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53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80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161"/>
      <c r="BS107" s="161"/>
      <c r="BT107" s="161"/>
      <c r="BU107" s="162"/>
      <c r="BV107" s="163"/>
      <c r="BW107" s="163"/>
      <c r="BX107" s="163"/>
      <c r="BY107" s="163"/>
      <c r="BZ107" s="163"/>
      <c r="CA107" s="163"/>
      <c r="CB107" s="161"/>
      <c r="CC107" s="161"/>
      <c r="CD107" s="161"/>
      <c r="CE107" s="161"/>
      <c r="CF107" s="161"/>
      <c r="CG107" s="3"/>
      <c r="CH107" s="3"/>
      <c r="CI107" s="3"/>
      <c r="CJ107" s="3"/>
      <c r="CK107" s="3"/>
      <c r="CL107" s="3"/>
      <c r="CM107" s="3"/>
      <c r="CN107" s="3"/>
    </row>
    <row r="108" spans="1:92" ht="14.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53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80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161"/>
      <c r="BS108" s="161"/>
      <c r="BT108" s="161"/>
      <c r="BU108" s="162"/>
      <c r="BV108" s="163"/>
      <c r="BW108" s="163"/>
      <c r="BX108" s="163"/>
      <c r="BY108" s="163"/>
      <c r="BZ108" s="163"/>
      <c r="CA108" s="163"/>
      <c r="CB108" s="161"/>
      <c r="CC108" s="161"/>
      <c r="CD108" s="161"/>
      <c r="CE108" s="161"/>
      <c r="CF108" s="161"/>
      <c r="CG108" s="3"/>
      <c r="CH108" s="3"/>
      <c r="CI108" s="3"/>
      <c r="CJ108" s="3"/>
      <c r="CK108" s="3"/>
      <c r="CL108" s="3"/>
      <c r="CM108" s="3"/>
      <c r="CN108" s="3"/>
    </row>
    <row r="109" spans="1:92" ht="14.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53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80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161"/>
      <c r="BS109" s="161"/>
      <c r="BT109" s="161"/>
      <c r="BU109" s="162"/>
      <c r="BV109" s="163"/>
      <c r="BW109" s="163"/>
      <c r="BX109" s="163"/>
      <c r="BY109" s="163"/>
      <c r="BZ109" s="163"/>
      <c r="CA109" s="163"/>
      <c r="CB109" s="161"/>
      <c r="CC109" s="161"/>
      <c r="CD109" s="161"/>
      <c r="CE109" s="161"/>
      <c r="CF109" s="161"/>
      <c r="CG109" s="3"/>
      <c r="CH109" s="3"/>
      <c r="CI109" s="3"/>
      <c r="CJ109" s="3"/>
      <c r="CK109" s="3"/>
      <c r="CL109" s="3"/>
      <c r="CM109" s="3"/>
      <c r="CN109" s="3"/>
    </row>
    <row r="110" spans="1:92" ht="14.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53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80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161"/>
      <c r="BS110" s="161"/>
      <c r="BT110" s="161"/>
      <c r="BU110" s="162"/>
      <c r="BV110" s="163"/>
      <c r="BW110" s="163"/>
      <c r="BX110" s="163"/>
      <c r="BY110" s="163"/>
      <c r="BZ110" s="163"/>
      <c r="CA110" s="163"/>
      <c r="CB110" s="161"/>
      <c r="CC110" s="161"/>
      <c r="CD110" s="161"/>
      <c r="CE110" s="161"/>
      <c r="CF110" s="161"/>
      <c r="CG110" s="3"/>
      <c r="CH110" s="3"/>
      <c r="CI110" s="3"/>
      <c r="CJ110" s="3"/>
      <c r="CK110" s="3"/>
      <c r="CL110" s="3"/>
      <c r="CM110" s="3"/>
      <c r="CN110" s="3"/>
    </row>
    <row r="111" spans="1:92" ht="14.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53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80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161"/>
      <c r="BS111" s="161"/>
      <c r="BT111" s="161"/>
      <c r="BU111" s="162"/>
      <c r="BV111" s="163"/>
      <c r="BW111" s="163"/>
      <c r="BX111" s="163"/>
      <c r="BY111" s="163"/>
      <c r="BZ111" s="163"/>
      <c r="CA111" s="163"/>
      <c r="CB111" s="161"/>
      <c r="CC111" s="161"/>
      <c r="CD111" s="161"/>
      <c r="CE111" s="161"/>
      <c r="CF111" s="161"/>
      <c r="CG111" s="3"/>
      <c r="CH111" s="3"/>
      <c r="CI111" s="3"/>
      <c r="CJ111" s="3"/>
      <c r="CK111" s="3"/>
      <c r="CL111" s="3"/>
      <c r="CM111" s="3"/>
      <c r="CN111" s="3"/>
    </row>
    <row r="112" spans="1:92" ht="14.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53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80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161"/>
      <c r="BS112" s="161"/>
      <c r="BT112" s="161"/>
      <c r="BU112" s="162"/>
      <c r="BV112" s="163"/>
      <c r="BW112" s="163"/>
      <c r="BX112" s="163"/>
      <c r="BY112" s="163"/>
      <c r="BZ112" s="163"/>
      <c r="CA112" s="163"/>
      <c r="CB112" s="161"/>
      <c r="CC112" s="161"/>
      <c r="CD112" s="161"/>
      <c r="CE112" s="161"/>
      <c r="CF112" s="161"/>
      <c r="CG112" s="3"/>
      <c r="CH112" s="3"/>
      <c r="CI112" s="3"/>
      <c r="CJ112" s="3"/>
      <c r="CK112" s="3"/>
      <c r="CL112" s="3"/>
      <c r="CM112" s="3"/>
      <c r="CN112" s="3"/>
    </row>
    <row r="113" spans="1:92" ht="14.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53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80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161"/>
      <c r="BS113" s="161"/>
      <c r="BT113" s="161"/>
      <c r="BU113" s="162"/>
      <c r="BV113" s="163"/>
      <c r="BW113" s="163"/>
      <c r="BX113" s="163"/>
      <c r="BY113" s="163"/>
      <c r="BZ113" s="163"/>
      <c r="CA113" s="163"/>
      <c r="CB113" s="161"/>
      <c r="CC113" s="161"/>
      <c r="CD113" s="161"/>
      <c r="CE113" s="161"/>
      <c r="CF113" s="161"/>
      <c r="CG113" s="3"/>
      <c r="CH113" s="3"/>
      <c r="CI113" s="3"/>
      <c r="CJ113" s="3"/>
      <c r="CK113" s="3"/>
      <c r="CL113" s="3"/>
      <c r="CM113" s="3"/>
      <c r="CN113" s="3"/>
    </row>
    <row r="114" spans="1:92" ht="14.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53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80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161"/>
      <c r="BS114" s="161"/>
      <c r="BT114" s="161"/>
      <c r="BU114" s="162"/>
      <c r="BV114" s="163"/>
      <c r="BW114" s="163"/>
      <c r="BX114" s="163"/>
      <c r="BY114" s="163"/>
      <c r="BZ114" s="163"/>
      <c r="CA114" s="163"/>
      <c r="CB114" s="161"/>
      <c r="CC114" s="161"/>
      <c r="CD114" s="161"/>
      <c r="CE114" s="161"/>
      <c r="CF114" s="161"/>
      <c r="CG114" s="3"/>
      <c r="CH114" s="3"/>
      <c r="CI114" s="3"/>
      <c r="CJ114" s="3"/>
      <c r="CK114" s="3"/>
      <c r="CL114" s="3"/>
      <c r="CM114" s="3"/>
      <c r="CN114" s="3"/>
    </row>
    <row r="115" spans="1:92" ht="14.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53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80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161"/>
      <c r="BS115" s="161"/>
      <c r="BT115" s="161"/>
      <c r="BU115" s="162"/>
      <c r="BV115" s="163"/>
      <c r="BW115" s="163"/>
      <c r="BX115" s="163"/>
      <c r="BY115" s="163"/>
      <c r="BZ115" s="163"/>
      <c r="CA115" s="163"/>
      <c r="CB115" s="161"/>
      <c r="CC115" s="161"/>
      <c r="CD115" s="161"/>
      <c r="CE115" s="161"/>
      <c r="CF115" s="161"/>
      <c r="CG115" s="3"/>
      <c r="CH115" s="3"/>
      <c r="CI115" s="3"/>
      <c r="CJ115" s="3"/>
      <c r="CK115" s="3"/>
      <c r="CL115" s="3"/>
      <c r="CM115" s="3"/>
      <c r="CN115" s="3"/>
    </row>
    <row r="116" spans="1:92" ht="14.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53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80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161"/>
      <c r="BS116" s="161"/>
      <c r="BT116" s="161"/>
      <c r="BU116" s="162"/>
      <c r="BV116" s="163"/>
      <c r="BW116" s="163"/>
      <c r="BX116" s="163"/>
      <c r="BY116" s="163"/>
      <c r="BZ116" s="163"/>
      <c r="CA116" s="163"/>
      <c r="CB116" s="161"/>
      <c r="CC116" s="161"/>
      <c r="CD116" s="161"/>
      <c r="CE116" s="161"/>
      <c r="CF116" s="161"/>
      <c r="CG116" s="3"/>
      <c r="CH116" s="3"/>
      <c r="CI116" s="3"/>
      <c r="CJ116" s="3"/>
      <c r="CK116" s="3"/>
      <c r="CL116" s="3"/>
      <c r="CM116" s="3"/>
      <c r="CN116" s="3"/>
    </row>
    <row r="117" spans="1:92" ht="14.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53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80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161"/>
      <c r="BS117" s="161"/>
      <c r="BT117" s="161"/>
      <c r="BU117" s="162"/>
      <c r="BV117" s="163"/>
      <c r="BW117" s="163"/>
      <c r="BX117" s="163"/>
      <c r="BY117" s="163"/>
      <c r="BZ117" s="163"/>
      <c r="CA117" s="163"/>
      <c r="CB117" s="161"/>
      <c r="CC117" s="161"/>
      <c r="CD117" s="161"/>
      <c r="CE117" s="161"/>
      <c r="CF117" s="161"/>
      <c r="CG117" s="3"/>
      <c r="CH117" s="3"/>
      <c r="CI117" s="3"/>
      <c r="CJ117" s="3"/>
      <c r="CK117" s="3"/>
      <c r="CL117" s="3"/>
      <c r="CM117" s="3"/>
      <c r="CN117" s="3"/>
    </row>
    <row r="118" spans="1:92" ht="14.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53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80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161"/>
      <c r="BS118" s="161"/>
      <c r="BT118" s="161"/>
      <c r="BU118" s="162"/>
      <c r="BV118" s="163"/>
      <c r="BW118" s="163"/>
      <c r="BX118" s="163"/>
      <c r="BY118" s="163"/>
      <c r="BZ118" s="163"/>
      <c r="CA118" s="163"/>
      <c r="CB118" s="161"/>
      <c r="CC118" s="161"/>
      <c r="CD118" s="161"/>
      <c r="CE118" s="161"/>
      <c r="CF118" s="161"/>
      <c r="CG118" s="3"/>
      <c r="CH118" s="3"/>
      <c r="CI118" s="3"/>
      <c r="CJ118" s="3"/>
      <c r="CK118" s="3"/>
      <c r="CL118" s="3"/>
      <c r="CM118" s="3"/>
      <c r="CN118" s="3"/>
    </row>
    <row r="119" spans="1:92" ht="14.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53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80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161"/>
      <c r="BS119" s="161"/>
      <c r="BT119" s="161"/>
      <c r="BU119" s="162"/>
      <c r="BV119" s="163"/>
      <c r="BW119" s="163"/>
      <c r="BX119" s="163"/>
      <c r="BY119" s="163"/>
      <c r="BZ119" s="163"/>
      <c r="CA119" s="163"/>
      <c r="CB119" s="161"/>
      <c r="CC119" s="161"/>
      <c r="CD119" s="161"/>
      <c r="CE119" s="161"/>
      <c r="CF119" s="161"/>
      <c r="CG119" s="3"/>
      <c r="CH119" s="3"/>
      <c r="CI119" s="3"/>
      <c r="CJ119" s="3"/>
      <c r="CK119" s="3"/>
      <c r="CL119" s="3"/>
      <c r="CM119" s="3"/>
      <c r="CN119" s="3"/>
    </row>
    <row r="120" spans="1:92" ht="14.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53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80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161"/>
      <c r="BS120" s="161"/>
      <c r="BT120" s="161"/>
      <c r="BU120" s="162"/>
      <c r="BV120" s="163"/>
      <c r="BW120" s="163"/>
      <c r="BX120" s="163"/>
      <c r="BY120" s="163"/>
      <c r="BZ120" s="163"/>
      <c r="CA120" s="163"/>
      <c r="CB120" s="161"/>
      <c r="CC120" s="161"/>
      <c r="CD120" s="161"/>
      <c r="CE120" s="161"/>
      <c r="CF120" s="161"/>
      <c r="CG120" s="3"/>
      <c r="CH120" s="3"/>
      <c r="CI120" s="3"/>
      <c r="CJ120" s="3"/>
      <c r="CK120" s="3"/>
      <c r="CL120" s="3"/>
      <c r="CM120" s="3"/>
      <c r="CN120" s="3"/>
    </row>
    <row r="121" spans="1:92" ht="14.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53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80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161"/>
      <c r="BS121" s="161"/>
      <c r="BT121" s="161"/>
      <c r="BU121" s="162"/>
      <c r="BV121" s="163"/>
      <c r="BW121" s="163"/>
      <c r="BX121" s="163"/>
      <c r="BY121" s="163"/>
      <c r="BZ121" s="163"/>
      <c r="CA121" s="163"/>
      <c r="CB121" s="161"/>
      <c r="CC121" s="161"/>
      <c r="CD121" s="161"/>
      <c r="CE121" s="161"/>
      <c r="CF121" s="161"/>
      <c r="CG121" s="3"/>
      <c r="CH121" s="3"/>
      <c r="CI121" s="3"/>
      <c r="CJ121" s="3"/>
      <c r="CK121" s="3"/>
      <c r="CL121" s="3"/>
      <c r="CM121" s="3"/>
      <c r="CN121" s="3"/>
    </row>
    <row r="122" spans="1:92" ht="14.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53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80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161"/>
      <c r="BS122" s="161"/>
      <c r="BT122" s="161"/>
      <c r="BU122" s="162"/>
      <c r="BV122" s="163"/>
      <c r="BW122" s="163"/>
      <c r="BX122" s="163"/>
      <c r="BY122" s="163"/>
      <c r="BZ122" s="163"/>
      <c r="CA122" s="163"/>
      <c r="CB122" s="161"/>
      <c r="CC122" s="161"/>
      <c r="CD122" s="161"/>
      <c r="CE122" s="161"/>
      <c r="CF122" s="161"/>
      <c r="CG122" s="3"/>
      <c r="CH122" s="3"/>
      <c r="CI122" s="3"/>
      <c r="CJ122" s="3"/>
      <c r="CK122" s="3"/>
      <c r="CL122" s="3"/>
      <c r="CM122" s="3"/>
      <c r="CN122" s="3"/>
    </row>
    <row r="123" spans="1:92" ht="14.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53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80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161"/>
      <c r="BS123" s="161"/>
      <c r="BT123" s="161"/>
      <c r="BU123" s="162"/>
      <c r="BV123" s="163"/>
      <c r="BW123" s="163"/>
      <c r="BX123" s="163"/>
      <c r="BY123" s="163"/>
      <c r="BZ123" s="163"/>
      <c r="CA123" s="163"/>
      <c r="CB123" s="161"/>
      <c r="CC123" s="161"/>
      <c r="CD123" s="161"/>
      <c r="CE123" s="161"/>
      <c r="CF123" s="161"/>
      <c r="CG123" s="3"/>
      <c r="CH123" s="3"/>
      <c r="CI123" s="3"/>
      <c r="CJ123" s="3"/>
      <c r="CK123" s="3"/>
      <c r="CL123" s="3"/>
      <c r="CM123" s="3"/>
      <c r="CN123" s="3"/>
    </row>
    <row r="124" spans="1:92" ht="14.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53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80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161"/>
      <c r="BS124" s="161"/>
      <c r="BT124" s="161"/>
      <c r="BU124" s="162"/>
      <c r="BV124" s="163"/>
      <c r="BW124" s="163"/>
      <c r="BX124" s="163"/>
      <c r="BY124" s="163"/>
      <c r="BZ124" s="163"/>
      <c r="CA124" s="163"/>
      <c r="CB124" s="161"/>
      <c r="CC124" s="161"/>
      <c r="CD124" s="161"/>
      <c r="CE124" s="161"/>
      <c r="CF124" s="161"/>
      <c r="CG124" s="3"/>
      <c r="CH124" s="3"/>
      <c r="CI124" s="3"/>
      <c r="CJ124" s="3"/>
      <c r="CK124" s="3"/>
      <c r="CL124" s="3"/>
      <c r="CM124" s="3"/>
      <c r="CN124" s="3"/>
    </row>
    <row r="125" spans="1:92" ht="14.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53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80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161"/>
      <c r="BS125" s="161"/>
      <c r="BT125" s="161"/>
      <c r="BU125" s="162"/>
      <c r="BV125" s="163"/>
      <c r="BW125" s="163"/>
      <c r="BX125" s="163"/>
      <c r="BY125" s="163"/>
      <c r="BZ125" s="163"/>
      <c r="CA125" s="163"/>
      <c r="CB125" s="161"/>
      <c r="CC125" s="161"/>
      <c r="CD125" s="161"/>
      <c r="CE125" s="161"/>
      <c r="CF125" s="161"/>
      <c r="CG125" s="3"/>
      <c r="CH125" s="3"/>
      <c r="CI125" s="3"/>
      <c r="CJ125" s="3"/>
      <c r="CK125" s="3"/>
      <c r="CL125" s="3"/>
      <c r="CM125" s="3"/>
      <c r="CN125" s="3"/>
    </row>
    <row r="126" spans="1:92" ht="14.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53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80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161"/>
      <c r="BS126" s="161"/>
      <c r="BT126" s="161"/>
      <c r="BU126" s="162"/>
      <c r="BV126" s="163"/>
      <c r="BW126" s="163"/>
      <c r="BX126" s="163"/>
      <c r="BY126" s="163"/>
      <c r="BZ126" s="163"/>
      <c r="CA126" s="163"/>
      <c r="CB126" s="161"/>
      <c r="CC126" s="161"/>
      <c r="CD126" s="161"/>
      <c r="CE126" s="161"/>
      <c r="CF126" s="161"/>
      <c r="CG126" s="3"/>
      <c r="CH126" s="3"/>
      <c r="CI126" s="3"/>
      <c r="CJ126" s="3"/>
      <c r="CK126" s="3"/>
      <c r="CL126" s="3"/>
      <c r="CM126" s="3"/>
      <c r="CN126" s="3"/>
    </row>
    <row r="127" spans="1:92" ht="14.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53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80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161"/>
      <c r="BS127" s="161"/>
      <c r="BT127" s="161"/>
      <c r="BU127" s="162"/>
      <c r="BV127" s="163"/>
      <c r="BW127" s="163"/>
      <c r="BX127" s="163"/>
      <c r="BY127" s="163"/>
      <c r="BZ127" s="163"/>
      <c r="CA127" s="163"/>
      <c r="CB127" s="161"/>
      <c r="CC127" s="161"/>
      <c r="CD127" s="161"/>
      <c r="CE127" s="161"/>
      <c r="CF127" s="161"/>
      <c r="CG127" s="3"/>
      <c r="CH127" s="3"/>
      <c r="CI127" s="3"/>
      <c r="CJ127" s="3"/>
      <c r="CK127" s="3"/>
      <c r="CL127" s="3"/>
      <c r="CM127" s="3"/>
      <c r="CN127" s="3"/>
    </row>
    <row r="128" spans="1:92" ht="14.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53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80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161"/>
      <c r="BS128" s="161"/>
      <c r="BT128" s="161"/>
      <c r="BU128" s="162"/>
      <c r="BV128" s="163"/>
      <c r="BW128" s="163"/>
      <c r="BX128" s="163"/>
      <c r="BY128" s="163"/>
      <c r="BZ128" s="163"/>
      <c r="CA128" s="163"/>
      <c r="CB128" s="161"/>
      <c r="CC128" s="161"/>
      <c r="CD128" s="161"/>
      <c r="CE128" s="161"/>
      <c r="CF128" s="161"/>
      <c r="CG128" s="3"/>
      <c r="CH128" s="3"/>
      <c r="CI128" s="3"/>
      <c r="CJ128" s="3"/>
      <c r="CK128" s="3"/>
      <c r="CL128" s="3"/>
      <c r="CM128" s="3"/>
      <c r="CN128" s="3"/>
    </row>
    <row r="129" spans="1:92" ht="14.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53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80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161"/>
      <c r="BS129" s="161"/>
      <c r="BT129" s="161"/>
      <c r="BU129" s="162"/>
      <c r="BV129" s="163"/>
      <c r="BW129" s="163"/>
      <c r="BX129" s="163"/>
      <c r="BY129" s="163"/>
      <c r="BZ129" s="163"/>
      <c r="CA129" s="163"/>
      <c r="CB129" s="161"/>
      <c r="CC129" s="161"/>
      <c r="CD129" s="161"/>
      <c r="CE129" s="161"/>
      <c r="CF129" s="161"/>
      <c r="CG129" s="3"/>
      <c r="CH129" s="3"/>
      <c r="CI129" s="3"/>
      <c r="CJ129" s="3"/>
      <c r="CK129" s="3"/>
      <c r="CL129" s="3"/>
      <c r="CM129" s="3"/>
      <c r="CN129" s="3"/>
    </row>
    <row r="130" spans="1:92" ht="14.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53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80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161"/>
      <c r="BS130" s="161"/>
      <c r="BT130" s="161"/>
      <c r="BU130" s="162"/>
      <c r="BV130" s="163"/>
      <c r="BW130" s="163"/>
      <c r="BX130" s="163"/>
      <c r="BY130" s="163"/>
      <c r="BZ130" s="163"/>
      <c r="CA130" s="163"/>
      <c r="CB130" s="161"/>
      <c r="CC130" s="161"/>
      <c r="CD130" s="161"/>
      <c r="CE130" s="161"/>
      <c r="CF130" s="161"/>
      <c r="CG130" s="3"/>
      <c r="CH130" s="3"/>
      <c r="CI130" s="3"/>
      <c r="CJ130" s="3"/>
      <c r="CK130" s="3"/>
      <c r="CL130" s="3"/>
      <c r="CM130" s="3"/>
      <c r="CN130" s="3"/>
    </row>
    <row r="131" spans="1:92" ht="14.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53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80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161"/>
      <c r="BS131" s="161"/>
      <c r="BT131" s="161"/>
      <c r="BU131" s="162"/>
      <c r="BV131" s="163"/>
      <c r="BW131" s="163"/>
      <c r="BX131" s="163"/>
      <c r="BY131" s="163"/>
      <c r="BZ131" s="163"/>
      <c r="CA131" s="163"/>
      <c r="CB131" s="161"/>
      <c r="CC131" s="161"/>
      <c r="CD131" s="161"/>
      <c r="CE131" s="161"/>
      <c r="CF131" s="161"/>
      <c r="CG131" s="3"/>
      <c r="CH131" s="3"/>
      <c r="CI131" s="3"/>
      <c r="CJ131" s="3"/>
      <c r="CK131" s="3"/>
      <c r="CL131" s="3"/>
      <c r="CM131" s="3"/>
      <c r="CN131" s="3"/>
    </row>
    <row r="132" spans="1:92" ht="14.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53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80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161"/>
      <c r="BS132" s="161"/>
      <c r="BT132" s="161"/>
      <c r="BU132" s="162"/>
      <c r="BV132" s="163"/>
      <c r="BW132" s="163"/>
      <c r="BX132" s="163"/>
      <c r="BY132" s="163"/>
      <c r="BZ132" s="163"/>
      <c r="CA132" s="163"/>
      <c r="CB132" s="161"/>
      <c r="CC132" s="161"/>
      <c r="CD132" s="161"/>
      <c r="CE132" s="161"/>
      <c r="CF132" s="161"/>
      <c r="CG132" s="3"/>
      <c r="CH132" s="3"/>
      <c r="CI132" s="3"/>
      <c r="CJ132" s="3"/>
      <c r="CK132" s="3"/>
      <c r="CL132" s="3"/>
      <c r="CM132" s="3"/>
      <c r="CN132" s="3"/>
    </row>
    <row r="133" spans="1:92" ht="14.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53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80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161"/>
      <c r="BS133" s="161"/>
      <c r="BT133" s="161"/>
      <c r="BU133" s="162"/>
      <c r="BV133" s="163"/>
      <c r="BW133" s="163"/>
      <c r="BX133" s="163"/>
      <c r="BY133" s="163"/>
      <c r="BZ133" s="163"/>
      <c r="CA133" s="163"/>
      <c r="CB133" s="161"/>
      <c r="CC133" s="161"/>
      <c r="CD133" s="161"/>
      <c r="CE133" s="161"/>
      <c r="CF133" s="161"/>
      <c r="CG133" s="3"/>
      <c r="CH133" s="3"/>
      <c r="CI133" s="3"/>
      <c r="CJ133" s="3"/>
      <c r="CK133" s="3"/>
      <c r="CL133" s="3"/>
      <c r="CM133" s="3"/>
      <c r="CN133" s="3"/>
    </row>
    <row r="134" spans="1:92" ht="14.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53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80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161"/>
      <c r="BS134" s="161"/>
      <c r="BT134" s="161"/>
      <c r="BU134" s="162"/>
      <c r="BV134" s="163"/>
      <c r="BW134" s="163"/>
      <c r="BX134" s="163"/>
      <c r="BY134" s="163"/>
      <c r="BZ134" s="163"/>
      <c r="CA134" s="163"/>
      <c r="CB134" s="161"/>
      <c r="CC134" s="161"/>
      <c r="CD134" s="161"/>
      <c r="CE134" s="161"/>
      <c r="CF134" s="161"/>
      <c r="CG134" s="3"/>
      <c r="CH134" s="3"/>
      <c r="CI134" s="3"/>
      <c r="CJ134" s="3"/>
      <c r="CK134" s="3"/>
      <c r="CL134" s="3"/>
      <c r="CM134" s="3"/>
      <c r="CN134" s="3"/>
    </row>
    <row r="135" spans="1:92" ht="14.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53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80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161"/>
      <c r="BS135" s="161"/>
      <c r="BT135" s="161"/>
      <c r="BU135" s="162"/>
      <c r="BV135" s="163"/>
      <c r="BW135" s="163"/>
      <c r="BX135" s="163"/>
      <c r="BY135" s="163"/>
      <c r="BZ135" s="163"/>
      <c r="CA135" s="163"/>
      <c r="CB135" s="161"/>
      <c r="CC135" s="161"/>
      <c r="CD135" s="161"/>
      <c r="CE135" s="161"/>
      <c r="CF135" s="161"/>
      <c r="CG135" s="3"/>
      <c r="CH135" s="3"/>
      <c r="CI135" s="3"/>
      <c r="CJ135" s="3"/>
      <c r="CK135" s="3"/>
      <c r="CL135" s="3"/>
      <c r="CM135" s="3"/>
      <c r="CN135" s="3"/>
    </row>
    <row r="136" spans="1:92" ht="14.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53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80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161"/>
      <c r="BS136" s="161"/>
      <c r="BT136" s="161"/>
      <c r="BU136" s="162"/>
      <c r="BV136" s="163"/>
      <c r="BW136" s="163"/>
      <c r="BX136" s="163"/>
      <c r="BY136" s="163"/>
      <c r="BZ136" s="163"/>
      <c r="CA136" s="163"/>
      <c r="CB136" s="161"/>
      <c r="CC136" s="161"/>
      <c r="CD136" s="161"/>
      <c r="CE136" s="161"/>
      <c r="CF136" s="161"/>
      <c r="CG136" s="3"/>
      <c r="CH136" s="3"/>
      <c r="CI136" s="3"/>
      <c r="CJ136" s="3"/>
      <c r="CK136" s="3"/>
      <c r="CL136" s="3"/>
      <c r="CM136" s="3"/>
      <c r="CN136" s="3"/>
    </row>
    <row r="137" spans="1:92" ht="14.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53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80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161"/>
      <c r="BS137" s="161"/>
      <c r="BT137" s="161"/>
      <c r="BU137" s="162"/>
      <c r="BV137" s="163"/>
      <c r="BW137" s="163"/>
      <c r="BX137" s="163"/>
      <c r="BY137" s="163"/>
      <c r="BZ137" s="163"/>
      <c r="CA137" s="163"/>
      <c r="CB137" s="161"/>
      <c r="CC137" s="161"/>
      <c r="CD137" s="161"/>
      <c r="CE137" s="161"/>
      <c r="CF137" s="161"/>
      <c r="CG137" s="3"/>
      <c r="CH137" s="3"/>
      <c r="CI137" s="3"/>
      <c r="CJ137" s="3"/>
      <c r="CK137" s="3"/>
      <c r="CL137" s="3"/>
      <c r="CM137" s="3"/>
      <c r="CN137" s="3"/>
    </row>
    <row r="138" spans="1:92" ht="14.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53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80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161"/>
      <c r="BS138" s="161"/>
      <c r="BT138" s="161"/>
      <c r="BU138" s="162"/>
      <c r="BV138" s="163"/>
      <c r="BW138" s="163"/>
      <c r="BX138" s="163"/>
      <c r="BY138" s="163"/>
      <c r="BZ138" s="163"/>
      <c r="CA138" s="163"/>
      <c r="CB138" s="161"/>
      <c r="CC138" s="161"/>
      <c r="CD138" s="161"/>
      <c r="CE138" s="161"/>
      <c r="CF138" s="161"/>
      <c r="CG138" s="3"/>
      <c r="CH138" s="3"/>
      <c r="CI138" s="3"/>
      <c r="CJ138" s="3"/>
      <c r="CK138" s="3"/>
      <c r="CL138" s="3"/>
      <c r="CM138" s="3"/>
      <c r="CN138" s="3"/>
    </row>
    <row r="139" spans="1:92" ht="14.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53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80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161"/>
      <c r="BS139" s="161"/>
      <c r="BT139" s="161"/>
      <c r="BU139" s="162"/>
      <c r="BV139" s="163"/>
      <c r="BW139" s="163"/>
      <c r="BX139" s="163"/>
      <c r="BY139" s="163"/>
      <c r="BZ139" s="163"/>
      <c r="CA139" s="163"/>
      <c r="CB139" s="161"/>
      <c r="CC139" s="161"/>
      <c r="CD139" s="161"/>
      <c r="CE139" s="161"/>
      <c r="CF139" s="161"/>
      <c r="CG139" s="3"/>
      <c r="CH139" s="3"/>
      <c r="CI139" s="3"/>
      <c r="CJ139" s="3"/>
      <c r="CK139" s="3"/>
      <c r="CL139" s="3"/>
      <c r="CM139" s="3"/>
      <c r="CN139" s="3"/>
    </row>
    <row r="140" spans="1:92" ht="14.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53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80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161"/>
      <c r="BS140" s="161"/>
      <c r="BT140" s="161"/>
      <c r="BU140" s="162"/>
      <c r="BV140" s="163"/>
      <c r="BW140" s="163"/>
      <c r="BX140" s="163"/>
      <c r="BY140" s="163"/>
      <c r="BZ140" s="163"/>
      <c r="CA140" s="163"/>
      <c r="CB140" s="161"/>
      <c r="CC140" s="161"/>
      <c r="CD140" s="161"/>
      <c r="CE140" s="161"/>
      <c r="CF140" s="161"/>
      <c r="CG140" s="3"/>
      <c r="CH140" s="3"/>
      <c r="CI140" s="3"/>
      <c r="CJ140" s="3"/>
      <c r="CK140" s="3"/>
      <c r="CL140" s="3"/>
      <c r="CM140" s="3"/>
      <c r="CN140" s="3"/>
    </row>
    <row r="141" spans="1:92" ht="14.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53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80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161"/>
      <c r="BS141" s="161"/>
      <c r="BT141" s="161"/>
      <c r="BU141" s="162"/>
      <c r="BV141" s="163"/>
      <c r="BW141" s="163"/>
      <c r="BX141" s="163"/>
      <c r="BY141" s="163"/>
      <c r="BZ141" s="163"/>
      <c r="CA141" s="163"/>
      <c r="CB141" s="161"/>
      <c r="CC141" s="161"/>
      <c r="CD141" s="161"/>
      <c r="CE141" s="161"/>
      <c r="CF141" s="161"/>
      <c r="CG141" s="3"/>
      <c r="CH141" s="3"/>
      <c r="CI141" s="3"/>
      <c r="CJ141" s="3"/>
      <c r="CK141" s="3"/>
      <c r="CL141" s="3"/>
      <c r="CM141" s="3"/>
      <c r="CN141" s="3"/>
    </row>
    <row r="142" spans="1:92" ht="14.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53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80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161"/>
      <c r="BS142" s="161"/>
      <c r="BT142" s="161"/>
      <c r="BU142" s="162"/>
      <c r="BV142" s="163"/>
      <c r="BW142" s="163"/>
      <c r="BX142" s="163"/>
      <c r="BY142" s="163"/>
      <c r="BZ142" s="163"/>
      <c r="CA142" s="163"/>
      <c r="CB142" s="161"/>
      <c r="CC142" s="161"/>
      <c r="CD142" s="161"/>
      <c r="CE142" s="161"/>
      <c r="CF142" s="161"/>
      <c r="CG142" s="3"/>
      <c r="CH142" s="3"/>
      <c r="CI142" s="3"/>
      <c r="CJ142" s="3"/>
      <c r="CK142" s="3"/>
      <c r="CL142" s="3"/>
      <c r="CM142" s="3"/>
      <c r="CN142" s="3"/>
    </row>
    <row r="143" spans="1:92" ht="14.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53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80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161"/>
      <c r="BS143" s="161"/>
      <c r="BT143" s="161"/>
      <c r="BU143" s="162"/>
      <c r="BV143" s="163"/>
      <c r="BW143" s="163"/>
      <c r="BX143" s="163"/>
      <c r="BY143" s="163"/>
      <c r="BZ143" s="163"/>
      <c r="CA143" s="163"/>
      <c r="CB143" s="161"/>
      <c r="CC143" s="161"/>
      <c r="CD143" s="161"/>
      <c r="CE143" s="161"/>
      <c r="CF143" s="161"/>
      <c r="CG143" s="3"/>
      <c r="CH143" s="3"/>
      <c r="CI143" s="3"/>
      <c r="CJ143" s="3"/>
      <c r="CK143" s="3"/>
      <c r="CL143" s="3"/>
      <c r="CM143" s="3"/>
      <c r="CN143" s="3"/>
    </row>
    <row r="144" spans="1:92" ht="14.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53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80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161"/>
      <c r="BS144" s="161"/>
      <c r="BT144" s="161"/>
      <c r="BU144" s="162"/>
      <c r="BV144" s="163"/>
      <c r="BW144" s="163"/>
      <c r="BX144" s="163"/>
      <c r="BY144" s="163"/>
      <c r="BZ144" s="163"/>
      <c r="CA144" s="163"/>
      <c r="CB144" s="161"/>
      <c r="CC144" s="161"/>
      <c r="CD144" s="161"/>
      <c r="CE144" s="161"/>
      <c r="CF144" s="161"/>
      <c r="CG144" s="3"/>
      <c r="CH144" s="3"/>
      <c r="CI144" s="3"/>
      <c r="CJ144" s="3"/>
      <c r="CK144" s="3"/>
      <c r="CL144" s="3"/>
      <c r="CM144" s="3"/>
      <c r="CN144" s="3"/>
    </row>
    <row r="145" spans="1:92" ht="14.4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53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80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161"/>
      <c r="BS145" s="161"/>
      <c r="BT145" s="161"/>
      <c r="BU145" s="162"/>
      <c r="BV145" s="163"/>
      <c r="BW145" s="163"/>
      <c r="BX145" s="163"/>
      <c r="BY145" s="163"/>
      <c r="BZ145" s="163"/>
      <c r="CA145" s="163"/>
      <c r="CB145" s="161"/>
      <c r="CC145" s="161"/>
      <c r="CD145" s="161"/>
      <c r="CE145" s="161"/>
      <c r="CF145" s="161"/>
      <c r="CG145" s="3"/>
      <c r="CH145" s="3"/>
      <c r="CI145" s="3"/>
      <c r="CJ145" s="3"/>
      <c r="CK145" s="3"/>
      <c r="CL145" s="3"/>
      <c r="CM145" s="3"/>
      <c r="CN145" s="3"/>
    </row>
    <row r="146" spans="1:92" ht="14.4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53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80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161"/>
      <c r="BS146" s="161"/>
      <c r="BT146" s="161"/>
      <c r="BU146" s="162"/>
      <c r="BV146" s="163"/>
      <c r="BW146" s="163"/>
      <c r="BX146" s="163"/>
      <c r="BY146" s="163"/>
      <c r="BZ146" s="163"/>
      <c r="CA146" s="163"/>
      <c r="CB146" s="161"/>
      <c r="CC146" s="161"/>
      <c r="CD146" s="161"/>
      <c r="CE146" s="161"/>
      <c r="CF146" s="161"/>
      <c r="CG146" s="3"/>
      <c r="CH146" s="3"/>
      <c r="CI146" s="3"/>
      <c r="CJ146" s="3"/>
      <c r="CK146" s="3"/>
      <c r="CL146" s="3"/>
      <c r="CM146" s="3"/>
      <c r="CN146" s="3"/>
    </row>
    <row r="147" spans="1:92" ht="14.4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53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80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161"/>
      <c r="BS147" s="161"/>
      <c r="BT147" s="161"/>
      <c r="BU147" s="162"/>
      <c r="BV147" s="163"/>
      <c r="BW147" s="163"/>
      <c r="BX147" s="163"/>
      <c r="BY147" s="163"/>
      <c r="BZ147" s="163"/>
      <c r="CA147" s="163"/>
      <c r="CB147" s="161"/>
      <c r="CC147" s="161"/>
      <c r="CD147" s="161"/>
      <c r="CE147" s="161"/>
      <c r="CF147" s="161"/>
      <c r="CG147" s="3"/>
      <c r="CH147" s="3"/>
      <c r="CI147" s="3"/>
      <c r="CJ147" s="3"/>
      <c r="CK147" s="3"/>
      <c r="CL147" s="3"/>
      <c r="CM147" s="3"/>
      <c r="CN147" s="3"/>
    </row>
    <row r="148" spans="1:92" ht="14.4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53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80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161"/>
      <c r="BS148" s="161"/>
      <c r="BT148" s="161"/>
      <c r="BU148" s="162"/>
      <c r="BV148" s="163"/>
      <c r="BW148" s="163"/>
      <c r="BX148" s="163"/>
      <c r="BY148" s="163"/>
      <c r="BZ148" s="163"/>
      <c r="CA148" s="163"/>
      <c r="CB148" s="161"/>
      <c r="CC148" s="161"/>
      <c r="CD148" s="161"/>
      <c r="CE148" s="161"/>
      <c r="CF148" s="161"/>
      <c r="CG148" s="3"/>
      <c r="CH148" s="3"/>
      <c r="CI148" s="3"/>
      <c r="CJ148" s="3"/>
      <c r="CK148" s="3"/>
      <c r="CL148" s="3"/>
      <c r="CM148" s="3"/>
      <c r="CN148" s="3"/>
    </row>
    <row r="149" spans="1:92" ht="14.4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53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80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161"/>
      <c r="BS149" s="161"/>
      <c r="BT149" s="161"/>
      <c r="BU149" s="162"/>
      <c r="BV149" s="163"/>
      <c r="BW149" s="163"/>
      <c r="BX149" s="163"/>
      <c r="BY149" s="163"/>
      <c r="BZ149" s="163"/>
      <c r="CA149" s="163"/>
      <c r="CB149" s="161"/>
      <c r="CC149" s="161"/>
      <c r="CD149" s="161"/>
      <c r="CE149" s="161"/>
      <c r="CF149" s="161"/>
      <c r="CG149" s="3"/>
      <c r="CH149" s="3"/>
      <c r="CI149" s="3"/>
      <c r="CJ149" s="3"/>
      <c r="CK149" s="3"/>
      <c r="CL149" s="3"/>
      <c r="CM149" s="3"/>
      <c r="CN149" s="3"/>
    </row>
    <row r="150" spans="1:92" ht="14.4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53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80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161"/>
      <c r="BS150" s="161"/>
      <c r="BT150" s="161"/>
      <c r="BU150" s="162"/>
      <c r="BV150" s="163"/>
      <c r="BW150" s="163"/>
      <c r="BX150" s="163"/>
      <c r="BY150" s="163"/>
      <c r="BZ150" s="163"/>
      <c r="CA150" s="163"/>
      <c r="CB150" s="161"/>
      <c r="CC150" s="161"/>
      <c r="CD150" s="161"/>
      <c r="CE150" s="161"/>
      <c r="CF150" s="161"/>
      <c r="CG150" s="3"/>
      <c r="CH150" s="3"/>
      <c r="CI150" s="3"/>
      <c r="CJ150" s="3"/>
      <c r="CK150" s="3"/>
      <c r="CL150" s="3"/>
      <c r="CM150" s="3"/>
      <c r="CN150" s="3"/>
    </row>
    <row r="151" spans="1:92" ht="14.4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53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80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161"/>
      <c r="BS151" s="161"/>
      <c r="BT151" s="161"/>
      <c r="BU151" s="162"/>
      <c r="BV151" s="163"/>
      <c r="BW151" s="163"/>
      <c r="BX151" s="163"/>
      <c r="BY151" s="163"/>
      <c r="BZ151" s="163"/>
      <c r="CA151" s="163"/>
      <c r="CB151" s="161"/>
      <c r="CC151" s="161"/>
      <c r="CD151" s="161"/>
      <c r="CE151" s="161"/>
      <c r="CF151" s="161"/>
      <c r="CG151" s="3"/>
      <c r="CH151" s="3"/>
      <c r="CI151" s="3"/>
      <c r="CJ151" s="3"/>
      <c r="CK151" s="3"/>
      <c r="CL151" s="3"/>
      <c r="CM151" s="3"/>
      <c r="CN151" s="3"/>
    </row>
    <row r="152" spans="1:92" ht="14.4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53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80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161"/>
      <c r="BS152" s="161"/>
      <c r="BT152" s="161"/>
      <c r="BU152" s="162"/>
      <c r="BV152" s="163"/>
      <c r="BW152" s="163"/>
      <c r="BX152" s="163"/>
      <c r="BY152" s="163"/>
      <c r="BZ152" s="163"/>
      <c r="CA152" s="163"/>
      <c r="CB152" s="161"/>
      <c r="CC152" s="161"/>
      <c r="CD152" s="161"/>
      <c r="CE152" s="161"/>
      <c r="CF152" s="161"/>
      <c r="CG152" s="3"/>
      <c r="CH152" s="3"/>
      <c r="CI152" s="3"/>
      <c r="CJ152" s="3"/>
      <c r="CK152" s="3"/>
      <c r="CL152" s="3"/>
      <c r="CM152" s="3"/>
      <c r="CN152" s="3"/>
    </row>
    <row r="153" spans="1:92" ht="14.4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53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80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161"/>
      <c r="BS153" s="161"/>
      <c r="BT153" s="161"/>
      <c r="BU153" s="162"/>
      <c r="BV153" s="163"/>
      <c r="BW153" s="163"/>
      <c r="BX153" s="163"/>
      <c r="BY153" s="163"/>
      <c r="BZ153" s="163"/>
      <c r="CA153" s="163"/>
      <c r="CB153" s="161"/>
      <c r="CC153" s="161"/>
      <c r="CD153" s="161"/>
      <c r="CE153" s="161"/>
      <c r="CF153" s="161"/>
      <c r="CG153" s="3"/>
      <c r="CH153" s="3"/>
      <c r="CI153" s="3"/>
      <c r="CJ153" s="3"/>
      <c r="CK153" s="3"/>
      <c r="CL153" s="3"/>
      <c r="CM153" s="3"/>
      <c r="CN153" s="3"/>
    </row>
    <row r="154" spans="1:92" ht="14.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53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80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161"/>
      <c r="BS154" s="161"/>
      <c r="BT154" s="161"/>
      <c r="BU154" s="162"/>
      <c r="BV154" s="163"/>
      <c r="BW154" s="163"/>
      <c r="BX154" s="163"/>
      <c r="BY154" s="163"/>
      <c r="BZ154" s="163"/>
      <c r="CA154" s="163"/>
      <c r="CB154" s="161"/>
      <c r="CC154" s="161"/>
      <c r="CD154" s="161"/>
      <c r="CE154" s="161"/>
      <c r="CF154" s="161"/>
      <c r="CG154" s="3"/>
      <c r="CH154" s="3"/>
      <c r="CI154" s="3"/>
      <c r="CJ154" s="3"/>
      <c r="CK154" s="3"/>
      <c r="CL154" s="3"/>
      <c r="CM154" s="3"/>
      <c r="CN154" s="3"/>
    </row>
    <row r="155" spans="1:92" ht="14.4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53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80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161"/>
      <c r="BS155" s="161"/>
      <c r="BT155" s="161"/>
      <c r="BU155" s="162"/>
      <c r="BV155" s="163"/>
      <c r="BW155" s="163"/>
      <c r="BX155" s="163"/>
      <c r="BY155" s="163"/>
      <c r="BZ155" s="163"/>
      <c r="CA155" s="163"/>
      <c r="CB155" s="161"/>
      <c r="CC155" s="161"/>
      <c r="CD155" s="161"/>
      <c r="CE155" s="161"/>
      <c r="CF155" s="161"/>
      <c r="CG155" s="3"/>
      <c r="CH155" s="3"/>
      <c r="CI155" s="3"/>
      <c r="CJ155" s="3"/>
      <c r="CK155" s="3"/>
      <c r="CL155" s="3"/>
      <c r="CM155" s="3"/>
      <c r="CN155" s="3"/>
    </row>
    <row r="156" spans="1:92" ht="14.4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53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80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161"/>
      <c r="BS156" s="161"/>
      <c r="BT156" s="161"/>
      <c r="BU156" s="162"/>
      <c r="BV156" s="163"/>
      <c r="BW156" s="163"/>
      <c r="BX156" s="163"/>
      <c r="BY156" s="163"/>
      <c r="BZ156" s="163"/>
      <c r="CA156" s="163"/>
      <c r="CB156" s="161"/>
      <c r="CC156" s="161"/>
      <c r="CD156" s="161"/>
      <c r="CE156" s="161"/>
      <c r="CF156" s="161"/>
      <c r="CG156" s="3"/>
      <c r="CH156" s="3"/>
      <c r="CI156" s="3"/>
      <c r="CJ156" s="3"/>
      <c r="CK156" s="3"/>
      <c r="CL156" s="3"/>
      <c r="CM156" s="3"/>
      <c r="CN156" s="3"/>
    </row>
    <row r="157" spans="1:92" ht="14.4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53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80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161"/>
      <c r="BS157" s="161"/>
      <c r="BT157" s="161"/>
      <c r="BU157" s="162"/>
      <c r="BV157" s="163"/>
      <c r="BW157" s="163"/>
      <c r="BX157" s="163"/>
      <c r="BY157" s="163"/>
      <c r="BZ157" s="163"/>
      <c r="CA157" s="163"/>
      <c r="CB157" s="161"/>
      <c r="CC157" s="161"/>
      <c r="CD157" s="161"/>
      <c r="CE157" s="161"/>
      <c r="CF157" s="161"/>
      <c r="CG157" s="3"/>
      <c r="CH157" s="3"/>
      <c r="CI157" s="3"/>
      <c r="CJ157" s="3"/>
      <c r="CK157" s="3"/>
      <c r="CL157" s="3"/>
      <c r="CM157" s="3"/>
      <c r="CN157" s="3"/>
    </row>
    <row r="158" spans="1:92" ht="14.4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53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80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161"/>
      <c r="BS158" s="161"/>
      <c r="BT158" s="161"/>
      <c r="BU158" s="162"/>
      <c r="BV158" s="163"/>
      <c r="BW158" s="163"/>
      <c r="BX158" s="163"/>
      <c r="BY158" s="163"/>
      <c r="BZ158" s="163"/>
      <c r="CA158" s="163"/>
      <c r="CB158" s="161"/>
      <c r="CC158" s="161"/>
      <c r="CD158" s="161"/>
      <c r="CE158" s="161"/>
      <c r="CF158" s="161"/>
      <c r="CG158" s="3"/>
      <c r="CH158" s="3"/>
      <c r="CI158" s="3"/>
      <c r="CJ158" s="3"/>
      <c r="CK158" s="3"/>
      <c r="CL158" s="3"/>
      <c r="CM158" s="3"/>
      <c r="CN158" s="3"/>
    </row>
    <row r="159" spans="1:92" ht="14.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53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80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161"/>
      <c r="BS159" s="161"/>
      <c r="BT159" s="161"/>
      <c r="BU159" s="162"/>
      <c r="BV159" s="163"/>
      <c r="BW159" s="163"/>
      <c r="BX159" s="163"/>
      <c r="BY159" s="163"/>
      <c r="BZ159" s="163"/>
      <c r="CA159" s="163"/>
      <c r="CB159" s="161"/>
      <c r="CC159" s="161"/>
      <c r="CD159" s="161"/>
      <c r="CE159" s="161"/>
      <c r="CF159" s="161"/>
      <c r="CG159" s="3"/>
      <c r="CH159" s="3"/>
      <c r="CI159" s="3"/>
      <c r="CJ159" s="3"/>
      <c r="CK159" s="3"/>
      <c r="CL159" s="3"/>
      <c r="CM159" s="3"/>
      <c r="CN159" s="3"/>
    </row>
    <row r="160" spans="1:92" ht="14.4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53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80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161"/>
      <c r="BS160" s="161"/>
      <c r="BT160" s="161"/>
      <c r="BU160" s="162"/>
      <c r="BV160" s="163"/>
      <c r="BW160" s="163"/>
      <c r="BX160" s="163"/>
      <c r="BY160" s="163"/>
      <c r="BZ160" s="163"/>
      <c r="CA160" s="163"/>
      <c r="CB160" s="161"/>
      <c r="CC160" s="161"/>
      <c r="CD160" s="161"/>
      <c r="CE160" s="161"/>
      <c r="CF160" s="161"/>
      <c r="CG160" s="3"/>
      <c r="CH160" s="3"/>
      <c r="CI160" s="3"/>
      <c r="CJ160" s="3"/>
      <c r="CK160" s="3"/>
      <c r="CL160" s="3"/>
      <c r="CM160" s="3"/>
      <c r="CN160" s="3"/>
    </row>
    <row r="161" spans="1:92" ht="14.4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53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80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161"/>
      <c r="BS161" s="161"/>
      <c r="BT161" s="161"/>
      <c r="BU161" s="162"/>
      <c r="BV161" s="163"/>
      <c r="BW161" s="163"/>
      <c r="BX161" s="163"/>
      <c r="BY161" s="163"/>
      <c r="BZ161" s="163"/>
      <c r="CA161" s="163"/>
      <c r="CB161" s="161"/>
      <c r="CC161" s="161"/>
      <c r="CD161" s="161"/>
      <c r="CE161" s="161"/>
      <c r="CF161" s="161"/>
      <c r="CG161" s="3"/>
      <c r="CH161" s="3"/>
      <c r="CI161" s="3"/>
      <c r="CJ161" s="3"/>
      <c r="CK161" s="3"/>
      <c r="CL161" s="3"/>
      <c r="CM161" s="3"/>
      <c r="CN161" s="3"/>
    </row>
    <row r="162" spans="1:92" ht="14.4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53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80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161"/>
      <c r="BS162" s="161"/>
      <c r="BT162" s="161"/>
      <c r="BU162" s="162"/>
      <c r="BV162" s="163"/>
      <c r="BW162" s="163"/>
      <c r="BX162" s="163"/>
      <c r="BY162" s="163"/>
      <c r="BZ162" s="163"/>
      <c r="CA162" s="163"/>
      <c r="CB162" s="161"/>
      <c r="CC162" s="161"/>
      <c r="CD162" s="161"/>
      <c r="CE162" s="161"/>
      <c r="CF162" s="161"/>
      <c r="CG162" s="3"/>
      <c r="CH162" s="3"/>
      <c r="CI162" s="3"/>
      <c r="CJ162" s="3"/>
      <c r="CK162" s="3"/>
      <c r="CL162" s="3"/>
      <c r="CM162" s="3"/>
      <c r="CN162" s="3"/>
    </row>
    <row r="163" spans="1:92" ht="14.4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53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80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161"/>
      <c r="BS163" s="161"/>
      <c r="BT163" s="161"/>
      <c r="BU163" s="162"/>
      <c r="BV163" s="163"/>
      <c r="BW163" s="163"/>
      <c r="BX163" s="163"/>
      <c r="BY163" s="163"/>
      <c r="BZ163" s="163"/>
      <c r="CA163" s="163"/>
      <c r="CB163" s="161"/>
      <c r="CC163" s="161"/>
      <c r="CD163" s="161"/>
      <c r="CE163" s="161"/>
      <c r="CF163" s="161"/>
      <c r="CG163" s="3"/>
      <c r="CH163" s="3"/>
      <c r="CI163" s="3"/>
      <c r="CJ163" s="3"/>
      <c r="CK163" s="3"/>
      <c r="CL163" s="3"/>
      <c r="CM163" s="3"/>
      <c r="CN163" s="3"/>
    </row>
    <row r="164" spans="1:92" ht="14.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53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80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161"/>
      <c r="BS164" s="161"/>
      <c r="BT164" s="161"/>
      <c r="BU164" s="162"/>
      <c r="BV164" s="163"/>
      <c r="BW164" s="163"/>
      <c r="BX164" s="163"/>
      <c r="BY164" s="163"/>
      <c r="BZ164" s="163"/>
      <c r="CA164" s="163"/>
      <c r="CB164" s="161"/>
      <c r="CC164" s="161"/>
      <c r="CD164" s="161"/>
      <c r="CE164" s="161"/>
      <c r="CF164" s="161"/>
      <c r="CG164" s="3"/>
      <c r="CH164" s="3"/>
      <c r="CI164" s="3"/>
      <c r="CJ164" s="3"/>
      <c r="CK164" s="3"/>
      <c r="CL164" s="3"/>
      <c r="CM164" s="3"/>
      <c r="CN164" s="3"/>
    </row>
    <row r="165" spans="1:92" ht="14.4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53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80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161"/>
      <c r="BS165" s="161"/>
      <c r="BT165" s="161"/>
      <c r="BU165" s="162"/>
      <c r="BV165" s="163"/>
      <c r="BW165" s="163"/>
      <c r="BX165" s="163"/>
      <c r="BY165" s="163"/>
      <c r="BZ165" s="163"/>
      <c r="CA165" s="163"/>
      <c r="CB165" s="161"/>
      <c r="CC165" s="161"/>
      <c r="CD165" s="161"/>
      <c r="CE165" s="161"/>
      <c r="CF165" s="161"/>
      <c r="CG165" s="3"/>
      <c r="CH165" s="3"/>
      <c r="CI165" s="3"/>
      <c r="CJ165" s="3"/>
      <c r="CK165" s="3"/>
      <c r="CL165" s="3"/>
      <c r="CM165" s="3"/>
      <c r="CN165" s="3"/>
    </row>
    <row r="166" spans="1:92" ht="14.4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53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80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161"/>
      <c r="BS166" s="161"/>
      <c r="BT166" s="161"/>
      <c r="BU166" s="162"/>
      <c r="BV166" s="163"/>
      <c r="BW166" s="163"/>
      <c r="BX166" s="163"/>
      <c r="BY166" s="163"/>
      <c r="BZ166" s="163"/>
      <c r="CA166" s="163"/>
      <c r="CB166" s="161"/>
      <c r="CC166" s="161"/>
      <c r="CD166" s="161"/>
      <c r="CE166" s="161"/>
      <c r="CF166" s="161"/>
      <c r="CG166" s="3"/>
      <c r="CH166" s="3"/>
      <c r="CI166" s="3"/>
      <c r="CJ166" s="3"/>
      <c r="CK166" s="3"/>
      <c r="CL166" s="3"/>
      <c r="CM166" s="3"/>
      <c r="CN166" s="3"/>
    </row>
    <row r="167" spans="1:92" ht="14.4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53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80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161"/>
      <c r="BS167" s="161"/>
      <c r="BT167" s="161"/>
      <c r="BU167" s="162"/>
      <c r="BV167" s="163"/>
      <c r="BW167" s="163"/>
      <c r="BX167" s="163"/>
      <c r="BY167" s="163"/>
      <c r="BZ167" s="163"/>
      <c r="CA167" s="163"/>
      <c r="CB167" s="161"/>
      <c r="CC167" s="161"/>
      <c r="CD167" s="161"/>
      <c r="CE167" s="161"/>
      <c r="CF167" s="161"/>
      <c r="CG167" s="3"/>
      <c r="CH167" s="3"/>
      <c r="CI167" s="3"/>
      <c r="CJ167" s="3"/>
      <c r="CK167" s="3"/>
      <c r="CL167" s="3"/>
      <c r="CM167" s="3"/>
      <c r="CN167" s="3"/>
    </row>
    <row r="168" spans="1:92" ht="14.4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53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80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161"/>
      <c r="BS168" s="161"/>
      <c r="BT168" s="161"/>
      <c r="BU168" s="162"/>
      <c r="BV168" s="163"/>
      <c r="BW168" s="163"/>
      <c r="BX168" s="163"/>
      <c r="BY168" s="163"/>
      <c r="BZ168" s="163"/>
      <c r="CA168" s="163"/>
      <c r="CB168" s="161"/>
      <c r="CC168" s="161"/>
      <c r="CD168" s="161"/>
      <c r="CE168" s="161"/>
      <c r="CF168" s="161"/>
      <c r="CG168" s="3"/>
      <c r="CH168" s="3"/>
      <c r="CI168" s="3"/>
      <c r="CJ168" s="3"/>
      <c r="CK168" s="3"/>
      <c r="CL168" s="3"/>
      <c r="CM168" s="3"/>
      <c r="CN168" s="3"/>
    </row>
    <row r="169" spans="1:92" ht="14.4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53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80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161"/>
      <c r="BS169" s="161"/>
      <c r="BT169" s="161"/>
      <c r="BU169" s="162"/>
      <c r="BV169" s="163"/>
      <c r="BW169" s="163"/>
      <c r="BX169" s="163"/>
      <c r="BY169" s="163"/>
      <c r="BZ169" s="163"/>
      <c r="CA169" s="163"/>
      <c r="CB169" s="161"/>
      <c r="CC169" s="161"/>
      <c r="CD169" s="161"/>
      <c r="CE169" s="161"/>
      <c r="CF169" s="161"/>
      <c r="CG169" s="3"/>
      <c r="CH169" s="3"/>
      <c r="CI169" s="3"/>
      <c r="CJ169" s="3"/>
      <c r="CK169" s="3"/>
      <c r="CL169" s="3"/>
      <c r="CM169" s="3"/>
      <c r="CN169" s="3"/>
    </row>
    <row r="170" spans="1:92" ht="14.4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53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80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161"/>
      <c r="BS170" s="161"/>
      <c r="BT170" s="161"/>
      <c r="BU170" s="162"/>
      <c r="BV170" s="163"/>
      <c r="BW170" s="163"/>
      <c r="BX170" s="163"/>
      <c r="BY170" s="163"/>
      <c r="BZ170" s="163"/>
      <c r="CA170" s="163"/>
      <c r="CB170" s="161"/>
      <c r="CC170" s="161"/>
      <c r="CD170" s="161"/>
      <c r="CE170" s="161"/>
      <c r="CF170" s="161"/>
      <c r="CG170" s="3"/>
      <c r="CH170" s="3"/>
      <c r="CI170" s="3"/>
      <c r="CJ170" s="3"/>
      <c r="CK170" s="3"/>
      <c r="CL170" s="3"/>
      <c r="CM170" s="3"/>
      <c r="CN170" s="3"/>
    </row>
    <row r="171" spans="1:92" ht="14.4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53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80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161"/>
      <c r="BS171" s="161"/>
      <c r="BT171" s="161"/>
      <c r="BU171" s="162"/>
      <c r="BV171" s="163"/>
      <c r="BW171" s="163"/>
      <c r="BX171" s="163"/>
      <c r="BY171" s="163"/>
      <c r="BZ171" s="163"/>
      <c r="CA171" s="163"/>
      <c r="CB171" s="161"/>
      <c r="CC171" s="161"/>
      <c r="CD171" s="161"/>
      <c r="CE171" s="161"/>
      <c r="CF171" s="161"/>
      <c r="CG171" s="3"/>
      <c r="CH171" s="3"/>
      <c r="CI171" s="3"/>
      <c r="CJ171" s="3"/>
      <c r="CK171" s="3"/>
      <c r="CL171" s="3"/>
      <c r="CM171" s="3"/>
      <c r="CN171" s="3"/>
    </row>
    <row r="172" spans="1:92" ht="14.4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53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80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161"/>
      <c r="BS172" s="161"/>
      <c r="BT172" s="161"/>
      <c r="BU172" s="162"/>
      <c r="BV172" s="163"/>
      <c r="BW172" s="163"/>
      <c r="BX172" s="163"/>
      <c r="BY172" s="163"/>
      <c r="BZ172" s="163"/>
      <c r="CA172" s="163"/>
      <c r="CB172" s="161"/>
      <c r="CC172" s="161"/>
      <c r="CD172" s="161"/>
      <c r="CE172" s="161"/>
      <c r="CF172" s="161"/>
      <c r="CG172" s="3"/>
      <c r="CH172" s="3"/>
      <c r="CI172" s="3"/>
      <c r="CJ172" s="3"/>
      <c r="CK172" s="3"/>
      <c r="CL172" s="3"/>
      <c r="CM172" s="3"/>
      <c r="CN172" s="3"/>
    </row>
    <row r="173" spans="1:92" ht="14.4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53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80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161"/>
      <c r="BS173" s="161"/>
      <c r="BT173" s="161"/>
      <c r="BU173" s="162"/>
      <c r="BV173" s="163"/>
      <c r="BW173" s="163"/>
      <c r="BX173" s="163"/>
      <c r="BY173" s="163"/>
      <c r="BZ173" s="163"/>
      <c r="CA173" s="163"/>
      <c r="CB173" s="161"/>
      <c r="CC173" s="161"/>
      <c r="CD173" s="161"/>
      <c r="CE173" s="161"/>
      <c r="CF173" s="161"/>
      <c r="CG173" s="3"/>
      <c r="CH173" s="3"/>
      <c r="CI173" s="3"/>
      <c r="CJ173" s="3"/>
      <c r="CK173" s="3"/>
      <c r="CL173" s="3"/>
      <c r="CM173" s="3"/>
      <c r="CN173" s="3"/>
    </row>
    <row r="174" spans="1:92" ht="14.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53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80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161"/>
      <c r="BS174" s="161"/>
      <c r="BT174" s="161"/>
      <c r="BU174" s="162"/>
      <c r="BV174" s="163"/>
      <c r="BW174" s="163"/>
      <c r="BX174" s="163"/>
      <c r="BY174" s="163"/>
      <c r="BZ174" s="163"/>
      <c r="CA174" s="163"/>
      <c r="CB174" s="161"/>
      <c r="CC174" s="161"/>
      <c r="CD174" s="161"/>
      <c r="CE174" s="161"/>
      <c r="CF174" s="161"/>
      <c r="CG174" s="3"/>
      <c r="CH174" s="3"/>
      <c r="CI174" s="3"/>
      <c r="CJ174" s="3"/>
      <c r="CK174" s="3"/>
      <c r="CL174" s="3"/>
      <c r="CM174" s="3"/>
      <c r="CN174" s="3"/>
    </row>
    <row r="175" spans="1:92" ht="14.4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53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80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161"/>
      <c r="BS175" s="161"/>
      <c r="BT175" s="161"/>
      <c r="BU175" s="162"/>
      <c r="BV175" s="163"/>
      <c r="BW175" s="163"/>
      <c r="BX175" s="163"/>
      <c r="BY175" s="163"/>
      <c r="BZ175" s="163"/>
      <c r="CA175" s="163"/>
      <c r="CB175" s="161"/>
      <c r="CC175" s="161"/>
      <c r="CD175" s="161"/>
      <c r="CE175" s="161"/>
      <c r="CF175" s="161"/>
      <c r="CG175" s="3"/>
      <c r="CH175" s="3"/>
      <c r="CI175" s="3"/>
      <c r="CJ175" s="3"/>
      <c r="CK175" s="3"/>
      <c r="CL175" s="3"/>
      <c r="CM175" s="3"/>
      <c r="CN175" s="3"/>
    </row>
    <row r="176" spans="1:92" ht="14.4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53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80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161"/>
      <c r="BS176" s="161"/>
      <c r="BT176" s="161"/>
      <c r="BU176" s="162"/>
      <c r="BV176" s="163"/>
      <c r="BW176" s="163"/>
      <c r="BX176" s="163"/>
      <c r="BY176" s="163"/>
      <c r="BZ176" s="163"/>
      <c r="CA176" s="163"/>
      <c r="CB176" s="161"/>
      <c r="CC176" s="161"/>
      <c r="CD176" s="161"/>
      <c r="CE176" s="161"/>
      <c r="CF176" s="161"/>
      <c r="CG176" s="3"/>
      <c r="CH176" s="3"/>
      <c r="CI176" s="3"/>
      <c r="CJ176" s="3"/>
      <c r="CK176" s="3"/>
      <c r="CL176" s="3"/>
      <c r="CM176" s="3"/>
      <c r="CN176" s="3"/>
    </row>
    <row r="177" spans="1:92" ht="14.4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53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80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161"/>
      <c r="BS177" s="161"/>
      <c r="BT177" s="161"/>
      <c r="BU177" s="162"/>
      <c r="BV177" s="163"/>
      <c r="BW177" s="163"/>
      <c r="BX177" s="163"/>
      <c r="BY177" s="163"/>
      <c r="BZ177" s="163"/>
      <c r="CA177" s="163"/>
      <c r="CB177" s="161"/>
      <c r="CC177" s="161"/>
      <c r="CD177" s="161"/>
      <c r="CE177" s="161"/>
      <c r="CF177" s="161"/>
      <c r="CG177" s="3"/>
      <c r="CH177" s="3"/>
      <c r="CI177" s="3"/>
      <c r="CJ177" s="3"/>
      <c r="CK177" s="3"/>
      <c r="CL177" s="3"/>
      <c r="CM177" s="3"/>
      <c r="CN177" s="3"/>
    </row>
    <row r="178" spans="1:92" ht="14.4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53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80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161"/>
      <c r="BS178" s="161"/>
      <c r="BT178" s="161"/>
      <c r="BU178" s="162"/>
      <c r="BV178" s="163"/>
      <c r="BW178" s="163"/>
      <c r="BX178" s="163"/>
      <c r="BY178" s="163"/>
      <c r="BZ178" s="163"/>
      <c r="CA178" s="163"/>
      <c r="CB178" s="161"/>
      <c r="CC178" s="161"/>
      <c r="CD178" s="161"/>
      <c r="CE178" s="161"/>
      <c r="CF178" s="161"/>
      <c r="CG178" s="3"/>
      <c r="CH178" s="3"/>
      <c r="CI178" s="3"/>
      <c r="CJ178" s="3"/>
      <c r="CK178" s="3"/>
      <c r="CL178" s="3"/>
      <c r="CM178" s="3"/>
      <c r="CN178" s="3"/>
    </row>
    <row r="179" spans="1:92" ht="14.4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53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80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161"/>
      <c r="BS179" s="161"/>
      <c r="BT179" s="161"/>
      <c r="BU179" s="162"/>
      <c r="BV179" s="163"/>
      <c r="BW179" s="163"/>
      <c r="BX179" s="163"/>
      <c r="BY179" s="163"/>
      <c r="BZ179" s="163"/>
      <c r="CA179" s="163"/>
      <c r="CB179" s="161"/>
      <c r="CC179" s="161"/>
      <c r="CD179" s="161"/>
      <c r="CE179" s="161"/>
      <c r="CF179" s="161"/>
      <c r="CG179" s="3"/>
      <c r="CH179" s="3"/>
      <c r="CI179" s="3"/>
      <c r="CJ179" s="3"/>
      <c r="CK179" s="3"/>
      <c r="CL179" s="3"/>
      <c r="CM179" s="3"/>
      <c r="CN179" s="3"/>
    </row>
    <row r="180" spans="1:92" ht="14.4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53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80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161"/>
      <c r="BS180" s="161"/>
      <c r="BT180" s="161"/>
      <c r="BU180" s="162"/>
      <c r="BV180" s="163"/>
      <c r="BW180" s="163"/>
      <c r="BX180" s="163"/>
      <c r="BY180" s="163"/>
      <c r="BZ180" s="163"/>
      <c r="CA180" s="163"/>
      <c r="CB180" s="161"/>
      <c r="CC180" s="161"/>
      <c r="CD180" s="161"/>
      <c r="CE180" s="161"/>
      <c r="CF180" s="161"/>
      <c r="CG180" s="3"/>
      <c r="CH180" s="3"/>
      <c r="CI180" s="3"/>
      <c r="CJ180" s="3"/>
      <c r="CK180" s="3"/>
      <c r="CL180" s="3"/>
      <c r="CM180" s="3"/>
      <c r="CN180" s="3"/>
    </row>
    <row r="181" spans="1:92" ht="14.4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53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80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161"/>
      <c r="BS181" s="161"/>
      <c r="BT181" s="161"/>
      <c r="BU181" s="162"/>
      <c r="BV181" s="163"/>
      <c r="BW181" s="163"/>
      <c r="BX181" s="163"/>
      <c r="BY181" s="163"/>
      <c r="BZ181" s="163"/>
      <c r="CA181" s="163"/>
      <c r="CB181" s="161"/>
      <c r="CC181" s="161"/>
      <c r="CD181" s="161"/>
      <c r="CE181" s="161"/>
      <c r="CF181" s="161"/>
      <c r="CG181" s="3"/>
      <c r="CH181" s="3"/>
      <c r="CI181" s="3"/>
      <c r="CJ181" s="3"/>
      <c r="CK181" s="3"/>
      <c r="CL181" s="3"/>
      <c r="CM181" s="3"/>
      <c r="CN181" s="3"/>
    </row>
    <row r="182" spans="1:92" ht="14.4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53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80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161"/>
      <c r="BS182" s="161"/>
      <c r="BT182" s="161"/>
      <c r="BU182" s="162"/>
      <c r="BV182" s="163"/>
      <c r="BW182" s="163"/>
      <c r="BX182" s="163"/>
      <c r="BY182" s="163"/>
      <c r="BZ182" s="163"/>
      <c r="CA182" s="163"/>
      <c r="CB182" s="161"/>
      <c r="CC182" s="161"/>
      <c r="CD182" s="161"/>
      <c r="CE182" s="161"/>
      <c r="CF182" s="161"/>
      <c r="CG182" s="3"/>
      <c r="CH182" s="3"/>
      <c r="CI182" s="3"/>
      <c r="CJ182" s="3"/>
      <c r="CK182" s="3"/>
      <c r="CL182" s="3"/>
      <c r="CM182" s="3"/>
      <c r="CN182" s="3"/>
    </row>
    <row r="183" spans="1:92" ht="14.4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53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80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161"/>
      <c r="BS183" s="161"/>
      <c r="BT183" s="161"/>
      <c r="BU183" s="162"/>
      <c r="BV183" s="163"/>
      <c r="BW183" s="163"/>
      <c r="BX183" s="163"/>
      <c r="BY183" s="163"/>
      <c r="BZ183" s="163"/>
      <c r="CA183" s="163"/>
      <c r="CB183" s="161"/>
      <c r="CC183" s="161"/>
      <c r="CD183" s="161"/>
      <c r="CE183" s="161"/>
      <c r="CF183" s="161"/>
      <c r="CG183" s="3"/>
      <c r="CH183" s="3"/>
      <c r="CI183" s="3"/>
      <c r="CJ183" s="3"/>
      <c r="CK183" s="3"/>
      <c r="CL183" s="3"/>
      <c r="CM183" s="3"/>
      <c r="CN183" s="3"/>
    </row>
    <row r="184" spans="1:92" ht="14.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53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80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161"/>
      <c r="BS184" s="161"/>
      <c r="BT184" s="161"/>
      <c r="BU184" s="162"/>
      <c r="BV184" s="163"/>
      <c r="BW184" s="163"/>
      <c r="BX184" s="163"/>
      <c r="BY184" s="163"/>
      <c r="BZ184" s="163"/>
      <c r="CA184" s="163"/>
      <c r="CB184" s="161"/>
      <c r="CC184" s="161"/>
      <c r="CD184" s="161"/>
      <c r="CE184" s="161"/>
      <c r="CF184" s="161"/>
      <c r="CG184" s="3"/>
      <c r="CH184" s="3"/>
      <c r="CI184" s="3"/>
      <c r="CJ184" s="3"/>
      <c r="CK184" s="3"/>
      <c r="CL184" s="3"/>
      <c r="CM184" s="3"/>
      <c r="CN184" s="3"/>
    </row>
    <row r="185" spans="1:92" ht="14.4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53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80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161"/>
      <c r="BS185" s="161"/>
      <c r="BT185" s="161"/>
      <c r="BU185" s="162"/>
      <c r="BV185" s="163"/>
      <c r="BW185" s="163"/>
      <c r="BX185" s="163"/>
      <c r="BY185" s="163"/>
      <c r="BZ185" s="163"/>
      <c r="CA185" s="163"/>
      <c r="CB185" s="161"/>
      <c r="CC185" s="161"/>
      <c r="CD185" s="161"/>
      <c r="CE185" s="161"/>
      <c r="CF185" s="161"/>
      <c r="CG185" s="3"/>
      <c r="CH185" s="3"/>
      <c r="CI185" s="3"/>
      <c r="CJ185" s="3"/>
      <c r="CK185" s="3"/>
      <c r="CL185" s="3"/>
      <c r="CM185" s="3"/>
      <c r="CN185" s="3"/>
    </row>
    <row r="186" spans="1:92" ht="14.4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53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80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161"/>
      <c r="BS186" s="161"/>
      <c r="BT186" s="161"/>
      <c r="BU186" s="162"/>
      <c r="BV186" s="163"/>
      <c r="BW186" s="163"/>
      <c r="BX186" s="163"/>
      <c r="BY186" s="163"/>
      <c r="BZ186" s="163"/>
      <c r="CA186" s="163"/>
      <c r="CB186" s="161"/>
      <c r="CC186" s="161"/>
      <c r="CD186" s="161"/>
      <c r="CE186" s="161"/>
      <c r="CF186" s="161"/>
      <c r="CG186" s="3"/>
      <c r="CH186" s="3"/>
      <c r="CI186" s="3"/>
      <c r="CJ186" s="3"/>
      <c r="CK186" s="3"/>
      <c r="CL186" s="3"/>
      <c r="CM186" s="3"/>
      <c r="CN186" s="3"/>
    </row>
    <row r="187" spans="1:92" ht="14.4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53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80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161"/>
      <c r="BS187" s="161"/>
      <c r="BT187" s="161"/>
      <c r="BU187" s="162"/>
      <c r="BV187" s="163"/>
      <c r="BW187" s="163"/>
      <c r="BX187" s="163"/>
      <c r="BY187" s="163"/>
      <c r="BZ187" s="163"/>
      <c r="CA187" s="163"/>
      <c r="CB187" s="161"/>
      <c r="CC187" s="161"/>
      <c r="CD187" s="161"/>
      <c r="CE187" s="161"/>
      <c r="CF187" s="161"/>
      <c r="CG187" s="3"/>
      <c r="CH187" s="3"/>
      <c r="CI187" s="3"/>
      <c r="CJ187" s="3"/>
      <c r="CK187" s="3"/>
      <c r="CL187" s="3"/>
      <c r="CM187" s="3"/>
      <c r="CN187" s="3"/>
    </row>
    <row r="188" spans="1:92" ht="14.4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53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80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161"/>
      <c r="BS188" s="161"/>
      <c r="BT188" s="161"/>
      <c r="BU188" s="162"/>
      <c r="BV188" s="163"/>
      <c r="BW188" s="163"/>
      <c r="BX188" s="163"/>
      <c r="BY188" s="163"/>
      <c r="BZ188" s="163"/>
      <c r="CA188" s="163"/>
      <c r="CB188" s="161"/>
      <c r="CC188" s="161"/>
      <c r="CD188" s="161"/>
      <c r="CE188" s="161"/>
      <c r="CF188" s="161"/>
      <c r="CG188" s="3"/>
      <c r="CH188" s="3"/>
      <c r="CI188" s="3"/>
      <c r="CJ188" s="3"/>
      <c r="CK188" s="3"/>
      <c r="CL188" s="3"/>
      <c r="CM188" s="3"/>
      <c r="CN188" s="3"/>
    </row>
    <row r="189" spans="1:92" ht="14.4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53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80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161"/>
      <c r="BS189" s="161"/>
      <c r="BT189" s="161"/>
      <c r="BU189" s="162"/>
      <c r="BV189" s="163"/>
      <c r="BW189" s="163"/>
      <c r="BX189" s="163"/>
      <c r="BY189" s="163"/>
      <c r="BZ189" s="163"/>
      <c r="CA189" s="163"/>
      <c r="CB189" s="161"/>
      <c r="CC189" s="161"/>
      <c r="CD189" s="161"/>
      <c r="CE189" s="161"/>
      <c r="CF189" s="161"/>
      <c r="CG189" s="3"/>
      <c r="CH189" s="3"/>
      <c r="CI189" s="3"/>
      <c r="CJ189" s="3"/>
      <c r="CK189" s="3"/>
      <c r="CL189" s="3"/>
      <c r="CM189" s="3"/>
      <c r="CN189" s="3"/>
    </row>
    <row r="190" spans="1:92" ht="14.4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53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80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161"/>
      <c r="BS190" s="161"/>
      <c r="BT190" s="161"/>
      <c r="BU190" s="162"/>
      <c r="BV190" s="163"/>
      <c r="BW190" s="163"/>
      <c r="BX190" s="163"/>
      <c r="BY190" s="163"/>
      <c r="BZ190" s="163"/>
      <c r="CA190" s="163"/>
      <c r="CB190" s="161"/>
      <c r="CC190" s="161"/>
      <c r="CD190" s="161"/>
      <c r="CE190" s="161"/>
      <c r="CF190" s="161"/>
      <c r="CG190" s="3"/>
      <c r="CH190" s="3"/>
      <c r="CI190" s="3"/>
      <c r="CJ190" s="3"/>
      <c r="CK190" s="3"/>
      <c r="CL190" s="3"/>
      <c r="CM190" s="3"/>
      <c r="CN190" s="3"/>
    </row>
    <row r="191" spans="1:92" ht="14.4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53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80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161"/>
      <c r="BS191" s="161"/>
      <c r="BT191" s="161"/>
      <c r="BU191" s="162"/>
      <c r="BV191" s="163"/>
      <c r="BW191" s="163"/>
      <c r="BX191" s="163"/>
      <c r="BY191" s="163"/>
      <c r="BZ191" s="163"/>
      <c r="CA191" s="163"/>
      <c r="CB191" s="161"/>
      <c r="CC191" s="161"/>
      <c r="CD191" s="161"/>
      <c r="CE191" s="161"/>
      <c r="CF191" s="161"/>
      <c r="CG191" s="3"/>
      <c r="CH191" s="3"/>
      <c r="CI191" s="3"/>
      <c r="CJ191" s="3"/>
      <c r="CK191" s="3"/>
      <c r="CL191" s="3"/>
      <c r="CM191" s="3"/>
      <c r="CN191" s="3"/>
    </row>
    <row r="192" spans="1:92" ht="14.4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53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80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161"/>
      <c r="BS192" s="161"/>
      <c r="BT192" s="161"/>
      <c r="BU192" s="162"/>
      <c r="BV192" s="163"/>
      <c r="BW192" s="163"/>
      <c r="BX192" s="163"/>
      <c r="BY192" s="163"/>
      <c r="BZ192" s="163"/>
      <c r="CA192" s="163"/>
      <c r="CB192" s="161"/>
      <c r="CC192" s="161"/>
      <c r="CD192" s="161"/>
      <c r="CE192" s="161"/>
      <c r="CF192" s="161"/>
      <c r="CG192" s="3"/>
      <c r="CH192" s="3"/>
      <c r="CI192" s="3"/>
      <c r="CJ192" s="3"/>
      <c r="CK192" s="3"/>
      <c r="CL192" s="3"/>
      <c r="CM192" s="3"/>
      <c r="CN192" s="3"/>
    </row>
    <row r="193" spans="1:92" ht="14.4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53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80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  <c r="BG193" s="78"/>
      <c r="BH193" s="78"/>
      <c r="BI193" s="78"/>
      <c r="BJ193" s="78"/>
      <c r="BK193" s="78"/>
      <c r="BL193" s="78"/>
      <c r="BM193" s="78"/>
      <c r="BN193" s="78"/>
      <c r="BO193" s="78"/>
      <c r="BP193" s="78"/>
      <c r="BQ193" s="78"/>
      <c r="BR193" s="161"/>
      <c r="BS193" s="161"/>
      <c r="BT193" s="161"/>
      <c r="BU193" s="162"/>
      <c r="BV193" s="163"/>
      <c r="BW193" s="163"/>
      <c r="BX193" s="163"/>
      <c r="BY193" s="163"/>
      <c r="BZ193" s="163"/>
      <c r="CA193" s="163"/>
      <c r="CB193" s="161"/>
      <c r="CC193" s="161"/>
      <c r="CD193" s="161"/>
      <c r="CE193" s="161"/>
      <c r="CF193" s="161"/>
      <c r="CG193" s="3"/>
      <c r="CH193" s="3"/>
      <c r="CI193" s="3"/>
      <c r="CJ193" s="3"/>
      <c r="CK193" s="3"/>
      <c r="CL193" s="3"/>
      <c r="CM193" s="3"/>
      <c r="CN193" s="3"/>
    </row>
    <row r="194" spans="1:92" ht="14.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53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80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161"/>
      <c r="BS194" s="161"/>
      <c r="BT194" s="161"/>
      <c r="BU194" s="162"/>
      <c r="BV194" s="163"/>
      <c r="BW194" s="163"/>
      <c r="BX194" s="163"/>
      <c r="BY194" s="163"/>
      <c r="BZ194" s="163"/>
      <c r="CA194" s="163"/>
      <c r="CB194" s="161"/>
      <c r="CC194" s="161"/>
      <c r="CD194" s="161"/>
      <c r="CE194" s="161"/>
      <c r="CF194" s="161"/>
      <c r="CG194" s="3"/>
      <c r="CH194" s="3"/>
      <c r="CI194" s="3"/>
      <c r="CJ194" s="3"/>
      <c r="CK194" s="3"/>
      <c r="CL194" s="3"/>
      <c r="CM194" s="3"/>
      <c r="CN194" s="3"/>
    </row>
    <row r="195" spans="1:92" ht="14.4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53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80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161"/>
      <c r="BS195" s="161"/>
      <c r="BT195" s="161"/>
      <c r="BU195" s="162"/>
      <c r="BV195" s="163"/>
      <c r="BW195" s="163"/>
      <c r="BX195" s="163"/>
      <c r="BY195" s="163"/>
      <c r="BZ195" s="163"/>
      <c r="CA195" s="163"/>
      <c r="CB195" s="161"/>
      <c r="CC195" s="161"/>
      <c r="CD195" s="161"/>
      <c r="CE195" s="161"/>
      <c r="CF195" s="161"/>
      <c r="CG195" s="3"/>
      <c r="CH195" s="3"/>
      <c r="CI195" s="3"/>
      <c r="CJ195" s="3"/>
      <c r="CK195" s="3"/>
      <c r="CL195" s="3"/>
      <c r="CM195" s="3"/>
      <c r="CN195" s="3"/>
    </row>
    <row r="196" spans="1:92" ht="14.4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53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80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161"/>
      <c r="BS196" s="161"/>
      <c r="BT196" s="161"/>
      <c r="BU196" s="162"/>
      <c r="BV196" s="163"/>
      <c r="BW196" s="163"/>
      <c r="BX196" s="163"/>
      <c r="BY196" s="163"/>
      <c r="BZ196" s="163"/>
      <c r="CA196" s="163"/>
      <c r="CB196" s="161"/>
      <c r="CC196" s="161"/>
      <c r="CD196" s="161"/>
      <c r="CE196" s="161"/>
      <c r="CF196" s="161"/>
      <c r="CG196" s="3"/>
      <c r="CH196" s="3"/>
      <c r="CI196" s="3"/>
      <c r="CJ196" s="3"/>
      <c r="CK196" s="3"/>
      <c r="CL196" s="3"/>
      <c r="CM196" s="3"/>
      <c r="CN196" s="3"/>
    </row>
    <row r="197" spans="1:92" ht="14.4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53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80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161"/>
      <c r="BS197" s="161"/>
      <c r="BT197" s="161"/>
      <c r="BU197" s="162"/>
      <c r="BV197" s="163"/>
      <c r="BW197" s="163"/>
      <c r="BX197" s="163"/>
      <c r="BY197" s="163"/>
      <c r="BZ197" s="163"/>
      <c r="CA197" s="163"/>
      <c r="CB197" s="161"/>
      <c r="CC197" s="161"/>
      <c r="CD197" s="161"/>
      <c r="CE197" s="161"/>
      <c r="CF197" s="161"/>
      <c r="CG197" s="3"/>
      <c r="CH197" s="3"/>
      <c r="CI197" s="3"/>
      <c r="CJ197" s="3"/>
      <c r="CK197" s="3"/>
      <c r="CL197" s="3"/>
      <c r="CM197" s="3"/>
      <c r="CN197" s="3"/>
    </row>
    <row r="198" spans="1:92" ht="14.4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53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80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161"/>
      <c r="BS198" s="161"/>
      <c r="BT198" s="161"/>
      <c r="BU198" s="162"/>
      <c r="BV198" s="163"/>
      <c r="BW198" s="163"/>
      <c r="BX198" s="163"/>
      <c r="BY198" s="163"/>
      <c r="BZ198" s="163"/>
      <c r="CA198" s="163"/>
      <c r="CB198" s="161"/>
      <c r="CC198" s="161"/>
      <c r="CD198" s="161"/>
      <c r="CE198" s="161"/>
      <c r="CF198" s="161"/>
      <c r="CG198" s="3"/>
      <c r="CH198" s="3"/>
      <c r="CI198" s="3"/>
      <c r="CJ198" s="3"/>
      <c r="CK198" s="3"/>
      <c r="CL198" s="3"/>
      <c r="CM198" s="3"/>
      <c r="CN198" s="3"/>
    </row>
    <row r="199" spans="1:92" ht="14.4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53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80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161"/>
      <c r="BS199" s="161"/>
      <c r="BT199" s="161"/>
      <c r="BU199" s="162"/>
      <c r="BV199" s="163"/>
      <c r="BW199" s="163"/>
      <c r="BX199" s="163"/>
      <c r="BY199" s="163"/>
      <c r="BZ199" s="163"/>
      <c r="CA199" s="163"/>
      <c r="CB199" s="161"/>
      <c r="CC199" s="161"/>
      <c r="CD199" s="161"/>
      <c r="CE199" s="161"/>
      <c r="CF199" s="161"/>
      <c r="CG199" s="3"/>
      <c r="CH199" s="3"/>
      <c r="CI199" s="3"/>
      <c r="CJ199" s="3"/>
      <c r="CK199" s="3"/>
      <c r="CL199" s="3"/>
      <c r="CM199" s="3"/>
      <c r="CN199" s="3"/>
    </row>
    <row r="200" spans="1:92" ht="14.4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53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80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161"/>
      <c r="BS200" s="161"/>
      <c r="BT200" s="161"/>
      <c r="BU200" s="162"/>
      <c r="BV200" s="163"/>
      <c r="BW200" s="163"/>
      <c r="BX200" s="163"/>
      <c r="BY200" s="163"/>
      <c r="BZ200" s="163"/>
      <c r="CA200" s="163"/>
      <c r="CB200" s="161"/>
      <c r="CC200" s="161"/>
      <c r="CD200" s="161"/>
      <c r="CE200" s="161"/>
      <c r="CF200" s="161"/>
      <c r="CG200" s="3"/>
      <c r="CH200" s="3"/>
      <c r="CI200" s="3"/>
      <c r="CJ200" s="3"/>
      <c r="CK200" s="3"/>
      <c r="CL200" s="3"/>
      <c r="CM200" s="3"/>
      <c r="CN200" s="3"/>
    </row>
    <row r="201" spans="1:92" ht="14.4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53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80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161"/>
      <c r="BS201" s="161"/>
      <c r="BT201" s="161"/>
      <c r="BU201" s="162"/>
      <c r="BV201" s="163"/>
      <c r="BW201" s="163"/>
      <c r="BX201" s="163"/>
      <c r="BY201" s="163"/>
      <c r="BZ201" s="163"/>
      <c r="CA201" s="163"/>
      <c r="CB201" s="161"/>
      <c r="CC201" s="161"/>
      <c r="CD201" s="161"/>
      <c r="CE201" s="161"/>
      <c r="CF201" s="161"/>
      <c r="CG201" s="3"/>
      <c r="CH201" s="3"/>
      <c r="CI201" s="3"/>
      <c r="CJ201" s="3"/>
      <c r="CK201" s="3"/>
      <c r="CL201" s="3"/>
      <c r="CM201" s="3"/>
      <c r="CN201" s="3"/>
    </row>
    <row r="202" spans="1:92" ht="14.4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53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80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161"/>
      <c r="BS202" s="161"/>
      <c r="BT202" s="161"/>
      <c r="BU202" s="162"/>
      <c r="BV202" s="163"/>
      <c r="BW202" s="163"/>
      <c r="BX202" s="163"/>
      <c r="BY202" s="163"/>
      <c r="BZ202" s="163"/>
      <c r="CA202" s="163"/>
      <c r="CB202" s="161"/>
      <c r="CC202" s="161"/>
      <c r="CD202" s="161"/>
      <c r="CE202" s="161"/>
      <c r="CF202" s="161"/>
      <c r="CG202" s="3"/>
      <c r="CH202" s="3"/>
      <c r="CI202" s="3"/>
      <c r="CJ202" s="3"/>
      <c r="CK202" s="3"/>
      <c r="CL202" s="3"/>
      <c r="CM202" s="3"/>
      <c r="CN202" s="3"/>
    </row>
    <row r="203" spans="1:92" ht="14.4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53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80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161"/>
      <c r="BS203" s="161"/>
      <c r="BT203" s="161"/>
      <c r="BU203" s="162"/>
      <c r="BV203" s="163"/>
      <c r="BW203" s="163"/>
      <c r="BX203" s="163"/>
      <c r="BY203" s="163"/>
      <c r="BZ203" s="163"/>
      <c r="CA203" s="163"/>
      <c r="CB203" s="161"/>
      <c r="CC203" s="161"/>
      <c r="CD203" s="161"/>
      <c r="CE203" s="161"/>
      <c r="CF203" s="161"/>
      <c r="CG203" s="3"/>
      <c r="CH203" s="3"/>
      <c r="CI203" s="3"/>
      <c r="CJ203" s="3"/>
      <c r="CK203" s="3"/>
      <c r="CL203" s="3"/>
      <c r="CM203" s="3"/>
      <c r="CN203" s="3"/>
    </row>
    <row r="204" spans="1:92" ht="14.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53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80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161"/>
      <c r="BS204" s="161"/>
      <c r="BT204" s="161"/>
      <c r="BU204" s="162"/>
      <c r="BV204" s="163"/>
      <c r="BW204" s="163"/>
      <c r="BX204" s="163"/>
      <c r="BY204" s="163"/>
      <c r="BZ204" s="163"/>
      <c r="CA204" s="163"/>
      <c r="CB204" s="161"/>
      <c r="CC204" s="161"/>
      <c r="CD204" s="161"/>
      <c r="CE204" s="161"/>
      <c r="CF204" s="161"/>
      <c r="CG204" s="3"/>
      <c r="CH204" s="3"/>
      <c r="CI204" s="3"/>
      <c r="CJ204" s="3"/>
      <c r="CK204" s="3"/>
      <c r="CL204" s="3"/>
      <c r="CM204" s="3"/>
      <c r="CN204" s="3"/>
    </row>
    <row r="205" spans="1:92" ht="14.4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53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80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161"/>
      <c r="BS205" s="161"/>
      <c r="BT205" s="161"/>
      <c r="BU205" s="162"/>
      <c r="BV205" s="163"/>
      <c r="BW205" s="163"/>
      <c r="BX205" s="163"/>
      <c r="BY205" s="163"/>
      <c r="BZ205" s="163"/>
      <c r="CA205" s="163"/>
      <c r="CB205" s="161"/>
      <c r="CC205" s="161"/>
      <c r="CD205" s="161"/>
      <c r="CE205" s="161"/>
      <c r="CF205" s="161"/>
      <c r="CG205" s="3"/>
      <c r="CH205" s="3"/>
      <c r="CI205" s="3"/>
      <c r="CJ205" s="3"/>
      <c r="CK205" s="3"/>
      <c r="CL205" s="3"/>
      <c r="CM205" s="3"/>
      <c r="CN205" s="3"/>
    </row>
    <row r="206" spans="1:92" ht="14.4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53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80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161"/>
      <c r="BS206" s="161"/>
      <c r="BT206" s="161"/>
      <c r="BU206" s="162"/>
      <c r="BV206" s="163"/>
      <c r="BW206" s="163"/>
      <c r="BX206" s="163"/>
      <c r="BY206" s="163"/>
      <c r="BZ206" s="163"/>
      <c r="CA206" s="163"/>
      <c r="CB206" s="161"/>
      <c r="CC206" s="161"/>
      <c r="CD206" s="161"/>
      <c r="CE206" s="161"/>
      <c r="CF206" s="161"/>
      <c r="CG206" s="3"/>
      <c r="CH206" s="3"/>
      <c r="CI206" s="3"/>
      <c r="CJ206" s="3"/>
      <c r="CK206" s="3"/>
      <c r="CL206" s="3"/>
      <c r="CM206" s="3"/>
      <c r="CN206" s="3"/>
    </row>
    <row r="207" spans="1:92" ht="14.4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53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80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161"/>
      <c r="BS207" s="161"/>
      <c r="BT207" s="161"/>
      <c r="BU207" s="162"/>
      <c r="BV207" s="163"/>
      <c r="BW207" s="163"/>
      <c r="BX207" s="163"/>
      <c r="BY207" s="163"/>
      <c r="BZ207" s="163"/>
      <c r="CA207" s="163"/>
      <c r="CB207" s="161"/>
      <c r="CC207" s="161"/>
      <c r="CD207" s="161"/>
      <c r="CE207" s="161"/>
      <c r="CF207" s="161"/>
      <c r="CG207" s="3"/>
      <c r="CH207" s="3"/>
      <c r="CI207" s="3"/>
      <c r="CJ207" s="3"/>
      <c r="CK207" s="3"/>
      <c r="CL207" s="3"/>
      <c r="CM207" s="3"/>
      <c r="CN207" s="3"/>
    </row>
    <row r="208" spans="1:92" ht="14.4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53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80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161"/>
      <c r="BS208" s="161"/>
      <c r="BT208" s="161"/>
      <c r="BU208" s="162"/>
      <c r="BV208" s="163"/>
      <c r="BW208" s="163"/>
      <c r="BX208" s="163"/>
      <c r="BY208" s="163"/>
      <c r="BZ208" s="163"/>
      <c r="CA208" s="163"/>
      <c r="CB208" s="161"/>
      <c r="CC208" s="161"/>
      <c r="CD208" s="161"/>
      <c r="CE208" s="161"/>
      <c r="CF208" s="161"/>
      <c r="CG208" s="3"/>
      <c r="CH208" s="3"/>
      <c r="CI208" s="3"/>
      <c r="CJ208" s="3"/>
      <c r="CK208" s="3"/>
      <c r="CL208" s="3"/>
      <c r="CM208" s="3"/>
      <c r="CN208" s="3"/>
    </row>
    <row r="209" spans="1:92" ht="14.4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53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80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161"/>
      <c r="BS209" s="161"/>
      <c r="BT209" s="161"/>
      <c r="BU209" s="162"/>
      <c r="BV209" s="163"/>
      <c r="BW209" s="163"/>
      <c r="BX209" s="163"/>
      <c r="BY209" s="163"/>
      <c r="BZ209" s="163"/>
      <c r="CA209" s="163"/>
      <c r="CB209" s="161"/>
      <c r="CC209" s="161"/>
      <c r="CD209" s="161"/>
      <c r="CE209" s="161"/>
      <c r="CF209" s="161"/>
      <c r="CG209" s="3"/>
      <c r="CH209" s="3"/>
      <c r="CI209" s="3"/>
      <c r="CJ209" s="3"/>
      <c r="CK209" s="3"/>
      <c r="CL209" s="3"/>
      <c r="CM209" s="3"/>
      <c r="CN209" s="3"/>
    </row>
    <row r="210" spans="1:92" ht="14.4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53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80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161"/>
      <c r="BS210" s="161"/>
      <c r="BT210" s="161"/>
      <c r="BU210" s="162"/>
      <c r="BV210" s="163"/>
      <c r="BW210" s="163"/>
      <c r="BX210" s="163"/>
      <c r="BY210" s="163"/>
      <c r="BZ210" s="163"/>
      <c r="CA210" s="163"/>
      <c r="CB210" s="161"/>
      <c r="CC210" s="161"/>
      <c r="CD210" s="161"/>
      <c r="CE210" s="161"/>
      <c r="CF210" s="161"/>
      <c r="CG210" s="3"/>
      <c r="CH210" s="3"/>
      <c r="CI210" s="3"/>
      <c r="CJ210" s="3"/>
      <c r="CK210" s="3"/>
      <c r="CL210" s="3"/>
      <c r="CM210" s="3"/>
      <c r="CN210" s="3"/>
    </row>
    <row r="211" spans="1:92" ht="14.4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53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80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161"/>
      <c r="BS211" s="161"/>
      <c r="BT211" s="161"/>
      <c r="BU211" s="162"/>
      <c r="BV211" s="163"/>
      <c r="BW211" s="163"/>
      <c r="BX211" s="163"/>
      <c r="BY211" s="163"/>
      <c r="BZ211" s="163"/>
      <c r="CA211" s="163"/>
      <c r="CB211" s="161"/>
      <c r="CC211" s="161"/>
      <c r="CD211" s="161"/>
      <c r="CE211" s="161"/>
      <c r="CF211" s="161"/>
      <c r="CG211" s="3"/>
      <c r="CH211" s="3"/>
      <c r="CI211" s="3"/>
      <c r="CJ211" s="3"/>
      <c r="CK211" s="3"/>
      <c r="CL211" s="3"/>
      <c r="CM211" s="3"/>
      <c r="CN211" s="3"/>
    </row>
    <row r="212" spans="1:92" ht="14.4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53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80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161"/>
      <c r="BS212" s="161"/>
      <c r="BT212" s="161"/>
      <c r="BU212" s="162"/>
      <c r="BV212" s="163"/>
      <c r="BW212" s="163"/>
      <c r="BX212" s="163"/>
      <c r="BY212" s="163"/>
      <c r="BZ212" s="163"/>
      <c r="CA212" s="163"/>
      <c r="CB212" s="161"/>
      <c r="CC212" s="161"/>
      <c r="CD212" s="161"/>
      <c r="CE212" s="161"/>
      <c r="CF212" s="161"/>
      <c r="CG212" s="3"/>
      <c r="CH212" s="3"/>
      <c r="CI212" s="3"/>
      <c r="CJ212" s="3"/>
      <c r="CK212" s="3"/>
      <c r="CL212" s="3"/>
      <c r="CM212" s="3"/>
      <c r="CN212" s="3"/>
    </row>
    <row r="213" spans="1:92" ht="14.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53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80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161"/>
      <c r="BS213" s="161"/>
      <c r="BT213" s="161"/>
      <c r="BU213" s="162"/>
      <c r="BV213" s="163"/>
      <c r="BW213" s="163"/>
      <c r="BX213" s="163"/>
      <c r="BY213" s="163"/>
      <c r="BZ213" s="163"/>
      <c r="CA213" s="163"/>
      <c r="CB213" s="161"/>
      <c r="CC213" s="161"/>
      <c r="CD213" s="161"/>
      <c r="CE213" s="161"/>
      <c r="CF213" s="161"/>
      <c r="CG213" s="3"/>
      <c r="CH213" s="3"/>
      <c r="CI213" s="3"/>
      <c r="CJ213" s="3"/>
      <c r="CK213" s="3"/>
      <c r="CL213" s="3"/>
      <c r="CM213" s="3"/>
      <c r="CN213" s="3"/>
    </row>
    <row r="214" spans="1:92" ht="14.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53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80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161"/>
      <c r="BS214" s="161"/>
      <c r="BT214" s="161"/>
      <c r="BU214" s="162"/>
      <c r="BV214" s="163"/>
      <c r="BW214" s="163"/>
      <c r="BX214" s="163"/>
      <c r="BY214" s="163"/>
      <c r="BZ214" s="163"/>
      <c r="CA214" s="163"/>
      <c r="CB214" s="161"/>
      <c r="CC214" s="161"/>
      <c r="CD214" s="161"/>
      <c r="CE214" s="161"/>
      <c r="CF214" s="161"/>
      <c r="CG214" s="3"/>
      <c r="CH214" s="3"/>
      <c r="CI214" s="3"/>
      <c r="CJ214" s="3"/>
      <c r="CK214" s="3"/>
      <c r="CL214" s="3"/>
      <c r="CM214" s="3"/>
      <c r="CN214" s="3"/>
    </row>
    <row r="215" spans="1:92" ht="14.4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53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80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161"/>
      <c r="BS215" s="161"/>
      <c r="BT215" s="161"/>
      <c r="BU215" s="162"/>
      <c r="BV215" s="163"/>
      <c r="BW215" s="163"/>
      <c r="BX215" s="163"/>
      <c r="BY215" s="163"/>
      <c r="BZ215" s="163"/>
      <c r="CA215" s="163"/>
      <c r="CB215" s="161"/>
      <c r="CC215" s="161"/>
      <c r="CD215" s="161"/>
      <c r="CE215" s="161"/>
      <c r="CF215" s="161"/>
      <c r="CG215" s="3"/>
      <c r="CH215" s="3"/>
      <c r="CI215" s="3"/>
      <c r="CJ215" s="3"/>
      <c r="CK215" s="3"/>
      <c r="CL215" s="3"/>
      <c r="CM215" s="3"/>
      <c r="CN215" s="3"/>
    </row>
    <row r="216" spans="1:92" ht="14.4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53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80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161"/>
      <c r="BS216" s="161"/>
      <c r="BT216" s="161"/>
      <c r="BU216" s="162"/>
      <c r="BV216" s="163"/>
      <c r="BW216" s="163"/>
      <c r="BX216" s="163"/>
      <c r="BY216" s="163"/>
      <c r="BZ216" s="163"/>
      <c r="CA216" s="163"/>
      <c r="CB216" s="161"/>
      <c r="CC216" s="161"/>
      <c r="CD216" s="161"/>
      <c r="CE216" s="161"/>
      <c r="CF216" s="161"/>
      <c r="CG216" s="3"/>
      <c r="CH216" s="3"/>
      <c r="CI216" s="3"/>
      <c r="CJ216" s="3"/>
      <c r="CK216" s="3"/>
      <c r="CL216" s="3"/>
      <c r="CM216" s="3"/>
      <c r="CN216" s="3"/>
    </row>
    <row r="217" spans="1:92" ht="14.4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53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80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161"/>
      <c r="BS217" s="161"/>
      <c r="BT217" s="161"/>
      <c r="BU217" s="162"/>
      <c r="BV217" s="163"/>
      <c r="BW217" s="163"/>
      <c r="BX217" s="163"/>
      <c r="BY217" s="163"/>
      <c r="BZ217" s="163"/>
      <c r="CA217" s="163"/>
      <c r="CB217" s="161"/>
      <c r="CC217" s="161"/>
      <c r="CD217" s="161"/>
      <c r="CE217" s="161"/>
      <c r="CF217" s="161"/>
      <c r="CG217" s="3"/>
      <c r="CH217" s="3"/>
      <c r="CI217" s="3"/>
      <c r="CJ217" s="3"/>
      <c r="CK217" s="3"/>
      <c r="CL217" s="3"/>
      <c r="CM217" s="3"/>
      <c r="CN217" s="3"/>
    </row>
    <row r="218" spans="1:92" ht="14.4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53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80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161"/>
      <c r="BS218" s="161"/>
      <c r="BT218" s="161"/>
      <c r="BU218" s="162"/>
      <c r="BV218" s="163"/>
      <c r="BW218" s="163"/>
      <c r="BX218" s="163"/>
      <c r="BY218" s="163"/>
      <c r="BZ218" s="163"/>
      <c r="CA218" s="163"/>
      <c r="CB218" s="161"/>
      <c r="CC218" s="161"/>
      <c r="CD218" s="161"/>
      <c r="CE218" s="161"/>
      <c r="CF218" s="161"/>
      <c r="CG218" s="3"/>
      <c r="CH218" s="3"/>
      <c r="CI218" s="3"/>
      <c r="CJ218" s="3"/>
      <c r="CK218" s="3"/>
      <c r="CL218" s="3"/>
      <c r="CM218" s="3"/>
      <c r="CN218" s="3"/>
    </row>
    <row r="219" spans="1:92" ht="14.4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53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80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161"/>
      <c r="BS219" s="161"/>
      <c r="BT219" s="161"/>
      <c r="BU219" s="162"/>
      <c r="BV219" s="163"/>
      <c r="BW219" s="163"/>
      <c r="BX219" s="163"/>
      <c r="BY219" s="163"/>
      <c r="BZ219" s="163"/>
      <c r="CA219" s="163"/>
      <c r="CB219" s="161"/>
      <c r="CC219" s="161"/>
      <c r="CD219" s="161"/>
      <c r="CE219" s="161"/>
      <c r="CF219" s="161"/>
      <c r="CG219" s="3"/>
      <c r="CH219" s="3"/>
      <c r="CI219" s="3"/>
      <c r="CJ219" s="3"/>
      <c r="CK219" s="3"/>
      <c r="CL219" s="3"/>
      <c r="CM219" s="3"/>
      <c r="CN219" s="3"/>
    </row>
    <row r="220" spans="1:92" ht="14.4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53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80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161"/>
      <c r="BS220" s="161"/>
      <c r="BT220" s="161"/>
      <c r="BU220" s="162"/>
      <c r="BV220" s="163"/>
      <c r="BW220" s="163"/>
      <c r="BX220" s="163"/>
      <c r="BY220" s="163"/>
      <c r="BZ220" s="163"/>
      <c r="CA220" s="163"/>
      <c r="CB220" s="161"/>
      <c r="CC220" s="161"/>
      <c r="CD220" s="161"/>
      <c r="CE220" s="161"/>
      <c r="CF220" s="161"/>
      <c r="CG220" s="3"/>
      <c r="CH220" s="3"/>
      <c r="CI220" s="3"/>
      <c r="CJ220" s="3"/>
      <c r="CK220" s="3"/>
      <c r="CL220" s="3"/>
      <c r="CM220" s="3"/>
      <c r="CN220" s="3"/>
    </row>
    <row r="221" spans="1:92" ht="14.4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53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80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161"/>
      <c r="BS221" s="161"/>
      <c r="BT221" s="161"/>
      <c r="BU221" s="162"/>
      <c r="BV221" s="163"/>
      <c r="BW221" s="163"/>
      <c r="BX221" s="163"/>
      <c r="BY221" s="163"/>
      <c r="BZ221" s="163"/>
      <c r="CA221" s="163"/>
      <c r="CB221" s="161"/>
      <c r="CC221" s="161"/>
      <c r="CD221" s="161"/>
      <c r="CE221" s="161"/>
      <c r="CF221" s="161"/>
      <c r="CG221" s="3"/>
      <c r="CH221" s="3"/>
      <c r="CI221" s="3"/>
      <c r="CJ221" s="3"/>
      <c r="CK221" s="3"/>
      <c r="CL221" s="3"/>
      <c r="CM221" s="3"/>
      <c r="CN221" s="3"/>
    </row>
    <row r="222" spans="1:92" ht="14.4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53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80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161"/>
      <c r="BS222" s="161"/>
      <c r="BT222" s="161"/>
      <c r="BU222" s="162"/>
      <c r="BV222" s="163"/>
      <c r="BW222" s="163"/>
      <c r="BX222" s="163"/>
      <c r="BY222" s="163"/>
      <c r="BZ222" s="163"/>
      <c r="CA222" s="163"/>
      <c r="CB222" s="161"/>
      <c r="CC222" s="161"/>
      <c r="CD222" s="161"/>
      <c r="CE222" s="161"/>
      <c r="CF222" s="161"/>
      <c r="CG222" s="3"/>
      <c r="CH222" s="3"/>
      <c r="CI222" s="3"/>
      <c r="CJ222" s="3"/>
      <c r="CK222" s="3"/>
      <c r="CL222" s="3"/>
      <c r="CM222" s="3"/>
      <c r="CN222" s="3"/>
    </row>
    <row r="223" spans="1:92" ht="14.4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53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80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161"/>
      <c r="BS223" s="161"/>
      <c r="BT223" s="161"/>
      <c r="BU223" s="162"/>
      <c r="BV223" s="163"/>
      <c r="BW223" s="163"/>
      <c r="BX223" s="163"/>
      <c r="BY223" s="163"/>
      <c r="BZ223" s="163"/>
      <c r="CA223" s="163"/>
      <c r="CB223" s="161"/>
      <c r="CC223" s="161"/>
      <c r="CD223" s="161"/>
      <c r="CE223" s="161"/>
      <c r="CF223" s="161"/>
      <c r="CG223" s="3"/>
      <c r="CH223" s="3"/>
      <c r="CI223" s="3"/>
      <c r="CJ223" s="3"/>
      <c r="CK223" s="3"/>
      <c r="CL223" s="3"/>
      <c r="CM223" s="3"/>
      <c r="CN223" s="3"/>
    </row>
    <row r="224" spans="1:92" ht="14.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53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80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161"/>
      <c r="BS224" s="161"/>
      <c r="BT224" s="161"/>
      <c r="BU224" s="162"/>
      <c r="BV224" s="163"/>
      <c r="BW224" s="163"/>
      <c r="BX224" s="163"/>
      <c r="BY224" s="163"/>
      <c r="BZ224" s="163"/>
      <c r="CA224" s="163"/>
      <c r="CB224" s="161"/>
      <c r="CC224" s="161"/>
      <c r="CD224" s="161"/>
      <c r="CE224" s="161"/>
      <c r="CF224" s="161"/>
      <c r="CG224" s="3"/>
      <c r="CH224" s="3"/>
      <c r="CI224" s="3"/>
      <c r="CJ224" s="3"/>
      <c r="CK224" s="3"/>
      <c r="CL224" s="3"/>
      <c r="CM224" s="3"/>
      <c r="CN224" s="3"/>
    </row>
    <row r="225" spans="1:92" ht="14.4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53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80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161"/>
      <c r="BS225" s="161"/>
      <c r="BT225" s="161"/>
      <c r="BU225" s="162"/>
      <c r="BV225" s="163"/>
      <c r="BW225" s="163"/>
      <c r="BX225" s="163"/>
      <c r="BY225" s="163"/>
      <c r="BZ225" s="163"/>
      <c r="CA225" s="163"/>
      <c r="CB225" s="161"/>
      <c r="CC225" s="161"/>
      <c r="CD225" s="161"/>
      <c r="CE225" s="161"/>
      <c r="CF225" s="161"/>
      <c r="CG225" s="3"/>
      <c r="CH225" s="3"/>
      <c r="CI225" s="3"/>
      <c r="CJ225" s="3"/>
      <c r="CK225" s="3"/>
      <c r="CL225" s="3"/>
      <c r="CM225" s="3"/>
      <c r="CN225" s="3"/>
    </row>
    <row r="226" spans="1:92" ht="14.4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53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80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161"/>
      <c r="BS226" s="161"/>
      <c r="BT226" s="161"/>
      <c r="BU226" s="162"/>
      <c r="BV226" s="163"/>
      <c r="BW226" s="163"/>
      <c r="BX226" s="163"/>
      <c r="BY226" s="163"/>
      <c r="BZ226" s="163"/>
      <c r="CA226" s="163"/>
      <c r="CB226" s="161"/>
      <c r="CC226" s="161"/>
      <c r="CD226" s="161"/>
      <c r="CE226" s="161"/>
      <c r="CF226" s="161"/>
      <c r="CG226" s="3"/>
      <c r="CH226" s="3"/>
      <c r="CI226" s="3"/>
      <c r="CJ226" s="3"/>
      <c r="CK226" s="3"/>
      <c r="CL226" s="3"/>
      <c r="CM226" s="3"/>
      <c r="CN226" s="3"/>
    </row>
    <row r="227" spans="1:92" ht="14.4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53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80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161"/>
      <c r="BS227" s="161"/>
      <c r="BT227" s="161"/>
      <c r="BU227" s="162"/>
      <c r="BV227" s="163"/>
      <c r="BW227" s="163"/>
      <c r="BX227" s="163"/>
      <c r="BY227" s="163"/>
      <c r="BZ227" s="163"/>
      <c r="CA227" s="163"/>
      <c r="CB227" s="161"/>
      <c r="CC227" s="161"/>
      <c r="CD227" s="161"/>
      <c r="CE227" s="161"/>
      <c r="CF227" s="161"/>
      <c r="CG227" s="3"/>
      <c r="CH227" s="3"/>
      <c r="CI227" s="3"/>
      <c r="CJ227" s="3"/>
      <c r="CK227" s="3"/>
      <c r="CL227" s="3"/>
      <c r="CM227" s="3"/>
      <c r="CN227" s="3"/>
    </row>
    <row r="228" spans="1:92" ht="14.4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53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80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161"/>
      <c r="BS228" s="161"/>
      <c r="BT228" s="161"/>
      <c r="BU228" s="162"/>
      <c r="BV228" s="163"/>
      <c r="BW228" s="163"/>
      <c r="BX228" s="163"/>
      <c r="BY228" s="163"/>
      <c r="BZ228" s="163"/>
      <c r="CA228" s="163"/>
      <c r="CB228" s="161"/>
      <c r="CC228" s="161"/>
      <c r="CD228" s="161"/>
      <c r="CE228" s="161"/>
      <c r="CF228" s="161"/>
      <c r="CG228" s="3"/>
      <c r="CH228" s="3"/>
      <c r="CI228" s="3"/>
      <c r="CJ228" s="3"/>
      <c r="CK228" s="3"/>
      <c r="CL228" s="3"/>
      <c r="CM228" s="3"/>
      <c r="CN228" s="3"/>
    </row>
    <row r="229" spans="1:92" ht="14.4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53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80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161"/>
      <c r="BS229" s="161"/>
      <c r="BT229" s="161"/>
      <c r="BU229" s="162"/>
      <c r="BV229" s="163"/>
      <c r="BW229" s="163"/>
      <c r="BX229" s="163"/>
      <c r="BY229" s="163"/>
      <c r="BZ229" s="163"/>
      <c r="CA229" s="163"/>
      <c r="CB229" s="161"/>
      <c r="CC229" s="161"/>
      <c r="CD229" s="161"/>
      <c r="CE229" s="161"/>
      <c r="CF229" s="161"/>
      <c r="CG229" s="3"/>
      <c r="CH229" s="3"/>
      <c r="CI229" s="3"/>
      <c r="CJ229" s="3"/>
      <c r="CK229" s="3"/>
      <c r="CL229" s="3"/>
      <c r="CM229" s="3"/>
      <c r="CN229" s="3"/>
    </row>
    <row r="230" spans="1:92" ht="14.4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53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80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161"/>
      <c r="BS230" s="161"/>
      <c r="BT230" s="161"/>
      <c r="BU230" s="162"/>
      <c r="BV230" s="163"/>
      <c r="BW230" s="163"/>
      <c r="BX230" s="163"/>
      <c r="BY230" s="163"/>
      <c r="BZ230" s="163"/>
      <c r="CA230" s="163"/>
      <c r="CB230" s="161"/>
      <c r="CC230" s="161"/>
      <c r="CD230" s="161"/>
      <c r="CE230" s="161"/>
      <c r="CF230" s="161"/>
      <c r="CG230" s="3"/>
      <c r="CH230" s="3"/>
      <c r="CI230" s="3"/>
      <c r="CJ230" s="3"/>
      <c r="CK230" s="3"/>
      <c r="CL230" s="3"/>
      <c r="CM230" s="3"/>
      <c r="CN230" s="3"/>
    </row>
    <row r="231" spans="1:92" ht="14.4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53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80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161"/>
      <c r="BS231" s="161"/>
      <c r="BT231" s="161"/>
      <c r="BU231" s="162"/>
      <c r="BV231" s="163"/>
      <c r="BW231" s="163"/>
      <c r="BX231" s="163"/>
      <c r="BY231" s="163"/>
      <c r="BZ231" s="163"/>
      <c r="CA231" s="163"/>
      <c r="CB231" s="161"/>
      <c r="CC231" s="161"/>
      <c r="CD231" s="161"/>
      <c r="CE231" s="161"/>
      <c r="CF231" s="161"/>
      <c r="CG231" s="3"/>
      <c r="CH231" s="3"/>
      <c r="CI231" s="3"/>
      <c r="CJ231" s="3"/>
      <c r="CK231" s="3"/>
      <c r="CL231" s="3"/>
      <c r="CM231" s="3"/>
      <c r="CN231" s="3"/>
    </row>
    <row r="232" spans="1:92" ht="14.4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53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80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161"/>
      <c r="BS232" s="161"/>
      <c r="BT232" s="161"/>
      <c r="BU232" s="162"/>
      <c r="BV232" s="163"/>
      <c r="BW232" s="163"/>
      <c r="BX232" s="163"/>
      <c r="BY232" s="163"/>
      <c r="BZ232" s="163"/>
      <c r="CA232" s="163"/>
      <c r="CB232" s="161"/>
      <c r="CC232" s="161"/>
      <c r="CD232" s="161"/>
      <c r="CE232" s="161"/>
      <c r="CF232" s="161"/>
      <c r="CG232" s="3"/>
      <c r="CH232" s="3"/>
      <c r="CI232" s="3"/>
      <c r="CJ232" s="3"/>
      <c r="CK232" s="3"/>
      <c r="CL232" s="3"/>
      <c r="CM232" s="3"/>
      <c r="CN232" s="3"/>
    </row>
    <row r="233" spans="1:92" ht="14.4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53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80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161"/>
      <c r="BS233" s="161"/>
      <c r="BT233" s="161"/>
      <c r="BU233" s="162"/>
      <c r="BV233" s="163"/>
      <c r="BW233" s="163"/>
      <c r="BX233" s="163"/>
      <c r="BY233" s="163"/>
      <c r="BZ233" s="163"/>
      <c r="CA233" s="163"/>
      <c r="CB233" s="161"/>
      <c r="CC233" s="161"/>
      <c r="CD233" s="161"/>
      <c r="CE233" s="161"/>
      <c r="CF233" s="161"/>
      <c r="CG233" s="3"/>
      <c r="CH233" s="3"/>
      <c r="CI233" s="3"/>
      <c r="CJ233" s="3"/>
      <c r="CK233" s="3"/>
      <c r="CL233" s="3"/>
      <c r="CM233" s="3"/>
      <c r="CN233" s="3"/>
    </row>
    <row r="234" spans="1:92" ht="14.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53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80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161"/>
      <c r="BS234" s="161"/>
      <c r="BT234" s="161"/>
      <c r="BU234" s="162"/>
      <c r="BV234" s="163"/>
      <c r="BW234" s="163"/>
      <c r="BX234" s="163"/>
      <c r="BY234" s="163"/>
      <c r="BZ234" s="163"/>
      <c r="CA234" s="163"/>
      <c r="CB234" s="161"/>
      <c r="CC234" s="161"/>
      <c r="CD234" s="161"/>
      <c r="CE234" s="161"/>
      <c r="CF234" s="161"/>
      <c r="CG234" s="3"/>
      <c r="CH234" s="3"/>
      <c r="CI234" s="3"/>
      <c r="CJ234" s="3"/>
      <c r="CK234" s="3"/>
      <c r="CL234" s="3"/>
      <c r="CM234" s="3"/>
      <c r="CN234" s="3"/>
    </row>
    <row r="235" spans="1:92" ht="14.4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53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80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161"/>
      <c r="BS235" s="161"/>
      <c r="BT235" s="161"/>
      <c r="BU235" s="162"/>
      <c r="BV235" s="163"/>
      <c r="BW235" s="163"/>
      <c r="BX235" s="163"/>
      <c r="BY235" s="163"/>
      <c r="BZ235" s="163"/>
      <c r="CA235" s="163"/>
      <c r="CB235" s="161"/>
      <c r="CC235" s="161"/>
      <c r="CD235" s="161"/>
      <c r="CE235" s="161"/>
      <c r="CF235" s="161"/>
      <c r="CG235" s="3"/>
      <c r="CH235" s="3"/>
      <c r="CI235" s="3"/>
      <c r="CJ235" s="3"/>
      <c r="CK235" s="3"/>
      <c r="CL235" s="3"/>
      <c r="CM235" s="3"/>
      <c r="CN235" s="3"/>
    </row>
    <row r="236" spans="1:92" ht="14.4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53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80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161"/>
      <c r="BS236" s="161"/>
      <c r="BT236" s="161"/>
      <c r="BU236" s="162"/>
      <c r="BV236" s="163"/>
      <c r="BW236" s="163"/>
      <c r="BX236" s="163"/>
      <c r="BY236" s="163"/>
      <c r="BZ236" s="163"/>
      <c r="CA236" s="163"/>
      <c r="CB236" s="161"/>
      <c r="CC236" s="161"/>
      <c r="CD236" s="161"/>
      <c r="CE236" s="161"/>
      <c r="CF236" s="161"/>
      <c r="CG236" s="3"/>
      <c r="CH236" s="3"/>
      <c r="CI236" s="3"/>
      <c r="CJ236" s="3"/>
      <c r="CK236" s="3"/>
      <c r="CL236" s="3"/>
      <c r="CM236" s="3"/>
      <c r="CN236" s="3"/>
    </row>
    <row r="237" spans="1:92" ht="14.4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53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80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161"/>
      <c r="BS237" s="161"/>
      <c r="BT237" s="161"/>
      <c r="BU237" s="162"/>
      <c r="BV237" s="163"/>
      <c r="BW237" s="163"/>
      <c r="BX237" s="163"/>
      <c r="BY237" s="163"/>
      <c r="BZ237" s="163"/>
      <c r="CA237" s="163"/>
      <c r="CB237" s="161"/>
      <c r="CC237" s="161"/>
      <c r="CD237" s="161"/>
      <c r="CE237" s="161"/>
      <c r="CF237" s="161"/>
      <c r="CG237" s="3"/>
      <c r="CH237" s="3"/>
      <c r="CI237" s="3"/>
      <c r="CJ237" s="3"/>
      <c r="CK237" s="3"/>
      <c r="CL237" s="3"/>
      <c r="CM237" s="3"/>
      <c r="CN237" s="3"/>
    </row>
    <row r="238" spans="1:92" ht="14.4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53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80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161"/>
      <c r="BS238" s="161"/>
      <c r="BT238" s="161"/>
      <c r="BU238" s="162"/>
      <c r="BV238" s="163"/>
      <c r="BW238" s="163"/>
      <c r="BX238" s="163"/>
      <c r="BY238" s="163"/>
      <c r="BZ238" s="163"/>
      <c r="CA238" s="163"/>
      <c r="CB238" s="161"/>
      <c r="CC238" s="161"/>
      <c r="CD238" s="161"/>
      <c r="CE238" s="161"/>
      <c r="CF238" s="161"/>
      <c r="CG238" s="3"/>
      <c r="CH238" s="3"/>
      <c r="CI238" s="3"/>
      <c r="CJ238" s="3"/>
      <c r="CK238" s="3"/>
      <c r="CL238" s="3"/>
      <c r="CM238" s="3"/>
      <c r="CN238" s="3"/>
    </row>
    <row r="239" spans="1:92" ht="14.4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53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80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161"/>
      <c r="BS239" s="161"/>
      <c r="BT239" s="161"/>
      <c r="BU239" s="162"/>
      <c r="BV239" s="163"/>
      <c r="BW239" s="163"/>
      <c r="BX239" s="163"/>
      <c r="BY239" s="163"/>
      <c r="BZ239" s="163"/>
      <c r="CA239" s="163"/>
      <c r="CB239" s="161"/>
      <c r="CC239" s="161"/>
      <c r="CD239" s="161"/>
      <c r="CE239" s="161"/>
      <c r="CF239" s="161"/>
      <c r="CG239" s="3"/>
      <c r="CH239" s="3"/>
      <c r="CI239" s="3"/>
      <c r="CJ239" s="3"/>
      <c r="CK239" s="3"/>
      <c r="CL239" s="3"/>
      <c r="CM239" s="3"/>
      <c r="CN239" s="3"/>
    </row>
    <row r="240" spans="1:92" ht="14.4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53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80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161"/>
      <c r="BS240" s="161"/>
      <c r="BT240" s="161"/>
      <c r="BU240" s="162"/>
      <c r="BV240" s="163"/>
      <c r="BW240" s="163"/>
      <c r="BX240" s="163"/>
      <c r="BY240" s="163"/>
      <c r="BZ240" s="163"/>
      <c r="CA240" s="163"/>
      <c r="CB240" s="161"/>
      <c r="CC240" s="161"/>
      <c r="CD240" s="161"/>
      <c r="CE240" s="161"/>
      <c r="CF240" s="161"/>
      <c r="CG240" s="3"/>
      <c r="CH240" s="3"/>
      <c r="CI240" s="3"/>
      <c r="CJ240" s="3"/>
      <c r="CK240" s="3"/>
      <c r="CL240" s="3"/>
      <c r="CM240" s="3"/>
      <c r="CN240" s="3"/>
    </row>
    <row r="241" spans="1:92" ht="14.4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53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80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161"/>
      <c r="BS241" s="161"/>
      <c r="BT241" s="161"/>
      <c r="BU241" s="162"/>
      <c r="BV241" s="163"/>
      <c r="BW241" s="163"/>
      <c r="BX241" s="163"/>
      <c r="BY241" s="163"/>
      <c r="BZ241" s="163"/>
      <c r="CA241" s="163"/>
      <c r="CB241" s="161"/>
      <c r="CC241" s="161"/>
      <c r="CD241" s="161"/>
      <c r="CE241" s="161"/>
      <c r="CF241" s="161"/>
      <c r="CG241" s="3"/>
      <c r="CH241" s="3"/>
      <c r="CI241" s="3"/>
      <c r="CJ241" s="3"/>
      <c r="CK241" s="3"/>
      <c r="CL241" s="3"/>
      <c r="CM241" s="3"/>
      <c r="CN241" s="3"/>
    </row>
    <row r="242" spans="1:92" ht="14.4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53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80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161"/>
      <c r="BS242" s="161"/>
      <c r="BT242" s="161"/>
      <c r="BU242" s="162"/>
      <c r="BV242" s="163"/>
      <c r="BW242" s="163"/>
      <c r="BX242" s="163"/>
      <c r="BY242" s="163"/>
      <c r="BZ242" s="163"/>
      <c r="CA242" s="163"/>
      <c r="CB242" s="161"/>
      <c r="CC242" s="161"/>
      <c r="CD242" s="161"/>
      <c r="CE242" s="161"/>
      <c r="CF242" s="161"/>
      <c r="CG242" s="3"/>
      <c r="CH242" s="3"/>
      <c r="CI242" s="3"/>
      <c r="CJ242" s="3"/>
      <c r="CK242" s="3"/>
      <c r="CL242" s="3"/>
      <c r="CM242" s="3"/>
      <c r="CN242" s="3"/>
    </row>
    <row r="243" spans="1:92" ht="14.4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53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80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161"/>
      <c r="BS243" s="161"/>
      <c r="BT243" s="161"/>
      <c r="BU243" s="162"/>
      <c r="BV243" s="163"/>
      <c r="BW243" s="163"/>
      <c r="BX243" s="163"/>
      <c r="BY243" s="163"/>
      <c r="BZ243" s="163"/>
      <c r="CA243" s="163"/>
      <c r="CB243" s="161"/>
      <c r="CC243" s="161"/>
      <c r="CD243" s="161"/>
      <c r="CE243" s="161"/>
      <c r="CF243" s="161"/>
      <c r="CG243" s="3"/>
      <c r="CH243" s="3"/>
      <c r="CI243" s="3"/>
      <c r="CJ243" s="3"/>
      <c r="CK243" s="3"/>
      <c r="CL243" s="3"/>
      <c r="CM243" s="3"/>
      <c r="CN243" s="3"/>
    </row>
    <row r="244" spans="1:92" ht="14.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53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80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161"/>
      <c r="BS244" s="161"/>
      <c r="BT244" s="161"/>
      <c r="BU244" s="162"/>
      <c r="BV244" s="163"/>
      <c r="BW244" s="163"/>
      <c r="BX244" s="163"/>
      <c r="BY244" s="163"/>
      <c r="BZ244" s="163"/>
      <c r="CA244" s="163"/>
      <c r="CB244" s="161"/>
      <c r="CC244" s="161"/>
      <c r="CD244" s="161"/>
      <c r="CE244" s="161"/>
      <c r="CF244" s="161"/>
      <c r="CG244" s="3"/>
      <c r="CH244" s="3"/>
      <c r="CI244" s="3"/>
      <c r="CJ244" s="3"/>
      <c r="CK244" s="3"/>
      <c r="CL244" s="3"/>
      <c r="CM244" s="3"/>
      <c r="CN244" s="3"/>
    </row>
    <row r="245" spans="1:92" ht="14.4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53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80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161"/>
      <c r="BS245" s="161"/>
      <c r="BT245" s="161"/>
      <c r="BU245" s="162"/>
      <c r="BV245" s="163"/>
      <c r="BW245" s="163"/>
      <c r="BX245" s="163"/>
      <c r="BY245" s="163"/>
      <c r="BZ245" s="163"/>
      <c r="CA245" s="163"/>
      <c r="CB245" s="161"/>
      <c r="CC245" s="161"/>
      <c r="CD245" s="161"/>
      <c r="CE245" s="161"/>
      <c r="CF245" s="161"/>
      <c r="CG245" s="3"/>
      <c r="CH245" s="3"/>
      <c r="CI245" s="3"/>
      <c r="CJ245" s="3"/>
      <c r="CK245" s="3"/>
      <c r="CL245" s="3"/>
      <c r="CM245" s="3"/>
      <c r="CN245" s="3"/>
    </row>
    <row r="246" spans="1:92" ht="14.4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53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80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161"/>
      <c r="BS246" s="161"/>
      <c r="BT246" s="161"/>
      <c r="BU246" s="162"/>
      <c r="BV246" s="163"/>
      <c r="BW246" s="163"/>
      <c r="BX246" s="163"/>
      <c r="BY246" s="163"/>
      <c r="BZ246" s="163"/>
      <c r="CA246" s="163"/>
      <c r="CB246" s="161"/>
      <c r="CC246" s="161"/>
      <c r="CD246" s="161"/>
      <c r="CE246" s="161"/>
      <c r="CF246" s="161"/>
      <c r="CG246" s="3"/>
      <c r="CH246" s="3"/>
      <c r="CI246" s="3"/>
      <c r="CJ246" s="3"/>
      <c r="CK246" s="3"/>
      <c r="CL246" s="3"/>
      <c r="CM246" s="3"/>
      <c r="CN246" s="3"/>
    </row>
    <row r="247" spans="1:92" ht="14.4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53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80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161"/>
      <c r="BS247" s="161"/>
      <c r="BT247" s="161"/>
      <c r="BU247" s="162"/>
      <c r="BV247" s="163"/>
      <c r="BW247" s="163"/>
      <c r="BX247" s="163"/>
      <c r="BY247" s="163"/>
      <c r="BZ247" s="163"/>
      <c r="CA247" s="163"/>
      <c r="CB247" s="161"/>
      <c r="CC247" s="161"/>
      <c r="CD247" s="161"/>
      <c r="CE247" s="161"/>
      <c r="CF247" s="161"/>
      <c r="CG247" s="3"/>
      <c r="CH247" s="3"/>
      <c r="CI247" s="3"/>
      <c r="CJ247" s="3"/>
      <c r="CK247" s="3"/>
      <c r="CL247" s="3"/>
      <c r="CM247" s="3"/>
      <c r="CN247" s="3"/>
    </row>
    <row r="248" spans="1:92" ht="14.4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53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80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161"/>
      <c r="BS248" s="161"/>
      <c r="BT248" s="161"/>
      <c r="BU248" s="162"/>
      <c r="BV248" s="163"/>
      <c r="BW248" s="163"/>
      <c r="BX248" s="163"/>
      <c r="BY248" s="163"/>
      <c r="BZ248" s="163"/>
      <c r="CA248" s="163"/>
      <c r="CB248" s="161"/>
      <c r="CC248" s="161"/>
      <c r="CD248" s="161"/>
      <c r="CE248" s="161"/>
      <c r="CF248" s="161"/>
      <c r="CG248" s="3"/>
      <c r="CH248" s="3"/>
      <c r="CI248" s="3"/>
      <c r="CJ248" s="3"/>
      <c r="CK248" s="3"/>
      <c r="CL248" s="3"/>
      <c r="CM248" s="3"/>
      <c r="CN248" s="3"/>
    </row>
    <row r="249" spans="1:92" ht="14.4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53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80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161"/>
      <c r="BS249" s="161"/>
      <c r="BT249" s="161"/>
      <c r="BU249" s="162"/>
      <c r="BV249" s="163"/>
      <c r="BW249" s="163"/>
      <c r="BX249" s="163"/>
      <c r="BY249" s="163"/>
      <c r="BZ249" s="163"/>
      <c r="CA249" s="163"/>
      <c r="CB249" s="161"/>
      <c r="CC249" s="161"/>
      <c r="CD249" s="161"/>
      <c r="CE249" s="161"/>
      <c r="CF249" s="161"/>
      <c r="CG249" s="3"/>
      <c r="CH249" s="3"/>
      <c r="CI249" s="3"/>
      <c r="CJ249" s="3"/>
      <c r="CK249" s="3"/>
      <c r="CL249" s="3"/>
      <c r="CM249" s="3"/>
      <c r="CN249" s="3"/>
    </row>
    <row r="250" spans="1:92" ht="14.4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53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80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161"/>
      <c r="BS250" s="161"/>
      <c r="BT250" s="161"/>
      <c r="BU250" s="162"/>
      <c r="BV250" s="163"/>
      <c r="BW250" s="163"/>
      <c r="BX250" s="163"/>
      <c r="BY250" s="163"/>
      <c r="BZ250" s="163"/>
      <c r="CA250" s="163"/>
      <c r="CB250" s="161"/>
      <c r="CC250" s="161"/>
      <c r="CD250" s="161"/>
      <c r="CE250" s="161"/>
      <c r="CF250" s="161"/>
      <c r="CG250" s="3"/>
      <c r="CH250" s="3"/>
      <c r="CI250" s="3"/>
      <c r="CJ250" s="3"/>
      <c r="CK250" s="3"/>
      <c r="CL250" s="3"/>
      <c r="CM250" s="3"/>
      <c r="CN250" s="3"/>
    </row>
    <row r="251" spans="1:92" ht="14.4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53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80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161"/>
      <c r="BS251" s="161"/>
      <c r="BT251" s="161"/>
      <c r="BU251" s="162"/>
      <c r="BV251" s="163"/>
      <c r="BW251" s="163"/>
      <c r="BX251" s="163"/>
      <c r="BY251" s="163"/>
      <c r="BZ251" s="163"/>
      <c r="CA251" s="163"/>
      <c r="CB251" s="161"/>
      <c r="CC251" s="161"/>
      <c r="CD251" s="161"/>
      <c r="CE251" s="161"/>
      <c r="CF251" s="161"/>
      <c r="CG251" s="3"/>
      <c r="CH251" s="3"/>
      <c r="CI251" s="3"/>
      <c r="CJ251" s="3"/>
      <c r="CK251" s="3"/>
      <c r="CL251" s="3"/>
      <c r="CM251" s="3"/>
      <c r="CN251" s="3"/>
    </row>
    <row r="252" spans="1:92" ht="14.4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53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80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161"/>
      <c r="BS252" s="161"/>
      <c r="BT252" s="161"/>
      <c r="BU252" s="162"/>
      <c r="BV252" s="163"/>
      <c r="BW252" s="163"/>
      <c r="BX252" s="163"/>
      <c r="BY252" s="163"/>
      <c r="BZ252" s="163"/>
      <c r="CA252" s="163"/>
      <c r="CB252" s="161"/>
      <c r="CC252" s="161"/>
      <c r="CD252" s="161"/>
      <c r="CE252" s="161"/>
      <c r="CF252" s="161"/>
      <c r="CG252" s="3"/>
      <c r="CH252" s="3"/>
      <c r="CI252" s="3"/>
      <c r="CJ252" s="3"/>
      <c r="CK252" s="3"/>
      <c r="CL252" s="3"/>
      <c r="CM252" s="3"/>
      <c r="CN252" s="3"/>
    </row>
    <row r="253" spans="1:92" ht="14.4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53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80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161"/>
      <c r="BS253" s="161"/>
      <c r="BT253" s="161"/>
      <c r="BU253" s="162"/>
      <c r="BV253" s="163"/>
      <c r="BW253" s="163"/>
      <c r="BX253" s="163"/>
      <c r="BY253" s="163"/>
      <c r="BZ253" s="163"/>
      <c r="CA253" s="163"/>
      <c r="CB253" s="161"/>
      <c r="CC253" s="161"/>
      <c r="CD253" s="161"/>
      <c r="CE253" s="161"/>
      <c r="CF253" s="161"/>
      <c r="CG253" s="3"/>
      <c r="CH253" s="3"/>
      <c r="CI253" s="3"/>
      <c r="CJ253" s="3"/>
      <c r="CK253" s="3"/>
      <c r="CL253" s="3"/>
      <c r="CM253" s="3"/>
      <c r="CN253" s="3"/>
    </row>
    <row r="254" spans="1:92" ht="14.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53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80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161"/>
      <c r="BS254" s="161"/>
      <c r="BT254" s="161"/>
      <c r="BU254" s="162"/>
      <c r="BV254" s="163"/>
      <c r="BW254" s="163"/>
      <c r="BX254" s="163"/>
      <c r="BY254" s="163"/>
      <c r="BZ254" s="163"/>
      <c r="CA254" s="163"/>
      <c r="CB254" s="161"/>
      <c r="CC254" s="161"/>
      <c r="CD254" s="161"/>
      <c r="CE254" s="161"/>
      <c r="CF254" s="161"/>
      <c r="CG254" s="3"/>
      <c r="CH254" s="3"/>
      <c r="CI254" s="3"/>
      <c r="CJ254" s="3"/>
      <c r="CK254" s="3"/>
      <c r="CL254" s="3"/>
      <c r="CM254" s="3"/>
      <c r="CN254" s="3"/>
    </row>
    <row r="255" spans="1:92" ht="14.4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53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80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161"/>
      <c r="BS255" s="161"/>
      <c r="BT255" s="161"/>
      <c r="BU255" s="162"/>
      <c r="BV255" s="163"/>
      <c r="BW255" s="163"/>
      <c r="BX255" s="163"/>
      <c r="BY255" s="163"/>
      <c r="BZ255" s="163"/>
      <c r="CA255" s="163"/>
      <c r="CB255" s="161"/>
      <c r="CC255" s="161"/>
      <c r="CD255" s="161"/>
      <c r="CE255" s="161"/>
      <c r="CF255" s="161"/>
      <c r="CG255" s="3"/>
      <c r="CH255" s="3"/>
      <c r="CI255" s="3"/>
      <c r="CJ255" s="3"/>
      <c r="CK255" s="3"/>
      <c r="CL255" s="3"/>
      <c r="CM255" s="3"/>
      <c r="CN255" s="3"/>
    </row>
    <row r="256" spans="1:92" ht="14.4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53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80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161"/>
      <c r="BS256" s="161"/>
      <c r="BT256" s="161"/>
      <c r="BU256" s="162"/>
      <c r="BV256" s="163"/>
      <c r="BW256" s="163"/>
      <c r="BX256" s="163"/>
      <c r="BY256" s="163"/>
      <c r="BZ256" s="163"/>
      <c r="CA256" s="163"/>
      <c r="CB256" s="161"/>
      <c r="CC256" s="161"/>
      <c r="CD256" s="161"/>
      <c r="CE256" s="161"/>
      <c r="CF256" s="161"/>
      <c r="CG256" s="3"/>
      <c r="CH256" s="3"/>
      <c r="CI256" s="3"/>
      <c r="CJ256" s="3"/>
      <c r="CK256" s="3"/>
      <c r="CL256" s="3"/>
      <c r="CM256" s="3"/>
      <c r="CN256" s="3"/>
    </row>
    <row r="257" spans="1:92" ht="14.4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53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80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161"/>
      <c r="BS257" s="161"/>
      <c r="BT257" s="161"/>
      <c r="BU257" s="162"/>
      <c r="BV257" s="163"/>
      <c r="BW257" s="163"/>
      <c r="BX257" s="163"/>
      <c r="BY257" s="163"/>
      <c r="BZ257" s="163"/>
      <c r="CA257" s="163"/>
      <c r="CB257" s="161"/>
      <c r="CC257" s="161"/>
      <c r="CD257" s="161"/>
      <c r="CE257" s="161"/>
      <c r="CF257" s="161"/>
      <c r="CG257" s="3"/>
      <c r="CH257" s="3"/>
      <c r="CI257" s="3"/>
      <c r="CJ257" s="3"/>
      <c r="CK257" s="3"/>
      <c r="CL257" s="3"/>
      <c r="CM257" s="3"/>
      <c r="CN257" s="3"/>
    </row>
    <row r="258" spans="1:92" ht="14.4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53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80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161"/>
      <c r="BS258" s="161"/>
      <c r="BT258" s="161"/>
      <c r="BU258" s="162"/>
      <c r="BV258" s="163"/>
      <c r="BW258" s="163"/>
      <c r="BX258" s="163"/>
      <c r="BY258" s="163"/>
      <c r="BZ258" s="163"/>
      <c r="CA258" s="163"/>
      <c r="CB258" s="161"/>
      <c r="CC258" s="161"/>
      <c r="CD258" s="161"/>
      <c r="CE258" s="161"/>
      <c r="CF258" s="161"/>
      <c r="CG258" s="3"/>
      <c r="CH258" s="3"/>
      <c r="CI258" s="3"/>
      <c r="CJ258" s="3"/>
      <c r="CK258" s="3"/>
      <c r="CL258" s="3"/>
      <c r="CM258" s="3"/>
      <c r="CN258" s="3"/>
    </row>
    <row r="259" spans="1:92" ht="14.4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53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80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161"/>
      <c r="BS259" s="161"/>
      <c r="BT259" s="161"/>
      <c r="BU259" s="162"/>
      <c r="BV259" s="163"/>
      <c r="BW259" s="163"/>
      <c r="BX259" s="163"/>
      <c r="BY259" s="163"/>
      <c r="BZ259" s="163"/>
      <c r="CA259" s="163"/>
      <c r="CB259" s="161"/>
      <c r="CC259" s="161"/>
      <c r="CD259" s="161"/>
      <c r="CE259" s="161"/>
      <c r="CF259" s="161"/>
      <c r="CG259" s="3"/>
      <c r="CH259" s="3"/>
      <c r="CI259" s="3"/>
      <c r="CJ259" s="3"/>
      <c r="CK259" s="3"/>
      <c r="CL259" s="3"/>
      <c r="CM259" s="3"/>
      <c r="CN259" s="3"/>
    </row>
    <row r="260" spans="1:92" ht="14.4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53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80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161"/>
      <c r="BS260" s="161"/>
      <c r="BT260" s="161"/>
      <c r="BU260" s="162"/>
      <c r="BV260" s="163"/>
      <c r="BW260" s="163"/>
      <c r="BX260" s="163"/>
      <c r="BY260" s="163"/>
      <c r="BZ260" s="163"/>
      <c r="CA260" s="163"/>
      <c r="CB260" s="161"/>
      <c r="CC260" s="161"/>
      <c r="CD260" s="161"/>
      <c r="CE260" s="161"/>
      <c r="CF260" s="161"/>
      <c r="CG260" s="3"/>
      <c r="CH260" s="3"/>
      <c r="CI260" s="3"/>
      <c r="CJ260" s="3"/>
      <c r="CK260" s="3"/>
      <c r="CL260" s="3"/>
      <c r="CM260" s="3"/>
      <c r="CN260" s="3"/>
    </row>
    <row r="261" spans="1:92" ht="14.4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53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80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161"/>
      <c r="BS261" s="161"/>
      <c r="BT261" s="161"/>
      <c r="BU261" s="162"/>
      <c r="BV261" s="163"/>
      <c r="BW261" s="163"/>
      <c r="BX261" s="163"/>
      <c r="BY261" s="163"/>
      <c r="BZ261" s="163"/>
      <c r="CA261" s="163"/>
      <c r="CB261" s="161"/>
      <c r="CC261" s="161"/>
      <c r="CD261" s="161"/>
      <c r="CE261" s="161"/>
      <c r="CF261" s="161"/>
      <c r="CG261" s="3"/>
      <c r="CH261" s="3"/>
      <c r="CI261" s="3"/>
      <c r="CJ261" s="3"/>
      <c r="CK261" s="3"/>
      <c r="CL261" s="3"/>
      <c r="CM261" s="3"/>
      <c r="CN261" s="3"/>
    </row>
    <row r="262" spans="1:92" ht="14.4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53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80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161"/>
      <c r="BS262" s="161"/>
      <c r="BT262" s="161"/>
      <c r="BU262" s="162"/>
      <c r="BV262" s="163"/>
      <c r="BW262" s="163"/>
      <c r="BX262" s="163"/>
      <c r="BY262" s="163"/>
      <c r="BZ262" s="163"/>
      <c r="CA262" s="163"/>
      <c r="CB262" s="161"/>
      <c r="CC262" s="161"/>
      <c r="CD262" s="161"/>
      <c r="CE262" s="161"/>
      <c r="CF262" s="161"/>
      <c r="CG262" s="3"/>
      <c r="CH262" s="3"/>
      <c r="CI262" s="3"/>
      <c r="CJ262" s="3"/>
      <c r="CK262" s="3"/>
      <c r="CL262" s="3"/>
      <c r="CM262" s="3"/>
      <c r="CN262" s="3"/>
    </row>
    <row r="263" spans="1:92" ht="14.4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53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80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161"/>
      <c r="BS263" s="161"/>
      <c r="BT263" s="161"/>
      <c r="BU263" s="162"/>
      <c r="BV263" s="163"/>
      <c r="BW263" s="163"/>
      <c r="BX263" s="163"/>
      <c r="BY263" s="163"/>
      <c r="BZ263" s="163"/>
      <c r="CA263" s="163"/>
      <c r="CB263" s="161"/>
      <c r="CC263" s="161"/>
      <c r="CD263" s="161"/>
      <c r="CE263" s="161"/>
      <c r="CF263" s="161"/>
      <c r="CG263" s="3"/>
      <c r="CH263" s="3"/>
      <c r="CI263" s="3"/>
      <c r="CJ263" s="3"/>
      <c r="CK263" s="3"/>
      <c r="CL263" s="3"/>
      <c r="CM263" s="3"/>
      <c r="CN263" s="3"/>
    </row>
    <row r="264" spans="1:92" ht="14.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53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80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161"/>
      <c r="BS264" s="161"/>
      <c r="BT264" s="161"/>
      <c r="BU264" s="162"/>
      <c r="BV264" s="163"/>
      <c r="BW264" s="163"/>
      <c r="BX264" s="163"/>
      <c r="BY264" s="163"/>
      <c r="BZ264" s="163"/>
      <c r="CA264" s="163"/>
      <c r="CB264" s="161"/>
      <c r="CC264" s="161"/>
      <c r="CD264" s="161"/>
      <c r="CE264" s="161"/>
      <c r="CF264" s="161"/>
      <c r="CG264" s="3"/>
      <c r="CH264" s="3"/>
      <c r="CI264" s="3"/>
      <c r="CJ264" s="3"/>
      <c r="CK264" s="3"/>
      <c r="CL264" s="3"/>
      <c r="CM264" s="3"/>
      <c r="CN264" s="3"/>
    </row>
    <row r="265" spans="1:92" ht="14.4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53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80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161"/>
      <c r="BS265" s="161"/>
      <c r="BT265" s="161"/>
      <c r="BU265" s="162"/>
      <c r="BV265" s="163"/>
      <c r="BW265" s="163"/>
      <c r="BX265" s="163"/>
      <c r="BY265" s="163"/>
      <c r="BZ265" s="163"/>
      <c r="CA265" s="163"/>
      <c r="CB265" s="161"/>
      <c r="CC265" s="161"/>
      <c r="CD265" s="161"/>
      <c r="CE265" s="161"/>
      <c r="CF265" s="161"/>
      <c r="CG265" s="3"/>
      <c r="CH265" s="3"/>
      <c r="CI265" s="3"/>
      <c r="CJ265" s="3"/>
      <c r="CK265" s="3"/>
      <c r="CL265" s="3"/>
      <c r="CM265" s="3"/>
      <c r="CN265" s="3"/>
    </row>
    <row r="266" spans="1:92" ht="14.4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53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80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161"/>
      <c r="BS266" s="161"/>
      <c r="BT266" s="161"/>
      <c r="BU266" s="162"/>
      <c r="BV266" s="163"/>
      <c r="BW266" s="163"/>
      <c r="BX266" s="163"/>
      <c r="BY266" s="163"/>
      <c r="BZ266" s="163"/>
      <c r="CA266" s="163"/>
      <c r="CB266" s="161"/>
      <c r="CC266" s="161"/>
      <c r="CD266" s="161"/>
      <c r="CE266" s="161"/>
      <c r="CF266" s="161"/>
      <c r="CG266" s="3"/>
      <c r="CH266" s="3"/>
      <c r="CI266" s="3"/>
      <c r="CJ266" s="3"/>
      <c r="CK266" s="3"/>
      <c r="CL266" s="3"/>
      <c r="CM266" s="3"/>
      <c r="CN266" s="3"/>
    </row>
    <row r="267" spans="1:92" ht="14.4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53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80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161"/>
      <c r="BS267" s="161"/>
      <c r="BT267" s="161"/>
      <c r="BU267" s="162"/>
      <c r="BV267" s="163"/>
      <c r="BW267" s="163"/>
      <c r="BX267" s="163"/>
      <c r="BY267" s="163"/>
      <c r="BZ267" s="163"/>
      <c r="CA267" s="163"/>
      <c r="CB267" s="161"/>
      <c r="CC267" s="161"/>
      <c r="CD267" s="161"/>
      <c r="CE267" s="161"/>
      <c r="CF267" s="161"/>
      <c r="CG267" s="3"/>
      <c r="CH267" s="3"/>
      <c r="CI267" s="3"/>
      <c r="CJ267" s="3"/>
      <c r="CK267" s="3"/>
      <c r="CL267" s="3"/>
      <c r="CM267" s="3"/>
      <c r="CN267" s="3"/>
    </row>
    <row r="268" spans="1:92" ht="14.4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53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80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161"/>
      <c r="BS268" s="161"/>
      <c r="BT268" s="161"/>
      <c r="BU268" s="162"/>
      <c r="BV268" s="163"/>
      <c r="BW268" s="163"/>
      <c r="BX268" s="163"/>
      <c r="BY268" s="163"/>
      <c r="BZ268" s="163"/>
      <c r="CA268" s="163"/>
      <c r="CB268" s="161"/>
      <c r="CC268" s="161"/>
      <c r="CD268" s="161"/>
      <c r="CE268" s="161"/>
      <c r="CF268" s="161"/>
      <c r="CG268" s="3"/>
      <c r="CH268" s="3"/>
      <c r="CI268" s="3"/>
      <c r="CJ268" s="3"/>
      <c r="CK268" s="3"/>
      <c r="CL268" s="3"/>
      <c r="CM268" s="3"/>
      <c r="CN268" s="3"/>
    </row>
    <row r="269" spans="1:92" ht="14.4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53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80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161"/>
      <c r="BS269" s="161"/>
      <c r="BT269" s="161"/>
      <c r="BU269" s="162"/>
      <c r="BV269" s="163"/>
      <c r="BW269" s="163"/>
      <c r="BX269" s="163"/>
      <c r="BY269" s="163"/>
      <c r="BZ269" s="163"/>
      <c r="CA269" s="163"/>
      <c r="CB269" s="161"/>
      <c r="CC269" s="161"/>
      <c r="CD269" s="161"/>
      <c r="CE269" s="161"/>
      <c r="CF269" s="161"/>
      <c r="CG269" s="3"/>
      <c r="CH269" s="3"/>
      <c r="CI269" s="3"/>
      <c r="CJ269" s="3"/>
      <c r="CK269" s="3"/>
      <c r="CL269" s="3"/>
      <c r="CM269" s="3"/>
      <c r="CN269" s="3"/>
    </row>
    <row r="270" spans="1:92" ht="14.4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53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80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161"/>
      <c r="BS270" s="161"/>
      <c r="BT270" s="161"/>
      <c r="BU270" s="162"/>
      <c r="BV270" s="163"/>
      <c r="BW270" s="163"/>
      <c r="BX270" s="163"/>
      <c r="BY270" s="163"/>
      <c r="BZ270" s="163"/>
      <c r="CA270" s="163"/>
      <c r="CB270" s="161"/>
      <c r="CC270" s="161"/>
      <c r="CD270" s="161"/>
      <c r="CE270" s="161"/>
      <c r="CF270" s="161"/>
      <c r="CG270" s="3"/>
      <c r="CH270" s="3"/>
      <c r="CI270" s="3"/>
      <c r="CJ270" s="3"/>
      <c r="CK270" s="3"/>
      <c r="CL270" s="3"/>
      <c r="CM270" s="3"/>
      <c r="CN270" s="3"/>
    </row>
    <row r="271" spans="1:92" ht="14.4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53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80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161"/>
      <c r="BS271" s="161"/>
      <c r="BT271" s="161"/>
      <c r="BU271" s="162"/>
      <c r="BV271" s="163"/>
      <c r="BW271" s="163"/>
      <c r="BX271" s="163"/>
      <c r="BY271" s="163"/>
      <c r="BZ271" s="163"/>
      <c r="CA271" s="163"/>
      <c r="CB271" s="161"/>
      <c r="CC271" s="161"/>
      <c r="CD271" s="161"/>
      <c r="CE271" s="161"/>
      <c r="CF271" s="161"/>
      <c r="CG271" s="3"/>
      <c r="CH271" s="3"/>
      <c r="CI271" s="3"/>
      <c r="CJ271" s="3"/>
      <c r="CK271" s="3"/>
      <c r="CL271" s="3"/>
      <c r="CM271" s="3"/>
      <c r="CN271" s="3"/>
    </row>
    <row r="272" spans="1:92" ht="14.4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53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80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161"/>
      <c r="BS272" s="161"/>
      <c r="BT272" s="161"/>
      <c r="BU272" s="162"/>
      <c r="BV272" s="163"/>
      <c r="BW272" s="163"/>
      <c r="BX272" s="163"/>
      <c r="BY272" s="163"/>
      <c r="BZ272" s="163"/>
      <c r="CA272" s="163"/>
      <c r="CB272" s="161"/>
      <c r="CC272" s="161"/>
      <c r="CD272" s="161"/>
      <c r="CE272" s="161"/>
      <c r="CF272" s="161"/>
      <c r="CG272" s="3"/>
      <c r="CH272" s="3"/>
      <c r="CI272" s="3"/>
      <c r="CJ272" s="3"/>
      <c r="CK272" s="3"/>
      <c r="CL272" s="3"/>
      <c r="CM272" s="3"/>
      <c r="CN272" s="3"/>
    </row>
    <row r="273" spans="1:92" ht="14.4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53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80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161"/>
      <c r="BS273" s="161"/>
      <c r="BT273" s="161"/>
      <c r="BU273" s="162"/>
      <c r="BV273" s="163"/>
      <c r="BW273" s="163"/>
      <c r="BX273" s="163"/>
      <c r="BY273" s="163"/>
      <c r="BZ273" s="163"/>
      <c r="CA273" s="163"/>
      <c r="CB273" s="161"/>
      <c r="CC273" s="161"/>
      <c r="CD273" s="161"/>
      <c r="CE273" s="161"/>
      <c r="CF273" s="161"/>
      <c r="CG273" s="3"/>
      <c r="CH273" s="3"/>
      <c r="CI273" s="3"/>
      <c r="CJ273" s="3"/>
      <c r="CK273" s="3"/>
      <c r="CL273" s="3"/>
      <c r="CM273" s="3"/>
      <c r="CN273" s="3"/>
    </row>
    <row r="274" spans="1:92" ht="14.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53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80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161"/>
      <c r="BS274" s="161"/>
      <c r="BT274" s="161"/>
      <c r="BU274" s="162"/>
      <c r="BV274" s="163"/>
      <c r="BW274" s="163"/>
      <c r="BX274" s="163"/>
      <c r="BY274" s="163"/>
      <c r="BZ274" s="163"/>
      <c r="CA274" s="163"/>
      <c r="CB274" s="161"/>
      <c r="CC274" s="161"/>
      <c r="CD274" s="161"/>
      <c r="CE274" s="161"/>
      <c r="CF274" s="161"/>
      <c r="CG274" s="3"/>
      <c r="CH274" s="3"/>
      <c r="CI274" s="3"/>
      <c r="CJ274" s="3"/>
      <c r="CK274" s="3"/>
      <c r="CL274" s="3"/>
      <c r="CM274" s="3"/>
      <c r="CN274" s="3"/>
    </row>
    <row r="275" spans="1:92" ht="14.4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53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80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161"/>
      <c r="BS275" s="161"/>
      <c r="BT275" s="161"/>
      <c r="BU275" s="162"/>
      <c r="BV275" s="163"/>
      <c r="BW275" s="163"/>
      <c r="BX275" s="163"/>
      <c r="BY275" s="163"/>
      <c r="BZ275" s="163"/>
      <c r="CA275" s="163"/>
      <c r="CB275" s="161"/>
      <c r="CC275" s="161"/>
      <c r="CD275" s="161"/>
      <c r="CE275" s="161"/>
      <c r="CF275" s="161"/>
      <c r="CG275" s="3"/>
      <c r="CH275" s="3"/>
      <c r="CI275" s="3"/>
      <c r="CJ275" s="3"/>
      <c r="CK275" s="3"/>
      <c r="CL275" s="3"/>
      <c r="CM275" s="3"/>
      <c r="CN275" s="3"/>
    </row>
    <row r="276" spans="1:92" ht="14.4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53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80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161"/>
      <c r="BS276" s="161"/>
      <c r="BT276" s="161"/>
      <c r="BU276" s="162"/>
      <c r="BV276" s="163"/>
      <c r="BW276" s="163"/>
      <c r="BX276" s="163"/>
      <c r="BY276" s="163"/>
      <c r="BZ276" s="163"/>
      <c r="CA276" s="163"/>
      <c r="CB276" s="161"/>
      <c r="CC276" s="161"/>
      <c r="CD276" s="161"/>
      <c r="CE276" s="161"/>
      <c r="CF276" s="161"/>
      <c r="CG276" s="3"/>
      <c r="CH276" s="3"/>
      <c r="CI276" s="3"/>
      <c r="CJ276" s="3"/>
      <c r="CK276" s="3"/>
      <c r="CL276" s="3"/>
      <c r="CM276" s="3"/>
      <c r="CN276" s="3"/>
    </row>
    <row r="277" spans="1:92" ht="14.4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53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80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161"/>
      <c r="BS277" s="161"/>
      <c r="BT277" s="161"/>
      <c r="BU277" s="162"/>
      <c r="BV277" s="163"/>
      <c r="BW277" s="163"/>
      <c r="BX277" s="163"/>
      <c r="BY277" s="163"/>
      <c r="BZ277" s="163"/>
      <c r="CA277" s="163"/>
      <c r="CB277" s="161"/>
      <c r="CC277" s="161"/>
      <c r="CD277" s="161"/>
      <c r="CE277" s="161"/>
      <c r="CF277" s="161"/>
      <c r="CG277" s="3"/>
      <c r="CH277" s="3"/>
      <c r="CI277" s="3"/>
      <c r="CJ277" s="3"/>
      <c r="CK277" s="3"/>
      <c r="CL277" s="3"/>
      <c r="CM277" s="3"/>
      <c r="CN277" s="3"/>
    </row>
    <row r="278" spans="1:92" ht="14.4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53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80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161"/>
      <c r="BS278" s="161"/>
      <c r="BT278" s="161"/>
      <c r="BU278" s="162"/>
      <c r="BV278" s="163"/>
      <c r="BW278" s="163"/>
      <c r="BX278" s="163"/>
      <c r="BY278" s="163"/>
      <c r="BZ278" s="163"/>
      <c r="CA278" s="163"/>
      <c r="CB278" s="161"/>
      <c r="CC278" s="161"/>
      <c r="CD278" s="161"/>
      <c r="CE278" s="161"/>
      <c r="CF278" s="161"/>
      <c r="CG278" s="3"/>
      <c r="CH278" s="3"/>
      <c r="CI278" s="3"/>
      <c r="CJ278" s="3"/>
      <c r="CK278" s="3"/>
      <c r="CL278" s="3"/>
      <c r="CM278" s="3"/>
      <c r="CN278" s="3"/>
    </row>
    <row r="279" spans="1:92" ht="14.4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53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80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161"/>
      <c r="BS279" s="161"/>
      <c r="BT279" s="161"/>
      <c r="BU279" s="162"/>
      <c r="BV279" s="163"/>
      <c r="BW279" s="163"/>
      <c r="BX279" s="163"/>
      <c r="BY279" s="163"/>
      <c r="BZ279" s="163"/>
      <c r="CA279" s="163"/>
      <c r="CB279" s="161"/>
      <c r="CC279" s="161"/>
      <c r="CD279" s="161"/>
      <c r="CE279" s="161"/>
      <c r="CF279" s="161"/>
      <c r="CG279" s="3"/>
      <c r="CH279" s="3"/>
      <c r="CI279" s="3"/>
      <c r="CJ279" s="3"/>
      <c r="CK279" s="3"/>
      <c r="CL279" s="3"/>
      <c r="CM279" s="3"/>
      <c r="CN279" s="3"/>
    </row>
    <row r="280" spans="1:92" ht="14.4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53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80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161"/>
      <c r="BS280" s="161"/>
      <c r="BT280" s="161"/>
      <c r="BU280" s="162"/>
      <c r="BV280" s="163"/>
      <c r="BW280" s="163"/>
      <c r="BX280" s="163"/>
      <c r="BY280" s="163"/>
      <c r="BZ280" s="163"/>
      <c r="CA280" s="163"/>
      <c r="CB280" s="161"/>
      <c r="CC280" s="161"/>
      <c r="CD280" s="161"/>
      <c r="CE280" s="161"/>
      <c r="CF280" s="161"/>
      <c r="CG280" s="3"/>
      <c r="CH280" s="3"/>
      <c r="CI280" s="3"/>
      <c r="CJ280" s="3"/>
      <c r="CK280" s="3"/>
      <c r="CL280" s="3"/>
      <c r="CM280" s="3"/>
      <c r="CN280" s="3"/>
    </row>
    <row r="281" spans="1:92" ht="14.4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53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80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161"/>
      <c r="BS281" s="161"/>
      <c r="BT281" s="161"/>
      <c r="BU281" s="162"/>
      <c r="BV281" s="163"/>
      <c r="BW281" s="163"/>
      <c r="BX281" s="163"/>
      <c r="BY281" s="163"/>
      <c r="BZ281" s="163"/>
      <c r="CA281" s="163"/>
      <c r="CB281" s="161"/>
      <c r="CC281" s="161"/>
      <c r="CD281" s="161"/>
      <c r="CE281" s="161"/>
      <c r="CF281" s="161"/>
      <c r="CG281" s="3"/>
      <c r="CH281" s="3"/>
      <c r="CI281" s="3"/>
      <c r="CJ281" s="3"/>
      <c r="CK281" s="3"/>
      <c r="CL281" s="3"/>
      <c r="CM281" s="3"/>
      <c r="CN281" s="3"/>
    </row>
    <row r="282" spans="1:92" ht="14.4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53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80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161"/>
      <c r="BS282" s="161"/>
      <c r="BT282" s="161"/>
      <c r="BU282" s="162"/>
      <c r="BV282" s="163"/>
      <c r="BW282" s="163"/>
      <c r="BX282" s="163"/>
      <c r="BY282" s="163"/>
      <c r="BZ282" s="163"/>
      <c r="CA282" s="163"/>
      <c r="CB282" s="161"/>
      <c r="CC282" s="161"/>
      <c r="CD282" s="161"/>
      <c r="CE282" s="161"/>
      <c r="CF282" s="161"/>
      <c r="CG282" s="3"/>
      <c r="CH282" s="3"/>
      <c r="CI282" s="3"/>
      <c r="CJ282" s="3"/>
      <c r="CK282" s="3"/>
      <c r="CL282" s="3"/>
      <c r="CM282" s="3"/>
      <c r="CN282" s="3"/>
    </row>
    <row r="283" spans="1:92" ht="14.4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53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80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161"/>
      <c r="BS283" s="161"/>
      <c r="BT283" s="161"/>
      <c r="BU283" s="162"/>
      <c r="BV283" s="163"/>
      <c r="BW283" s="163"/>
      <c r="BX283" s="163"/>
      <c r="BY283" s="163"/>
      <c r="BZ283" s="163"/>
      <c r="CA283" s="163"/>
      <c r="CB283" s="161"/>
      <c r="CC283" s="161"/>
      <c r="CD283" s="161"/>
      <c r="CE283" s="161"/>
      <c r="CF283" s="161"/>
      <c r="CG283" s="3"/>
      <c r="CH283" s="3"/>
      <c r="CI283" s="3"/>
      <c r="CJ283" s="3"/>
      <c r="CK283" s="3"/>
      <c r="CL283" s="3"/>
      <c r="CM283" s="3"/>
      <c r="CN283" s="3"/>
    </row>
    <row r="284" spans="1:92" ht="14.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53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80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161"/>
      <c r="BS284" s="161"/>
      <c r="BT284" s="161"/>
      <c r="BU284" s="162"/>
      <c r="BV284" s="163"/>
      <c r="BW284" s="163"/>
      <c r="BX284" s="163"/>
      <c r="BY284" s="163"/>
      <c r="BZ284" s="163"/>
      <c r="CA284" s="163"/>
      <c r="CB284" s="161"/>
      <c r="CC284" s="161"/>
      <c r="CD284" s="161"/>
      <c r="CE284" s="161"/>
      <c r="CF284" s="161"/>
      <c r="CG284" s="3"/>
      <c r="CH284" s="3"/>
      <c r="CI284" s="3"/>
      <c r="CJ284" s="3"/>
      <c r="CK284" s="3"/>
      <c r="CL284" s="3"/>
      <c r="CM284" s="3"/>
      <c r="CN284" s="3"/>
    </row>
    <row r="285" spans="1:92" ht="14.4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53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80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161"/>
      <c r="BS285" s="161"/>
      <c r="BT285" s="161"/>
      <c r="BU285" s="162"/>
      <c r="BV285" s="163"/>
      <c r="BW285" s="163"/>
      <c r="BX285" s="163"/>
      <c r="BY285" s="163"/>
      <c r="BZ285" s="163"/>
      <c r="CA285" s="163"/>
      <c r="CB285" s="161"/>
      <c r="CC285" s="161"/>
      <c r="CD285" s="161"/>
      <c r="CE285" s="161"/>
      <c r="CF285" s="161"/>
      <c r="CG285" s="3"/>
      <c r="CH285" s="3"/>
      <c r="CI285" s="3"/>
      <c r="CJ285" s="3"/>
      <c r="CK285" s="3"/>
      <c r="CL285" s="3"/>
      <c r="CM285" s="3"/>
      <c r="CN285" s="3"/>
    </row>
    <row r="286" spans="1:92" ht="14.4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53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80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161"/>
      <c r="BS286" s="161"/>
      <c r="BT286" s="161"/>
      <c r="BU286" s="162"/>
      <c r="BV286" s="163"/>
      <c r="BW286" s="163"/>
      <c r="BX286" s="163"/>
      <c r="BY286" s="163"/>
      <c r="BZ286" s="163"/>
      <c r="CA286" s="163"/>
      <c r="CB286" s="161"/>
      <c r="CC286" s="161"/>
      <c r="CD286" s="161"/>
      <c r="CE286" s="161"/>
      <c r="CF286" s="161"/>
      <c r="CG286" s="3"/>
      <c r="CH286" s="3"/>
      <c r="CI286" s="3"/>
      <c r="CJ286" s="3"/>
      <c r="CK286" s="3"/>
      <c r="CL286" s="3"/>
      <c r="CM286" s="3"/>
      <c r="CN286" s="3"/>
    </row>
    <row r="287" spans="1:92" ht="14.4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53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80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161"/>
      <c r="BS287" s="161"/>
      <c r="BT287" s="161"/>
      <c r="BU287" s="162"/>
      <c r="BV287" s="163"/>
      <c r="BW287" s="163"/>
      <c r="BX287" s="163"/>
      <c r="BY287" s="163"/>
      <c r="BZ287" s="163"/>
      <c r="CA287" s="163"/>
      <c r="CB287" s="161"/>
      <c r="CC287" s="161"/>
      <c r="CD287" s="161"/>
      <c r="CE287" s="161"/>
      <c r="CF287" s="161"/>
      <c r="CG287" s="3"/>
      <c r="CH287" s="3"/>
      <c r="CI287" s="3"/>
      <c r="CJ287" s="3"/>
      <c r="CK287" s="3"/>
      <c r="CL287" s="3"/>
      <c r="CM287" s="3"/>
      <c r="CN287" s="3"/>
    </row>
    <row r="288" spans="1:92" ht="14.4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53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80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161"/>
      <c r="BS288" s="161"/>
      <c r="BT288" s="161"/>
      <c r="BU288" s="162"/>
      <c r="BV288" s="163"/>
      <c r="BW288" s="163"/>
      <c r="BX288" s="163"/>
      <c r="BY288" s="163"/>
      <c r="BZ288" s="163"/>
      <c r="CA288" s="163"/>
      <c r="CB288" s="161"/>
      <c r="CC288" s="161"/>
      <c r="CD288" s="161"/>
      <c r="CE288" s="161"/>
      <c r="CF288" s="161"/>
      <c r="CG288" s="3"/>
      <c r="CH288" s="3"/>
      <c r="CI288" s="3"/>
      <c r="CJ288" s="3"/>
      <c r="CK288" s="3"/>
      <c r="CL288" s="3"/>
      <c r="CM288" s="3"/>
      <c r="CN288" s="3"/>
    </row>
    <row r="289" spans="1:92" ht="14.4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53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80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161"/>
      <c r="BS289" s="161"/>
      <c r="BT289" s="161"/>
      <c r="BU289" s="162"/>
      <c r="BV289" s="163"/>
      <c r="BW289" s="163"/>
      <c r="BX289" s="163"/>
      <c r="BY289" s="163"/>
      <c r="BZ289" s="163"/>
      <c r="CA289" s="163"/>
      <c r="CB289" s="161"/>
      <c r="CC289" s="161"/>
      <c r="CD289" s="161"/>
      <c r="CE289" s="161"/>
      <c r="CF289" s="161"/>
      <c r="CG289" s="3"/>
      <c r="CH289" s="3"/>
      <c r="CI289" s="3"/>
      <c r="CJ289" s="3"/>
      <c r="CK289" s="3"/>
      <c r="CL289" s="3"/>
      <c r="CM289" s="3"/>
      <c r="CN289" s="3"/>
    </row>
    <row r="290" spans="1:92" ht="14.4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53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80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161"/>
      <c r="BS290" s="161"/>
      <c r="BT290" s="161"/>
      <c r="BU290" s="162"/>
      <c r="BV290" s="163"/>
      <c r="BW290" s="163"/>
      <c r="BX290" s="163"/>
      <c r="BY290" s="163"/>
      <c r="BZ290" s="163"/>
      <c r="CA290" s="163"/>
      <c r="CB290" s="161"/>
      <c r="CC290" s="161"/>
      <c r="CD290" s="161"/>
      <c r="CE290" s="161"/>
      <c r="CF290" s="161"/>
      <c r="CG290" s="3"/>
      <c r="CH290" s="3"/>
      <c r="CI290" s="3"/>
      <c r="CJ290" s="3"/>
      <c r="CK290" s="3"/>
      <c r="CL290" s="3"/>
      <c r="CM290" s="3"/>
      <c r="CN290" s="3"/>
    </row>
    <row r="291" spans="1:92" ht="14.4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53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80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161"/>
      <c r="BS291" s="161"/>
      <c r="BT291" s="161"/>
      <c r="BU291" s="162"/>
      <c r="BV291" s="163"/>
      <c r="BW291" s="163"/>
      <c r="BX291" s="163"/>
      <c r="BY291" s="163"/>
      <c r="BZ291" s="163"/>
      <c r="CA291" s="163"/>
      <c r="CB291" s="161"/>
      <c r="CC291" s="161"/>
      <c r="CD291" s="161"/>
      <c r="CE291" s="161"/>
      <c r="CF291" s="161"/>
      <c r="CG291" s="3"/>
      <c r="CH291" s="3"/>
      <c r="CI291" s="3"/>
      <c r="CJ291" s="3"/>
      <c r="CK291" s="3"/>
      <c r="CL291" s="3"/>
      <c r="CM291" s="3"/>
      <c r="CN291" s="3"/>
    </row>
    <row r="292" spans="1:92" ht="14.4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53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80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161"/>
      <c r="BS292" s="161"/>
      <c r="BT292" s="161"/>
      <c r="BU292" s="162"/>
      <c r="BV292" s="163"/>
      <c r="BW292" s="163"/>
      <c r="BX292" s="163"/>
      <c r="BY292" s="163"/>
      <c r="BZ292" s="163"/>
      <c r="CA292" s="163"/>
      <c r="CB292" s="161"/>
      <c r="CC292" s="161"/>
      <c r="CD292" s="161"/>
      <c r="CE292" s="161"/>
      <c r="CF292" s="161"/>
      <c r="CG292" s="3"/>
      <c r="CH292" s="3"/>
      <c r="CI292" s="3"/>
      <c r="CJ292" s="3"/>
      <c r="CK292" s="3"/>
      <c r="CL292" s="3"/>
      <c r="CM292" s="3"/>
      <c r="CN292" s="3"/>
    </row>
    <row r="293" spans="1:92" ht="14.4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53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80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161"/>
      <c r="BS293" s="161"/>
      <c r="BT293" s="161"/>
      <c r="BU293" s="162"/>
      <c r="BV293" s="163"/>
      <c r="BW293" s="163"/>
      <c r="BX293" s="163"/>
      <c r="BY293" s="163"/>
      <c r="BZ293" s="163"/>
      <c r="CA293" s="163"/>
      <c r="CB293" s="161"/>
      <c r="CC293" s="161"/>
      <c r="CD293" s="161"/>
      <c r="CE293" s="161"/>
      <c r="CF293" s="161"/>
      <c r="CG293" s="3"/>
      <c r="CH293" s="3"/>
      <c r="CI293" s="3"/>
      <c r="CJ293" s="3"/>
      <c r="CK293" s="3"/>
      <c r="CL293" s="3"/>
      <c r="CM293" s="3"/>
      <c r="CN293" s="3"/>
    </row>
    <row r="294" spans="1:92" ht="14.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53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80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161"/>
      <c r="BS294" s="161"/>
      <c r="BT294" s="161"/>
      <c r="BU294" s="162"/>
      <c r="BV294" s="163"/>
      <c r="BW294" s="163"/>
      <c r="BX294" s="163"/>
      <c r="BY294" s="163"/>
      <c r="BZ294" s="163"/>
      <c r="CA294" s="163"/>
      <c r="CB294" s="161"/>
      <c r="CC294" s="161"/>
      <c r="CD294" s="161"/>
      <c r="CE294" s="161"/>
      <c r="CF294" s="161"/>
      <c r="CG294" s="3"/>
      <c r="CH294" s="3"/>
      <c r="CI294" s="3"/>
      <c r="CJ294" s="3"/>
      <c r="CK294" s="3"/>
      <c r="CL294" s="3"/>
      <c r="CM294" s="3"/>
      <c r="CN294" s="3"/>
    </row>
    <row r="295" spans="1:92" ht="14.4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53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80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161"/>
      <c r="BS295" s="161"/>
      <c r="BT295" s="161"/>
      <c r="BU295" s="162"/>
      <c r="BV295" s="163"/>
      <c r="BW295" s="163"/>
      <c r="BX295" s="163"/>
      <c r="BY295" s="163"/>
      <c r="BZ295" s="163"/>
      <c r="CA295" s="163"/>
      <c r="CB295" s="161"/>
      <c r="CC295" s="161"/>
      <c r="CD295" s="161"/>
      <c r="CE295" s="161"/>
      <c r="CF295" s="161"/>
      <c r="CG295" s="3"/>
      <c r="CH295" s="3"/>
      <c r="CI295" s="3"/>
      <c r="CJ295" s="3"/>
      <c r="CK295" s="3"/>
      <c r="CL295" s="3"/>
      <c r="CM295" s="3"/>
      <c r="CN295" s="3"/>
    </row>
    <row r="296" spans="1:92" ht="14.4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53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80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161"/>
      <c r="BS296" s="161"/>
      <c r="BT296" s="161"/>
      <c r="BU296" s="162"/>
      <c r="BV296" s="163"/>
      <c r="BW296" s="163"/>
      <c r="BX296" s="163"/>
      <c r="BY296" s="163"/>
      <c r="BZ296" s="163"/>
      <c r="CA296" s="163"/>
      <c r="CB296" s="161"/>
      <c r="CC296" s="161"/>
      <c r="CD296" s="161"/>
      <c r="CE296" s="161"/>
      <c r="CF296" s="161"/>
      <c r="CG296" s="3"/>
      <c r="CH296" s="3"/>
      <c r="CI296" s="3"/>
      <c r="CJ296" s="3"/>
      <c r="CK296" s="3"/>
      <c r="CL296" s="3"/>
      <c r="CM296" s="3"/>
      <c r="CN296" s="3"/>
    </row>
    <row r="297" spans="1:92" ht="14.4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53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80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161"/>
      <c r="BS297" s="161"/>
      <c r="BT297" s="161"/>
      <c r="BU297" s="162"/>
      <c r="BV297" s="163"/>
      <c r="BW297" s="163"/>
      <c r="BX297" s="163"/>
      <c r="BY297" s="163"/>
      <c r="BZ297" s="163"/>
      <c r="CA297" s="163"/>
      <c r="CB297" s="161"/>
      <c r="CC297" s="161"/>
      <c r="CD297" s="161"/>
      <c r="CE297" s="161"/>
      <c r="CF297" s="161"/>
      <c r="CG297" s="3"/>
      <c r="CH297" s="3"/>
      <c r="CI297" s="3"/>
      <c r="CJ297" s="3"/>
      <c r="CK297" s="3"/>
      <c r="CL297" s="3"/>
      <c r="CM297" s="3"/>
      <c r="CN297" s="3"/>
    </row>
    <row r="298" spans="1:92" ht="14.4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53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80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161"/>
      <c r="BS298" s="161"/>
      <c r="BT298" s="161"/>
      <c r="BU298" s="162"/>
      <c r="BV298" s="163"/>
      <c r="BW298" s="163"/>
      <c r="BX298" s="163"/>
      <c r="BY298" s="163"/>
      <c r="BZ298" s="163"/>
      <c r="CA298" s="163"/>
      <c r="CB298" s="161"/>
      <c r="CC298" s="161"/>
      <c r="CD298" s="161"/>
      <c r="CE298" s="161"/>
      <c r="CF298" s="161"/>
      <c r="CG298" s="3"/>
      <c r="CH298" s="3"/>
      <c r="CI298" s="3"/>
      <c r="CJ298" s="3"/>
      <c r="CK298" s="3"/>
      <c r="CL298" s="3"/>
      <c r="CM298" s="3"/>
      <c r="CN298" s="3"/>
    </row>
    <row r="299" spans="1:92" ht="14.4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53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80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161"/>
      <c r="BS299" s="161"/>
      <c r="BT299" s="161"/>
      <c r="BU299" s="162"/>
      <c r="BV299" s="163"/>
      <c r="BW299" s="163"/>
      <c r="BX299" s="163"/>
      <c r="BY299" s="163"/>
      <c r="BZ299" s="163"/>
      <c r="CA299" s="163"/>
      <c r="CB299" s="161"/>
      <c r="CC299" s="161"/>
      <c r="CD299" s="161"/>
      <c r="CE299" s="161"/>
      <c r="CF299" s="161"/>
      <c r="CG299" s="3"/>
      <c r="CH299" s="3"/>
      <c r="CI299" s="3"/>
      <c r="CJ299" s="3"/>
      <c r="CK299" s="3"/>
      <c r="CL299" s="3"/>
      <c r="CM299" s="3"/>
      <c r="CN299" s="3"/>
    </row>
    <row r="300" spans="1:92" ht="14.4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53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80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161"/>
      <c r="BS300" s="161"/>
      <c r="BT300" s="161"/>
      <c r="BU300" s="162"/>
      <c r="BV300" s="163"/>
      <c r="BW300" s="163"/>
      <c r="BX300" s="163"/>
      <c r="BY300" s="163"/>
      <c r="BZ300" s="163"/>
      <c r="CA300" s="163"/>
      <c r="CB300" s="161"/>
      <c r="CC300" s="161"/>
      <c r="CD300" s="161"/>
      <c r="CE300" s="161"/>
      <c r="CF300" s="161"/>
      <c r="CG300" s="3"/>
      <c r="CH300" s="3"/>
      <c r="CI300" s="3"/>
      <c r="CJ300" s="3"/>
      <c r="CK300" s="3"/>
      <c r="CL300" s="3"/>
      <c r="CM300" s="3"/>
      <c r="CN300" s="3"/>
    </row>
    <row r="301" spans="1:92" ht="14.4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53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80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161"/>
      <c r="BS301" s="161"/>
      <c r="BT301" s="161"/>
      <c r="BU301" s="162"/>
      <c r="BV301" s="163"/>
      <c r="BW301" s="163"/>
      <c r="BX301" s="163"/>
      <c r="BY301" s="163"/>
      <c r="BZ301" s="163"/>
      <c r="CA301" s="163"/>
      <c r="CB301" s="161"/>
      <c r="CC301" s="161"/>
      <c r="CD301" s="161"/>
      <c r="CE301" s="161"/>
      <c r="CF301" s="161"/>
      <c r="CG301" s="3"/>
      <c r="CH301" s="3"/>
      <c r="CI301" s="3"/>
      <c r="CJ301" s="3"/>
      <c r="CK301" s="3"/>
      <c r="CL301" s="3"/>
      <c r="CM301" s="3"/>
      <c r="CN301" s="3"/>
    </row>
    <row r="302" spans="1:92" ht="14.4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53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80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161"/>
      <c r="BS302" s="161"/>
      <c r="BT302" s="161"/>
      <c r="BU302" s="162"/>
      <c r="BV302" s="163"/>
      <c r="BW302" s="163"/>
      <c r="BX302" s="163"/>
      <c r="BY302" s="163"/>
      <c r="BZ302" s="163"/>
      <c r="CA302" s="163"/>
      <c r="CB302" s="161"/>
      <c r="CC302" s="161"/>
      <c r="CD302" s="161"/>
      <c r="CE302" s="161"/>
      <c r="CF302" s="161"/>
      <c r="CG302" s="3"/>
      <c r="CH302" s="3"/>
      <c r="CI302" s="3"/>
      <c r="CJ302" s="3"/>
      <c r="CK302" s="3"/>
      <c r="CL302" s="3"/>
      <c r="CM302" s="3"/>
      <c r="CN302" s="3"/>
    </row>
    <row r="303" spans="1:92" ht="14.4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53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80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161"/>
      <c r="BS303" s="161"/>
      <c r="BT303" s="161"/>
      <c r="BU303" s="162"/>
      <c r="BV303" s="163"/>
      <c r="BW303" s="163"/>
      <c r="BX303" s="163"/>
      <c r="BY303" s="163"/>
      <c r="BZ303" s="163"/>
      <c r="CA303" s="163"/>
      <c r="CB303" s="161"/>
      <c r="CC303" s="161"/>
      <c r="CD303" s="161"/>
      <c r="CE303" s="161"/>
      <c r="CF303" s="161"/>
      <c r="CG303" s="3"/>
      <c r="CH303" s="3"/>
      <c r="CI303" s="3"/>
      <c r="CJ303" s="3"/>
      <c r="CK303" s="3"/>
      <c r="CL303" s="3"/>
      <c r="CM303" s="3"/>
      <c r="CN303" s="3"/>
    </row>
    <row r="304" spans="1:92" ht="14.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53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80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161"/>
      <c r="BS304" s="161"/>
      <c r="BT304" s="161"/>
      <c r="BU304" s="162"/>
      <c r="BV304" s="163"/>
      <c r="BW304" s="163"/>
      <c r="BX304" s="163"/>
      <c r="BY304" s="163"/>
      <c r="BZ304" s="163"/>
      <c r="CA304" s="163"/>
      <c r="CB304" s="161"/>
      <c r="CC304" s="161"/>
      <c r="CD304" s="161"/>
      <c r="CE304" s="161"/>
      <c r="CF304" s="161"/>
      <c r="CG304" s="3"/>
      <c r="CH304" s="3"/>
      <c r="CI304" s="3"/>
      <c r="CJ304" s="3"/>
      <c r="CK304" s="3"/>
      <c r="CL304" s="3"/>
      <c r="CM304" s="3"/>
      <c r="CN304" s="3"/>
    </row>
    <row r="305" spans="1:92" ht="14.4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53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80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161"/>
      <c r="BS305" s="161"/>
      <c r="BT305" s="161"/>
      <c r="BU305" s="162"/>
      <c r="BV305" s="163"/>
      <c r="BW305" s="163"/>
      <c r="BX305" s="163"/>
      <c r="BY305" s="163"/>
      <c r="BZ305" s="163"/>
      <c r="CA305" s="163"/>
      <c r="CB305" s="161"/>
      <c r="CC305" s="161"/>
      <c r="CD305" s="161"/>
      <c r="CE305" s="161"/>
      <c r="CF305" s="161"/>
      <c r="CG305" s="3"/>
      <c r="CH305" s="3"/>
      <c r="CI305" s="3"/>
      <c r="CJ305" s="3"/>
      <c r="CK305" s="3"/>
      <c r="CL305" s="3"/>
      <c r="CM305" s="3"/>
      <c r="CN305" s="3"/>
    </row>
    <row r="306" spans="1:92" ht="14.4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53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80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161"/>
      <c r="BS306" s="161"/>
      <c r="BT306" s="161"/>
      <c r="BU306" s="162"/>
      <c r="BV306" s="163"/>
      <c r="BW306" s="163"/>
      <c r="BX306" s="163"/>
      <c r="BY306" s="163"/>
      <c r="BZ306" s="163"/>
      <c r="CA306" s="163"/>
      <c r="CB306" s="161"/>
      <c r="CC306" s="161"/>
      <c r="CD306" s="161"/>
      <c r="CE306" s="161"/>
      <c r="CF306" s="161"/>
      <c r="CG306" s="3"/>
      <c r="CH306" s="3"/>
      <c r="CI306" s="3"/>
      <c r="CJ306" s="3"/>
      <c r="CK306" s="3"/>
      <c r="CL306" s="3"/>
      <c r="CM306" s="3"/>
      <c r="CN306" s="3"/>
    </row>
    <row r="307" spans="1:92" ht="14.4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53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80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161"/>
      <c r="BS307" s="161"/>
      <c r="BT307" s="161"/>
      <c r="BU307" s="162"/>
      <c r="BV307" s="163"/>
      <c r="BW307" s="163"/>
      <c r="BX307" s="163"/>
      <c r="BY307" s="163"/>
      <c r="BZ307" s="163"/>
      <c r="CA307" s="163"/>
      <c r="CB307" s="161"/>
      <c r="CC307" s="161"/>
      <c r="CD307" s="161"/>
      <c r="CE307" s="161"/>
      <c r="CF307" s="161"/>
      <c r="CG307" s="3"/>
      <c r="CH307" s="3"/>
      <c r="CI307" s="3"/>
      <c r="CJ307" s="3"/>
      <c r="CK307" s="3"/>
      <c r="CL307" s="3"/>
      <c r="CM307" s="3"/>
      <c r="CN307" s="3"/>
    </row>
    <row r="308" spans="1:92" ht="14.4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53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80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161"/>
      <c r="BS308" s="161"/>
      <c r="BT308" s="161"/>
      <c r="BU308" s="162"/>
      <c r="BV308" s="163"/>
      <c r="BW308" s="163"/>
      <c r="BX308" s="163"/>
      <c r="BY308" s="163"/>
      <c r="BZ308" s="163"/>
      <c r="CA308" s="163"/>
      <c r="CB308" s="161"/>
      <c r="CC308" s="161"/>
      <c r="CD308" s="161"/>
      <c r="CE308" s="161"/>
      <c r="CF308" s="161"/>
      <c r="CG308" s="3"/>
      <c r="CH308" s="3"/>
      <c r="CI308" s="3"/>
      <c r="CJ308" s="3"/>
      <c r="CK308" s="3"/>
      <c r="CL308" s="3"/>
      <c r="CM308" s="3"/>
      <c r="CN308" s="3"/>
    </row>
    <row r="309" spans="1:92" ht="14.4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53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80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161"/>
      <c r="BS309" s="161"/>
      <c r="BT309" s="161"/>
      <c r="BU309" s="162"/>
      <c r="BV309" s="163"/>
      <c r="BW309" s="163"/>
      <c r="BX309" s="163"/>
      <c r="BY309" s="163"/>
      <c r="BZ309" s="163"/>
      <c r="CA309" s="163"/>
      <c r="CB309" s="161"/>
      <c r="CC309" s="161"/>
      <c r="CD309" s="161"/>
      <c r="CE309" s="161"/>
      <c r="CF309" s="161"/>
      <c r="CG309" s="3"/>
      <c r="CH309" s="3"/>
      <c r="CI309" s="3"/>
      <c r="CJ309" s="3"/>
      <c r="CK309" s="3"/>
      <c r="CL309" s="3"/>
      <c r="CM309" s="3"/>
      <c r="CN309" s="3"/>
    </row>
    <row r="310" spans="1:92" ht="14.4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53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80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161"/>
      <c r="BS310" s="161"/>
      <c r="BT310" s="161"/>
      <c r="BU310" s="162"/>
      <c r="BV310" s="163"/>
      <c r="BW310" s="163"/>
      <c r="BX310" s="163"/>
      <c r="BY310" s="163"/>
      <c r="BZ310" s="163"/>
      <c r="CA310" s="163"/>
      <c r="CB310" s="161"/>
      <c r="CC310" s="161"/>
      <c r="CD310" s="161"/>
      <c r="CE310" s="161"/>
      <c r="CF310" s="161"/>
      <c r="CG310" s="3"/>
      <c r="CH310" s="3"/>
      <c r="CI310" s="3"/>
      <c r="CJ310" s="3"/>
      <c r="CK310" s="3"/>
      <c r="CL310" s="3"/>
      <c r="CM310" s="3"/>
      <c r="CN310" s="3"/>
    </row>
    <row r="311" spans="1:92" ht="14.4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53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80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161"/>
      <c r="BS311" s="161"/>
      <c r="BT311" s="161"/>
      <c r="BU311" s="162"/>
      <c r="BV311" s="163"/>
      <c r="BW311" s="163"/>
      <c r="BX311" s="163"/>
      <c r="BY311" s="163"/>
      <c r="BZ311" s="163"/>
      <c r="CA311" s="163"/>
      <c r="CB311" s="161"/>
      <c r="CC311" s="161"/>
      <c r="CD311" s="161"/>
      <c r="CE311" s="161"/>
      <c r="CF311" s="161"/>
      <c r="CG311" s="3"/>
      <c r="CH311" s="3"/>
      <c r="CI311" s="3"/>
      <c r="CJ311" s="3"/>
      <c r="CK311" s="3"/>
      <c r="CL311" s="3"/>
      <c r="CM311" s="3"/>
      <c r="CN311" s="3"/>
    </row>
    <row r="312" spans="1:92" ht="14.4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53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80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161"/>
      <c r="BS312" s="161"/>
      <c r="BT312" s="161"/>
      <c r="BU312" s="162"/>
      <c r="BV312" s="163"/>
      <c r="BW312" s="163"/>
      <c r="BX312" s="163"/>
      <c r="BY312" s="163"/>
      <c r="BZ312" s="163"/>
      <c r="CA312" s="163"/>
      <c r="CB312" s="161"/>
      <c r="CC312" s="161"/>
      <c r="CD312" s="161"/>
      <c r="CE312" s="161"/>
      <c r="CF312" s="161"/>
      <c r="CG312" s="3"/>
      <c r="CH312" s="3"/>
      <c r="CI312" s="3"/>
      <c r="CJ312" s="3"/>
      <c r="CK312" s="3"/>
      <c r="CL312" s="3"/>
      <c r="CM312" s="3"/>
      <c r="CN312" s="3"/>
    </row>
    <row r="313" spans="1:92" ht="14.4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53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80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161"/>
      <c r="BS313" s="161"/>
      <c r="BT313" s="161"/>
      <c r="BU313" s="162"/>
      <c r="BV313" s="163"/>
      <c r="BW313" s="163"/>
      <c r="BX313" s="163"/>
      <c r="BY313" s="163"/>
      <c r="BZ313" s="163"/>
      <c r="CA313" s="163"/>
      <c r="CB313" s="161"/>
      <c r="CC313" s="161"/>
      <c r="CD313" s="161"/>
      <c r="CE313" s="161"/>
      <c r="CF313" s="161"/>
      <c r="CG313" s="3"/>
      <c r="CH313" s="3"/>
      <c r="CI313" s="3"/>
      <c r="CJ313" s="3"/>
      <c r="CK313" s="3"/>
      <c r="CL313" s="3"/>
      <c r="CM313" s="3"/>
      <c r="CN313" s="3"/>
    </row>
    <row r="314" spans="1:92" ht="14.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53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80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161"/>
      <c r="BS314" s="161"/>
      <c r="BT314" s="161"/>
      <c r="BU314" s="162"/>
      <c r="BV314" s="163"/>
      <c r="BW314" s="163"/>
      <c r="BX314" s="163"/>
      <c r="BY314" s="163"/>
      <c r="BZ314" s="163"/>
      <c r="CA314" s="163"/>
      <c r="CB314" s="161"/>
      <c r="CC314" s="161"/>
      <c r="CD314" s="161"/>
      <c r="CE314" s="161"/>
      <c r="CF314" s="161"/>
      <c r="CG314" s="3"/>
      <c r="CH314" s="3"/>
      <c r="CI314" s="3"/>
      <c r="CJ314" s="3"/>
      <c r="CK314" s="3"/>
      <c r="CL314" s="3"/>
      <c r="CM314" s="3"/>
      <c r="CN314" s="3"/>
    </row>
    <row r="315" spans="1:92" ht="14.4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53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80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161"/>
      <c r="BS315" s="161"/>
      <c r="BT315" s="161"/>
      <c r="BU315" s="162"/>
      <c r="BV315" s="163"/>
      <c r="BW315" s="163"/>
      <c r="BX315" s="163"/>
      <c r="BY315" s="163"/>
      <c r="BZ315" s="163"/>
      <c r="CA315" s="163"/>
      <c r="CB315" s="161"/>
      <c r="CC315" s="161"/>
      <c r="CD315" s="161"/>
      <c r="CE315" s="161"/>
      <c r="CF315" s="161"/>
      <c r="CG315" s="3"/>
      <c r="CH315" s="3"/>
      <c r="CI315" s="3"/>
      <c r="CJ315" s="3"/>
      <c r="CK315" s="3"/>
      <c r="CL315" s="3"/>
      <c r="CM315" s="3"/>
      <c r="CN315" s="3"/>
    </row>
    <row r="316" spans="1:92" ht="14.4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53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80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161"/>
      <c r="BS316" s="161"/>
      <c r="BT316" s="161"/>
      <c r="BU316" s="162"/>
      <c r="BV316" s="163"/>
      <c r="BW316" s="163"/>
      <c r="BX316" s="163"/>
      <c r="BY316" s="163"/>
      <c r="BZ316" s="163"/>
      <c r="CA316" s="163"/>
      <c r="CB316" s="161"/>
      <c r="CC316" s="161"/>
      <c r="CD316" s="161"/>
      <c r="CE316" s="161"/>
      <c r="CF316" s="161"/>
      <c r="CG316" s="3"/>
      <c r="CH316" s="3"/>
      <c r="CI316" s="3"/>
      <c r="CJ316" s="3"/>
      <c r="CK316" s="3"/>
      <c r="CL316" s="3"/>
      <c r="CM316" s="3"/>
      <c r="CN316" s="3"/>
    </row>
    <row r="317" spans="1:92" ht="14.4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53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80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161"/>
      <c r="BS317" s="161"/>
      <c r="BT317" s="161"/>
      <c r="BU317" s="162"/>
      <c r="BV317" s="163"/>
      <c r="BW317" s="163"/>
      <c r="BX317" s="163"/>
      <c r="BY317" s="163"/>
      <c r="BZ317" s="163"/>
      <c r="CA317" s="163"/>
      <c r="CB317" s="161"/>
      <c r="CC317" s="161"/>
      <c r="CD317" s="161"/>
      <c r="CE317" s="161"/>
      <c r="CF317" s="161"/>
      <c r="CG317" s="3"/>
      <c r="CH317" s="3"/>
      <c r="CI317" s="3"/>
      <c r="CJ317" s="3"/>
      <c r="CK317" s="3"/>
      <c r="CL317" s="3"/>
      <c r="CM317" s="3"/>
      <c r="CN317" s="3"/>
    </row>
    <row r="318" spans="1:92" ht="14.4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53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80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161"/>
      <c r="BS318" s="161"/>
      <c r="BT318" s="161"/>
      <c r="BU318" s="162"/>
      <c r="BV318" s="163"/>
      <c r="BW318" s="163"/>
      <c r="BX318" s="163"/>
      <c r="BY318" s="163"/>
      <c r="BZ318" s="163"/>
      <c r="CA318" s="163"/>
      <c r="CB318" s="161"/>
      <c r="CC318" s="161"/>
      <c r="CD318" s="161"/>
      <c r="CE318" s="161"/>
      <c r="CF318" s="161"/>
      <c r="CG318" s="3"/>
      <c r="CH318" s="3"/>
      <c r="CI318" s="3"/>
      <c r="CJ318" s="3"/>
      <c r="CK318" s="3"/>
      <c r="CL318" s="3"/>
      <c r="CM318" s="3"/>
      <c r="CN318" s="3"/>
    </row>
    <row r="319" spans="1:92" ht="14.4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53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80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161"/>
      <c r="BS319" s="161"/>
      <c r="BT319" s="161"/>
      <c r="BU319" s="162"/>
      <c r="BV319" s="163"/>
      <c r="BW319" s="163"/>
      <c r="BX319" s="163"/>
      <c r="BY319" s="163"/>
      <c r="BZ319" s="163"/>
      <c r="CA319" s="163"/>
      <c r="CB319" s="161"/>
      <c r="CC319" s="161"/>
      <c r="CD319" s="161"/>
      <c r="CE319" s="161"/>
      <c r="CF319" s="161"/>
      <c r="CG319" s="3"/>
      <c r="CH319" s="3"/>
      <c r="CI319" s="3"/>
      <c r="CJ319" s="3"/>
      <c r="CK319" s="3"/>
      <c r="CL319" s="3"/>
      <c r="CM319" s="3"/>
      <c r="CN319" s="3"/>
    </row>
    <row r="320" spans="1:92" ht="14.4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53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80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161"/>
      <c r="BS320" s="161"/>
      <c r="BT320" s="161"/>
      <c r="BU320" s="162"/>
      <c r="BV320" s="163"/>
      <c r="BW320" s="163"/>
      <c r="BX320" s="163"/>
      <c r="BY320" s="163"/>
      <c r="BZ320" s="163"/>
      <c r="CA320" s="163"/>
      <c r="CB320" s="161"/>
      <c r="CC320" s="161"/>
      <c r="CD320" s="161"/>
      <c r="CE320" s="161"/>
      <c r="CF320" s="161"/>
      <c r="CG320" s="3"/>
      <c r="CH320" s="3"/>
      <c r="CI320" s="3"/>
      <c r="CJ320" s="3"/>
      <c r="CK320" s="3"/>
      <c r="CL320" s="3"/>
      <c r="CM320" s="3"/>
      <c r="CN320" s="3"/>
    </row>
    <row r="321" spans="1:92" ht="14.4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53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80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161"/>
      <c r="BS321" s="161"/>
      <c r="BT321" s="161"/>
      <c r="BU321" s="162"/>
      <c r="BV321" s="163"/>
      <c r="BW321" s="163"/>
      <c r="BX321" s="163"/>
      <c r="BY321" s="163"/>
      <c r="BZ321" s="163"/>
      <c r="CA321" s="163"/>
      <c r="CB321" s="161"/>
      <c r="CC321" s="161"/>
      <c r="CD321" s="161"/>
      <c r="CE321" s="161"/>
      <c r="CF321" s="161"/>
      <c r="CG321" s="3"/>
      <c r="CH321" s="3"/>
      <c r="CI321" s="3"/>
      <c r="CJ321" s="3"/>
      <c r="CK321" s="3"/>
      <c r="CL321" s="3"/>
      <c r="CM321" s="3"/>
      <c r="CN321" s="3"/>
    </row>
    <row r="322" spans="1:92" ht="14.4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53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80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161"/>
      <c r="BS322" s="161"/>
      <c r="BT322" s="161"/>
      <c r="BU322" s="162"/>
      <c r="BV322" s="163"/>
      <c r="BW322" s="163"/>
      <c r="BX322" s="163"/>
      <c r="BY322" s="163"/>
      <c r="BZ322" s="163"/>
      <c r="CA322" s="163"/>
      <c r="CB322" s="161"/>
      <c r="CC322" s="161"/>
      <c r="CD322" s="161"/>
      <c r="CE322" s="161"/>
      <c r="CF322" s="161"/>
      <c r="CG322" s="3"/>
      <c r="CH322" s="3"/>
      <c r="CI322" s="3"/>
      <c r="CJ322" s="3"/>
      <c r="CK322" s="3"/>
      <c r="CL322" s="3"/>
      <c r="CM322" s="3"/>
      <c r="CN322" s="3"/>
    </row>
    <row r="323" spans="1:92" ht="14.4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53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80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161"/>
      <c r="BS323" s="161"/>
      <c r="BT323" s="161"/>
      <c r="BU323" s="162"/>
      <c r="BV323" s="163"/>
      <c r="BW323" s="163"/>
      <c r="BX323" s="163"/>
      <c r="BY323" s="163"/>
      <c r="BZ323" s="163"/>
      <c r="CA323" s="163"/>
      <c r="CB323" s="161"/>
      <c r="CC323" s="161"/>
      <c r="CD323" s="161"/>
      <c r="CE323" s="161"/>
      <c r="CF323" s="161"/>
      <c r="CG323" s="3"/>
      <c r="CH323" s="3"/>
      <c r="CI323" s="3"/>
      <c r="CJ323" s="3"/>
      <c r="CK323" s="3"/>
      <c r="CL323" s="3"/>
      <c r="CM323" s="3"/>
      <c r="CN323" s="3"/>
    </row>
    <row r="324" spans="1:92" ht="14.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53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80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161"/>
      <c r="BS324" s="161"/>
      <c r="BT324" s="161"/>
      <c r="BU324" s="162"/>
      <c r="BV324" s="163"/>
      <c r="BW324" s="163"/>
      <c r="BX324" s="163"/>
      <c r="BY324" s="163"/>
      <c r="BZ324" s="163"/>
      <c r="CA324" s="163"/>
      <c r="CB324" s="161"/>
      <c r="CC324" s="161"/>
      <c r="CD324" s="161"/>
      <c r="CE324" s="161"/>
      <c r="CF324" s="161"/>
      <c r="CG324" s="3"/>
      <c r="CH324" s="3"/>
      <c r="CI324" s="3"/>
      <c r="CJ324" s="3"/>
      <c r="CK324" s="3"/>
      <c r="CL324" s="3"/>
      <c r="CM324" s="3"/>
      <c r="CN324" s="3"/>
    </row>
    <row r="325" spans="1:92" ht="14.4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53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80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161"/>
      <c r="BS325" s="161"/>
      <c r="BT325" s="161"/>
      <c r="BU325" s="162"/>
      <c r="BV325" s="163"/>
      <c r="BW325" s="163"/>
      <c r="BX325" s="163"/>
      <c r="BY325" s="163"/>
      <c r="BZ325" s="163"/>
      <c r="CA325" s="163"/>
      <c r="CB325" s="161"/>
      <c r="CC325" s="161"/>
      <c r="CD325" s="161"/>
      <c r="CE325" s="161"/>
      <c r="CF325" s="161"/>
      <c r="CG325" s="3"/>
      <c r="CH325" s="3"/>
      <c r="CI325" s="3"/>
      <c r="CJ325" s="3"/>
      <c r="CK325" s="3"/>
      <c r="CL325" s="3"/>
      <c r="CM325" s="3"/>
      <c r="CN325" s="3"/>
    </row>
    <row r="326" spans="1:92" ht="14.4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53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80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161"/>
      <c r="BS326" s="161"/>
      <c r="BT326" s="161"/>
      <c r="BU326" s="162"/>
      <c r="BV326" s="163"/>
      <c r="BW326" s="163"/>
      <c r="BX326" s="163"/>
      <c r="BY326" s="163"/>
      <c r="BZ326" s="163"/>
      <c r="CA326" s="163"/>
      <c r="CB326" s="161"/>
      <c r="CC326" s="161"/>
      <c r="CD326" s="161"/>
      <c r="CE326" s="161"/>
      <c r="CF326" s="161"/>
      <c r="CG326" s="3"/>
      <c r="CH326" s="3"/>
      <c r="CI326" s="3"/>
      <c r="CJ326" s="3"/>
      <c r="CK326" s="3"/>
      <c r="CL326" s="3"/>
      <c r="CM326" s="3"/>
      <c r="CN326" s="3"/>
    </row>
    <row r="327" spans="1:92" ht="14.4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53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80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161"/>
      <c r="BS327" s="161"/>
      <c r="BT327" s="161"/>
      <c r="BU327" s="162"/>
      <c r="BV327" s="163"/>
      <c r="BW327" s="163"/>
      <c r="BX327" s="163"/>
      <c r="BY327" s="163"/>
      <c r="BZ327" s="163"/>
      <c r="CA327" s="163"/>
      <c r="CB327" s="161"/>
      <c r="CC327" s="161"/>
      <c r="CD327" s="161"/>
      <c r="CE327" s="161"/>
      <c r="CF327" s="161"/>
      <c r="CG327" s="3"/>
      <c r="CH327" s="3"/>
      <c r="CI327" s="3"/>
      <c r="CJ327" s="3"/>
      <c r="CK327" s="3"/>
      <c r="CL327" s="3"/>
      <c r="CM327" s="3"/>
      <c r="CN327" s="3"/>
    </row>
    <row r="328" spans="1:92" ht="14.4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53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80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161"/>
      <c r="BS328" s="161"/>
      <c r="BT328" s="161"/>
      <c r="BU328" s="162"/>
      <c r="BV328" s="163"/>
      <c r="BW328" s="163"/>
      <c r="BX328" s="163"/>
      <c r="BY328" s="163"/>
      <c r="BZ328" s="163"/>
      <c r="CA328" s="163"/>
      <c r="CB328" s="161"/>
      <c r="CC328" s="161"/>
      <c r="CD328" s="161"/>
      <c r="CE328" s="161"/>
      <c r="CF328" s="161"/>
      <c r="CG328" s="3"/>
      <c r="CH328" s="3"/>
      <c r="CI328" s="3"/>
      <c r="CJ328" s="3"/>
      <c r="CK328" s="3"/>
      <c r="CL328" s="3"/>
      <c r="CM328" s="3"/>
      <c r="CN328" s="3"/>
    </row>
    <row r="329" spans="1:92" ht="14.4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53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80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161"/>
      <c r="BS329" s="161"/>
      <c r="BT329" s="161"/>
      <c r="BU329" s="162"/>
      <c r="BV329" s="163"/>
      <c r="BW329" s="163"/>
      <c r="BX329" s="163"/>
      <c r="BY329" s="163"/>
      <c r="BZ329" s="163"/>
      <c r="CA329" s="163"/>
      <c r="CB329" s="161"/>
      <c r="CC329" s="161"/>
      <c r="CD329" s="161"/>
      <c r="CE329" s="161"/>
      <c r="CF329" s="161"/>
      <c r="CG329" s="3"/>
      <c r="CH329" s="3"/>
      <c r="CI329" s="3"/>
      <c r="CJ329" s="3"/>
      <c r="CK329" s="3"/>
      <c r="CL329" s="3"/>
      <c r="CM329" s="3"/>
      <c r="CN329" s="3"/>
    </row>
    <row r="330" spans="1:92" ht="14.4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53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80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161"/>
      <c r="BS330" s="161"/>
      <c r="BT330" s="161"/>
      <c r="BU330" s="162"/>
      <c r="BV330" s="163"/>
      <c r="BW330" s="163"/>
      <c r="BX330" s="163"/>
      <c r="BY330" s="163"/>
      <c r="BZ330" s="163"/>
      <c r="CA330" s="163"/>
      <c r="CB330" s="161"/>
      <c r="CC330" s="161"/>
      <c r="CD330" s="161"/>
      <c r="CE330" s="161"/>
      <c r="CF330" s="161"/>
      <c r="CG330" s="3"/>
      <c r="CH330" s="3"/>
      <c r="CI330" s="3"/>
      <c r="CJ330" s="3"/>
      <c r="CK330" s="3"/>
      <c r="CL330" s="3"/>
      <c r="CM330" s="3"/>
      <c r="CN330" s="3"/>
    </row>
    <row r="331" spans="1:92" ht="14.4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53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80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161"/>
      <c r="BS331" s="161"/>
      <c r="BT331" s="161"/>
      <c r="BU331" s="162"/>
      <c r="BV331" s="163"/>
      <c r="BW331" s="163"/>
      <c r="BX331" s="163"/>
      <c r="BY331" s="163"/>
      <c r="BZ331" s="163"/>
      <c r="CA331" s="163"/>
      <c r="CB331" s="161"/>
      <c r="CC331" s="161"/>
      <c r="CD331" s="161"/>
      <c r="CE331" s="161"/>
      <c r="CF331" s="161"/>
      <c r="CG331" s="3"/>
      <c r="CH331" s="3"/>
      <c r="CI331" s="3"/>
      <c r="CJ331" s="3"/>
      <c r="CK331" s="3"/>
      <c r="CL331" s="3"/>
      <c r="CM331" s="3"/>
      <c r="CN331" s="3"/>
    </row>
    <row r="332" spans="1:92" ht="14.4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53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80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161"/>
      <c r="BS332" s="161"/>
      <c r="BT332" s="161"/>
      <c r="BU332" s="162"/>
      <c r="BV332" s="163"/>
      <c r="BW332" s="163"/>
      <c r="BX332" s="163"/>
      <c r="BY332" s="163"/>
      <c r="BZ332" s="163"/>
      <c r="CA332" s="163"/>
      <c r="CB332" s="161"/>
      <c r="CC332" s="161"/>
      <c r="CD332" s="161"/>
      <c r="CE332" s="161"/>
      <c r="CF332" s="161"/>
      <c r="CG332" s="3"/>
      <c r="CH332" s="3"/>
      <c r="CI332" s="3"/>
      <c r="CJ332" s="3"/>
      <c r="CK332" s="3"/>
      <c r="CL332" s="3"/>
      <c r="CM332" s="3"/>
      <c r="CN332" s="3"/>
    </row>
    <row r="333" spans="1:92" ht="14.4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53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80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161"/>
      <c r="BS333" s="161"/>
      <c r="BT333" s="161"/>
      <c r="BU333" s="162"/>
      <c r="BV333" s="163"/>
      <c r="BW333" s="163"/>
      <c r="BX333" s="163"/>
      <c r="BY333" s="163"/>
      <c r="BZ333" s="163"/>
      <c r="CA333" s="163"/>
      <c r="CB333" s="161"/>
      <c r="CC333" s="161"/>
      <c r="CD333" s="161"/>
      <c r="CE333" s="161"/>
      <c r="CF333" s="161"/>
      <c r="CG333" s="3"/>
      <c r="CH333" s="3"/>
      <c r="CI333" s="3"/>
      <c r="CJ333" s="3"/>
      <c r="CK333" s="3"/>
      <c r="CL333" s="3"/>
      <c r="CM333" s="3"/>
      <c r="CN333" s="3"/>
    </row>
    <row r="334" spans="1:92" ht="14.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53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80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161"/>
      <c r="BS334" s="161"/>
      <c r="BT334" s="161"/>
      <c r="BU334" s="162"/>
      <c r="BV334" s="163"/>
      <c r="BW334" s="163"/>
      <c r="BX334" s="163"/>
      <c r="BY334" s="163"/>
      <c r="BZ334" s="163"/>
      <c r="CA334" s="163"/>
      <c r="CB334" s="161"/>
      <c r="CC334" s="161"/>
      <c r="CD334" s="161"/>
      <c r="CE334" s="161"/>
      <c r="CF334" s="161"/>
      <c r="CG334" s="3"/>
      <c r="CH334" s="3"/>
      <c r="CI334" s="3"/>
      <c r="CJ334" s="3"/>
      <c r="CK334" s="3"/>
      <c r="CL334" s="3"/>
      <c r="CM334" s="3"/>
      <c r="CN334" s="3"/>
    </row>
    <row r="335" spans="1:92" ht="14.4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53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80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161"/>
      <c r="BS335" s="161"/>
      <c r="BT335" s="161"/>
      <c r="BU335" s="162"/>
      <c r="BV335" s="163"/>
      <c r="BW335" s="163"/>
      <c r="BX335" s="163"/>
      <c r="BY335" s="163"/>
      <c r="BZ335" s="163"/>
      <c r="CA335" s="163"/>
      <c r="CB335" s="161"/>
      <c r="CC335" s="161"/>
      <c r="CD335" s="161"/>
      <c r="CE335" s="161"/>
      <c r="CF335" s="161"/>
      <c r="CG335" s="3"/>
      <c r="CH335" s="3"/>
      <c r="CI335" s="3"/>
      <c r="CJ335" s="3"/>
      <c r="CK335" s="3"/>
      <c r="CL335" s="3"/>
      <c r="CM335" s="3"/>
      <c r="CN335" s="3"/>
    </row>
    <row r="336" spans="1:92" ht="14.4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53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80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161"/>
      <c r="BS336" s="161"/>
      <c r="BT336" s="161"/>
      <c r="BU336" s="162"/>
      <c r="BV336" s="163"/>
      <c r="BW336" s="163"/>
      <c r="BX336" s="163"/>
      <c r="BY336" s="163"/>
      <c r="BZ336" s="163"/>
      <c r="CA336" s="163"/>
      <c r="CB336" s="161"/>
      <c r="CC336" s="161"/>
      <c r="CD336" s="161"/>
      <c r="CE336" s="161"/>
      <c r="CF336" s="161"/>
      <c r="CG336" s="3"/>
      <c r="CH336" s="3"/>
      <c r="CI336" s="3"/>
      <c r="CJ336" s="3"/>
      <c r="CK336" s="3"/>
      <c r="CL336" s="3"/>
      <c r="CM336" s="3"/>
      <c r="CN336" s="3"/>
    </row>
    <row r="337" spans="1:92" ht="14.4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53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80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161"/>
      <c r="BS337" s="161"/>
      <c r="BT337" s="161"/>
      <c r="BU337" s="162"/>
      <c r="BV337" s="163"/>
      <c r="BW337" s="163"/>
      <c r="BX337" s="163"/>
      <c r="BY337" s="163"/>
      <c r="BZ337" s="163"/>
      <c r="CA337" s="163"/>
      <c r="CB337" s="161"/>
      <c r="CC337" s="161"/>
      <c r="CD337" s="161"/>
      <c r="CE337" s="161"/>
      <c r="CF337" s="161"/>
      <c r="CG337" s="3"/>
      <c r="CH337" s="3"/>
      <c r="CI337" s="3"/>
      <c r="CJ337" s="3"/>
      <c r="CK337" s="3"/>
      <c r="CL337" s="3"/>
      <c r="CM337" s="3"/>
      <c r="CN337" s="3"/>
    </row>
    <row r="338" spans="1:92" ht="14.4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53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80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161"/>
      <c r="BS338" s="161"/>
      <c r="BT338" s="161"/>
      <c r="BU338" s="162"/>
      <c r="BV338" s="163"/>
      <c r="BW338" s="163"/>
      <c r="BX338" s="163"/>
      <c r="BY338" s="163"/>
      <c r="BZ338" s="163"/>
      <c r="CA338" s="163"/>
      <c r="CB338" s="161"/>
      <c r="CC338" s="161"/>
      <c r="CD338" s="161"/>
      <c r="CE338" s="161"/>
      <c r="CF338" s="161"/>
      <c r="CG338" s="3"/>
      <c r="CH338" s="3"/>
      <c r="CI338" s="3"/>
      <c r="CJ338" s="3"/>
      <c r="CK338" s="3"/>
      <c r="CL338" s="3"/>
      <c r="CM338" s="3"/>
      <c r="CN338" s="3"/>
    </row>
    <row r="339" spans="1:92" ht="14.4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53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80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161"/>
      <c r="BS339" s="161"/>
      <c r="BT339" s="161"/>
      <c r="BU339" s="162"/>
      <c r="BV339" s="163"/>
      <c r="BW339" s="163"/>
      <c r="BX339" s="163"/>
      <c r="BY339" s="163"/>
      <c r="BZ339" s="163"/>
      <c r="CA339" s="163"/>
      <c r="CB339" s="161"/>
      <c r="CC339" s="161"/>
      <c r="CD339" s="161"/>
      <c r="CE339" s="161"/>
      <c r="CF339" s="161"/>
      <c r="CG339" s="3"/>
      <c r="CH339" s="3"/>
      <c r="CI339" s="3"/>
      <c r="CJ339" s="3"/>
      <c r="CK339" s="3"/>
      <c r="CL339" s="3"/>
      <c r="CM339" s="3"/>
      <c r="CN339" s="3"/>
    </row>
    <row r="340" spans="1:92" ht="14.4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53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80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161"/>
      <c r="BS340" s="161"/>
      <c r="BT340" s="161"/>
      <c r="BU340" s="162"/>
      <c r="BV340" s="163"/>
      <c r="BW340" s="163"/>
      <c r="BX340" s="163"/>
      <c r="BY340" s="163"/>
      <c r="BZ340" s="163"/>
      <c r="CA340" s="163"/>
      <c r="CB340" s="161"/>
      <c r="CC340" s="161"/>
      <c r="CD340" s="161"/>
      <c r="CE340" s="161"/>
      <c r="CF340" s="161"/>
      <c r="CG340" s="3"/>
      <c r="CH340" s="3"/>
      <c r="CI340" s="3"/>
      <c r="CJ340" s="3"/>
      <c r="CK340" s="3"/>
      <c r="CL340" s="3"/>
      <c r="CM340" s="3"/>
      <c r="CN340" s="3"/>
    </row>
    <row r="341" spans="1:92" ht="14.4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53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80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161"/>
      <c r="BS341" s="161"/>
      <c r="BT341" s="161"/>
      <c r="BU341" s="162"/>
      <c r="BV341" s="163"/>
      <c r="BW341" s="163"/>
      <c r="BX341" s="163"/>
      <c r="BY341" s="163"/>
      <c r="BZ341" s="163"/>
      <c r="CA341" s="163"/>
      <c r="CB341" s="161"/>
      <c r="CC341" s="161"/>
      <c r="CD341" s="161"/>
      <c r="CE341" s="161"/>
      <c r="CF341" s="161"/>
      <c r="CG341" s="3"/>
      <c r="CH341" s="3"/>
      <c r="CI341" s="3"/>
      <c r="CJ341" s="3"/>
      <c r="CK341" s="3"/>
      <c r="CL341" s="3"/>
      <c r="CM341" s="3"/>
      <c r="CN341" s="3"/>
    </row>
    <row r="342" spans="1:92" ht="14.4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53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80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161"/>
      <c r="BS342" s="161"/>
      <c r="BT342" s="161"/>
      <c r="BU342" s="162"/>
      <c r="BV342" s="163"/>
      <c r="BW342" s="163"/>
      <c r="BX342" s="163"/>
      <c r="BY342" s="163"/>
      <c r="BZ342" s="163"/>
      <c r="CA342" s="163"/>
      <c r="CB342" s="161"/>
      <c r="CC342" s="161"/>
      <c r="CD342" s="161"/>
      <c r="CE342" s="161"/>
      <c r="CF342" s="161"/>
      <c r="CG342" s="3"/>
      <c r="CH342" s="3"/>
      <c r="CI342" s="3"/>
      <c r="CJ342" s="3"/>
      <c r="CK342" s="3"/>
      <c r="CL342" s="3"/>
      <c r="CM342" s="3"/>
      <c r="CN342" s="3"/>
    </row>
    <row r="343" spans="1:92" ht="14.4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53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80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161"/>
      <c r="BS343" s="161"/>
      <c r="BT343" s="161"/>
      <c r="BU343" s="162"/>
      <c r="BV343" s="163"/>
      <c r="BW343" s="163"/>
      <c r="BX343" s="163"/>
      <c r="BY343" s="163"/>
      <c r="BZ343" s="163"/>
      <c r="CA343" s="163"/>
      <c r="CB343" s="161"/>
      <c r="CC343" s="161"/>
      <c r="CD343" s="161"/>
      <c r="CE343" s="161"/>
      <c r="CF343" s="161"/>
      <c r="CG343" s="3"/>
      <c r="CH343" s="3"/>
      <c r="CI343" s="3"/>
      <c r="CJ343" s="3"/>
      <c r="CK343" s="3"/>
      <c r="CL343" s="3"/>
      <c r="CM343" s="3"/>
      <c r="CN343" s="3"/>
    </row>
    <row r="344" spans="1:92" ht="14.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53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80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161"/>
      <c r="BS344" s="161"/>
      <c r="BT344" s="161"/>
      <c r="BU344" s="162"/>
      <c r="BV344" s="163"/>
      <c r="BW344" s="163"/>
      <c r="BX344" s="163"/>
      <c r="BY344" s="163"/>
      <c r="BZ344" s="163"/>
      <c r="CA344" s="163"/>
      <c r="CB344" s="161"/>
      <c r="CC344" s="161"/>
      <c r="CD344" s="161"/>
      <c r="CE344" s="161"/>
      <c r="CF344" s="161"/>
      <c r="CG344" s="3"/>
      <c r="CH344" s="3"/>
      <c r="CI344" s="3"/>
      <c r="CJ344" s="3"/>
      <c r="CK344" s="3"/>
      <c r="CL344" s="3"/>
      <c r="CM344" s="3"/>
      <c r="CN344" s="3"/>
    </row>
    <row r="345" spans="1:92" ht="14.4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53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80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161"/>
      <c r="BS345" s="161"/>
      <c r="BT345" s="161"/>
      <c r="BU345" s="162"/>
      <c r="BV345" s="163"/>
      <c r="BW345" s="163"/>
      <c r="BX345" s="163"/>
      <c r="BY345" s="163"/>
      <c r="BZ345" s="163"/>
      <c r="CA345" s="163"/>
      <c r="CB345" s="161"/>
      <c r="CC345" s="161"/>
      <c r="CD345" s="161"/>
      <c r="CE345" s="161"/>
      <c r="CF345" s="161"/>
      <c r="CG345" s="3"/>
      <c r="CH345" s="3"/>
      <c r="CI345" s="3"/>
      <c r="CJ345" s="3"/>
      <c r="CK345" s="3"/>
      <c r="CL345" s="3"/>
      <c r="CM345" s="3"/>
      <c r="CN345" s="3"/>
    </row>
    <row r="346" spans="1:92" ht="14.4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53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80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161"/>
      <c r="BS346" s="161"/>
      <c r="BT346" s="161"/>
      <c r="BU346" s="162"/>
      <c r="BV346" s="163"/>
      <c r="BW346" s="163"/>
      <c r="BX346" s="163"/>
      <c r="BY346" s="163"/>
      <c r="BZ346" s="163"/>
      <c r="CA346" s="163"/>
      <c r="CB346" s="161"/>
      <c r="CC346" s="161"/>
      <c r="CD346" s="161"/>
      <c r="CE346" s="161"/>
      <c r="CF346" s="161"/>
      <c r="CG346" s="3"/>
      <c r="CH346" s="3"/>
      <c r="CI346" s="3"/>
      <c r="CJ346" s="3"/>
      <c r="CK346" s="3"/>
      <c r="CL346" s="3"/>
      <c r="CM346" s="3"/>
      <c r="CN346" s="3"/>
    </row>
    <row r="347" spans="1:92" ht="14.4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53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80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161"/>
      <c r="BS347" s="161"/>
      <c r="BT347" s="161"/>
      <c r="BU347" s="162"/>
      <c r="BV347" s="163"/>
      <c r="BW347" s="163"/>
      <c r="BX347" s="163"/>
      <c r="BY347" s="163"/>
      <c r="BZ347" s="163"/>
      <c r="CA347" s="163"/>
      <c r="CB347" s="161"/>
      <c r="CC347" s="161"/>
      <c r="CD347" s="161"/>
      <c r="CE347" s="161"/>
      <c r="CF347" s="161"/>
      <c r="CG347" s="3"/>
      <c r="CH347" s="3"/>
      <c r="CI347" s="3"/>
      <c r="CJ347" s="3"/>
      <c r="CK347" s="3"/>
      <c r="CL347" s="3"/>
      <c r="CM347" s="3"/>
      <c r="CN347" s="3"/>
    </row>
    <row r="348" spans="1:92" ht="14.4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53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80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161"/>
      <c r="BS348" s="161"/>
      <c r="BT348" s="161"/>
      <c r="BU348" s="162"/>
      <c r="BV348" s="163"/>
      <c r="BW348" s="163"/>
      <c r="BX348" s="163"/>
      <c r="BY348" s="163"/>
      <c r="BZ348" s="163"/>
      <c r="CA348" s="163"/>
      <c r="CB348" s="161"/>
      <c r="CC348" s="161"/>
      <c r="CD348" s="161"/>
      <c r="CE348" s="161"/>
      <c r="CF348" s="161"/>
      <c r="CG348" s="3"/>
      <c r="CH348" s="3"/>
      <c r="CI348" s="3"/>
      <c r="CJ348" s="3"/>
      <c r="CK348" s="3"/>
      <c r="CL348" s="3"/>
      <c r="CM348" s="3"/>
      <c r="CN348" s="3"/>
    </row>
    <row r="349" spans="1:92" ht="14.4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53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80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161"/>
      <c r="BS349" s="161"/>
      <c r="BT349" s="161"/>
      <c r="BU349" s="162"/>
      <c r="BV349" s="163"/>
      <c r="BW349" s="163"/>
      <c r="BX349" s="163"/>
      <c r="BY349" s="163"/>
      <c r="BZ349" s="163"/>
      <c r="CA349" s="163"/>
      <c r="CB349" s="161"/>
      <c r="CC349" s="161"/>
      <c r="CD349" s="161"/>
      <c r="CE349" s="161"/>
      <c r="CF349" s="161"/>
      <c r="CG349" s="3"/>
      <c r="CH349" s="3"/>
      <c r="CI349" s="3"/>
      <c r="CJ349" s="3"/>
      <c r="CK349" s="3"/>
      <c r="CL349" s="3"/>
      <c r="CM349" s="3"/>
      <c r="CN349" s="3"/>
    </row>
    <row r="350" spans="1:92" ht="14.4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53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80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161"/>
      <c r="BS350" s="161"/>
      <c r="BT350" s="161"/>
      <c r="BU350" s="162"/>
      <c r="BV350" s="163"/>
      <c r="BW350" s="163"/>
      <c r="BX350" s="163"/>
      <c r="BY350" s="163"/>
      <c r="BZ350" s="163"/>
      <c r="CA350" s="163"/>
      <c r="CB350" s="161"/>
      <c r="CC350" s="161"/>
      <c r="CD350" s="161"/>
      <c r="CE350" s="161"/>
      <c r="CF350" s="161"/>
      <c r="CG350" s="3"/>
      <c r="CH350" s="3"/>
      <c r="CI350" s="3"/>
      <c r="CJ350" s="3"/>
      <c r="CK350" s="3"/>
      <c r="CL350" s="3"/>
      <c r="CM350" s="3"/>
      <c r="CN350" s="3"/>
    </row>
    <row r="351" spans="1:92" ht="14.4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53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80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161"/>
      <c r="BS351" s="161"/>
      <c r="BT351" s="161"/>
      <c r="BU351" s="162"/>
      <c r="BV351" s="163"/>
      <c r="BW351" s="163"/>
      <c r="BX351" s="163"/>
      <c r="BY351" s="163"/>
      <c r="BZ351" s="163"/>
      <c r="CA351" s="163"/>
      <c r="CB351" s="161"/>
      <c r="CC351" s="161"/>
      <c r="CD351" s="161"/>
      <c r="CE351" s="161"/>
      <c r="CF351" s="161"/>
      <c r="CG351" s="3"/>
      <c r="CH351" s="3"/>
      <c r="CI351" s="3"/>
      <c r="CJ351" s="3"/>
      <c r="CK351" s="3"/>
      <c r="CL351" s="3"/>
      <c r="CM351" s="3"/>
      <c r="CN351" s="3"/>
    </row>
    <row r="352" spans="1:92" ht="14.4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53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80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161"/>
      <c r="BS352" s="161"/>
      <c r="BT352" s="161"/>
      <c r="BU352" s="162"/>
      <c r="BV352" s="163"/>
      <c r="BW352" s="163"/>
      <c r="BX352" s="163"/>
      <c r="BY352" s="163"/>
      <c r="BZ352" s="163"/>
      <c r="CA352" s="163"/>
      <c r="CB352" s="161"/>
      <c r="CC352" s="161"/>
      <c r="CD352" s="161"/>
      <c r="CE352" s="161"/>
      <c r="CF352" s="161"/>
      <c r="CG352" s="3"/>
      <c r="CH352" s="3"/>
      <c r="CI352" s="3"/>
      <c r="CJ352" s="3"/>
      <c r="CK352" s="3"/>
      <c r="CL352" s="3"/>
      <c r="CM352" s="3"/>
      <c r="CN352" s="3"/>
    </row>
    <row r="353" spans="1:92" ht="14.4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53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80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161"/>
      <c r="BS353" s="161"/>
      <c r="BT353" s="161"/>
      <c r="BU353" s="162"/>
      <c r="BV353" s="163"/>
      <c r="BW353" s="163"/>
      <c r="BX353" s="163"/>
      <c r="BY353" s="163"/>
      <c r="BZ353" s="163"/>
      <c r="CA353" s="163"/>
      <c r="CB353" s="161"/>
      <c r="CC353" s="161"/>
      <c r="CD353" s="161"/>
      <c r="CE353" s="161"/>
      <c r="CF353" s="161"/>
      <c r="CG353" s="3"/>
      <c r="CH353" s="3"/>
      <c r="CI353" s="3"/>
      <c r="CJ353" s="3"/>
      <c r="CK353" s="3"/>
      <c r="CL353" s="3"/>
      <c r="CM353" s="3"/>
      <c r="CN353" s="3"/>
    </row>
    <row r="354" spans="1:92" ht="14.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53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80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161"/>
      <c r="BS354" s="161"/>
      <c r="BT354" s="161"/>
      <c r="BU354" s="162"/>
      <c r="BV354" s="163"/>
      <c r="BW354" s="163"/>
      <c r="BX354" s="163"/>
      <c r="BY354" s="163"/>
      <c r="BZ354" s="163"/>
      <c r="CA354" s="163"/>
      <c r="CB354" s="161"/>
      <c r="CC354" s="161"/>
      <c r="CD354" s="161"/>
      <c r="CE354" s="161"/>
      <c r="CF354" s="161"/>
      <c r="CG354" s="3"/>
      <c r="CH354" s="3"/>
      <c r="CI354" s="3"/>
      <c r="CJ354" s="3"/>
      <c r="CK354" s="3"/>
      <c r="CL354" s="3"/>
      <c r="CM354" s="3"/>
      <c r="CN354" s="3"/>
    </row>
    <row r="355" spans="1:92" ht="14.4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53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80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161"/>
      <c r="BS355" s="161"/>
      <c r="BT355" s="161"/>
      <c r="BU355" s="162"/>
      <c r="BV355" s="163"/>
      <c r="BW355" s="163"/>
      <c r="BX355" s="163"/>
      <c r="BY355" s="163"/>
      <c r="BZ355" s="163"/>
      <c r="CA355" s="163"/>
      <c r="CB355" s="161"/>
      <c r="CC355" s="161"/>
      <c r="CD355" s="161"/>
      <c r="CE355" s="161"/>
      <c r="CF355" s="161"/>
      <c r="CG355" s="3"/>
      <c r="CH355" s="3"/>
      <c r="CI355" s="3"/>
      <c r="CJ355" s="3"/>
      <c r="CK355" s="3"/>
      <c r="CL355" s="3"/>
      <c r="CM355" s="3"/>
      <c r="CN355" s="3"/>
    </row>
    <row r="356" spans="1:92" ht="14.4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53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80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161"/>
      <c r="BS356" s="161"/>
      <c r="BT356" s="161"/>
      <c r="BU356" s="162"/>
      <c r="BV356" s="163"/>
      <c r="BW356" s="163"/>
      <c r="BX356" s="163"/>
      <c r="BY356" s="163"/>
      <c r="BZ356" s="163"/>
      <c r="CA356" s="163"/>
      <c r="CB356" s="161"/>
      <c r="CC356" s="161"/>
      <c r="CD356" s="161"/>
      <c r="CE356" s="161"/>
      <c r="CF356" s="161"/>
      <c r="CG356" s="3"/>
      <c r="CH356" s="3"/>
      <c r="CI356" s="3"/>
      <c r="CJ356" s="3"/>
      <c r="CK356" s="3"/>
      <c r="CL356" s="3"/>
      <c r="CM356" s="3"/>
      <c r="CN356" s="3"/>
    </row>
    <row r="357" spans="1:92" ht="14.4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53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80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161"/>
      <c r="BS357" s="161"/>
      <c r="BT357" s="161"/>
      <c r="BU357" s="162"/>
      <c r="BV357" s="163"/>
      <c r="BW357" s="163"/>
      <c r="BX357" s="163"/>
      <c r="BY357" s="163"/>
      <c r="BZ357" s="163"/>
      <c r="CA357" s="163"/>
      <c r="CB357" s="161"/>
      <c r="CC357" s="161"/>
      <c r="CD357" s="161"/>
      <c r="CE357" s="161"/>
      <c r="CF357" s="161"/>
      <c r="CG357" s="3"/>
      <c r="CH357" s="3"/>
      <c r="CI357" s="3"/>
      <c r="CJ357" s="3"/>
      <c r="CK357" s="3"/>
      <c r="CL357" s="3"/>
      <c r="CM357" s="3"/>
      <c r="CN357" s="3"/>
    </row>
    <row r="358" spans="1:92" ht="14.4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53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80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161"/>
      <c r="BS358" s="161"/>
      <c r="BT358" s="161"/>
      <c r="BU358" s="162"/>
      <c r="BV358" s="163"/>
      <c r="BW358" s="163"/>
      <c r="BX358" s="163"/>
      <c r="BY358" s="163"/>
      <c r="BZ358" s="163"/>
      <c r="CA358" s="163"/>
      <c r="CB358" s="161"/>
      <c r="CC358" s="161"/>
      <c r="CD358" s="161"/>
      <c r="CE358" s="161"/>
      <c r="CF358" s="161"/>
      <c r="CG358" s="3"/>
      <c r="CH358" s="3"/>
      <c r="CI358" s="3"/>
      <c r="CJ358" s="3"/>
      <c r="CK358" s="3"/>
      <c r="CL358" s="3"/>
      <c r="CM358" s="3"/>
      <c r="CN358" s="3"/>
    </row>
    <row r="359" spans="1:92" ht="14.4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53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80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161"/>
      <c r="BS359" s="161"/>
      <c r="BT359" s="161"/>
      <c r="BU359" s="162"/>
      <c r="BV359" s="163"/>
      <c r="BW359" s="163"/>
      <c r="BX359" s="163"/>
      <c r="BY359" s="163"/>
      <c r="BZ359" s="163"/>
      <c r="CA359" s="163"/>
      <c r="CB359" s="161"/>
      <c r="CC359" s="161"/>
      <c r="CD359" s="161"/>
      <c r="CE359" s="161"/>
      <c r="CF359" s="161"/>
      <c r="CG359" s="3"/>
      <c r="CH359" s="3"/>
      <c r="CI359" s="3"/>
      <c r="CJ359" s="3"/>
      <c r="CK359" s="3"/>
      <c r="CL359" s="3"/>
      <c r="CM359" s="3"/>
      <c r="CN359" s="3"/>
    </row>
    <row r="360" spans="1:92" ht="14.4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53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80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161"/>
      <c r="BS360" s="161"/>
      <c r="BT360" s="161"/>
      <c r="BU360" s="162"/>
      <c r="BV360" s="163"/>
      <c r="BW360" s="163"/>
      <c r="BX360" s="163"/>
      <c r="BY360" s="163"/>
      <c r="BZ360" s="163"/>
      <c r="CA360" s="163"/>
      <c r="CB360" s="161"/>
      <c r="CC360" s="161"/>
      <c r="CD360" s="161"/>
      <c r="CE360" s="161"/>
      <c r="CF360" s="161"/>
      <c r="CG360" s="3"/>
      <c r="CH360" s="3"/>
      <c r="CI360" s="3"/>
      <c r="CJ360" s="3"/>
      <c r="CK360" s="3"/>
      <c r="CL360" s="3"/>
      <c r="CM360" s="3"/>
      <c r="CN360" s="3"/>
    </row>
    <row r="361" spans="1:92" ht="14.4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53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80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161"/>
      <c r="BS361" s="161"/>
      <c r="BT361" s="161"/>
      <c r="BU361" s="162"/>
      <c r="BV361" s="163"/>
      <c r="BW361" s="163"/>
      <c r="BX361" s="163"/>
      <c r="BY361" s="163"/>
      <c r="BZ361" s="163"/>
      <c r="CA361" s="163"/>
      <c r="CB361" s="161"/>
      <c r="CC361" s="161"/>
      <c r="CD361" s="161"/>
      <c r="CE361" s="161"/>
      <c r="CF361" s="161"/>
      <c r="CG361" s="3"/>
      <c r="CH361" s="3"/>
      <c r="CI361" s="3"/>
      <c r="CJ361" s="3"/>
      <c r="CK361" s="3"/>
      <c r="CL361" s="3"/>
      <c r="CM361" s="3"/>
      <c r="CN361" s="3"/>
    </row>
    <row r="362" spans="1:92" ht="14.4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53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80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161"/>
      <c r="BS362" s="161"/>
      <c r="BT362" s="161"/>
      <c r="BU362" s="162"/>
      <c r="BV362" s="163"/>
      <c r="BW362" s="163"/>
      <c r="BX362" s="163"/>
      <c r="BY362" s="163"/>
      <c r="BZ362" s="163"/>
      <c r="CA362" s="163"/>
      <c r="CB362" s="161"/>
      <c r="CC362" s="161"/>
      <c r="CD362" s="161"/>
      <c r="CE362" s="161"/>
      <c r="CF362" s="161"/>
      <c r="CG362" s="3"/>
      <c r="CH362" s="3"/>
      <c r="CI362" s="3"/>
      <c r="CJ362" s="3"/>
      <c r="CK362" s="3"/>
      <c r="CL362" s="3"/>
      <c r="CM362" s="3"/>
      <c r="CN362" s="3"/>
    </row>
    <row r="363" spans="1:92" ht="14.4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53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80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161"/>
      <c r="BS363" s="161"/>
      <c r="BT363" s="161"/>
      <c r="BU363" s="162"/>
      <c r="BV363" s="163"/>
      <c r="BW363" s="163"/>
      <c r="BX363" s="163"/>
      <c r="BY363" s="163"/>
      <c r="BZ363" s="163"/>
      <c r="CA363" s="163"/>
      <c r="CB363" s="161"/>
      <c r="CC363" s="161"/>
      <c r="CD363" s="161"/>
      <c r="CE363" s="161"/>
      <c r="CF363" s="161"/>
      <c r="CG363" s="3"/>
      <c r="CH363" s="3"/>
      <c r="CI363" s="3"/>
      <c r="CJ363" s="3"/>
      <c r="CK363" s="3"/>
      <c r="CL363" s="3"/>
      <c r="CM363" s="3"/>
      <c r="CN363" s="3"/>
    </row>
    <row r="364" spans="1:92" ht="14.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53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80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161"/>
      <c r="BS364" s="161"/>
      <c r="BT364" s="161"/>
      <c r="BU364" s="162"/>
      <c r="BV364" s="163"/>
      <c r="BW364" s="163"/>
      <c r="BX364" s="163"/>
      <c r="BY364" s="163"/>
      <c r="BZ364" s="163"/>
      <c r="CA364" s="163"/>
      <c r="CB364" s="161"/>
      <c r="CC364" s="161"/>
      <c r="CD364" s="161"/>
      <c r="CE364" s="161"/>
      <c r="CF364" s="161"/>
      <c r="CG364" s="3"/>
      <c r="CH364" s="3"/>
      <c r="CI364" s="3"/>
      <c r="CJ364" s="3"/>
      <c r="CK364" s="3"/>
      <c r="CL364" s="3"/>
      <c r="CM364" s="3"/>
      <c r="CN364" s="3"/>
    </row>
    <row r="365" spans="1:92" ht="14.4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53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80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161"/>
      <c r="BS365" s="161"/>
      <c r="BT365" s="161"/>
      <c r="BU365" s="162"/>
      <c r="BV365" s="163"/>
      <c r="BW365" s="163"/>
      <c r="BX365" s="163"/>
      <c r="BY365" s="163"/>
      <c r="BZ365" s="163"/>
      <c r="CA365" s="163"/>
      <c r="CB365" s="161"/>
      <c r="CC365" s="161"/>
      <c r="CD365" s="161"/>
      <c r="CE365" s="161"/>
      <c r="CF365" s="161"/>
      <c r="CG365" s="3"/>
      <c r="CH365" s="3"/>
      <c r="CI365" s="3"/>
      <c r="CJ365" s="3"/>
      <c r="CK365" s="3"/>
      <c r="CL365" s="3"/>
      <c r="CM365" s="3"/>
      <c r="CN365" s="3"/>
    </row>
    <row r="366" spans="1:92" ht="14.4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53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80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161"/>
      <c r="BS366" s="161"/>
      <c r="BT366" s="161"/>
      <c r="BU366" s="162"/>
      <c r="BV366" s="163"/>
      <c r="BW366" s="163"/>
      <c r="BX366" s="163"/>
      <c r="BY366" s="163"/>
      <c r="BZ366" s="163"/>
      <c r="CA366" s="163"/>
      <c r="CB366" s="161"/>
      <c r="CC366" s="161"/>
      <c r="CD366" s="161"/>
      <c r="CE366" s="161"/>
      <c r="CF366" s="161"/>
      <c r="CG366" s="3"/>
      <c r="CH366" s="3"/>
      <c r="CI366" s="3"/>
      <c r="CJ366" s="3"/>
      <c r="CK366" s="3"/>
      <c r="CL366" s="3"/>
      <c r="CM366" s="3"/>
      <c r="CN366" s="3"/>
    </row>
    <row r="367" spans="1:92" ht="14.4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53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80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161"/>
      <c r="BS367" s="161"/>
      <c r="BT367" s="161"/>
      <c r="BU367" s="162"/>
      <c r="BV367" s="163"/>
      <c r="BW367" s="163"/>
      <c r="BX367" s="163"/>
      <c r="BY367" s="163"/>
      <c r="BZ367" s="163"/>
      <c r="CA367" s="163"/>
      <c r="CB367" s="161"/>
      <c r="CC367" s="161"/>
      <c r="CD367" s="161"/>
      <c r="CE367" s="161"/>
      <c r="CF367" s="161"/>
      <c r="CG367" s="3"/>
      <c r="CH367" s="3"/>
      <c r="CI367" s="3"/>
      <c r="CJ367" s="3"/>
      <c r="CK367" s="3"/>
      <c r="CL367" s="3"/>
      <c r="CM367" s="3"/>
      <c r="CN367" s="3"/>
    </row>
    <row r="368" spans="1:92" ht="14.4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53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80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161"/>
      <c r="BS368" s="161"/>
      <c r="BT368" s="161"/>
      <c r="BU368" s="162"/>
      <c r="BV368" s="163"/>
      <c r="BW368" s="163"/>
      <c r="BX368" s="163"/>
      <c r="BY368" s="163"/>
      <c r="BZ368" s="163"/>
      <c r="CA368" s="163"/>
      <c r="CB368" s="161"/>
      <c r="CC368" s="161"/>
      <c r="CD368" s="161"/>
      <c r="CE368" s="161"/>
      <c r="CF368" s="161"/>
      <c r="CG368" s="3"/>
      <c r="CH368" s="3"/>
      <c r="CI368" s="3"/>
      <c r="CJ368" s="3"/>
      <c r="CK368" s="3"/>
      <c r="CL368" s="3"/>
      <c r="CM368" s="3"/>
      <c r="CN368" s="3"/>
    </row>
    <row r="369" spans="1:92" ht="14.4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53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80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161"/>
      <c r="BS369" s="161"/>
      <c r="BT369" s="161"/>
      <c r="BU369" s="162"/>
      <c r="BV369" s="163"/>
      <c r="BW369" s="163"/>
      <c r="BX369" s="163"/>
      <c r="BY369" s="163"/>
      <c r="BZ369" s="163"/>
      <c r="CA369" s="163"/>
      <c r="CB369" s="161"/>
      <c r="CC369" s="161"/>
      <c r="CD369" s="161"/>
      <c r="CE369" s="161"/>
      <c r="CF369" s="161"/>
      <c r="CG369" s="3"/>
      <c r="CH369" s="3"/>
      <c r="CI369" s="3"/>
      <c r="CJ369" s="3"/>
      <c r="CK369" s="3"/>
      <c r="CL369" s="3"/>
      <c r="CM369" s="3"/>
      <c r="CN369" s="3"/>
    </row>
    <row r="370" spans="1:92" ht="14.4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53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80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161"/>
      <c r="BS370" s="161"/>
      <c r="BT370" s="161"/>
      <c r="BU370" s="162"/>
      <c r="BV370" s="163"/>
      <c r="BW370" s="163"/>
      <c r="BX370" s="163"/>
      <c r="BY370" s="163"/>
      <c r="BZ370" s="163"/>
      <c r="CA370" s="163"/>
      <c r="CB370" s="161"/>
      <c r="CC370" s="161"/>
      <c r="CD370" s="161"/>
      <c r="CE370" s="161"/>
      <c r="CF370" s="161"/>
      <c r="CG370" s="3"/>
      <c r="CH370" s="3"/>
      <c r="CI370" s="3"/>
      <c r="CJ370" s="3"/>
      <c r="CK370" s="3"/>
      <c r="CL370" s="3"/>
      <c r="CM370" s="3"/>
      <c r="CN370" s="3"/>
    </row>
    <row r="371" spans="1:92" ht="14.4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53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80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161"/>
      <c r="BS371" s="161"/>
      <c r="BT371" s="161"/>
      <c r="BU371" s="162"/>
      <c r="BV371" s="163"/>
      <c r="BW371" s="163"/>
      <c r="BX371" s="163"/>
      <c r="BY371" s="163"/>
      <c r="BZ371" s="163"/>
      <c r="CA371" s="163"/>
      <c r="CB371" s="161"/>
      <c r="CC371" s="161"/>
      <c r="CD371" s="161"/>
      <c r="CE371" s="161"/>
      <c r="CF371" s="161"/>
      <c r="CG371" s="3"/>
      <c r="CH371" s="3"/>
      <c r="CI371" s="3"/>
      <c r="CJ371" s="3"/>
      <c r="CK371" s="3"/>
      <c r="CL371" s="3"/>
      <c r="CM371" s="3"/>
      <c r="CN371" s="3"/>
    </row>
    <row r="372" spans="1:92" ht="14.4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53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80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161"/>
      <c r="BS372" s="161"/>
      <c r="BT372" s="161"/>
      <c r="BU372" s="162"/>
      <c r="BV372" s="163"/>
      <c r="BW372" s="163"/>
      <c r="BX372" s="163"/>
      <c r="BY372" s="163"/>
      <c r="BZ372" s="163"/>
      <c r="CA372" s="163"/>
      <c r="CB372" s="161"/>
      <c r="CC372" s="161"/>
      <c r="CD372" s="161"/>
      <c r="CE372" s="161"/>
      <c r="CF372" s="161"/>
      <c r="CG372" s="3"/>
      <c r="CH372" s="3"/>
      <c r="CI372" s="3"/>
      <c r="CJ372" s="3"/>
      <c r="CK372" s="3"/>
      <c r="CL372" s="3"/>
      <c r="CM372" s="3"/>
      <c r="CN372" s="3"/>
    </row>
    <row r="373" spans="1:92" ht="14.4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53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80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161"/>
      <c r="BS373" s="161"/>
      <c r="BT373" s="161"/>
      <c r="BU373" s="162"/>
      <c r="BV373" s="163"/>
      <c r="BW373" s="163"/>
      <c r="BX373" s="163"/>
      <c r="BY373" s="163"/>
      <c r="BZ373" s="163"/>
      <c r="CA373" s="163"/>
      <c r="CB373" s="161"/>
      <c r="CC373" s="161"/>
      <c r="CD373" s="161"/>
      <c r="CE373" s="161"/>
      <c r="CF373" s="161"/>
      <c r="CG373" s="3"/>
      <c r="CH373" s="3"/>
      <c r="CI373" s="3"/>
      <c r="CJ373" s="3"/>
      <c r="CK373" s="3"/>
      <c r="CL373" s="3"/>
      <c r="CM373" s="3"/>
      <c r="CN373" s="3"/>
    </row>
    <row r="374" spans="1:92" ht="14.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53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80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161"/>
      <c r="BS374" s="161"/>
      <c r="BT374" s="161"/>
      <c r="BU374" s="162"/>
      <c r="BV374" s="163"/>
      <c r="BW374" s="163"/>
      <c r="BX374" s="163"/>
      <c r="BY374" s="163"/>
      <c r="BZ374" s="163"/>
      <c r="CA374" s="163"/>
      <c r="CB374" s="161"/>
      <c r="CC374" s="161"/>
      <c r="CD374" s="161"/>
      <c r="CE374" s="161"/>
      <c r="CF374" s="161"/>
      <c r="CG374" s="3"/>
      <c r="CH374" s="3"/>
      <c r="CI374" s="3"/>
      <c r="CJ374" s="3"/>
      <c r="CK374" s="3"/>
      <c r="CL374" s="3"/>
      <c r="CM374" s="3"/>
      <c r="CN374" s="3"/>
    </row>
    <row r="375" spans="1:92" ht="14.4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53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80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161"/>
      <c r="BS375" s="161"/>
      <c r="BT375" s="161"/>
      <c r="BU375" s="162"/>
      <c r="BV375" s="163"/>
      <c r="BW375" s="163"/>
      <c r="BX375" s="163"/>
      <c r="BY375" s="163"/>
      <c r="BZ375" s="163"/>
      <c r="CA375" s="163"/>
      <c r="CB375" s="161"/>
      <c r="CC375" s="161"/>
      <c r="CD375" s="161"/>
      <c r="CE375" s="161"/>
      <c r="CF375" s="161"/>
      <c r="CG375" s="3"/>
      <c r="CH375" s="3"/>
      <c r="CI375" s="3"/>
      <c r="CJ375" s="3"/>
      <c r="CK375" s="3"/>
      <c r="CL375" s="3"/>
      <c r="CM375" s="3"/>
      <c r="CN375" s="3"/>
    </row>
    <row r="376" spans="1:92" ht="14.4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53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80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161"/>
      <c r="BS376" s="161"/>
      <c r="BT376" s="161"/>
      <c r="BU376" s="162"/>
      <c r="BV376" s="163"/>
      <c r="BW376" s="163"/>
      <c r="BX376" s="163"/>
      <c r="BY376" s="163"/>
      <c r="BZ376" s="163"/>
      <c r="CA376" s="163"/>
      <c r="CB376" s="161"/>
      <c r="CC376" s="161"/>
      <c r="CD376" s="161"/>
      <c r="CE376" s="161"/>
      <c r="CF376" s="161"/>
      <c r="CG376" s="3"/>
      <c r="CH376" s="3"/>
      <c r="CI376" s="3"/>
      <c r="CJ376" s="3"/>
      <c r="CK376" s="3"/>
      <c r="CL376" s="3"/>
      <c r="CM376" s="3"/>
      <c r="CN376" s="3"/>
    </row>
    <row r="377" spans="1:92" ht="14.4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53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80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161"/>
      <c r="BS377" s="161"/>
      <c r="BT377" s="161"/>
      <c r="BU377" s="162"/>
      <c r="BV377" s="163"/>
      <c r="BW377" s="163"/>
      <c r="BX377" s="163"/>
      <c r="BY377" s="163"/>
      <c r="BZ377" s="163"/>
      <c r="CA377" s="163"/>
      <c r="CB377" s="161"/>
      <c r="CC377" s="161"/>
      <c r="CD377" s="161"/>
      <c r="CE377" s="161"/>
      <c r="CF377" s="161"/>
      <c r="CG377" s="3"/>
      <c r="CH377" s="3"/>
      <c r="CI377" s="3"/>
      <c r="CJ377" s="3"/>
      <c r="CK377" s="3"/>
      <c r="CL377" s="3"/>
      <c r="CM377" s="3"/>
      <c r="CN377" s="3"/>
    </row>
    <row r="378" spans="1:92" ht="14.4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53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80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161"/>
      <c r="BS378" s="161"/>
      <c r="BT378" s="161"/>
      <c r="BU378" s="162"/>
      <c r="BV378" s="163"/>
      <c r="BW378" s="163"/>
      <c r="BX378" s="163"/>
      <c r="BY378" s="163"/>
      <c r="BZ378" s="163"/>
      <c r="CA378" s="163"/>
      <c r="CB378" s="161"/>
      <c r="CC378" s="161"/>
      <c r="CD378" s="161"/>
      <c r="CE378" s="161"/>
      <c r="CF378" s="161"/>
      <c r="CG378" s="3"/>
      <c r="CH378" s="3"/>
      <c r="CI378" s="3"/>
      <c r="CJ378" s="3"/>
      <c r="CK378" s="3"/>
      <c r="CL378" s="3"/>
      <c r="CM378" s="3"/>
      <c r="CN378" s="3"/>
    </row>
    <row r="379" spans="1:92" ht="14.4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53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80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161"/>
      <c r="BS379" s="161"/>
      <c r="BT379" s="161"/>
      <c r="BU379" s="162"/>
      <c r="BV379" s="163"/>
      <c r="BW379" s="163"/>
      <c r="BX379" s="163"/>
      <c r="BY379" s="163"/>
      <c r="BZ379" s="163"/>
      <c r="CA379" s="163"/>
      <c r="CB379" s="161"/>
      <c r="CC379" s="161"/>
      <c r="CD379" s="161"/>
      <c r="CE379" s="161"/>
      <c r="CF379" s="161"/>
      <c r="CG379" s="3"/>
      <c r="CH379" s="3"/>
      <c r="CI379" s="3"/>
      <c r="CJ379" s="3"/>
      <c r="CK379" s="3"/>
      <c r="CL379" s="3"/>
      <c r="CM379" s="3"/>
      <c r="CN379" s="3"/>
    </row>
    <row r="380" spans="1:92" ht="14.4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53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80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161"/>
      <c r="BS380" s="161"/>
      <c r="BT380" s="161"/>
      <c r="BU380" s="162"/>
      <c r="BV380" s="163"/>
      <c r="BW380" s="163"/>
      <c r="BX380" s="163"/>
      <c r="BY380" s="163"/>
      <c r="BZ380" s="163"/>
      <c r="CA380" s="163"/>
      <c r="CB380" s="161"/>
      <c r="CC380" s="161"/>
      <c r="CD380" s="161"/>
      <c r="CE380" s="161"/>
      <c r="CF380" s="161"/>
      <c r="CG380" s="3"/>
      <c r="CH380" s="3"/>
      <c r="CI380" s="3"/>
      <c r="CJ380" s="3"/>
      <c r="CK380" s="3"/>
      <c r="CL380" s="3"/>
      <c r="CM380" s="3"/>
      <c r="CN380" s="3"/>
    </row>
    <row r="381" spans="1:92" ht="14.4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53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80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161"/>
      <c r="BS381" s="161"/>
      <c r="BT381" s="161"/>
      <c r="BU381" s="162"/>
      <c r="BV381" s="163"/>
      <c r="BW381" s="163"/>
      <c r="BX381" s="163"/>
      <c r="BY381" s="163"/>
      <c r="BZ381" s="163"/>
      <c r="CA381" s="163"/>
      <c r="CB381" s="161"/>
      <c r="CC381" s="161"/>
      <c r="CD381" s="161"/>
      <c r="CE381" s="161"/>
      <c r="CF381" s="161"/>
      <c r="CG381" s="3"/>
      <c r="CH381" s="3"/>
      <c r="CI381" s="3"/>
      <c r="CJ381" s="3"/>
      <c r="CK381" s="3"/>
      <c r="CL381" s="3"/>
      <c r="CM381" s="3"/>
      <c r="CN381" s="3"/>
    </row>
    <row r="382" spans="1:92" ht="14.4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53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80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161"/>
      <c r="BS382" s="161"/>
      <c r="BT382" s="161"/>
      <c r="BU382" s="162"/>
      <c r="BV382" s="163"/>
      <c r="BW382" s="163"/>
      <c r="BX382" s="163"/>
      <c r="BY382" s="163"/>
      <c r="BZ382" s="163"/>
      <c r="CA382" s="163"/>
      <c r="CB382" s="161"/>
      <c r="CC382" s="161"/>
      <c r="CD382" s="161"/>
      <c r="CE382" s="161"/>
      <c r="CF382" s="161"/>
      <c r="CG382" s="3"/>
      <c r="CH382" s="3"/>
      <c r="CI382" s="3"/>
      <c r="CJ382" s="3"/>
      <c r="CK382" s="3"/>
      <c r="CL382" s="3"/>
      <c r="CM382" s="3"/>
      <c r="CN382" s="3"/>
    </row>
    <row r="383" spans="1:92" ht="14.4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53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80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161"/>
      <c r="BS383" s="161"/>
      <c r="BT383" s="161"/>
      <c r="BU383" s="162"/>
      <c r="BV383" s="163"/>
      <c r="BW383" s="163"/>
      <c r="BX383" s="163"/>
      <c r="BY383" s="163"/>
      <c r="BZ383" s="163"/>
      <c r="CA383" s="163"/>
      <c r="CB383" s="161"/>
      <c r="CC383" s="161"/>
      <c r="CD383" s="161"/>
      <c r="CE383" s="161"/>
      <c r="CF383" s="161"/>
      <c r="CG383" s="3"/>
      <c r="CH383" s="3"/>
      <c r="CI383" s="3"/>
      <c r="CJ383" s="3"/>
      <c r="CK383" s="3"/>
      <c r="CL383" s="3"/>
      <c r="CM383" s="3"/>
      <c r="CN383" s="3"/>
    </row>
    <row r="384" spans="1:92" ht="14.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53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80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161"/>
      <c r="BS384" s="161"/>
      <c r="BT384" s="161"/>
      <c r="BU384" s="162"/>
      <c r="BV384" s="163"/>
      <c r="BW384" s="163"/>
      <c r="BX384" s="163"/>
      <c r="BY384" s="163"/>
      <c r="BZ384" s="163"/>
      <c r="CA384" s="163"/>
      <c r="CB384" s="161"/>
      <c r="CC384" s="161"/>
      <c r="CD384" s="161"/>
      <c r="CE384" s="161"/>
      <c r="CF384" s="161"/>
      <c r="CG384" s="3"/>
      <c r="CH384" s="3"/>
      <c r="CI384" s="3"/>
      <c r="CJ384" s="3"/>
      <c r="CK384" s="3"/>
      <c r="CL384" s="3"/>
      <c r="CM384" s="3"/>
      <c r="CN384" s="3"/>
    </row>
    <row r="385" spans="1:92" ht="14.4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53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80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161"/>
      <c r="BS385" s="161"/>
      <c r="BT385" s="161"/>
      <c r="BU385" s="162"/>
      <c r="BV385" s="163"/>
      <c r="BW385" s="163"/>
      <c r="BX385" s="163"/>
      <c r="BY385" s="163"/>
      <c r="BZ385" s="163"/>
      <c r="CA385" s="163"/>
      <c r="CB385" s="161"/>
      <c r="CC385" s="161"/>
      <c r="CD385" s="161"/>
      <c r="CE385" s="161"/>
      <c r="CF385" s="161"/>
      <c r="CG385" s="3"/>
      <c r="CH385" s="3"/>
      <c r="CI385" s="3"/>
      <c r="CJ385" s="3"/>
      <c r="CK385" s="3"/>
      <c r="CL385" s="3"/>
      <c r="CM385" s="3"/>
      <c r="CN385" s="3"/>
    </row>
    <row r="386" spans="1:92" ht="14.4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53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80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161"/>
      <c r="BS386" s="161"/>
      <c r="BT386" s="161"/>
      <c r="BU386" s="162"/>
      <c r="BV386" s="163"/>
      <c r="BW386" s="163"/>
      <c r="BX386" s="163"/>
      <c r="BY386" s="163"/>
      <c r="BZ386" s="163"/>
      <c r="CA386" s="163"/>
      <c r="CB386" s="161"/>
      <c r="CC386" s="161"/>
      <c r="CD386" s="161"/>
      <c r="CE386" s="161"/>
      <c r="CF386" s="161"/>
      <c r="CG386" s="3"/>
      <c r="CH386" s="3"/>
      <c r="CI386" s="3"/>
      <c r="CJ386" s="3"/>
      <c r="CK386" s="3"/>
      <c r="CL386" s="3"/>
      <c r="CM386" s="3"/>
      <c r="CN386" s="3"/>
    </row>
    <row r="387" spans="1:92" ht="14.4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53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80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161"/>
      <c r="BS387" s="161"/>
      <c r="BT387" s="161"/>
      <c r="BU387" s="162"/>
      <c r="BV387" s="163"/>
      <c r="BW387" s="163"/>
      <c r="BX387" s="163"/>
      <c r="BY387" s="163"/>
      <c r="BZ387" s="163"/>
      <c r="CA387" s="163"/>
      <c r="CB387" s="161"/>
      <c r="CC387" s="161"/>
      <c r="CD387" s="161"/>
      <c r="CE387" s="161"/>
      <c r="CF387" s="161"/>
      <c r="CG387" s="3"/>
      <c r="CH387" s="3"/>
      <c r="CI387" s="3"/>
      <c r="CJ387" s="3"/>
      <c r="CK387" s="3"/>
      <c r="CL387" s="3"/>
      <c r="CM387" s="3"/>
      <c r="CN387" s="3"/>
    </row>
    <row r="388" spans="1:92" ht="14.4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53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80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161"/>
      <c r="BS388" s="161"/>
      <c r="BT388" s="161"/>
      <c r="BU388" s="162"/>
      <c r="BV388" s="163"/>
      <c r="BW388" s="163"/>
      <c r="BX388" s="163"/>
      <c r="BY388" s="163"/>
      <c r="BZ388" s="163"/>
      <c r="CA388" s="163"/>
      <c r="CB388" s="161"/>
      <c r="CC388" s="161"/>
      <c r="CD388" s="161"/>
      <c r="CE388" s="161"/>
      <c r="CF388" s="161"/>
      <c r="CG388" s="3"/>
      <c r="CH388" s="3"/>
      <c r="CI388" s="3"/>
      <c r="CJ388" s="3"/>
      <c r="CK388" s="3"/>
      <c r="CL388" s="3"/>
      <c r="CM388" s="3"/>
      <c r="CN388" s="3"/>
    </row>
    <row r="389" spans="1:92" ht="14.4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53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80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161"/>
      <c r="BS389" s="161"/>
      <c r="BT389" s="161"/>
      <c r="BU389" s="162"/>
      <c r="BV389" s="163"/>
      <c r="BW389" s="163"/>
      <c r="BX389" s="163"/>
      <c r="BY389" s="163"/>
      <c r="BZ389" s="163"/>
      <c r="CA389" s="163"/>
      <c r="CB389" s="161"/>
      <c r="CC389" s="161"/>
      <c r="CD389" s="161"/>
      <c r="CE389" s="161"/>
      <c r="CF389" s="161"/>
      <c r="CG389" s="3"/>
      <c r="CH389" s="3"/>
      <c r="CI389" s="3"/>
      <c r="CJ389" s="3"/>
      <c r="CK389" s="3"/>
      <c r="CL389" s="3"/>
      <c r="CM389" s="3"/>
      <c r="CN389" s="3"/>
    </row>
    <row r="390" spans="1:92" ht="14.4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53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80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161"/>
      <c r="BS390" s="161"/>
      <c r="BT390" s="161"/>
      <c r="BU390" s="162"/>
      <c r="BV390" s="163"/>
      <c r="BW390" s="163"/>
      <c r="BX390" s="163"/>
      <c r="BY390" s="163"/>
      <c r="BZ390" s="163"/>
      <c r="CA390" s="163"/>
      <c r="CB390" s="161"/>
      <c r="CC390" s="161"/>
      <c r="CD390" s="161"/>
      <c r="CE390" s="161"/>
      <c r="CF390" s="161"/>
      <c r="CG390" s="3"/>
      <c r="CH390" s="3"/>
      <c r="CI390" s="3"/>
      <c r="CJ390" s="3"/>
      <c r="CK390" s="3"/>
      <c r="CL390" s="3"/>
      <c r="CM390" s="3"/>
      <c r="CN390" s="3"/>
    </row>
    <row r="391" spans="1:92" ht="14.4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53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80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161"/>
      <c r="BS391" s="161"/>
      <c r="BT391" s="161"/>
      <c r="BU391" s="162"/>
      <c r="BV391" s="163"/>
      <c r="BW391" s="163"/>
      <c r="BX391" s="163"/>
      <c r="BY391" s="163"/>
      <c r="BZ391" s="163"/>
      <c r="CA391" s="163"/>
      <c r="CB391" s="161"/>
      <c r="CC391" s="161"/>
      <c r="CD391" s="161"/>
      <c r="CE391" s="161"/>
      <c r="CF391" s="161"/>
      <c r="CG391" s="3"/>
      <c r="CH391" s="3"/>
      <c r="CI391" s="3"/>
      <c r="CJ391" s="3"/>
      <c r="CK391" s="3"/>
      <c r="CL391" s="3"/>
      <c r="CM391" s="3"/>
      <c r="CN391" s="3"/>
    </row>
    <row r="392" spans="1:92" ht="14.4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53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80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161"/>
      <c r="BS392" s="161"/>
      <c r="BT392" s="161"/>
      <c r="BU392" s="162"/>
      <c r="BV392" s="163"/>
      <c r="BW392" s="163"/>
      <c r="BX392" s="163"/>
      <c r="BY392" s="163"/>
      <c r="BZ392" s="163"/>
      <c r="CA392" s="163"/>
      <c r="CB392" s="161"/>
      <c r="CC392" s="161"/>
      <c r="CD392" s="161"/>
      <c r="CE392" s="161"/>
      <c r="CF392" s="161"/>
      <c r="CG392" s="3"/>
      <c r="CH392" s="3"/>
      <c r="CI392" s="3"/>
      <c r="CJ392" s="3"/>
      <c r="CK392" s="3"/>
      <c r="CL392" s="3"/>
      <c r="CM392" s="3"/>
      <c r="CN392" s="3"/>
    </row>
    <row r="393" spans="1:92" ht="14.4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53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80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161"/>
      <c r="BS393" s="161"/>
      <c r="BT393" s="161"/>
      <c r="BU393" s="162"/>
      <c r="BV393" s="163"/>
      <c r="BW393" s="163"/>
      <c r="BX393" s="163"/>
      <c r="BY393" s="163"/>
      <c r="BZ393" s="163"/>
      <c r="CA393" s="163"/>
      <c r="CB393" s="161"/>
      <c r="CC393" s="161"/>
      <c r="CD393" s="161"/>
      <c r="CE393" s="161"/>
      <c r="CF393" s="161"/>
      <c r="CG393" s="3"/>
      <c r="CH393" s="3"/>
      <c r="CI393" s="3"/>
      <c r="CJ393" s="3"/>
      <c r="CK393" s="3"/>
      <c r="CL393" s="3"/>
      <c r="CM393" s="3"/>
      <c r="CN393" s="3"/>
    </row>
    <row r="394" spans="1:92" ht="14.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53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80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161"/>
      <c r="BS394" s="161"/>
      <c r="BT394" s="161"/>
      <c r="BU394" s="162"/>
      <c r="BV394" s="163"/>
      <c r="BW394" s="163"/>
      <c r="BX394" s="163"/>
      <c r="BY394" s="163"/>
      <c r="BZ394" s="163"/>
      <c r="CA394" s="163"/>
      <c r="CB394" s="161"/>
      <c r="CC394" s="161"/>
      <c r="CD394" s="161"/>
      <c r="CE394" s="161"/>
      <c r="CF394" s="161"/>
      <c r="CG394" s="3"/>
      <c r="CH394" s="3"/>
      <c r="CI394" s="3"/>
      <c r="CJ394" s="3"/>
      <c r="CK394" s="3"/>
      <c r="CL394" s="3"/>
      <c r="CM394" s="3"/>
      <c r="CN394" s="3"/>
    </row>
    <row r="395" spans="1:92" ht="14.4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53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80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161"/>
      <c r="BS395" s="161"/>
      <c r="BT395" s="161"/>
      <c r="BU395" s="162"/>
      <c r="BV395" s="163"/>
      <c r="BW395" s="163"/>
      <c r="BX395" s="163"/>
      <c r="BY395" s="163"/>
      <c r="BZ395" s="163"/>
      <c r="CA395" s="163"/>
      <c r="CB395" s="161"/>
      <c r="CC395" s="161"/>
      <c r="CD395" s="161"/>
      <c r="CE395" s="161"/>
      <c r="CF395" s="161"/>
      <c r="CG395" s="3"/>
      <c r="CH395" s="3"/>
      <c r="CI395" s="3"/>
      <c r="CJ395" s="3"/>
      <c r="CK395" s="3"/>
      <c r="CL395" s="3"/>
      <c r="CM395" s="3"/>
      <c r="CN395" s="3"/>
    </row>
    <row r="396" spans="1:92" ht="14.4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53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80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161"/>
      <c r="BS396" s="161"/>
      <c r="BT396" s="161"/>
      <c r="BU396" s="162"/>
      <c r="BV396" s="163"/>
      <c r="BW396" s="163"/>
      <c r="BX396" s="163"/>
      <c r="BY396" s="163"/>
      <c r="BZ396" s="163"/>
      <c r="CA396" s="163"/>
      <c r="CB396" s="161"/>
      <c r="CC396" s="161"/>
      <c r="CD396" s="161"/>
      <c r="CE396" s="161"/>
      <c r="CF396" s="161"/>
      <c r="CG396" s="3"/>
      <c r="CH396" s="3"/>
      <c r="CI396" s="3"/>
      <c r="CJ396" s="3"/>
      <c r="CK396" s="3"/>
      <c r="CL396" s="3"/>
      <c r="CM396" s="3"/>
      <c r="CN396" s="3"/>
    </row>
    <row r="397" spans="1:92" ht="14.4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53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80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161"/>
      <c r="BS397" s="161"/>
      <c r="BT397" s="161"/>
      <c r="BU397" s="162"/>
      <c r="BV397" s="163"/>
      <c r="BW397" s="163"/>
      <c r="BX397" s="163"/>
      <c r="BY397" s="163"/>
      <c r="BZ397" s="163"/>
      <c r="CA397" s="163"/>
      <c r="CB397" s="161"/>
      <c r="CC397" s="161"/>
      <c r="CD397" s="161"/>
      <c r="CE397" s="161"/>
      <c r="CF397" s="161"/>
      <c r="CG397" s="3"/>
      <c r="CH397" s="3"/>
      <c r="CI397" s="3"/>
      <c r="CJ397" s="3"/>
      <c r="CK397" s="3"/>
      <c r="CL397" s="3"/>
      <c r="CM397" s="3"/>
      <c r="CN397" s="3"/>
    </row>
    <row r="398" spans="1:92" ht="14.4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53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80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161"/>
      <c r="BS398" s="161"/>
      <c r="BT398" s="161"/>
      <c r="BU398" s="162"/>
      <c r="BV398" s="163"/>
      <c r="BW398" s="163"/>
      <c r="BX398" s="163"/>
      <c r="BY398" s="163"/>
      <c r="BZ398" s="163"/>
      <c r="CA398" s="163"/>
      <c r="CB398" s="161"/>
      <c r="CC398" s="161"/>
      <c r="CD398" s="161"/>
      <c r="CE398" s="161"/>
      <c r="CF398" s="161"/>
      <c r="CG398" s="3"/>
      <c r="CH398" s="3"/>
      <c r="CI398" s="3"/>
      <c r="CJ398" s="3"/>
      <c r="CK398" s="3"/>
      <c r="CL398" s="3"/>
      <c r="CM398" s="3"/>
      <c r="CN398" s="3"/>
    </row>
    <row r="399" spans="1:92" ht="14.4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53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80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161"/>
      <c r="BS399" s="161"/>
      <c r="BT399" s="161"/>
      <c r="BU399" s="162"/>
      <c r="BV399" s="163"/>
      <c r="BW399" s="163"/>
      <c r="BX399" s="163"/>
      <c r="BY399" s="163"/>
      <c r="BZ399" s="163"/>
      <c r="CA399" s="163"/>
      <c r="CB399" s="161"/>
      <c r="CC399" s="161"/>
      <c r="CD399" s="161"/>
      <c r="CE399" s="161"/>
      <c r="CF399" s="161"/>
      <c r="CG399" s="3"/>
      <c r="CH399" s="3"/>
      <c r="CI399" s="3"/>
      <c r="CJ399" s="3"/>
      <c r="CK399" s="3"/>
      <c r="CL399" s="3"/>
      <c r="CM399" s="3"/>
      <c r="CN399" s="3"/>
    </row>
    <row r="400" spans="1:92" ht="14.4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53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80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161"/>
      <c r="BS400" s="161"/>
      <c r="BT400" s="161"/>
      <c r="BU400" s="162"/>
      <c r="BV400" s="163"/>
      <c r="BW400" s="163"/>
      <c r="BX400" s="163"/>
      <c r="BY400" s="163"/>
      <c r="BZ400" s="163"/>
      <c r="CA400" s="163"/>
      <c r="CB400" s="161"/>
      <c r="CC400" s="161"/>
      <c r="CD400" s="161"/>
      <c r="CE400" s="161"/>
      <c r="CF400" s="161"/>
      <c r="CG400" s="3"/>
      <c r="CH400" s="3"/>
      <c r="CI400" s="3"/>
      <c r="CJ400" s="3"/>
      <c r="CK400" s="3"/>
      <c r="CL400" s="3"/>
      <c r="CM400" s="3"/>
      <c r="CN400" s="3"/>
    </row>
    <row r="401" spans="1:92" ht="14.4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53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80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161"/>
      <c r="BS401" s="161"/>
      <c r="BT401" s="161"/>
      <c r="BU401" s="162"/>
      <c r="BV401" s="163"/>
      <c r="BW401" s="163"/>
      <c r="BX401" s="163"/>
      <c r="BY401" s="163"/>
      <c r="BZ401" s="163"/>
      <c r="CA401" s="163"/>
      <c r="CB401" s="161"/>
      <c r="CC401" s="161"/>
      <c r="CD401" s="161"/>
      <c r="CE401" s="161"/>
      <c r="CF401" s="161"/>
      <c r="CG401" s="3"/>
      <c r="CH401" s="3"/>
      <c r="CI401" s="3"/>
      <c r="CJ401" s="3"/>
      <c r="CK401" s="3"/>
      <c r="CL401" s="3"/>
      <c r="CM401" s="3"/>
      <c r="CN401" s="3"/>
    </row>
    <row r="402" spans="1:92" ht="14.4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53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80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161"/>
      <c r="BS402" s="161"/>
      <c r="BT402" s="161"/>
      <c r="BU402" s="162"/>
      <c r="BV402" s="163"/>
      <c r="BW402" s="163"/>
      <c r="BX402" s="163"/>
      <c r="BY402" s="163"/>
      <c r="BZ402" s="163"/>
      <c r="CA402" s="163"/>
      <c r="CB402" s="161"/>
      <c r="CC402" s="161"/>
      <c r="CD402" s="161"/>
      <c r="CE402" s="161"/>
      <c r="CF402" s="161"/>
      <c r="CG402" s="3"/>
      <c r="CH402" s="3"/>
      <c r="CI402" s="3"/>
      <c r="CJ402" s="3"/>
      <c r="CK402" s="3"/>
      <c r="CL402" s="3"/>
      <c r="CM402" s="3"/>
      <c r="CN402" s="3"/>
    </row>
    <row r="403" spans="1:92" ht="14.4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53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80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161"/>
      <c r="BS403" s="161"/>
      <c r="BT403" s="161"/>
      <c r="BU403" s="162"/>
      <c r="BV403" s="163"/>
      <c r="BW403" s="163"/>
      <c r="BX403" s="163"/>
      <c r="BY403" s="163"/>
      <c r="BZ403" s="163"/>
      <c r="CA403" s="163"/>
      <c r="CB403" s="161"/>
      <c r="CC403" s="161"/>
      <c r="CD403" s="161"/>
      <c r="CE403" s="161"/>
      <c r="CF403" s="161"/>
      <c r="CG403" s="3"/>
      <c r="CH403" s="3"/>
      <c r="CI403" s="3"/>
      <c r="CJ403" s="3"/>
      <c r="CK403" s="3"/>
      <c r="CL403" s="3"/>
      <c r="CM403" s="3"/>
      <c r="CN403" s="3"/>
    </row>
    <row r="404" spans="1:92" ht="14.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53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80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161"/>
      <c r="BS404" s="161"/>
      <c r="BT404" s="161"/>
      <c r="BU404" s="162"/>
      <c r="BV404" s="163"/>
      <c r="BW404" s="163"/>
      <c r="BX404" s="163"/>
      <c r="BY404" s="163"/>
      <c r="BZ404" s="163"/>
      <c r="CA404" s="163"/>
      <c r="CB404" s="161"/>
      <c r="CC404" s="161"/>
      <c r="CD404" s="161"/>
      <c r="CE404" s="161"/>
      <c r="CF404" s="161"/>
      <c r="CG404" s="3"/>
      <c r="CH404" s="3"/>
      <c r="CI404" s="3"/>
      <c r="CJ404" s="3"/>
      <c r="CK404" s="3"/>
      <c r="CL404" s="3"/>
      <c r="CM404" s="3"/>
      <c r="CN404" s="3"/>
    </row>
    <row r="405" spans="1:92" ht="14.4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53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80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161"/>
      <c r="BS405" s="161"/>
      <c r="BT405" s="161"/>
      <c r="BU405" s="162"/>
      <c r="BV405" s="163"/>
      <c r="BW405" s="163"/>
      <c r="BX405" s="163"/>
      <c r="BY405" s="163"/>
      <c r="BZ405" s="163"/>
      <c r="CA405" s="163"/>
      <c r="CB405" s="161"/>
      <c r="CC405" s="161"/>
      <c r="CD405" s="161"/>
      <c r="CE405" s="161"/>
      <c r="CF405" s="161"/>
      <c r="CG405" s="3"/>
      <c r="CH405" s="3"/>
      <c r="CI405" s="3"/>
      <c r="CJ405" s="3"/>
      <c r="CK405" s="3"/>
      <c r="CL405" s="3"/>
      <c r="CM405" s="3"/>
      <c r="CN405" s="3"/>
    </row>
    <row r="406" spans="1:92" ht="14.4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53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80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161"/>
      <c r="BS406" s="161"/>
      <c r="BT406" s="161"/>
      <c r="BU406" s="162"/>
      <c r="BV406" s="163"/>
      <c r="BW406" s="163"/>
      <c r="BX406" s="163"/>
      <c r="BY406" s="163"/>
      <c r="BZ406" s="163"/>
      <c r="CA406" s="163"/>
      <c r="CB406" s="161"/>
      <c r="CC406" s="161"/>
      <c r="CD406" s="161"/>
      <c r="CE406" s="161"/>
      <c r="CF406" s="161"/>
      <c r="CG406" s="3"/>
      <c r="CH406" s="3"/>
      <c r="CI406" s="3"/>
      <c r="CJ406" s="3"/>
      <c r="CK406" s="3"/>
      <c r="CL406" s="3"/>
      <c r="CM406" s="3"/>
      <c r="CN406" s="3"/>
    </row>
    <row r="407" spans="1:92" ht="14.4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53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80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161"/>
      <c r="BS407" s="161"/>
      <c r="BT407" s="161"/>
      <c r="BU407" s="162"/>
      <c r="BV407" s="163"/>
      <c r="BW407" s="163"/>
      <c r="BX407" s="163"/>
      <c r="BY407" s="163"/>
      <c r="BZ407" s="163"/>
      <c r="CA407" s="163"/>
      <c r="CB407" s="161"/>
      <c r="CC407" s="161"/>
      <c r="CD407" s="161"/>
      <c r="CE407" s="161"/>
      <c r="CF407" s="161"/>
      <c r="CG407" s="3"/>
      <c r="CH407" s="3"/>
      <c r="CI407" s="3"/>
      <c r="CJ407" s="3"/>
      <c r="CK407" s="3"/>
      <c r="CL407" s="3"/>
      <c r="CM407" s="3"/>
      <c r="CN407" s="3"/>
    </row>
    <row r="408" spans="1:92" ht="14.4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53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80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161"/>
      <c r="BS408" s="161"/>
      <c r="BT408" s="161"/>
      <c r="BU408" s="162"/>
      <c r="BV408" s="163"/>
      <c r="BW408" s="163"/>
      <c r="BX408" s="163"/>
      <c r="BY408" s="163"/>
      <c r="BZ408" s="163"/>
      <c r="CA408" s="163"/>
      <c r="CB408" s="161"/>
      <c r="CC408" s="161"/>
      <c r="CD408" s="161"/>
      <c r="CE408" s="161"/>
      <c r="CF408" s="161"/>
      <c r="CG408" s="3"/>
      <c r="CH408" s="3"/>
      <c r="CI408" s="3"/>
      <c r="CJ408" s="3"/>
      <c r="CK408" s="3"/>
      <c r="CL408" s="3"/>
      <c r="CM408" s="3"/>
      <c r="CN408" s="3"/>
    </row>
    <row r="409" spans="1:92" ht="14.4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53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80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161"/>
      <c r="BS409" s="161"/>
      <c r="BT409" s="161"/>
      <c r="BU409" s="162"/>
      <c r="BV409" s="163"/>
      <c r="BW409" s="163"/>
      <c r="BX409" s="163"/>
      <c r="BY409" s="163"/>
      <c r="BZ409" s="163"/>
      <c r="CA409" s="163"/>
      <c r="CB409" s="161"/>
      <c r="CC409" s="161"/>
      <c r="CD409" s="161"/>
      <c r="CE409" s="161"/>
      <c r="CF409" s="161"/>
      <c r="CG409" s="3"/>
      <c r="CH409" s="3"/>
      <c r="CI409" s="3"/>
      <c r="CJ409" s="3"/>
      <c r="CK409" s="3"/>
      <c r="CL409" s="3"/>
      <c r="CM409" s="3"/>
      <c r="CN409" s="3"/>
    </row>
    <row r="410" spans="1:92" ht="14.4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53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80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161"/>
      <c r="BS410" s="161"/>
      <c r="BT410" s="161"/>
      <c r="BU410" s="162"/>
      <c r="BV410" s="163"/>
      <c r="BW410" s="163"/>
      <c r="BX410" s="163"/>
      <c r="BY410" s="163"/>
      <c r="BZ410" s="163"/>
      <c r="CA410" s="163"/>
      <c r="CB410" s="161"/>
      <c r="CC410" s="161"/>
      <c r="CD410" s="161"/>
      <c r="CE410" s="161"/>
      <c r="CF410" s="161"/>
      <c r="CG410" s="3"/>
      <c r="CH410" s="3"/>
      <c r="CI410" s="3"/>
      <c r="CJ410" s="3"/>
      <c r="CK410" s="3"/>
      <c r="CL410" s="3"/>
      <c r="CM410" s="3"/>
      <c r="CN410" s="3"/>
    </row>
    <row r="411" spans="1:92" ht="14.4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53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80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161"/>
      <c r="BS411" s="161"/>
      <c r="BT411" s="161"/>
      <c r="BU411" s="162"/>
      <c r="BV411" s="163"/>
      <c r="BW411" s="163"/>
      <c r="BX411" s="163"/>
      <c r="BY411" s="163"/>
      <c r="BZ411" s="163"/>
      <c r="CA411" s="163"/>
      <c r="CB411" s="161"/>
      <c r="CC411" s="161"/>
      <c r="CD411" s="161"/>
      <c r="CE411" s="161"/>
      <c r="CF411" s="161"/>
      <c r="CG411" s="3"/>
      <c r="CH411" s="3"/>
      <c r="CI411" s="3"/>
      <c r="CJ411" s="3"/>
      <c r="CK411" s="3"/>
      <c r="CL411" s="3"/>
      <c r="CM411" s="3"/>
      <c r="CN411" s="3"/>
    </row>
    <row r="412" spans="1:92" ht="14.4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53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80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161"/>
      <c r="BS412" s="161"/>
      <c r="BT412" s="161"/>
      <c r="BU412" s="162"/>
      <c r="BV412" s="163"/>
      <c r="BW412" s="163"/>
      <c r="BX412" s="163"/>
      <c r="BY412" s="163"/>
      <c r="BZ412" s="163"/>
      <c r="CA412" s="163"/>
      <c r="CB412" s="161"/>
      <c r="CC412" s="161"/>
      <c r="CD412" s="161"/>
      <c r="CE412" s="161"/>
      <c r="CF412" s="161"/>
      <c r="CG412" s="3"/>
      <c r="CH412" s="3"/>
      <c r="CI412" s="3"/>
      <c r="CJ412" s="3"/>
      <c r="CK412" s="3"/>
      <c r="CL412" s="3"/>
      <c r="CM412" s="3"/>
      <c r="CN412" s="3"/>
    </row>
    <row r="413" spans="1:92" ht="14.4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53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80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161"/>
      <c r="BS413" s="161"/>
      <c r="BT413" s="161"/>
      <c r="BU413" s="162"/>
      <c r="BV413" s="163"/>
      <c r="BW413" s="163"/>
      <c r="BX413" s="163"/>
      <c r="BY413" s="163"/>
      <c r="BZ413" s="163"/>
      <c r="CA413" s="163"/>
      <c r="CB413" s="161"/>
      <c r="CC413" s="161"/>
      <c r="CD413" s="161"/>
      <c r="CE413" s="161"/>
      <c r="CF413" s="161"/>
      <c r="CG413" s="3"/>
      <c r="CH413" s="3"/>
      <c r="CI413" s="3"/>
      <c r="CJ413" s="3"/>
      <c r="CK413" s="3"/>
      <c r="CL413" s="3"/>
      <c r="CM413" s="3"/>
      <c r="CN413" s="3"/>
    </row>
    <row r="414" spans="1:92" ht="14.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53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80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161"/>
      <c r="BS414" s="161"/>
      <c r="BT414" s="161"/>
      <c r="BU414" s="162"/>
      <c r="BV414" s="163"/>
      <c r="BW414" s="163"/>
      <c r="BX414" s="163"/>
      <c r="BY414" s="163"/>
      <c r="BZ414" s="163"/>
      <c r="CA414" s="163"/>
      <c r="CB414" s="161"/>
      <c r="CC414" s="161"/>
      <c r="CD414" s="161"/>
      <c r="CE414" s="161"/>
      <c r="CF414" s="161"/>
      <c r="CG414" s="3"/>
      <c r="CH414" s="3"/>
      <c r="CI414" s="3"/>
      <c r="CJ414" s="3"/>
      <c r="CK414" s="3"/>
      <c r="CL414" s="3"/>
      <c r="CM414" s="3"/>
      <c r="CN414" s="3"/>
    </row>
    <row r="415" spans="1:92" ht="14.4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53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80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161"/>
      <c r="BS415" s="161"/>
      <c r="BT415" s="161"/>
      <c r="BU415" s="162"/>
      <c r="BV415" s="163"/>
      <c r="BW415" s="163"/>
      <c r="BX415" s="163"/>
      <c r="BY415" s="163"/>
      <c r="BZ415" s="163"/>
      <c r="CA415" s="163"/>
      <c r="CB415" s="161"/>
      <c r="CC415" s="161"/>
      <c r="CD415" s="161"/>
      <c r="CE415" s="161"/>
      <c r="CF415" s="161"/>
      <c r="CG415" s="3"/>
      <c r="CH415" s="3"/>
      <c r="CI415" s="3"/>
      <c r="CJ415" s="3"/>
      <c r="CK415" s="3"/>
      <c r="CL415" s="3"/>
      <c r="CM415" s="3"/>
      <c r="CN415" s="3"/>
    </row>
    <row r="416" spans="1:92" ht="14.4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53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80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161"/>
      <c r="BS416" s="161"/>
      <c r="BT416" s="161"/>
      <c r="BU416" s="162"/>
      <c r="BV416" s="163"/>
      <c r="BW416" s="163"/>
      <c r="BX416" s="163"/>
      <c r="BY416" s="163"/>
      <c r="BZ416" s="163"/>
      <c r="CA416" s="163"/>
      <c r="CB416" s="161"/>
      <c r="CC416" s="161"/>
      <c r="CD416" s="161"/>
      <c r="CE416" s="161"/>
      <c r="CF416" s="161"/>
      <c r="CG416" s="3"/>
      <c r="CH416" s="3"/>
      <c r="CI416" s="3"/>
      <c r="CJ416" s="3"/>
      <c r="CK416" s="3"/>
      <c r="CL416" s="3"/>
      <c r="CM416" s="3"/>
      <c r="CN416" s="3"/>
    </row>
    <row r="417" spans="1:92" ht="14.4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53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80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161"/>
      <c r="BS417" s="161"/>
      <c r="BT417" s="161"/>
      <c r="BU417" s="162"/>
      <c r="BV417" s="163"/>
      <c r="BW417" s="163"/>
      <c r="BX417" s="163"/>
      <c r="BY417" s="163"/>
      <c r="BZ417" s="163"/>
      <c r="CA417" s="163"/>
      <c r="CB417" s="161"/>
      <c r="CC417" s="161"/>
      <c r="CD417" s="161"/>
      <c r="CE417" s="161"/>
      <c r="CF417" s="161"/>
      <c r="CG417" s="3"/>
      <c r="CH417" s="3"/>
      <c r="CI417" s="3"/>
      <c r="CJ417" s="3"/>
      <c r="CK417" s="3"/>
      <c r="CL417" s="3"/>
      <c r="CM417" s="3"/>
      <c r="CN417" s="3"/>
    </row>
    <row r="418" spans="1:92" ht="14.4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53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80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161"/>
      <c r="BS418" s="161"/>
      <c r="BT418" s="161"/>
      <c r="BU418" s="162"/>
      <c r="BV418" s="163"/>
      <c r="BW418" s="163"/>
      <c r="BX418" s="163"/>
      <c r="BY418" s="163"/>
      <c r="BZ418" s="163"/>
      <c r="CA418" s="163"/>
      <c r="CB418" s="161"/>
      <c r="CC418" s="161"/>
      <c r="CD418" s="161"/>
      <c r="CE418" s="161"/>
      <c r="CF418" s="161"/>
      <c r="CG418" s="3"/>
      <c r="CH418" s="3"/>
      <c r="CI418" s="3"/>
      <c r="CJ418" s="3"/>
      <c r="CK418" s="3"/>
      <c r="CL418" s="3"/>
      <c r="CM418" s="3"/>
      <c r="CN418" s="3"/>
    </row>
    <row r="419" spans="1:92" ht="14.4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53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80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161"/>
      <c r="BS419" s="161"/>
      <c r="BT419" s="161"/>
      <c r="BU419" s="162"/>
      <c r="BV419" s="163"/>
      <c r="BW419" s="163"/>
      <c r="BX419" s="163"/>
      <c r="BY419" s="163"/>
      <c r="BZ419" s="163"/>
      <c r="CA419" s="163"/>
      <c r="CB419" s="161"/>
      <c r="CC419" s="161"/>
      <c r="CD419" s="161"/>
      <c r="CE419" s="161"/>
      <c r="CF419" s="161"/>
      <c r="CG419" s="3"/>
      <c r="CH419" s="3"/>
      <c r="CI419" s="3"/>
      <c r="CJ419" s="3"/>
      <c r="CK419" s="3"/>
      <c r="CL419" s="3"/>
      <c r="CM419" s="3"/>
      <c r="CN419" s="3"/>
    </row>
    <row r="420" spans="1:92" ht="14.4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53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80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161"/>
      <c r="BS420" s="161"/>
      <c r="BT420" s="161"/>
      <c r="BU420" s="162"/>
      <c r="BV420" s="163"/>
      <c r="BW420" s="163"/>
      <c r="BX420" s="163"/>
      <c r="BY420" s="163"/>
      <c r="BZ420" s="163"/>
      <c r="CA420" s="163"/>
      <c r="CB420" s="161"/>
      <c r="CC420" s="161"/>
      <c r="CD420" s="161"/>
      <c r="CE420" s="161"/>
      <c r="CF420" s="161"/>
      <c r="CG420" s="3"/>
      <c r="CH420" s="3"/>
      <c r="CI420" s="3"/>
      <c r="CJ420" s="3"/>
      <c r="CK420" s="3"/>
      <c r="CL420" s="3"/>
      <c r="CM420" s="3"/>
      <c r="CN420" s="3"/>
    </row>
    <row r="421" spans="1:92" ht="14.4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53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80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161"/>
      <c r="BS421" s="161"/>
      <c r="BT421" s="161"/>
      <c r="BU421" s="162"/>
      <c r="BV421" s="163"/>
      <c r="BW421" s="163"/>
      <c r="BX421" s="163"/>
      <c r="BY421" s="163"/>
      <c r="BZ421" s="163"/>
      <c r="CA421" s="163"/>
      <c r="CB421" s="161"/>
      <c r="CC421" s="161"/>
      <c r="CD421" s="161"/>
      <c r="CE421" s="161"/>
      <c r="CF421" s="161"/>
      <c r="CG421" s="3"/>
      <c r="CH421" s="3"/>
      <c r="CI421" s="3"/>
      <c r="CJ421" s="3"/>
      <c r="CK421" s="3"/>
      <c r="CL421" s="3"/>
      <c r="CM421" s="3"/>
      <c r="CN421" s="3"/>
    </row>
    <row r="422" spans="1:92" ht="14.4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53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80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161"/>
      <c r="BS422" s="161"/>
      <c r="BT422" s="161"/>
      <c r="BU422" s="162"/>
      <c r="BV422" s="163"/>
      <c r="BW422" s="163"/>
      <c r="BX422" s="163"/>
      <c r="BY422" s="163"/>
      <c r="BZ422" s="163"/>
      <c r="CA422" s="163"/>
      <c r="CB422" s="161"/>
      <c r="CC422" s="161"/>
      <c r="CD422" s="161"/>
      <c r="CE422" s="161"/>
      <c r="CF422" s="161"/>
      <c r="CG422" s="3"/>
      <c r="CH422" s="3"/>
      <c r="CI422" s="3"/>
      <c r="CJ422" s="3"/>
      <c r="CK422" s="3"/>
      <c r="CL422" s="3"/>
      <c r="CM422" s="3"/>
      <c r="CN422" s="3"/>
    </row>
    <row r="423" spans="1:92" ht="14.4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53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80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161"/>
      <c r="BS423" s="161"/>
      <c r="BT423" s="161"/>
      <c r="BU423" s="162"/>
      <c r="BV423" s="163"/>
      <c r="BW423" s="163"/>
      <c r="BX423" s="163"/>
      <c r="BY423" s="163"/>
      <c r="BZ423" s="163"/>
      <c r="CA423" s="163"/>
      <c r="CB423" s="161"/>
      <c r="CC423" s="161"/>
      <c r="CD423" s="161"/>
      <c r="CE423" s="161"/>
      <c r="CF423" s="161"/>
      <c r="CG423" s="3"/>
      <c r="CH423" s="3"/>
      <c r="CI423" s="3"/>
      <c r="CJ423" s="3"/>
      <c r="CK423" s="3"/>
      <c r="CL423" s="3"/>
      <c r="CM423" s="3"/>
      <c r="CN423" s="3"/>
    </row>
    <row r="424" spans="1:92" ht="14.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53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80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161"/>
      <c r="BS424" s="161"/>
      <c r="BT424" s="161"/>
      <c r="BU424" s="162"/>
      <c r="BV424" s="163"/>
      <c r="BW424" s="163"/>
      <c r="BX424" s="163"/>
      <c r="BY424" s="163"/>
      <c r="BZ424" s="163"/>
      <c r="CA424" s="163"/>
      <c r="CB424" s="161"/>
      <c r="CC424" s="161"/>
      <c r="CD424" s="161"/>
      <c r="CE424" s="161"/>
      <c r="CF424" s="161"/>
      <c r="CG424" s="3"/>
      <c r="CH424" s="3"/>
      <c r="CI424" s="3"/>
      <c r="CJ424" s="3"/>
      <c r="CK424" s="3"/>
      <c r="CL424" s="3"/>
      <c r="CM424" s="3"/>
      <c r="CN424" s="3"/>
    </row>
    <row r="425" spans="1:92" ht="14.4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53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80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161"/>
      <c r="BS425" s="161"/>
      <c r="BT425" s="161"/>
      <c r="BU425" s="162"/>
      <c r="BV425" s="163"/>
      <c r="BW425" s="163"/>
      <c r="BX425" s="163"/>
      <c r="BY425" s="163"/>
      <c r="BZ425" s="163"/>
      <c r="CA425" s="163"/>
      <c r="CB425" s="161"/>
      <c r="CC425" s="161"/>
      <c r="CD425" s="161"/>
      <c r="CE425" s="161"/>
      <c r="CF425" s="161"/>
      <c r="CG425" s="3"/>
      <c r="CH425" s="3"/>
      <c r="CI425" s="3"/>
      <c r="CJ425" s="3"/>
      <c r="CK425" s="3"/>
      <c r="CL425" s="3"/>
      <c r="CM425" s="3"/>
      <c r="CN425" s="3"/>
    </row>
    <row r="426" spans="1:92" ht="14.4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53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80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161"/>
      <c r="BS426" s="161"/>
      <c r="BT426" s="161"/>
      <c r="BU426" s="162"/>
      <c r="BV426" s="163"/>
      <c r="BW426" s="163"/>
      <c r="BX426" s="163"/>
      <c r="BY426" s="163"/>
      <c r="BZ426" s="163"/>
      <c r="CA426" s="163"/>
      <c r="CB426" s="161"/>
      <c r="CC426" s="161"/>
      <c r="CD426" s="161"/>
      <c r="CE426" s="161"/>
      <c r="CF426" s="161"/>
      <c r="CG426" s="3"/>
      <c r="CH426" s="3"/>
      <c r="CI426" s="3"/>
      <c r="CJ426" s="3"/>
      <c r="CK426" s="3"/>
      <c r="CL426" s="3"/>
      <c r="CM426" s="3"/>
      <c r="CN426" s="3"/>
    </row>
    <row r="427" spans="1:92" ht="14.4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53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80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161"/>
      <c r="BS427" s="161"/>
      <c r="BT427" s="161"/>
      <c r="BU427" s="162"/>
      <c r="BV427" s="163"/>
      <c r="BW427" s="163"/>
      <c r="BX427" s="163"/>
      <c r="BY427" s="163"/>
      <c r="BZ427" s="163"/>
      <c r="CA427" s="163"/>
      <c r="CB427" s="161"/>
      <c r="CC427" s="161"/>
      <c r="CD427" s="161"/>
      <c r="CE427" s="161"/>
      <c r="CF427" s="161"/>
      <c r="CG427" s="3"/>
      <c r="CH427" s="3"/>
      <c r="CI427" s="3"/>
      <c r="CJ427" s="3"/>
      <c r="CK427" s="3"/>
      <c r="CL427" s="3"/>
      <c r="CM427" s="3"/>
      <c r="CN427" s="3"/>
    </row>
    <row r="428" spans="1:92" ht="14.4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53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80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161"/>
      <c r="BS428" s="161"/>
      <c r="BT428" s="161"/>
      <c r="BU428" s="162"/>
      <c r="BV428" s="163"/>
      <c r="BW428" s="163"/>
      <c r="BX428" s="163"/>
      <c r="BY428" s="163"/>
      <c r="BZ428" s="163"/>
      <c r="CA428" s="163"/>
      <c r="CB428" s="161"/>
      <c r="CC428" s="161"/>
      <c r="CD428" s="161"/>
      <c r="CE428" s="161"/>
      <c r="CF428" s="161"/>
      <c r="CG428" s="3"/>
      <c r="CH428" s="3"/>
      <c r="CI428" s="3"/>
      <c r="CJ428" s="3"/>
      <c r="CK428" s="3"/>
      <c r="CL428" s="3"/>
      <c r="CM428" s="3"/>
      <c r="CN428" s="3"/>
    </row>
    <row r="429" spans="1:92" ht="14.4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53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80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161"/>
      <c r="BS429" s="161"/>
      <c r="BT429" s="161"/>
      <c r="BU429" s="162"/>
      <c r="BV429" s="163"/>
      <c r="BW429" s="163"/>
      <c r="BX429" s="163"/>
      <c r="BY429" s="163"/>
      <c r="BZ429" s="163"/>
      <c r="CA429" s="163"/>
      <c r="CB429" s="161"/>
      <c r="CC429" s="161"/>
      <c r="CD429" s="161"/>
      <c r="CE429" s="161"/>
      <c r="CF429" s="161"/>
      <c r="CG429" s="3"/>
      <c r="CH429" s="3"/>
      <c r="CI429" s="3"/>
      <c r="CJ429" s="3"/>
      <c r="CK429" s="3"/>
      <c r="CL429" s="3"/>
      <c r="CM429" s="3"/>
      <c r="CN429" s="3"/>
    </row>
    <row r="430" spans="1:92" ht="14.4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53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80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161"/>
      <c r="BS430" s="161"/>
      <c r="BT430" s="161"/>
      <c r="BU430" s="162"/>
      <c r="BV430" s="163"/>
      <c r="BW430" s="163"/>
      <c r="BX430" s="163"/>
      <c r="BY430" s="163"/>
      <c r="BZ430" s="163"/>
      <c r="CA430" s="163"/>
      <c r="CB430" s="161"/>
      <c r="CC430" s="161"/>
      <c r="CD430" s="161"/>
      <c r="CE430" s="161"/>
      <c r="CF430" s="161"/>
      <c r="CG430" s="3"/>
      <c r="CH430" s="3"/>
      <c r="CI430" s="3"/>
      <c r="CJ430" s="3"/>
      <c r="CK430" s="3"/>
      <c r="CL430" s="3"/>
      <c r="CM430" s="3"/>
      <c r="CN430" s="3"/>
    </row>
    <row r="431" spans="1:92" ht="14.4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53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80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161"/>
      <c r="BS431" s="161"/>
      <c r="BT431" s="161"/>
      <c r="BU431" s="162"/>
      <c r="BV431" s="163"/>
      <c r="BW431" s="163"/>
      <c r="BX431" s="163"/>
      <c r="BY431" s="163"/>
      <c r="BZ431" s="163"/>
      <c r="CA431" s="163"/>
      <c r="CB431" s="161"/>
      <c r="CC431" s="161"/>
      <c r="CD431" s="161"/>
      <c r="CE431" s="161"/>
      <c r="CF431" s="161"/>
      <c r="CG431" s="3"/>
      <c r="CH431" s="3"/>
      <c r="CI431" s="3"/>
      <c r="CJ431" s="3"/>
      <c r="CK431" s="3"/>
      <c r="CL431" s="3"/>
      <c r="CM431" s="3"/>
      <c r="CN431" s="3"/>
    </row>
    <row r="432" spans="1:92" ht="14.4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53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80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161"/>
      <c r="BS432" s="161"/>
      <c r="BT432" s="161"/>
      <c r="BU432" s="162"/>
      <c r="BV432" s="163"/>
      <c r="BW432" s="163"/>
      <c r="BX432" s="163"/>
      <c r="BY432" s="163"/>
      <c r="BZ432" s="163"/>
      <c r="CA432" s="163"/>
      <c r="CB432" s="161"/>
      <c r="CC432" s="161"/>
      <c r="CD432" s="161"/>
      <c r="CE432" s="161"/>
      <c r="CF432" s="161"/>
      <c r="CG432" s="3"/>
      <c r="CH432" s="3"/>
      <c r="CI432" s="3"/>
      <c r="CJ432" s="3"/>
      <c r="CK432" s="3"/>
      <c r="CL432" s="3"/>
      <c r="CM432" s="3"/>
      <c r="CN432" s="3"/>
    </row>
    <row r="433" spans="1:92" ht="14.4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53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80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161"/>
      <c r="BS433" s="161"/>
      <c r="BT433" s="161"/>
      <c r="BU433" s="162"/>
      <c r="BV433" s="163"/>
      <c r="BW433" s="163"/>
      <c r="BX433" s="163"/>
      <c r="BY433" s="163"/>
      <c r="BZ433" s="163"/>
      <c r="CA433" s="163"/>
      <c r="CB433" s="161"/>
      <c r="CC433" s="161"/>
      <c r="CD433" s="161"/>
      <c r="CE433" s="161"/>
      <c r="CF433" s="161"/>
      <c r="CG433" s="3"/>
      <c r="CH433" s="3"/>
      <c r="CI433" s="3"/>
      <c r="CJ433" s="3"/>
      <c r="CK433" s="3"/>
      <c r="CL433" s="3"/>
      <c r="CM433" s="3"/>
      <c r="CN433" s="3"/>
    </row>
    <row r="434" spans="1:92" ht="14.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53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80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161"/>
      <c r="BS434" s="161"/>
      <c r="BT434" s="161"/>
      <c r="BU434" s="162"/>
      <c r="BV434" s="163"/>
      <c r="BW434" s="163"/>
      <c r="BX434" s="163"/>
      <c r="BY434" s="163"/>
      <c r="BZ434" s="163"/>
      <c r="CA434" s="163"/>
      <c r="CB434" s="161"/>
      <c r="CC434" s="161"/>
      <c r="CD434" s="161"/>
      <c r="CE434" s="161"/>
      <c r="CF434" s="161"/>
      <c r="CG434" s="3"/>
      <c r="CH434" s="3"/>
      <c r="CI434" s="3"/>
      <c r="CJ434" s="3"/>
      <c r="CK434" s="3"/>
      <c r="CL434" s="3"/>
      <c r="CM434" s="3"/>
      <c r="CN434" s="3"/>
    </row>
    <row r="435" spans="1:92" ht="14.4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53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80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161"/>
      <c r="BS435" s="161"/>
      <c r="BT435" s="161"/>
      <c r="BU435" s="162"/>
      <c r="BV435" s="163"/>
      <c r="BW435" s="163"/>
      <c r="BX435" s="163"/>
      <c r="BY435" s="163"/>
      <c r="BZ435" s="163"/>
      <c r="CA435" s="163"/>
      <c r="CB435" s="161"/>
      <c r="CC435" s="161"/>
      <c r="CD435" s="161"/>
      <c r="CE435" s="161"/>
      <c r="CF435" s="161"/>
      <c r="CG435" s="3"/>
      <c r="CH435" s="3"/>
      <c r="CI435" s="3"/>
      <c r="CJ435" s="3"/>
      <c r="CK435" s="3"/>
      <c r="CL435" s="3"/>
      <c r="CM435" s="3"/>
      <c r="CN435" s="3"/>
    </row>
    <row r="436" spans="1:92" ht="14.4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53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80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161"/>
      <c r="BS436" s="161"/>
      <c r="BT436" s="161"/>
      <c r="BU436" s="162"/>
      <c r="BV436" s="163"/>
      <c r="BW436" s="163"/>
      <c r="BX436" s="163"/>
      <c r="BY436" s="163"/>
      <c r="BZ436" s="163"/>
      <c r="CA436" s="163"/>
      <c r="CB436" s="161"/>
      <c r="CC436" s="161"/>
      <c r="CD436" s="161"/>
      <c r="CE436" s="161"/>
      <c r="CF436" s="161"/>
      <c r="CG436" s="3"/>
      <c r="CH436" s="3"/>
      <c r="CI436" s="3"/>
      <c r="CJ436" s="3"/>
      <c r="CK436" s="3"/>
      <c r="CL436" s="3"/>
      <c r="CM436" s="3"/>
      <c r="CN436" s="3"/>
    </row>
    <row r="437" spans="1:92" ht="14.4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53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80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161"/>
      <c r="BS437" s="161"/>
      <c r="BT437" s="161"/>
      <c r="BU437" s="162"/>
      <c r="BV437" s="163"/>
      <c r="BW437" s="163"/>
      <c r="BX437" s="163"/>
      <c r="BY437" s="163"/>
      <c r="BZ437" s="163"/>
      <c r="CA437" s="163"/>
      <c r="CB437" s="161"/>
      <c r="CC437" s="161"/>
      <c r="CD437" s="161"/>
      <c r="CE437" s="161"/>
      <c r="CF437" s="161"/>
      <c r="CG437" s="3"/>
      <c r="CH437" s="3"/>
      <c r="CI437" s="3"/>
      <c r="CJ437" s="3"/>
      <c r="CK437" s="3"/>
      <c r="CL437" s="3"/>
      <c r="CM437" s="3"/>
      <c r="CN437" s="3"/>
    </row>
    <row r="438" spans="1:92" ht="14.4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53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80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161"/>
      <c r="BS438" s="161"/>
      <c r="BT438" s="161"/>
      <c r="BU438" s="162"/>
      <c r="BV438" s="163"/>
      <c r="BW438" s="163"/>
      <c r="BX438" s="163"/>
      <c r="BY438" s="163"/>
      <c r="BZ438" s="163"/>
      <c r="CA438" s="163"/>
      <c r="CB438" s="161"/>
      <c r="CC438" s="161"/>
      <c r="CD438" s="161"/>
      <c r="CE438" s="161"/>
      <c r="CF438" s="161"/>
      <c r="CG438" s="3"/>
      <c r="CH438" s="3"/>
      <c r="CI438" s="3"/>
      <c r="CJ438" s="3"/>
      <c r="CK438" s="3"/>
      <c r="CL438" s="3"/>
      <c r="CM438" s="3"/>
      <c r="CN438" s="3"/>
    </row>
    <row r="439" spans="1:92" ht="14.4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53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80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161"/>
      <c r="BS439" s="161"/>
      <c r="BT439" s="161"/>
      <c r="BU439" s="162"/>
      <c r="BV439" s="163"/>
      <c r="BW439" s="163"/>
      <c r="BX439" s="163"/>
      <c r="BY439" s="163"/>
      <c r="BZ439" s="163"/>
      <c r="CA439" s="163"/>
      <c r="CB439" s="161"/>
      <c r="CC439" s="161"/>
      <c r="CD439" s="161"/>
      <c r="CE439" s="161"/>
      <c r="CF439" s="161"/>
      <c r="CG439" s="3"/>
      <c r="CH439" s="3"/>
      <c r="CI439" s="3"/>
      <c r="CJ439" s="3"/>
      <c r="CK439" s="3"/>
      <c r="CL439" s="3"/>
      <c r="CM439" s="3"/>
      <c r="CN439" s="3"/>
    </row>
    <row r="440" spans="1:92" ht="14.4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53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80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161"/>
      <c r="BS440" s="161"/>
      <c r="BT440" s="161"/>
      <c r="BU440" s="162"/>
      <c r="BV440" s="163"/>
      <c r="BW440" s="163"/>
      <c r="BX440" s="163"/>
      <c r="BY440" s="163"/>
      <c r="BZ440" s="163"/>
      <c r="CA440" s="163"/>
      <c r="CB440" s="161"/>
      <c r="CC440" s="161"/>
      <c r="CD440" s="161"/>
      <c r="CE440" s="161"/>
      <c r="CF440" s="161"/>
      <c r="CG440" s="3"/>
      <c r="CH440" s="3"/>
      <c r="CI440" s="3"/>
      <c r="CJ440" s="3"/>
      <c r="CK440" s="3"/>
      <c r="CL440" s="3"/>
      <c r="CM440" s="3"/>
      <c r="CN440" s="3"/>
    </row>
    <row r="441" spans="1:92" ht="14.4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53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80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161"/>
      <c r="BS441" s="161"/>
      <c r="BT441" s="161"/>
      <c r="BU441" s="162"/>
      <c r="BV441" s="163"/>
      <c r="BW441" s="163"/>
      <c r="BX441" s="163"/>
      <c r="BY441" s="163"/>
      <c r="BZ441" s="163"/>
      <c r="CA441" s="163"/>
      <c r="CB441" s="161"/>
      <c r="CC441" s="161"/>
      <c r="CD441" s="161"/>
      <c r="CE441" s="161"/>
      <c r="CF441" s="161"/>
      <c r="CG441" s="3"/>
      <c r="CH441" s="3"/>
      <c r="CI441" s="3"/>
      <c r="CJ441" s="3"/>
      <c r="CK441" s="3"/>
      <c r="CL441" s="3"/>
      <c r="CM441" s="3"/>
      <c r="CN441" s="3"/>
    </row>
    <row r="442" spans="1:92" ht="14.4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53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80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161"/>
      <c r="BS442" s="161"/>
      <c r="BT442" s="161"/>
      <c r="BU442" s="162"/>
      <c r="BV442" s="163"/>
      <c r="BW442" s="163"/>
      <c r="BX442" s="163"/>
      <c r="BY442" s="163"/>
      <c r="BZ442" s="163"/>
      <c r="CA442" s="163"/>
      <c r="CB442" s="161"/>
      <c r="CC442" s="161"/>
      <c r="CD442" s="161"/>
      <c r="CE442" s="161"/>
      <c r="CF442" s="161"/>
      <c r="CG442" s="3"/>
      <c r="CH442" s="3"/>
      <c r="CI442" s="3"/>
      <c r="CJ442" s="3"/>
      <c r="CK442" s="3"/>
      <c r="CL442" s="3"/>
      <c r="CM442" s="3"/>
      <c r="CN442" s="3"/>
    </row>
    <row r="443" spans="1:92" ht="14.4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53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80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161"/>
      <c r="BS443" s="161"/>
      <c r="BT443" s="161"/>
      <c r="BU443" s="162"/>
      <c r="BV443" s="163"/>
      <c r="BW443" s="163"/>
      <c r="BX443" s="163"/>
      <c r="BY443" s="163"/>
      <c r="BZ443" s="163"/>
      <c r="CA443" s="163"/>
      <c r="CB443" s="161"/>
      <c r="CC443" s="161"/>
      <c r="CD443" s="161"/>
      <c r="CE443" s="161"/>
      <c r="CF443" s="161"/>
      <c r="CG443" s="3"/>
      <c r="CH443" s="3"/>
      <c r="CI443" s="3"/>
      <c r="CJ443" s="3"/>
      <c r="CK443" s="3"/>
      <c r="CL443" s="3"/>
      <c r="CM443" s="3"/>
      <c r="CN443" s="3"/>
    </row>
    <row r="444" spans="1:92" ht="14.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53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80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161"/>
      <c r="BS444" s="161"/>
      <c r="BT444" s="161"/>
      <c r="BU444" s="162"/>
      <c r="BV444" s="163"/>
      <c r="BW444" s="163"/>
      <c r="BX444" s="163"/>
      <c r="BY444" s="163"/>
      <c r="BZ444" s="163"/>
      <c r="CA444" s="163"/>
      <c r="CB444" s="161"/>
      <c r="CC444" s="161"/>
      <c r="CD444" s="161"/>
      <c r="CE444" s="161"/>
      <c r="CF444" s="161"/>
      <c r="CG444" s="3"/>
      <c r="CH444" s="3"/>
      <c r="CI444" s="3"/>
      <c r="CJ444" s="3"/>
      <c r="CK444" s="3"/>
      <c r="CL444" s="3"/>
      <c r="CM444" s="3"/>
      <c r="CN444" s="3"/>
    </row>
    <row r="445" spans="1:92" ht="14.4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53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80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161"/>
      <c r="BS445" s="161"/>
      <c r="BT445" s="161"/>
      <c r="BU445" s="162"/>
      <c r="BV445" s="163"/>
      <c r="BW445" s="163"/>
      <c r="BX445" s="163"/>
      <c r="BY445" s="163"/>
      <c r="BZ445" s="163"/>
      <c r="CA445" s="163"/>
      <c r="CB445" s="161"/>
      <c r="CC445" s="161"/>
      <c r="CD445" s="161"/>
      <c r="CE445" s="161"/>
      <c r="CF445" s="161"/>
      <c r="CG445" s="3"/>
      <c r="CH445" s="3"/>
      <c r="CI445" s="3"/>
      <c r="CJ445" s="3"/>
      <c r="CK445" s="3"/>
      <c r="CL445" s="3"/>
      <c r="CM445" s="3"/>
      <c r="CN445" s="3"/>
    </row>
    <row r="446" spans="1:92" ht="14.4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53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80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161"/>
      <c r="BS446" s="161"/>
      <c r="BT446" s="161"/>
      <c r="BU446" s="162"/>
      <c r="BV446" s="163"/>
      <c r="BW446" s="163"/>
      <c r="BX446" s="163"/>
      <c r="BY446" s="163"/>
      <c r="BZ446" s="163"/>
      <c r="CA446" s="163"/>
      <c r="CB446" s="161"/>
      <c r="CC446" s="161"/>
      <c r="CD446" s="161"/>
      <c r="CE446" s="161"/>
      <c r="CF446" s="161"/>
      <c r="CG446" s="3"/>
      <c r="CH446" s="3"/>
      <c r="CI446" s="3"/>
      <c r="CJ446" s="3"/>
      <c r="CK446" s="3"/>
      <c r="CL446" s="3"/>
      <c r="CM446" s="3"/>
      <c r="CN446" s="3"/>
    </row>
    <row r="447" spans="1:92" ht="14.4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53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80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161"/>
      <c r="BS447" s="161"/>
      <c r="BT447" s="161"/>
      <c r="BU447" s="162"/>
      <c r="BV447" s="163"/>
      <c r="BW447" s="163"/>
      <c r="BX447" s="163"/>
      <c r="BY447" s="163"/>
      <c r="BZ447" s="163"/>
      <c r="CA447" s="163"/>
      <c r="CB447" s="161"/>
      <c r="CC447" s="161"/>
      <c r="CD447" s="161"/>
      <c r="CE447" s="161"/>
      <c r="CF447" s="161"/>
      <c r="CG447" s="3"/>
      <c r="CH447" s="3"/>
      <c r="CI447" s="3"/>
      <c r="CJ447" s="3"/>
      <c r="CK447" s="3"/>
      <c r="CL447" s="3"/>
      <c r="CM447" s="3"/>
      <c r="CN447" s="3"/>
    </row>
    <row r="448" spans="1:92" ht="14.4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53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80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161"/>
      <c r="BS448" s="161"/>
      <c r="BT448" s="161"/>
      <c r="BU448" s="162"/>
      <c r="BV448" s="163"/>
      <c r="BW448" s="163"/>
      <c r="BX448" s="163"/>
      <c r="BY448" s="163"/>
      <c r="BZ448" s="163"/>
      <c r="CA448" s="163"/>
      <c r="CB448" s="161"/>
      <c r="CC448" s="161"/>
      <c r="CD448" s="161"/>
      <c r="CE448" s="161"/>
      <c r="CF448" s="161"/>
      <c r="CG448" s="3"/>
      <c r="CH448" s="3"/>
      <c r="CI448" s="3"/>
      <c r="CJ448" s="3"/>
      <c r="CK448" s="3"/>
      <c r="CL448" s="3"/>
      <c r="CM448" s="3"/>
      <c r="CN448" s="3"/>
    </row>
    <row r="449" spans="1:92" ht="14.4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53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80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161"/>
      <c r="BS449" s="161"/>
      <c r="BT449" s="161"/>
      <c r="BU449" s="162"/>
      <c r="BV449" s="163"/>
      <c r="BW449" s="163"/>
      <c r="BX449" s="163"/>
      <c r="BY449" s="163"/>
      <c r="BZ449" s="163"/>
      <c r="CA449" s="163"/>
      <c r="CB449" s="161"/>
      <c r="CC449" s="161"/>
      <c r="CD449" s="161"/>
      <c r="CE449" s="161"/>
      <c r="CF449" s="161"/>
      <c r="CG449" s="3"/>
      <c r="CH449" s="3"/>
      <c r="CI449" s="3"/>
      <c r="CJ449" s="3"/>
      <c r="CK449" s="3"/>
      <c r="CL449" s="3"/>
      <c r="CM449" s="3"/>
      <c r="CN449" s="3"/>
    </row>
    <row r="450" spans="1:92" ht="14.4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53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80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161"/>
      <c r="BS450" s="161"/>
      <c r="BT450" s="161"/>
      <c r="BU450" s="162"/>
      <c r="BV450" s="163"/>
      <c r="BW450" s="163"/>
      <c r="BX450" s="163"/>
      <c r="BY450" s="163"/>
      <c r="BZ450" s="163"/>
      <c r="CA450" s="163"/>
      <c r="CB450" s="161"/>
      <c r="CC450" s="161"/>
      <c r="CD450" s="161"/>
      <c r="CE450" s="161"/>
      <c r="CF450" s="161"/>
      <c r="CG450" s="3"/>
      <c r="CH450" s="3"/>
      <c r="CI450" s="3"/>
      <c r="CJ450" s="3"/>
      <c r="CK450" s="3"/>
      <c r="CL450" s="3"/>
      <c r="CM450" s="3"/>
      <c r="CN450" s="3"/>
    </row>
    <row r="451" spans="1:92" ht="14.4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53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80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161"/>
      <c r="BS451" s="161"/>
      <c r="BT451" s="161"/>
      <c r="BU451" s="162"/>
      <c r="BV451" s="163"/>
      <c r="BW451" s="163"/>
      <c r="BX451" s="163"/>
      <c r="BY451" s="163"/>
      <c r="BZ451" s="163"/>
      <c r="CA451" s="163"/>
      <c r="CB451" s="161"/>
      <c r="CC451" s="161"/>
      <c r="CD451" s="161"/>
      <c r="CE451" s="161"/>
      <c r="CF451" s="161"/>
      <c r="CG451" s="3"/>
      <c r="CH451" s="3"/>
      <c r="CI451" s="3"/>
      <c r="CJ451" s="3"/>
      <c r="CK451" s="3"/>
      <c r="CL451" s="3"/>
      <c r="CM451" s="3"/>
      <c r="CN451" s="3"/>
    </row>
    <row r="452" spans="1:92" ht="14.4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53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80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161"/>
      <c r="BS452" s="161"/>
      <c r="BT452" s="161"/>
      <c r="BU452" s="162"/>
      <c r="BV452" s="163"/>
      <c r="BW452" s="163"/>
      <c r="BX452" s="163"/>
      <c r="BY452" s="163"/>
      <c r="BZ452" s="163"/>
      <c r="CA452" s="163"/>
      <c r="CB452" s="161"/>
      <c r="CC452" s="161"/>
      <c r="CD452" s="161"/>
      <c r="CE452" s="161"/>
      <c r="CF452" s="161"/>
      <c r="CG452" s="3"/>
      <c r="CH452" s="3"/>
      <c r="CI452" s="3"/>
      <c r="CJ452" s="3"/>
      <c r="CK452" s="3"/>
      <c r="CL452" s="3"/>
      <c r="CM452" s="3"/>
      <c r="CN452" s="3"/>
    </row>
    <row r="453" spans="1:92" ht="14.4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53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80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161"/>
      <c r="BS453" s="161"/>
      <c r="BT453" s="161"/>
      <c r="BU453" s="162"/>
      <c r="BV453" s="163"/>
      <c r="BW453" s="163"/>
      <c r="BX453" s="163"/>
      <c r="BY453" s="163"/>
      <c r="BZ453" s="163"/>
      <c r="CA453" s="163"/>
      <c r="CB453" s="161"/>
      <c r="CC453" s="161"/>
      <c r="CD453" s="161"/>
      <c r="CE453" s="161"/>
      <c r="CF453" s="161"/>
      <c r="CG453" s="3"/>
      <c r="CH453" s="3"/>
      <c r="CI453" s="3"/>
      <c r="CJ453" s="3"/>
      <c r="CK453" s="3"/>
      <c r="CL453" s="3"/>
      <c r="CM453" s="3"/>
      <c r="CN453" s="3"/>
    </row>
    <row r="454" spans="1:92" ht="14.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53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80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161"/>
      <c r="BS454" s="161"/>
      <c r="BT454" s="161"/>
      <c r="BU454" s="162"/>
      <c r="BV454" s="163"/>
      <c r="BW454" s="163"/>
      <c r="BX454" s="163"/>
      <c r="BY454" s="163"/>
      <c r="BZ454" s="163"/>
      <c r="CA454" s="163"/>
      <c r="CB454" s="161"/>
      <c r="CC454" s="161"/>
      <c r="CD454" s="161"/>
      <c r="CE454" s="161"/>
      <c r="CF454" s="161"/>
      <c r="CG454" s="3"/>
      <c r="CH454" s="3"/>
      <c r="CI454" s="3"/>
      <c r="CJ454" s="3"/>
      <c r="CK454" s="3"/>
      <c r="CL454" s="3"/>
      <c r="CM454" s="3"/>
      <c r="CN454" s="3"/>
    </row>
    <row r="455" spans="1:92" ht="14.4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53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80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161"/>
      <c r="BS455" s="161"/>
      <c r="BT455" s="161"/>
      <c r="BU455" s="162"/>
      <c r="BV455" s="163"/>
      <c r="BW455" s="163"/>
      <c r="BX455" s="163"/>
      <c r="BY455" s="163"/>
      <c r="BZ455" s="163"/>
      <c r="CA455" s="163"/>
      <c r="CB455" s="161"/>
      <c r="CC455" s="161"/>
      <c r="CD455" s="161"/>
      <c r="CE455" s="161"/>
      <c r="CF455" s="161"/>
      <c r="CG455" s="3"/>
      <c r="CH455" s="3"/>
      <c r="CI455" s="3"/>
      <c r="CJ455" s="3"/>
      <c r="CK455" s="3"/>
      <c r="CL455" s="3"/>
      <c r="CM455" s="3"/>
      <c r="CN455" s="3"/>
    </row>
    <row r="456" spans="1:92" ht="14.4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53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80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161"/>
      <c r="BS456" s="161"/>
      <c r="BT456" s="161"/>
      <c r="BU456" s="162"/>
      <c r="BV456" s="163"/>
      <c r="BW456" s="163"/>
      <c r="BX456" s="163"/>
      <c r="BY456" s="163"/>
      <c r="BZ456" s="163"/>
      <c r="CA456" s="163"/>
      <c r="CB456" s="161"/>
      <c r="CC456" s="161"/>
      <c r="CD456" s="161"/>
      <c r="CE456" s="161"/>
      <c r="CF456" s="161"/>
      <c r="CG456" s="3"/>
      <c r="CH456" s="3"/>
      <c r="CI456" s="3"/>
      <c r="CJ456" s="3"/>
      <c r="CK456" s="3"/>
      <c r="CL456" s="3"/>
      <c r="CM456" s="3"/>
      <c r="CN456" s="3"/>
    </row>
    <row r="457" spans="1:92" ht="14.4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53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80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161"/>
      <c r="BS457" s="161"/>
      <c r="BT457" s="161"/>
      <c r="BU457" s="162"/>
      <c r="BV457" s="163"/>
      <c r="BW457" s="163"/>
      <c r="BX457" s="163"/>
      <c r="BY457" s="163"/>
      <c r="BZ457" s="163"/>
      <c r="CA457" s="163"/>
      <c r="CB457" s="161"/>
      <c r="CC457" s="161"/>
      <c r="CD457" s="161"/>
      <c r="CE457" s="161"/>
      <c r="CF457" s="161"/>
      <c r="CG457" s="3"/>
      <c r="CH457" s="3"/>
      <c r="CI457" s="3"/>
      <c r="CJ457" s="3"/>
      <c r="CK457" s="3"/>
      <c r="CL457" s="3"/>
      <c r="CM457" s="3"/>
      <c r="CN457" s="3"/>
    </row>
    <row r="458" spans="1:92" ht="14.4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53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80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161"/>
      <c r="BS458" s="161"/>
      <c r="BT458" s="161"/>
      <c r="BU458" s="162"/>
      <c r="BV458" s="163"/>
      <c r="BW458" s="163"/>
      <c r="BX458" s="163"/>
      <c r="BY458" s="163"/>
      <c r="BZ458" s="163"/>
      <c r="CA458" s="163"/>
      <c r="CB458" s="161"/>
      <c r="CC458" s="161"/>
      <c r="CD458" s="161"/>
      <c r="CE458" s="161"/>
      <c r="CF458" s="161"/>
      <c r="CG458" s="3"/>
      <c r="CH458" s="3"/>
      <c r="CI458" s="3"/>
      <c r="CJ458" s="3"/>
      <c r="CK458" s="3"/>
      <c r="CL458" s="3"/>
      <c r="CM458" s="3"/>
      <c r="CN458" s="3"/>
    </row>
    <row r="459" spans="1:92" ht="14.4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53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80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161"/>
      <c r="BS459" s="161"/>
      <c r="BT459" s="161"/>
      <c r="BU459" s="162"/>
      <c r="BV459" s="163"/>
      <c r="BW459" s="163"/>
      <c r="BX459" s="163"/>
      <c r="BY459" s="163"/>
      <c r="BZ459" s="163"/>
      <c r="CA459" s="163"/>
      <c r="CB459" s="161"/>
      <c r="CC459" s="161"/>
      <c r="CD459" s="161"/>
      <c r="CE459" s="161"/>
      <c r="CF459" s="161"/>
      <c r="CG459" s="3"/>
      <c r="CH459" s="3"/>
      <c r="CI459" s="3"/>
      <c r="CJ459" s="3"/>
      <c r="CK459" s="3"/>
      <c r="CL459" s="3"/>
      <c r="CM459" s="3"/>
      <c r="CN459" s="3"/>
    </row>
    <row r="460" spans="1:92" ht="14.4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53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80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161"/>
      <c r="BS460" s="161"/>
      <c r="BT460" s="161"/>
      <c r="BU460" s="162"/>
      <c r="BV460" s="163"/>
      <c r="BW460" s="163"/>
      <c r="BX460" s="163"/>
      <c r="BY460" s="163"/>
      <c r="BZ460" s="163"/>
      <c r="CA460" s="163"/>
      <c r="CB460" s="161"/>
      <c r="CC460" s="161"/>
      <c r="CD460" s="161"/>
      <c r="CE460" s="161"/>
      <c r="CF460" s="161"/>
      <c r="CG460" s="3"/>
      <c r="CH460" s="3"/>
      <c r="CI460" s="3"/>
      <c r="CJ460" s="3"/>
      <c r="CK460" s="3"/>
      <c r="CL460" s="3"/>
      <c r="CM460" s="3"/>
      <c r="CN460" s="3"/>
    </row>
    <row r="461" spans="1:92" ht="14.4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53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80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161"/>
      <c r="BS461" s="161"/>
      <c r="BT461" s="161"/>
      <c r="BU461" s="162"/>
      <c r="BV461" s="163"/>
      <c r="BW461" s="163"/>
      <c r="BX461" s="163"/>
      <c r="BY461" s="163"/>
      <c r="BZ461" s="163"/>
      <c r="CA461" s="163"/>
      <c r="CB461" s="161"/>
      <c r="CC461" s="161"/>
      <c r="CD461" s="161"/>
      <c r="CE461" s="161"/>
      <c r="CF461" s="161"/>
      <c r="CG461" s="3"/>
      <c r="CH461" s="3"/>
      <c r="CI461" s="3"/>
      <c r="CJ461" s="3"/>
      <c r="CK461" s="3"/>
      <c r="CL461" s="3"/>
      <c r="CM461" s="3"/>
      <c r="CN461" s="3"/>
    </row>
    <row r="462" spans="1:92" ht="14.4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53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80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161"/>
      <c r="BS462" s="161"/>
      <c r="BT462" s="161"/>
      <c r="BU462" s="162"/>
      <c r="BV462" s="163"/>
      <c r="BW462" s="163"/>
      <c r="BX462" s="163"/>
      <c r="BY462" s="163"/>
      <c r="BZ462" s="163"/>
      <c r="CA462" s="163"/>
      <c r="CB462" s="161"/>
      <c r="CC462" s="161"/>
      <c r="CD462" s="161"/>
      <c r="CE462" s="161"/>
      <c r="CF462" s="161"/>
      <c r="CG462" s="3"/>
      <c r="CH462" s="3"/>
      <c r="CI462" s="3"/>
      <c r="CJ462" s="3"/>
      <c r="CK462" s="3"/>
      <c r="CL462" s="3"/>
      <c r="CM462" s="3"/>
      <c r="CN462" s="3"/>
    </row>
    <row r="463" spans="1:92" ht="14.4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53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80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161"/>
      <c r="BS463" s="161"/>
      <c r="BT463" s="161"/>
      <c r="BU463" s="162"/>
      <c r="BV463" s="163"/>
      <c r="BW463" s="163"/>
      <c r="BX463" s="163"/>
      <c r="BY463" s="163"/>
      <c r="BZ463" s="163"/>
      <c r="CA463" s="163"/>
      <c r="CB463" s="161"/>
      <c r="CC463" s="161"/>
      <c r="CD463" s="161"/>
      <c r="CE463" s="161"/>
      <c r="CF463" s="161"/>
      <c r="CG463" s="3"/>
      <c r="CH463" s="3"/>
      <c r="CI463" s="3"/>
      <c r="CJ463" s="3"/>
      <c r="CK463" s="3"/>
      <c r="CL463" s="3"/>
      <c r="CM463" s="3"/>
      <c r="CN463" s="3"/>
    </row>
    <row r="464" spans="1:92" ht="14.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53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80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161"/>
      <c r="BS464" s="161"/>
      <c r="BT464" s="161"/>
      <c r="BU464" s="162"/>
      <c r="BV464" s="163"/>
      <c r="BW464" s="163"/>
      <c r="BX464" s="163"/>
      <c r="BY464" s="163"/>
      <c r="BZ464" s="163"/>
      <c r="CA464" s="163"/>
      <c r="CB464" s="161"/>
      <c r="CC464" s="161"/>
      <c r="CD464" s="161"/>
      <c r="CE464" s="161"/>
      <c r="CF464" s="161"/>
      <c r="CG464" s="3"/>
      <c r="CH464" s="3"/>
      <c r="CI464" s="3"/>
      <c r="CJ464" s="3"/>
      <c r="CK464" s="3"/>
      <c r="CL464" s="3"/>
      <c r="CM464" s="3"/>
      <c r="CN464" s="3"/>
    </row>
    <row r="465" spans="1:92" ht="14.4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53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80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161"/>
      <c r="BS465" s="161"/>
      <c r="BT465" s="161"/>
      <c r="BU465" s="162"/>
      <c r="BV465" s="163"/>
      <c r="BW465" s="163"/>
      <c r="BX465" s="163"/>
      <c r="BY465" s="163"/>
      <c r="BZ465" s="163"/>
      <c r="CA465" s="163"/>
      <c r="CB465" s="161"/>
      <c r="CC465" s="161"/>
      <c r="CD465" s="161"/>
      <c r="CE465" s="161"/>
      <c r="CF465" s="161"/>
      <c r="CG465" s="3"/>
      <c r="CH465" s="3"/>
      <c r="CI465" s="3"/>
      <c r="CJ465" s="3"/>
      <c r="CK465" s="3"/>
      <c r="CL465" s="3"/>
      <c r="CM465" s="3"/>
      <c r="CN465" s="3"/>
    </row>
    <row r="466" spans="1:92" ht="14.4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53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80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161"/>
      <c r="BS466" s="161"/>
      <c r="BT466" s="161"/>
      <c r="BU466" s="162"/>
      <c r="BV466" s="163"/>
      <c r="BW466" s="163"/>
      <c r="BX466" s="163"/>
      <c r="BY466" s="163"/>
      <c r="BZ466" s="163"/>
      <c r="CA466" s="163"/>
      <c r="CB466" s="161"/>
      <c r="CC466" s="161"/>
      <c r="CD466" s="161"/>
      <c r="CE466" s="161"/>
      <c r="CF466" s="161"/>
      <c r="CG466" s="3"/>
      <c r="CH466" s="3"/>
      <c r="CI466" s="3"/>
      <c r="CJ466" s="3"/>
      <c r="CK466" s="3"/>
      <c r="CL466" s="3"/>
      <c r="CM466" s="3"/>
      <c r="CN466" s="3"/>
    </row>
    <row r="467" spans="1:92" ht="14.4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53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80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161"/>
      <c r="BS467" s="161"/>
      <c r="BT467" s="161"/>
      <c r="BU467" s="162"/>
      <c r="BV467" s="163"/>
      <c r="BW467" s="163"/>
      <c r="BX467" s="163"/>
      <c r="BY467" s="163"/>
      <c r="BZ467" s="163"/>
      <c r="CA467" s="163"/>
      <c r="CB467" s="161"/>
      <c r="CC467" s="161"/>
      <c r="CD467" s="161"/>
      <c r="CE467" s="161"/>
      <c r="CF467" s="161"/>
      <c r="CG467" s="3"/>
      <c r="CH467" s="3"/>
      <c r="CI467" s="3"/>
      <c r="CJ467" s="3"/>
      <c r="CK467" s="3"/>
      <c r="CL467" s="3"/>
      <c r="CM467" s="3"/>
      <c r="CN467" s="3"/>
    </row>
    <row r="468" spans="1:92" ht="14.4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53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80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161"/>
      <c r="BS468" s="161"/>
      <c r="BT468" s="161"/>
      <c r="BU468" s="162"/>
      <c r="BV468" s="163"/>
      <c r="BW468" s="163"/>
      <c r="BX468" s="163"/>
      <c r="BY468" s="163"/>
      <c r="BZ468" s="163"/>
      <c r="CA468" s="163"/>
      <c r="CB468" s="161"/>
      <c r="CC468" s="161"/>
      <c r="CD468" s="161"/>
      <c r="CE468" s="161"/>
      <c r="CF468" s="161"/>
      <c r="CG468" s="3"/>
      <c r="CH468" s="3"/>
      <c r="CI468" s="3"/>
      <c r="CJ468" s="3"/>
      <c r="CK468" s="3"/>
      <c r="CL468" s="3"/>
      <c r="CM468" s="3"/>
      <c r="CN468" s="3"/>
    </row>
    <row r="469" spans="1:92" ht="14.4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53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80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161"/>
      <c r="BS469" s="161"/>
      <c r="BT469" s="161"/>
      <c r="BU469" s="162"/>
      <c r="BV469" s="163"/>
      <c r="BW469" s="163"/>
      <c r="BX469" s="163"/>
      <c r="BY469" s="163"/>
      <c r="BZ469" s="163"/>
      <c r="CA469" s="163"/>
      <c r="CB469" s="161"/>
      <c r="CC469" s="161"/>
      <c r="CD469" s="161"/>
      <c r="CE469" s="161"/>
      <c r="CF469" s="161"/>
      <c r="CG469" s="3"/>
      <c r="CH469" s="3"/>
      <c r="CI469" s="3"/>
      <c r="CJ469" s="3"/>
      <c r="CK469" s="3"/>
      <c r="CL469" s="3"/>
      <c r="CM469" s="3"/>
      <c r="CN469" s="3"/>
    </row>
    <row r="470" spans="1:92" ht="14.4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53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80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161"/>
      <c r="BS470" s="161"/>
      <c r="BT470" s="161"/>
      <c r="BU470" s="162"/>
      <c r="BV470" s="163"/>
      <c r="BW470" s="163"/>
      <c r="BX470" s="163"/>
      <c r="BY470" s="163"/>
      <c r="BZ470" s="163"/>
      <c r="CA470" s="163"/>
      <c r="CB470" s="161"/>
      <c r="CC470" s="161"/>
      <c r="CD470" s="161"/>
      <c r="CE470" s="161"/>
      <c r="CF470" s="161"/>
      <c r="CG470" s="3"/>
      <c r="CH470" s="3"/>
      <c r="CI470" s="3"/>
      <c r="CJ470" s="3"/>
      <c r="CK470" s="3"/>
      <c r="CL470" s="3"/>
      <c r="CM470" s="3"/>
      <c r="CN470" s="3"/>
    </row>
    <row r="471" spans="1:92" ht="14.4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53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80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161"/>
      <c r="BS471" s="161"/>
      <c r="BT471" s="161"/>
      <c r="BU471" s="162"/>
      <c r="BV471" s="163"/>
      <c r="BW471" s="163"/>
      <c r="BX471" s="163"/>
      <c r="BY471" s="163"/>
      <c r="BZ471" s="163"/>
      <c r="CA471" s="163"/>
      <c r="CB471" s="161"/>
      <c r="CC471" s="161"/>
      <c r="CD471" s="161"/>
      <c r="CE471" s="161"/>
      <c r="CF471" s="161"/>
      <c r="CG471" s="3"/>
      <c r="CH471" s="3"/>
      <c r="CI471" s="3"/>
      <c r="CJ471" s="3"/>
      <c r="CK471" s="3"/>
      <c r="CL471" s="3"/>
      <c r="CM471" s="3"/>
      <c r="CN471" s="3"/>
    </row>
    <row r="472" spans="1:92" ht="14.4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53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80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161"/>
      <c r="BS472" s="161"/>
      <c r="BT472" s="161"/>
      <c r="BU472" s="162"/>
      <c r="BV472" s="163"/>
      <c r="BW472" s="163"/>
      <c r="BX472" s="163"/>
      <c r="BY472" s="163"/>
      <c r="BZ472" s="163"/>
      <c r="CA472" s="163"/>
      <c r="CB472" s="161"/>
      <c r="CC472" s="161"/>
      <c r="CD472" s="161"/>
      <c r="CE472" s="161"/>
      <c r="CF472" s="161"/>
      <c r="CG472" s="3"/>
      <c r="CH472" s="3"/>
      <c r="CI472" s="3"/>
      <c r="CJ472" s="3"/>
      <c r="CK472" s="3"/>
      <c r="CL472" s="3"/>
      <c r="CM472" s="3"/>
      <c r="CN472" s="3"/>
    </row>
    <row r="473" spans="1:92" ht="14.4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53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80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161"/>
      <c r="BS473" s="161"/>
      <c r="BT473" s="161"/>
      <c r="BU473" s="162"/>
      <c r="BV473" s="163"/>
      <c r="BW473" s="163"/>
      <c r="BX473" s="163"/>
      <c r="BY473" s="163"/>
      <c r="BZ473" s="163"/>
      <c r="CA473" s="163"/>
      <c r="CB473" s="161"/>
      <c r="CC473" s="161"/>
      <c r="CD473" s="161"/>
      <c r="CE473" s="161"/>
      <c r="CF473" s="161"/>
      <c r="CG473" s="3"/>
      <c r="CH473" s="3"/>
      <c r="CI473" s="3"/>
      <c r="CJ473" s="3"/>
      <c r="CK473" s="3"/>
      <c r="CL473" s="3"/>
      <c r="CM473" s="3"/>
      <c r="CN473" s="3"/>
    </row>
    <row r="474" spans="1:92" ht="14.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53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80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161"/>
      <c r="BS474" s="161"/>
      <c r="BT474" s="161"/>
      <c r="BU474" s="162"/>
      <c r="BV474" s="163"/>
      <c r="BW474" s="163"/>
      <c r="BX474" s="163"/>
      <c r="BY474" s="163"/>
      <c r="BZ474" s="163"/>
      <c r="CA474" s="163"/>
      <c r="CB474" s="161"/>
      <c r="CC474" s="161"/>
      <c r="CD474" s="161"/>
      <c r="CE474" s="161"/>
      <c r="CF474" s="161"/>
      <c r="CG474" s="3"/>
      <c r="CH474" s="3"/>
      <c r="CI474" s="3"/>
      <c r="CJ474" s="3"/>
      <c r="CK474" s="3"/>
      <c r="CL474" s="3"/>
      <c r="CM474" s="3"/>
      <c r="CN474" s="3"/>
    </row>
    <row r="475" spans="1:92" ht="14.4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53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80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161"/>
      <c r="BS475" s="161"/>
      <c r="BT475" s="161"/>
      <c r="BU475" s="162"/>
      <c r="BV475" s="163"/>
      <c r="BW475" s="163"/>
      <c r="BX475" s="163"/>
      <c r="BY475" s="163"/>
      <c r="BZ475" s="163"/>
      <c r="CA475" s="163"/>
      <c r="CB475" s="161"/>
      <c r="CC475" s="161"/>
      <c r="CD475" s="161"/>
      <c r="CE475" s="161"/>
      <c r="CF475" s="161"/>
      <c r="CG475" s="3"/>
      <c r="CH475" s="3"/>
      <c r="CI475" s="3"/>
      <c r="CJ475" s="3"/>
      <c r="CK475" s="3"/>
      <c r="CL475" s="3"/>
      <c r="CM475" s="3"/>
      <c r="CN475" s="3"/>
    </row>
    <row r="476" spans="1:92" ht="14.4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53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80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161"/>
      <c r="BS476" s="161"/>
      <c r="BT476" s="161"/>
      <c r="BU476" s="162"/>
      <c r="BV476" s="163"/>
      <c r="BW476" s="163"/>
      <c r="BX476" s="163"/>
      <c r="BY476" s="163"/>
      <c r="BZ476" s="163"/>
      <c r="CA476" s="163"/>
      <c r="CB476" s="161"/>
      <c r="CC476" s="161"/>
      <c r="CD476" s="161"/>
      <c r="CE476" s="161"/>
      <c r="CF476" s="161"/>
      <c r="CG476" s="3"/>
      <c r="CH476" s="3"/>
      <c r="CI476" s="3"/>
      <c r="CJ476" s="3"/>
      <c r="CK476" s="3"/>
      <c r="CL476" s="3"/>
      <c r="CM476" s="3"/>
      <c r="CN476" s="3"/>
    </row>
    <row r="477" spans="1:92" ht="14.4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53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80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161"/>
      <c r="BS477" s="161"/>
      <c r="BT477" s="161"/>
      <c r="BU477" s="162"/>
      <c r="BV477" s="163"/>
      <c r="BW477" s="163"/>
      <c r="BX477" s="163"/>
      <c r="BY477" s="163"/>
      <c r="BZ477" s="163"/>
      <c r="CA477" s="163"/>
      <c r="CB477" s="161"/>
      <c r="CC477" s="161"/>
      <c r="CD477" s="161"/>
      <c r="CE477" s="161"/>
      <c r="CF477" s="161"/>
      <c r="CG477" s="3"/>
      <c r="CH477" s="3"/>
      <c r="CI477" s="3"/>
      <c r="CJ477" s="3"/>
      <c r="CK477" s="3"/>
      <c r="CL477" s="3"/>
      <c r="CM477" s="3"/>
      <c r="CN477" s="3"/>
    </row>
    <row r="478" spans="1:92" ht="14.4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53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80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161"/>
      <c r="BS478" s="161"/>
      <c r="BT478" s="161"/>
      <c r="BU478" s="162"/>
      <c r="BV478" s="163"/>
      <c r="BW478" s="163"/>
      <c r="BX478" s="163"/>
      <c r="BY478" s="163"/>
      <c r="BZ478" s="163"/>
      <c r="CA478" s="163"/>
      <c r="CB478" s="161"/>
      <c r="CC478" s="161"/>
      <c r="CD478" s="161"/>
      <c r="CE478" s="161"/>
      <c r="CF478" s="161"/>
      <c r="CG478" s="3"/>
      <c r="CH478" s="3"/>
      <c r="CI478" s="3"/>
      <c r="CJ478" s="3"/>
      <c r="CK478" s="3"/>
      <c r="CL478" s="3"/>
      <c r="CM478" s="3"/>
      <c r="CN478" s="3"/>
    </row>
    <row r="479" spans="1:92" ht="14.4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53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80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161"/>
      <c r="BS479" s="161"/>
      <c r="BT479" s="161"/>
      <c r="BU479" s="162"/>
      <c r="BV479" s="163"/>
      <c r="BW479" s="163"/>
      <c r="BX479" s="163"/>
      <c r="BY479" s="163"/>
      <c r="BZ479" s="163"/>
      <c r="CA479" s="163"/>
      <c r="CB479" s="161"/>
      <c r="CC479" s="161"/>
      <c r="CD479" s="161"/>
      <c r="CE479" s="161"/>
      <c r="CF479" s="161"/>
      <c r="CG479" s="3"/>
      <c r="CH479" s="3"/>
      <c r="CI479" s="3"/>
      <c r="CJ479" s="3"/>
      <c r="CK479" s="3"/>
      <c r="CL479" s="3"/>
      <c r="CM479" s="3"/>
      <c r="CN479" s="3"/>
    </row>
    <row r="480" spans="1:92" ht="14.4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53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80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161"/>
      <c r="BS480" s="161"/>
      <c r="BT480" s="161"/>
      <c r="BU480" s="162"/>
      <c r="BV480" s="163"/>
      <c r="BW480" s="163"/>
      <c r="BX480" s="163"/>
      <c r="BY480" s="163"/>
      <c r="BZ480" s="163"/>
      <c r="CA480" s="163"/>
      <c r="CB480" s="161"/>
      <c r="CC480" s="161"/>
      <c r="CD480" s="161"/>
      <c r="CE480" s="161"/>
      <c r="CF480" s="161"/>
      <c r="CG480" s="3"/>
      <c r="CH480" s="3"/>
      <c r="CI480" s="3"/>
      <c r="CJ480" s="3"/>
      <c r="CK480" s="3"/>
      <c r="CL480" s="3"/>
      <c r="CM480" s="3"/>
      <c r="CN480" s="3"/>
    </row>
    <row r="481" spans="1:92" ht="14.4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53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80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161"/>
      <c r="BS481" s="161"/>
      <c r="BT481" s="161"/>
      <c r="BU481" s="162"/>
      <c r="BV481" s="163"/>
      <c r="BW481" s="163"/>
      <c r="BX481" s="163"/>
      <c r="BY481" s="163"/>
      <c r="BZ481" s="163"/>
      <c r="CA481" s="163"/>
      <c r="CB481" s="161"/>
      <c r="CC481" s="161"/>
      <c r="CD481" s="161"/>
      <c r="CE481" s="161"/>
      <c r="CF481" s="161"/>
      <c r="CG481" s="3"/>
      <c r="CH481" s="3"/>
      <c r="CI481" s="3"/>
      <c r="CJ481" s="3"/>
      <c r="CK481" s="3"/>
      <c r="CL481" s="3"/>
      <c r="CM481" s="3"/>
      <c r="CN481" s="3"/>
    </row>
    <row r="482" spans="1:92" ht="14.4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53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80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161"/>
      <c r="BS482" s="161"/>
      <c r="BT482" s="161"/>
      <c r="BU482" s="162"/>
      <c r="BV482" s="163"/>
      <c r="BW482" s="163"/>
      <c r="BX482" s="163"/>
      <c r="BY482" s="163"/>
      <c r="BZ482" s="163"/>
      <c r="CA482" s="163"/>
      <c r="CB482" s="161"/>
      <c r="CC482" s="161"/>
      <c r="CD482" s="161"/>
      <c r="CE482" s="161"/>
      <c r="CF482" s="161"/>
      <c r="CG482" s="3"/>
      <c r="CH482" s="3"/>
      <c r="CI482" s="3"/>
      <c r="CJ482" s="3"/>
      <c r="CK482" s="3"/>
      <c r="CL482" s="3"/>
      <c r="CM482" s="3"/>
      <c r="CN482" s="3"/>
    </row>
    <row r="483" spans="1:92" ht="14.4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53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80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161"/>
      <c r="BS483" s="161"/>
      <c r="BT483" s="161"/>
      <c r="BU483" s="162"/>
      <c r="BV483" s="163"/>
      <c r="BW483" s="163"/>
      <c r="BX483" s="163"/>
      <c r="BY483" s="163"/>
      <c r="BZ483" s="163"/>
      <c r="CA483" s="163"/>
      <c r="CB483" s="161"/>
      <c r="CC483" s="161"/>
      <c r="CD483" s="161"/>
      <c r="CE483" s="161"/>
      <c r="CF483" s="161"/>
      <c r="CG483" s="3"/>
      <c r="CH483" s="3"/>
      <c r="CI483" s="3"/>
      <c r="CJ483" s="3"/>
      <c r="CK483" s="3"/>
      <c r="CL483" s="3"/>
      <c r="CM483" s="3"/>
      <c r="CN483" s="3"/>
    </row>
    <row r="484" spans="1:92" ht="14.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53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80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161"/>
      <c r="BS484" s="161"/>
      <c r="BT484" s="161"/>
      <c r="BU484" s="162"/>
      <c r="BV484" s="163"/>
      <c r="BW484" s="163"/>
      <c r="BX484" s="163"/>
      <c r="BY484" s="163"/>
      <c r="BZ484" s="163"/>
      <c r="CA484" s="163"/>
      <c r="CB484" s="161"/>
      <c r="CC484" s="161"/>
      <c r="CD484" s="161"/>
      <c r="CE484" s="161"/>
      <c r="CF484" s="161"/>
      <c r="CG484" s="3"/>
      <c r="CH484" s="3"/>
      <c r="CI484" s="3"/>
      <c r="CJ484" s="3"/>
      <c r="CK484" s="3"/>
      <c r="CL484" s="3"/>
      <c r="CM484" s="3"/>
      <c r="CN484" s="3"/>
    </row>
    <row r="485" spans="1:92" ht="14.4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53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80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161"/>
      <c r="BS485" s="161"/>
      <c r="BT485" s="161"/>
      <c r="BU485" s="162"/>
      <c r="BV485" s="163"/>
      <c r="BW485" s="163"/>
      <c r="BX485" s="163"/>
      <c r="BY485" s="163"/>
      <c r="BZ485" s="163"/>
      <c r="CA485" s="163"/>
      <c r="CB485" s="161"/>
      <c r="CC485" s="161"/>
      <c r="CD485" s="161"/>
      <c r="CE485" s="161"/>
      <c r="CF485" s="161"/>
      <c r="CG485" s="3"/>
      <c r="CH485" s="3"/>
      <c r="CI485" s="3"/>
      <c r="CJ485" s="3"/>
      <c r="CK485" s="3"/>
      <c r="CL485" s="3"/>
      <c r="CM485" s="3"/>
      <c r="CN485" s="3"/>
    </row>
    <row r="486" spans="1:92" ht="14.4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53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80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161"/>
      <c r="BS486" s="161"/>
      <c r="BT486" s="161"/>
      <c r="BU486" s="162"/>
      <c r="BV486" s="163"/>
      <c r="BW486" s="163"/>
      <c r="BX486" s="163"/>
      <c r="BY486" s="163"/>
      <c r="BZ486" s="163"/>
      <c r="CA486" s="163"/>
      <c r="CB486" s="161"/>
      <c r="CC486" s="161"/>
      <c r="CD486" s="161"/>
      <c r="CE486" s="161"/>
      <c r="CF486" s="161"/>
      <c r="CG486" s="3"/>
      <c r="CH486" s="3"/>
      <c r="CI486" s="3"/>
      <c r="CJ486" s="3"/>
      <c r="CK486" s="3"/>
      <c r="CL486" s="3"/>
      <c r="CM486" s="3"/>
      <c r="CN486" s="3"/>
    </row>
    <row r="487" spans="1:92" ht="14.4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53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80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161"/>
      <c r="BS487" s="161"/>
      <c r="BT487" s="161"/>
      <c r="BU487" s="162"/>
      <c r="BV487" s="163"/>
      <c r="BW487" s="163"/>
      <c r="BX487" s="163"/>
      <c r="BY487" s="163"/>
      <c r="BZ487" s="163"/>
      <c r="CA487" s="163"/>
      <c r="CB487" s="161"/>
      <c r="CC487" s="161"/>
      <c r="CD487" s="161"/>
      <c r="CE487" s="161"/>
      <c r="CF487" s="161"/>
      <c r="CG487" s="3"/>
      <c r="CH487" s="3"/>
      <c r="CI487" s="3"/>
      <c r="CJ487" s="3"/>
      <c r="CK487" s="3"/>
      <c r="CL487" s="3"/>
      <c r="CM487" s="3"/>
      <c r="CN487" s="3"/>
    </row>
    <row r="488" spans="1:92" ht="14.4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53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80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161"/>
      <c r="BS488" s="161"/>
      <c r="BT488" s="161"/>
      <c r="BU488" s="162"/>
      <c r="BV488" s="163"/>
      <c r="BW488" s="163"/>
      <c r="BX488" s="163"/>
      <c r="BY488" s="163"/>
      <c r="BZ488" s="163"/>
      <c r="CA488" s="163"/>
      <c r="CB488" s="161"/>
      <c r="CC488" s="161"/>
      <c r="CD488" s="161"/>
      <c r="CE488" s="161"/>
      <c r="CF488" s="161"/>
      <c r="CG488" s="3"/>
      <c r="CH488" s="3"/>
      <c r="CI488" s="3"/>
      <c r="CJ488" s="3"/>
      <c r="CK488" s="3"/>
      <c r="CL488" s="3"/>
      <c r="CM488" s="3"/>
      <c r="CN488" s="3"/>
    </row>
    <row r="489" spans="1:92" ht="14.4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53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80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161"/>
      <c r="BS489" s="161"/>
      <c r="BT489" s="161"/>
      <c r="BU489" s="162"/>
      <c r="BV489" s="163"/>
      <c r="BW489" s="163"/>
      <c r="BX489" s="163"/>
      <c r="BY489" s="163"/>
      <c r="BZ489" s="163"/>
      <c r="CA489" s="163"/>
      <c r="CB489" s="161"/>
      <c r="CC489" s="161"/>
      <c r="CD489" s="161"/>
      <c r="CE489" s="161"/>
      <c r="CF489" s="161"/>
      <c r="CG489" s="3"/>
      <c r="CH489" s="3"/>
      <c r="CI489" s="3"/>
      <c r="CJ489" s="3"/>
      <c r="CK489" s="3"/>
      <c r="CL489" s="3"/>
      <c r="CM489" s="3"/>
      <c r="CN489" s="3"/>
    </row>
    <row r="490" spans="1:92" ht="14.4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53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80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161"/>
      <c r="BS490" s="161"/>
      <c r="BT490" s="161"/>
      <c r="BU490" s="162"/>
      <c r="BV490" s="163"/>
      <c r="BW490" s="163"/>
      <c r="BX490" s="163"/>
      <c r="BY490" s="163"/>
      <c r="BZ490" s="163"/>
      <c r="CA490" s="163"/>
      <c r="CB490" s="161"/>
      <c r="CC490" s="161"/>
      <c r="CD490" s="161"/>
      <c r="CE490" s="161"/>
      <c r="CF490" s="161"/>
      <c r="CG490" s="3"/>
      <c r="CH490" s="3"/>
      <c r="CI490" s="3"/>
      <c r="CJ490" s="3"/>
      <c r="CK490" s="3"/>
      <c r="CL490" s="3"/>
      <c r="CM490" s="3"/>
      <c r="CN490" s="3"/>
    </row>
    <row r="491" spans="1:92" ht="14.4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53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80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161"/>
      <c r="BS491" s="161"/>
      <c r="BT491" s="161"/>
      <c r="BU491" s="162"/>
      <c r="BV491" s="163"/>
      <c r="BW491" s="163"/>
      <c r="BX491" s="163"/>
      <c r="BY491" s="163"/>
      <c r="BZ491" s="163"/>
      <c r="CA491" s="163"/>
      <c r="CB491" s="161"/>
      <c r="CC491" s="161"/>
      <c r="CD491" s="161"/>
      <c r="CE491" s="161"/>
      <c r="CF491" s="161"/>
      <c r="CG491" s="3"/>
      <c r="CH491" s="3"/>
      <c r="CI491" s="3"/>
      <c r="CJ491" s="3"/>
      <c r="CK491" s="3"/>
      <c r="CL491" s="3"/>
      <c r="CM491" s="3"/>
      <c r="CN491" s="3"/>
    </row>
    <row r="492" spans="1:92" ht="14.4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53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80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161"/>
      <c r="BS492" s="161"/>
      <c r="BT492" s="161"/>
      <c r="BU492" s="162"/>
      <c r="BV492" s="163"/>
      <c r="BW492" s="163"/>
      <c r="BX492" s="163"/>
      <c r="BY492" s="163"/>
      <c r="BZ492" s="163"/>
      <c r="CA492" s="163"/>
      <c r="CB492" s="161"/>
      <c r="CC492" s="161"/>
      <c r="CD492" s="161"/>
      <c r="CE492" s="161"/>
      <c r="CF492" s="161"/>
      <c r="CG492" s="3"/>
      <c r="CH492" s="3"/>
      <c r="CI492" s="3"/>
      <c r="CJ492" s="3"/>
      <c r="CK492" s="3"/>
      <c r="CL492" s="3"/>
      <c r="CM492" s="3"/>
      <c r="CN492" s="3"/>
    </row>
    <row r="493" spans="1:92" ht="14.4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53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80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161"/>
      <c r="BS493" s="161"/>
      <c r="BT493" s="161"/>
      <c r="BU493" s="162"/>
      <c r="BV493" s="163"/>
      <c r="BW493" s="163"/>
      <c r="BX493" s="163"/>
      <c r="BY493" s="163"/>
      <c r="BZ493" s="163"/>
      <c r="CA493" s="163"/>
      <c r="CB493" s="161"/>
      <c r="CC493" s="161"/>
      <c r="CD493" s="161"/>
      <c r="CE493" s="161"/>
      <c r="CF493" s="161"/>
      <c r="CG493" s="3"/>
      <c r="CH493" s="3"/>
      <c r="CI493" s="3"/>
      <c r="CJ493" s="3"/>
      <c r="CK493" s="3"/>
      <c r="CL493" s="3"/>
      <c r="CM493" s="3"/>
      <c r="CN493" s="3"/>
    </row>
    <row r="494" spans="1:92" ht="14.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53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80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161"/>
      <c r="BS494" s="161"/>
      <c r="BT494" s="161"/>
      <c r="BU494" s="162"/>
      <c r="BV494" s="163"/>
      <c r="BW494" s="163"/>
      <c r="BX494" s="163"/>
      <c r="BY494" s="163"/>
      <c r="BZ494" s="163"/>
      <c r="CA494" s="163"/>
      <c r="CB494" s="161"/>
      <c r="CC494" s="161"/>
      <c r="CD494" s="161"/>
      <c r="CE494" s="161"/>
      <c r="CF494" s="161"/>
      <c r="CG494" s="3"/>
      <c r="CH494" s="3"/>
      <c r="CI494" s="3"/>
      <c r="CJ494" s="3"/>
      <c r="CK494" s="3"/>
      <c r="CL494" s="3"/>
      <c r="CM494" s="3"/>
      <c r="CN494" s="3"/>
    </row>
    <row r="495" spans="1:92" ht="14.4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53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80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161"/>
      <c r="BS495" s="161"/>
      <c r="BT495" s="161"/>
      <c r="BU495" s="162"/>
      <c r="BV495" s="163"/>
      <c r="BW495" s="163"/>
      <c r="BX495" s="163"/>
      <c r="BY495" s="163"/>
      <c r="BZ495" s="163"/>
      <c r="CA495" s="163"/>
      <c r="CB495" s="161"/>
      <c r="CC495" s="161"/>
      <c r="CD495" s="161"/>
      <c r="CE495" s="161"/>
      <c r="CF495" s="161"/>
      <c r="CG495" s="3"/>
      <c r="CH495" s="3"/>
      <c r="CI495" s="3"/>
      <c r="CJ495" s="3"/>
      <c r="CK495" s="3"/>
      <c r="CL495" s="3"/>
      <c r="CM495" s="3"/>
      <c r="CN495" s="3"/>
    </row>
    <row r="496" spans="1:92" ht="14.4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53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80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161"/>
      <c r="BS496" s="161"/>
      <c r="BT496" s="161"/>
      <c r="BU496" s="162"/>
      <c r="BV496" s="163"/>
      <c r="BW496" s="163"/>
      <c r="BX496" s="163"/>
      <c r="BY496" s="163"/>
      <c r="BZ496" s="163"/>
      <c r="CA496" s="163"/>
      <c r="CB496" s="161"/>
      <c r="CC496" s="161"/>
      <c r="CD496" s="161"/>
      <c r="CE496" s="161"/>
      <c r="CF496" s="161"/>
      <c r="CG496" s="3"/>
      <c r="CH496" s="3"/>
      <c r="CI496" s="3"/>
      <c r="CJ496" s="3"/>
      <c r="CK496" s="3"/>
      <c r="CL496" s="3"/>
      <c r="CM496" s="3"/>
      <c r="CN496" s="3"/>
    </row>
    <row r="497" spans="1:92" ht="14.4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53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80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161"/>
      <c r="BS497" s="161"/>
      <c r="BT497" s="161"/>
      <c r="BU497" s="162"/>
      <c r="BV497" s="163"/>
      <c r="BW497" s="163"/>
      <c r="BX497" s="163"/>
      <c r="BY497" s="163"/>
      <c r="BZ497" s="163"/>
      <c r="CA497" s="163"/>
      <c r="CB497" s="161"/>
      <c r="CC497" s="161"/>
      <c r="CD497" s="161"/>
      <c r="CE497" s="161"/>
      <c r="CF497" s="161"/>
      <c r="CG497" s="3"/>
      <c r="CH497" s="3"/>
      <c r="CI497" s="3"/>
      <c r="CJ497" s="3"/>
      <c r="CK497" s="3"/>
      <c r="CL497" s="3"/>
      <c r="CM497" s="3"/>
      <c r="CN497" s="3"/>
    </row>
    <row r="498" spans="1:92" ht="14.4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53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80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161"/>
      <c r="BS498" s="161"/>
      <c r="BT498" s="161"/>
      <c r="BU498" s="162"/>
      <c r="BV498" s="163"/>
      <c r="BW498" s="163"/>
      <c r="BX498" s="163"/>
      <c r="BY498" s="163"/>
      <c r="BZ498" s="163"/>
      <c r="CA498" s="163"/>
      <c r="CB498" s="161"/>
      <c r="CC498" s="161"/>
      <c r="CD498" s="161"/>
      <c r="CE498" s="161"/>
      <c r="CF498" s="161"/>
      <c r="CG498" s="3"/>
      <c r="CH498" s="3"/>
      <c r="CI498" s="3"/>
      <c r="CJ498" s="3"/>
      <c r="CK498" s="3"/>
      <c r="CL498" s="3"/>
      <c r="CM498" s="3"/>
      <c r="CN498" s="3"/>
    </row>
    <row r="499" spans="1:92" ht="14.4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53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80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161"/>
      <c r="BS499" s="161"/>
      <c r="BT499" s="161"/>
      <c r="BU499" s="162"/>
      <c r="BV499" s="163"/>
      <c r="BW499" s="163"/>
      <c r="BX499" s="163"/>
      <c r="BY499" s="163"/>
      <c r="BZ499" s="163"/>
      <c r="CA499" s="163"/>
      <c r="CB499" s="161"/>
      <c r="CC499" s="161"/>
      <c r="CD499" s="161"/>
      <c r="CE499" s="161"/>
      <c r="CF499" s="161"/>
      <c r="CG499" s="3"/>
      <c r="CH499" s="3"/>
      <c r="CI499" s="3"/>
      <c r="CJ499" s="3"/>
      <c r="CK499" s="3"/>
      <c r="CL499" s="3"/>
      <c r="CM499" s="3"/>
      <c r="CN499" s="3"/>
    </row>
    <row r="500" spans="1:92" ht="14.4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53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80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161"/>
      <c r="BS500" s="161"/>
      <c r="BT500" s="161"/>
      <c r="BU500" s="162"/>
      <c r="BV500" s="163"/>
      <c r="BW500" s="163"/>
      <c r="BX500" s="163"/>
      <c r="BY500" s="163"/>
      <c r="BZ500" s="163"/>
      <c r="CA500" s="163"/>
      <c r="CB500" s="161"/>
      <c r="CC500" s="161"/>
      <c r="CD500" s="161"/>
      <c r="CE500" s="161"/>
      <c r="CF500" s="161"/>
      <c r="CG500" s="3"/>
      <c r="CH500" s="3"/>
      <c r="CI500" s="3"/>
      <c r="CJ500" s="3"/>
      <c r="CK500" s="3"/>
      <c r="CL500" s="3"/>
      <c r="CM500" s="3"/>
      <c r="CN500" s="3"/>
    </row>
    <row r="501" spans="1:92" ht="14.4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53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80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161"/>
      <c r="BS501" s="161"/>
      <c r="BT501" s="161"/>
      <c r="BU501" s="162"/>
      <c r="BV501" s="163"/>
      <c r="BW501" s="163"/>
      <c r="BX501" s="163"/>
      <c r="BY501" s="163"/>
      <c r="BZ501" s="163"/>
      <c r="CA501" s="163"/>
      <c r="CB501" s="161"/>
      <c r="CC501" s="161"/>
      <c r="CD501" s="161"/>
      <c r="CE501" s="161"/>
      <c r="CF501" s="161"/>
      <c r="CG501" s="3"/>
      <c r="CH501" s="3"/>
      <c r="CI501" s="3"/>
      <c r="CJ501" s="3"/>
      <c r="CK501" s="3"/>
      <c r="CL501" s="3"/>
      <c r="CM501" s="3"/>
      <c r="CN501" s="3"/>
    </row>
    <row r="502" spans="1:92" ht="14.4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53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80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161"/>
      <c r="BS502" s="161"/>
      <c r="BT502" s="161"/>
      <c r="BU502" s="162"/>
      <c r="BV502" s="163"/>
      <c r="BW502" s="163"/>
      <c r="BX502" s="163"/>
      <c r="BY502" s="163"/>
      <c r="BZ502" s="163"/>
      <c r="CA502" s="163"/>
      <c r="CB502" s="161"/>
      <c r="CC502" s="161"/>
      <c r="CD502" s="161"/>
      <c r="CE502" s="161"/>
      <c r="CF502" s="161"/>
      <c r="CG502" s="3"/>
      <c r="CH502" s="3"/>
      <c r="CI502" s="3"/>
      <c r="CJ502" s="3"/>
      <c r="CK502" s="3"/>
      <c r="CL502" s="3"/>
      <c r="CM502" s="3"/>
      <c r="CN502" s="3"/>
    </row>
    <row r="503" spans="1:92" ht="14.4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53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80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161"/>
      <c r="BS503" s="161"/>
      <c r="BT503" s="161"/>
      <c r="BU503" s="162"/>
      <c r="BV503" s="163"/>
      <c r="BW503" s="163"/>
      <c r="BX503" s="163"/>
      <c r="BY503" s="163"/>
      <c r="BZ503" s="163"/>
      <c r="CA503" s="163"/>
      <c r="CB503" s="161"/>
      <c r="CC503" s="161"/>
      <c r="CD503" s="161"/>
      <c r="CE503" s="161"/>
      <c r="CF503" s="161"/>
      <c r="CG503" s="3"/>
      <c r="CH503" s="3"/>
      <c r="CI503" s="3"/>
      <c r="CJ503" s="3"/>
      <c r="CK503" s="3"/>
      <c r="CL503" s="3"/>
      <c r="CM503" s="3"/>
      <c r="CN503" s="3"/>
    </row>
    <row r="504" spans="1:92" ht="14.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53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80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161"/>
      <c r="BS504" s="161"/>
      <c r="BT504" s="161"/>
      <c r="BU504" s="162"/>
      <c r="BV504" s="163"/>
      <c r="BW504" s="163"/>
      <c r="BX504" s="163"/>
      <c r="BY504" s="163"/>
      <c r="BZ504" s="163"/>
      <c r="CA504" s="163"/>
      <c r="CB504" s="161"/>
      <c r="CC504" s="161"/>
      <c r="CD504" s="161"/>
      <c r="CE504" s="161"/>
      <c r="CF504" s="161"/>
      <c r="CG504" s="3"/>
      <c r="CH504" s="3"/>
      <c r="CI504" s="3"/>
      <c r="CJ504" s="3"/>
      <c r="CK504" s="3"/>
      <c r="CL504" s="3"/>
      <c r="CM504" s="3"/>
      <c r="CN504" s="3"/>
    </row>
    <row r="505" spans="1:92" ht="14.4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53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80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161"/>
      <c r="BS505" s="161"/>
      <c r="BT505" s="161"/>
      <c r="BU505" s="162"/>
      <c r="BV505" s="163"/>
      <c r="BW505" s="163"/>
      <c r="BX505" s="163"/>
      <c r="BY505" s="163"/>
      <c r="BZ505" s="163"/>
      <c r="CA505" s="163"/>
      <c r="CB505" s="161"/>
      <c r="CC505" s="161"/>
      <c r="CD505" s="161"/>
      <c r="CE505" s="161"/>
      <c r="CF505" s="161"/>
      <c r="CG505" s="3"/>
      <c r="CH505" s="3"/>
      <c r="CI505" s="3"/>
      <c r="CJ505" s="3"/>
      <c r="CK505" s="3"/>
      <c r="CL505" s="3"/>
      <c r="CM505" s="3"/>
      <c r="CN505" s="3"/>
    </row>
    <row r="506" spans="1:92" ht="14.4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53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80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161"/>
      <c r="BS506" s="161"/>
      <c r="BT506" s="161"/>
      <c r="BU506" s="162"/>
      <c r="BV506" s="163"/>
      <c r="BW506" s="163"/>
      <c r="BX506" s="163"/>
      <c r="BY506" s="163"/>
      <c r="BZ506" s="163"/>
      <c r="CA506" s="163"/>
      <c r="CB506" s="161"/>
      <c r="CC506" s="161"/>
      <c r="CD506" s="161"/>
      <c r="CE506" s="161"/>
      <c r="CF506" s="161"/>
      <c r="CG506" s="3"/>
      <c r="CH506" s="3"/>
      <c r="CI506" s="3"/>
      <c r="CJ506" s="3"/>
      <c r="CK506" s="3"/>
      <c r="CL506" s="3"/>
      <c r="CM506" s="3"/>
      <c r="CN506" s="3"/>
    </row>
    <row r="507" spans="1:92" ht="14.4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53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80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161"/>
      <c r="BS507" s="161"/>
      <c r="BT507" s="161"/>
      <c r="BU507" s="162"/>
      <c r="BV507" s="163"/>
      <c r="BW507" s="163"/>
      <c r="BX507" s="163"/>
      <c r="BY507" s="163"/>
      <c r="BZ507" s="163"/>
      <c r="CA507" s="163"/>
      <c r="CB507" s="161"/>
      <c r="CC507" s="161"/>
      <c r="CD507" s="161"/>
      <c r="CE507" s="161"/>
      <c r="CF507" s="161"/>
      <c r="CG507" s="3"/>
      <c r="CH507" s="3"/>
      <c r="CI507" s="3"/>
      <c r="CJ507" s="3"/>
      <c r="CK507" s="3"/>
      <c r="CL507" s="3"/>
      <c r="CM507" s="3"/>
      <c r="CN507" s="3"/>
    </row>
    <row r="508" spans="1:92" ht="14.4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53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80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161"/>
      <c r="BS508" s="161"/>
      <c r="BT508" s="161"/>
      <c r="BU508" s="162"/>
      <c r="BV508" s="163"/>
      <c r="BW508" s="163"/>
      <c r="BX508" s="163"/>
      <c r="BY508" s="163"/>
      <c r="BZ508" s="163"/>
      <c r="CA508" s="163"/>
      <c r="CB508" s="161"/>
      <c r="CC508" s="161"/>
      <c r="CD508" s="161"/>
      <c r="CE508" s="161"/>
      <c r="CF508" s="161"/>
      <c r="CG508" s="3"/>
      <c r="CH508" s="3"/>
      <c r="CI508" s="3"/>
      <c r="CJ508" s="3"/>
      <c r="CK508" s="3"/>
      <c r="CL508" s="3"/>
      <c r="CM508" s="3"/>
      <c r="CN508" s="3"/>
    </row>
    <row r="509" spans="1:92" ht="14.4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53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80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161"/>
      <c r="BS509" s="161"/>
      <c r="BT509" s="161"/>
      <c r="BU509" s="162"/>
      <c r="BV509" s="163"/>
      <c r="BW509" s="163"/>
      <c r="BX509" s="163"/>
      <c r="BY509" s="163"/>
      <c r="BZ509" s="163"/>
      <c r="CA509" s="163"/>
      <c r="CB509" s="161"/>
      <c r="CC509" s="161"/>
      <c r="CD509" s="161"/>
      <c r="CE509" s="161"/>
      <c r="CF509" s="161"/>
      <c r="CG509" s="3"/>
      <c r="CH509" s="3"/>
      <c r="CI509" s="3"/>
      <c r="CJ509" s="3"/>
      <c r="CK509" s="3"/>
      <c r="CL509" s="3"/>
      <c r="CM509" s="3"/>
      <c r="CN509" s="3"/>
    </row>
    <row r="510" spans="1:92" ht="14.4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53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80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161"/>
      <c r="BS510" s="161"/>
      <c r="BT510" s="161"/>
      <c r="BU510" s="162"/>
      <c r="BV510" s="163"/>
      <c r="BW510" s="163"/>
      <c r="BX510" s="163"/>
      <c r="BY510" s="163"/>
      <c r="BZ510" s="163"/>
      <c r="CA510" s="163"/>
      <c r="CB510" s="161"/>
      <c r="CC510" s="161"/>
      <c r="CD510" s="161"/>
      <c r="CE510" s="161"/>
      <c r="CF510" s="161"/>
      <c r="CG510" s="3"/>
      <c r="CH510" s="3"/>
      <c r="CI510" s="3"/>
      <c r="CJ510" s="3"/>
      <c r="CK510" s="3"/>
      <c r="CL510" s="3"/>
      <c r="CM510" s="3"/>
      <c r="CN510" s="3"/>
    </row>
    <row r="511" spans="1:92" ht="14.4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53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80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161"/>
      <c r="BS511" s="161"/>
      <c r="BT511" s="161"/>
      <c r="BU511" s="162"/>
      <c r="BV511" s="163"/>
      <c r="BW511" s="163"/>
      <c r="BX511" s="163"/>
      <c r="BY511" s="163"/>
      <c r="BZ511" s="163"/>
      <c r="CA511" s="163"/>
      <c r="CB511" s="161"/>
      <c r="CC511" s="161"/>
      <c r="CD511" s="161"/>
      <c r="CE511" s="161"/>
      <c r="CF511" s="161"/>
      <c r="CG511" s="3"/>
      <c r="CH511" s="3"/>
      <c r="CI511" s="3"/>
      <c r="CJ511" s="3"/>
      <c r="CK511" s="3"/>
      <c r="CL511" s="3"/>
      <c r="CM511" s="3"/>
      <c r="CN511" s="3"/>
    </row>
    <row r="512" spans="1:92" ht="14.4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53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80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161"/>
      <c r="BS512" s="161"/>
      <c r="BT512" s="161"/>
      <c r="BU512" s="162"/>
      <c r="BV512" s="163"/>
      <c r="BW512" s="163"/>
      <c r="BX512" s="163"/>
      <c r="BY512" s="163"/>
      <c r="BZ512" s="163"/>
      <c r="CA512" s="163"/>
      <c r="CB512" s="161"/>
      <c r="CC512" s="161"/>
      <c r="CD512" s="161"/>
      <c r="CE512" s="161"/>
      <c r="CF512" s="161"/>
      <c r="CG512" s="3"/>
      <c r="CH512" s="3"/>
      <c r="CI512" s="3"/>
      <c r="CJ512" s="3"/>
      <c r="CK512" s="3"/>
      <c r="CL512" s="3"/>
      <c r="CM512" s="3"/>
      <c r="CN512" s="3"/>
    </row>
    <row r="513" spans="1:92" ht="14.4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53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80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161"/>
      <c r="BS513" s="161"/>
      <c r="BT513" s="161"/>
      <c r="BU513" s="162"/>
      <c r="BV513" s="163"/>
      <c r="BW513" s="163"/>
      <c r="BX513" s="163"/>
      <c r="BY513" s="163"/>
      <c r="BZ513" s="163"/>
      <c r="CA513" s="163"/>
      <c r="CB513" s="161"/>
      <c r="CC513" s="161"/>
      <c r="CD513" s="161"/>
      <c r="CE513" s="161"/>
      <c r="CF513" s="161"/>
      <c r="CG513" s="3"/>
      <c r="CH513" s="3"/>
      <c r="CI513" s="3"/>
      <c r="CJ513" s="3"/>
      <c r="CK513" s="3"/>
      <c r="CL513" s="3"/>
      <c r="CM513" s="3"/>
      <c r="CN513" s="3"/>
    </row>
    <row r="514" spans="1:92" ht="14.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53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80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161"/>
      <c r="BS514" s="161"/>
      <c r="BT514" s="161"/>
      <c r="BU514" s="162"/>
      <c r="BV514" s="163"/>
      <c r="BW514" s="163"/>
      <c r="BX514" s="163"/>
      <c r="BY514" s="163"/>
      <c r="BZ514" s="163"/>
      <c r="CA514" s="163"/>
      <c r="CB514" s="161"/>
      <c r="CC514" s="161"/>
      <c r="CD514" s="161"/>
      <c r="CE514" s="161"/>
      <c r="CF514" s="161"/>
      <c r="CG514" s="3"/>
      <c r="CH514" s="3"/>
      <c r="CI514" s="3"/>
      <c r="CJ514" s="3"/>
      <c r="CK514" s="3"/>
      <c r="CL514" s="3"/>
      <c r="CM514" s="3"/>
      <c r="CN514" s="3"/>
    </row>
    <row r="515" spans="1:92" ht="14.4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53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80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161"/>
      <c r="BS515" s="161"/>
      <c r="BT515" s="161"/>
      <c r="BU515" s="162"/>
      <c r="BV515" s="163"/>
      <c r="BW515" s="163"/>
      <c r="BX515" s="163"/>
      <c r="BY515" s="163"/>
      <c r="BZ515" s="163"/>
      <c r="CA515" s="163"/>
      <c r="CB515" s="161"/>
      <c r="CC515" s="161"/>
      <c r="CD515" s="161"/>
      <c r="CE515" s="161"/>
      <c r="CF515" s="161"/>
      <c r="CG515" s="3"/>
      <c r="CH515" s="3"/>
      <c r="CI515" s="3"/>
      <c r="CJ515" s="3"/>
      <c r="CK515" s="3"/>
      <c r="CL515" s="3"/>
      <c r="CM515" s="3"/>
      <c r="CN515" s="3"/>
    </row>
    <row r="516" spans="1:92" ht="14.4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53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80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161"/>
      <c r="BS516" s="161"/>
      <c r="BT516" s="161"/>
      <c r="BU516" s="162"/>
      <c r="BV516" s="163"/>
      <c r="BW516" s="163"/>
      <c r="BX516" s="163"/>
      <c r="BY516" s="163"/>
      <c r="BZ516" s="163"/>
      <c r="CA516" s="163"/>
      <c r="CB516" s="161"/>
      <c r="CC516" s="161"/>
      <c r="CD516" s="161"/>
      <c r="CE516" s="161"/>
      <c r="CF516" s="161"/>
      <c r="CG516" s="3"/>
      <c r="CH516" s="3"/>
      <c r="CI516" s="3"/>
      <c r="CJ516" s="3"/>
      <c r="CK516" s="3"/>
      <c r="CL516" s="3"/>
      <c r="CM516" s="3"/>
      <c r="CN516" s="3"/>
    </row>
    <row r="517" spans="1:92" ht="14.4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53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80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161"/>
      <c r="BS517" s="161"/>
      <c r="BT517" s="161"/>
      <c r="BU517" s="162"/>
      <c r="BV517" s="163"/>
      <c r="BW517" s="163"/>
      <c r="BX517" s="163"/>
      <c r="BY517" s="163"/>
      <c r="BZ517" s="163"/>
      <c r="CA517" s="163"/>
      <c r="CB517" s="161"/>
      <c r="CC517" s="161"/>
      <c r="CD517" s="161"/>
      <c r="CE517" s="161"/>
      <c r="CF517" s="161"/>
      <c r="CG517" s="3"/>
      <c r="CH517" s="3"/>
      <c r="CI517" s="3"/>
      <c r="CJ517" s="3"/>
      <c r="CK517" s="3"/>
      <c r="CL517" s="3"/>
      <c r="CM517" s="3"/>
      <c r="CN517" s="3"/>
    </row>
    <row r="518" spans="1:92" ht="14.4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53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80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161"/>
      <c r="BS518" s="161"/>
      <c r="BT518" s="161"/>
      <c r="BU518" s="162"/>
      <c r="BV518" s="163"/>
      <c r="BW518" s="163"/>
      <c r="BX518" s="163"/>
      <c r="BY518" s="163"/>
      <c r="BZ518" s="163"/>
      <c r="CA518" s="163"/>
      <c r="CB518" s="161"/>
      <c r="CC518" s="161"/>
      <c r="CD518" s="161"/>
      <c r="CE518" s="161"/>
      <c r="CF518" s="161"/>
      <c r="CG518" s="3"/>
      <c r="CH518" s="3"/>
      <c r="CI518" s="3"/>
      <c r="CJ518" s="3"/>
      <c r="CK518" s="3"/>
      <c r="CL518" s="3"/>
      <c r="CM518" s="3"/>
      <c r="CN518" s="3"/>
    </row>
    <row r="519" spans="1:92" ht="14.4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53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80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161"/>
      <c r="BS519" s="161"/>
      <c r="BT519" s="161"/>
      <c r="BU519" s="162"/>
      <c r="BV519" s="163"/>
      <c r="BW519" s="163"/>
      <c r="BX519" s="163"/>
      <c r="BY519" s="163"/>
      <c r="BZ519" s="163"/>
      <c r="CA519" s="163"/>
      <c r="CB519" s="161"/>
      <c r="CC519" s="161"/>
      <c r="CD519" s="161"/>
      <c r="CE519" s="161"/>
      <c r="CF519" s="161"/>
      <c r="CG519" s="3"/>
      <c r="CH519" s="3"/>
      <c r="CI519" s="3"/>
      <c r="CJ519" s="3"/>
      <c r="CK519" s="3"/>
      <c r="CL519" s="3"/>
      <c r="CM519" s="3"/>
      <c r="CN519" s="3"/>
    </row>
    <row r="520" spans="1:92" ht="14.4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53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80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161"/>
      <c r="BS520" s="161"/>
      <c r="BT520" s="161"/>
      <c r="BU520" s="162"/>
      <c r="BV520" s="163"/>
      <c r="BW520" s="163"/>
      <c r="BX520" s="163"/>
      <c r="BY520" s="163"/>
      <c r="BZ520" s="163"/>
      <c r="CA520" s="163"/>
      <c r="CB520" s="161"/>
      <c r="CC520" s="161"/>
      <c r="CD520" s="161"/>
      <c r="CE520" s="161"/>
      <c r="CF520" s="161"/>
      <c r="CG520" s="3"/>
      <c r="CH520" s="3"/>
      <c r="CI520" s="3"/>
      <c r="CJ520" s="3"/>
      <c r="CK520" s="3"/>
      <c r="CL520" s="3"/>
      <c r="CM520" s="3"/>
      <c r="CN520" s="3"/>
    </row>
    <row r="521" spans="1:92" ht="14.4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53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80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161"/>
      <c r="BS521" s="161"/>
      <c r="BT521" s="161"/>
      <c r="BU521" s="162"/>
      <c r="BV521" s="163"/>
      <c r="BW521" s="163"/>
      <c r="BX521" s="163"/>
      <c r="BY521" s="163"/>
      <c r="BZ521" s="163"/>
      <c r="CA521" s="163"/>
      <c r="CB521" s="161"/>
      <c r="CC521" s="161"/>
      <c r="CD521" s="161"/>
      <c r="CE521" s="161"/>
      <c r="CF521" s="161"/>
      <c r="CG521" s="3"/>
      <c r="CH521" s="3"/>
      <c r="CI521" s="3"/>
      <c r="CJ521" s="3"/>
      <c r="CK521" s="3"/>
      <c r="CL521" s="3"/>
      <c r="CM521" s="3"/>
      <c r="CN521" s="3"/>
    </row>
    <row r="522" spans="1:92" ht="14.4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53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80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161"/>
      <c r="BS522" s="161"/>
      <c r="BT522" s="161"/>
      <c r="BU522" s="162"/>
      <c r="BV522" s="163"/>
      <c r="BW522" s="163"/>
      <c r="BX522" s="163"/>
      <c r="BY522" s="163"/>
      <c r="BZ522" s="163"/>
      <c r="CA522" s="163"/>
      <c r="CB522" s="161"/>
      <c r="CC522" s="161"/>
      <c r="CD522" s="161"/>
      <c r="CE522" s="161"/>
      <c r="CF522" s="161"/>
      <c r="CG522" s="3"/>
      <c r="CH522" s="3"/>
      <c r="CI522" s="3"/>
      <c r="CJ522" s="3"/>
      <c r="CK522" s="3"/>
      <c r="CL522" s="3"/>
      <c r="CM522" s="3"/>
      <c r="CN522" s="3"/>
    </row>
    <row r="523" spans="1:92" ht="14.4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53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80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161"/>
      <c r="BS523" s="161"/>
      <c r="BT523" s="161"/>
      <c r="BU523" s="162"/>
      <c r="BV523" s="163"/>
      <c r="BW523" s="163"/>
      <c r="BX523" s="163"/>
      <c r="BY523" s="163"/>
      <c r="BZ523" s="163"/>
      <c r="CA523" s="163"/>
      <c r="CB523" s="161"/>
      <c r="CC523" s="161"/>
      <c r="CD523" s="161"/>
      <c r="CE523" s="161"/>
      <c r="CF523" s="161"/>
      <c r="CG523" s="3"/>
      <c r="CH523" s="3"/>
      <c r="CI523" s="3"/>
      <c r="CJ523" s="3"/>
      <c r="CK523" s="3"/>
      <c r="CL523" s="3"/>
      <c r="CM523" s="3"/>
      <c r="CN523" s="3"/>
    </row>
    <row r="524" spans="1:92" ht="14.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53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80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161"/>
      <c r="BS524" s="161"/>
      <c r="BT524" s="161"/>
      <c r="BU524" s="162"/>
      <c r="BV524" s="163"/>
      <c r="BW524" s="163"/>
      <c r="BX524" s="163"/>
      <c r="BY524" s="163"/>
      <c r="BZ524" s="163"/>
      <c r="CA524" s="163"/>
      <c r="CB524" s="161"/>
      <c r="CC524" s="161"/>
      <c r="CD524" s="161"/>
      <c r="CE524" s="161"/>
      <c r="CF524" s="161"/>
      <c r="CG524" s="3"/>
      <c r="CH524" s="3"/>
      <c r="CI524" s="3"/>
      <c r="CJ524" s="3"/>
      <c r="CK524" s="3"/>
      <c r="CL524" s="3"/>
      <c r="CM524" s="3"/>
      <c r="CN524" s="3"/>
    </row>
    <row r="525" spans="1:92" ht="14.4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53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80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161"/>
      <c r="BS525" s="161"/>
      <c r="BT525" s="161"/>
      <c r="BU525" s="162"/>
      <c r="BV525" s="163"/>
      <c r="BW525" s="163"/>
      <c r="BX525" s="163"/>
      <c r="BY525" s="163"/>
      <c r="BZ525" s="163"/>
      <c r="CA525" s="163"/>
      <c r="CB525" s="161"/>
      <c r="CC525" s="161"/>
      <c r="CD525" s="161"/>
      <c r="CE525" s="161"/>
      <c r="CF525" s="161"/>
      <c r="CG525" s="3"/>
      <c r="CH525" s="3"/>
      <c r="CI525" s="3"/>
      <c r="CJ525" s="3"/>
      <c r="CK525" s="3"/>
      <c r="CL525" s="3"/>
      <c r="CM525" s="3"/>
      <c r="CN525" s="3"/>
    </row>
    <row r="526" spans="1:92" ht="14.4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53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80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161"/>
      <c r="BS526" s="161"/>
      <c r="BT526" s="161"/>
      <c r="BU526" s="162"/>
      <c r="BV526" s="163"/>
      <c r="BW526" s="163"/>
      <c r="BX526" s="163"/>
      <c r="BY526" s="163"/>
      <c r="BZ526" s="163"/>
      <c r="CA526" s="163"/>
      <c r="CB526" s="161"/>
      <c r="CC526" s="161"/>
      <c r="CD526" s="161"/>
      <c r="CE526" s="161"/>
      <c r="CF526" s="161"/>
      <c r="CG526" s="3"/>
      <c r="CH526" s="3"/>
      <c r="CI526" s="3"/>
      <c r="CJ526" s="3"/>
      <c r="CK526" s="3"/>
      <c r="CL526" s="3"/>
      <c r="CM526" s="3"/>
      <c r="CN526" s="3"/>
    </row>
    <row r="527" spans="1:92" ht="14.4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53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80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161"/>
      <c r="BS527" s="161"/>
      <c r="BT527" s="161"/>
      <c r="BU527" s="162"/>
      <c r="BV527" s="163"/>
      <c r="BW527" s="163"/>
      <c r="BX527" s="163"/>
      <c r="BY527" s="163"/>
      <c r="BZ527" s="163"/>
      <c r="CA527" s="163"/>
      <c r="CB527" s="161"/>
      <c r="CC527" s="161"/>
      <c r="CD527" s="161"/>
      <c r="CE527" s="161"/>
      <c r="CF527" s="161"/>
      <c r="CG527" s="3"/>
      <c r="CH527" s="3"/>
      <c r="CI527" s="3"/>
      <c r="CJ527" s="3"/>
      <c r="CK527" s="3"/>
      <c r="CL527" s="3"/>
      <c r="CM527" s="3"/>
      <c r="CN527" s="3"/>
    </row>
    <row r="528" spans="1:92" ht="14.4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53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80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161"/>
      <c r="BS528" s="161"/>
      <c r="BT528" s="161"/>
      <c r="BU528" s="162"/>
      <c r="BV528" s="163"/>
      <c r="BW528" s="163"/>
      <c r="BX528" s="163"/>
      <c r="BY528" s="163"/>
      <c r="BZ528" s="163"/>
      <c r="CA528" s="163"/>
      <c r="CB528" s="161"/>
      <c r="CC528" s="161"/>
      <c r="CD528" s="161"/>
      <c r="CE528" s="161"/>
      <c r="CF528" s="161"/>
      <c r="CG528" s="3"/>
      <c r="CH528" s="3"/>
      <c r="CI528" s="3"/>
      <c r="CJ528" s="3"/>
      <c r="CK528" s="3"/>
      <c r="CL528" s="3"/>
      <c r="CM528" s="3"/>
      <c r="CN528" s="3"/>
    </row>
    <row r="529" spans="1:92" ht="14.4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53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80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161"/>
      <c r="BS529" s="161"/>
      <c r="BT529" s="161"/>
      <c r="BU529" s="162"/>
      <c r="BV529" s="163"/>
      <c r="BW529" s="163"/>
      <c r="BX529" s="163"/>
      <c r="BY529" s="163"/>
      <c r="BZ529" s="163"/>
      <c r="CA529" s="163"/>
      <c r="CB529" s="161"/>
      <c r="CC529" s="161"/>
      <c r="CD529" s="161"/>
      <c r="CE529" s="161"/>
      <c r="CF529" s="161"/>
      <c r="CG529" s="3"/>
      <c r="CH529" s="3"/>
      <c r="CI529" s="3"/>
      <c r="CJ529" s="3"/>
      <c r="CK529" s="3"/>
      <c r="CL529" s="3"/>
      <c r="CM529" s="3"/>
      <c r="CN529" s="3"/>
    </row>
    <row r="530" spans="1:92" ht="14.4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53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80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161"/>
      <c r="BS530" s="161"/>
      <c r="BT530" s="161"/>
      <c r="BU530" s="162"/>
      <c r="BV530" s="163"/>
      <c r="BW530" s="163"/>
      <c r="BX530" s="163"/>
      <c r="BY530" s="163"/>
      <c r="BZ530" s="163"/>
      <c r="CA530" s="163"/>
      <c r="CB530" s="161"/>
      <c r="CC530" s="161"/>
      <c r="CD530" s="161"/>
      <c r="CE530" s="161"/>
      <c r="CF530" s="161"/>
      <c r="CG530" s="3"/>
      <c r="CH530" s="3"/>
      <c r="CI530" s="3"/>
      <c r="CJ530" s="3"/>
      <c r="CK530" s="3"/>
      <c r="CL530" s="3"/>
      <c r="CM530" s="3"/>
      <c r="CN530" s="3"/>
    </row>
    <row r="531" spans="1:92" ht="14.4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53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80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161"/>
      <c r="BS531" s="161"/>
      <c r="BT531" s="161"/>
      <c r="BU531" s="162"/>
      <c r="BV531" s="163"/>
      <c r="BW531" s="163"/>
      <c r="BX531" s="163"/>
      <c r="BY531" s="163"/>
      <c r="BZ531" s="163"/>
      <c r="CA531" s="163"/>
      <c r="CB531" s="161"/>
      <c r="CC531" s="161"/>
      <c r="CD531" s="161"/>
      <c r="CE531" s="161"/>
      <c r="CF531" s="161"/>
      <c r="CG531" s="3"/>
      <c r="CH531" s="3"/>
      <c r="CI531" s="3"/>
      <c r="CJ531" s="3"/>
      <c r="CK531" s="3"/>
      <c r="CL531" s="3"/>
      <c r="CM531" s="3"/>
      <c r="CN531" s="3"/>
    </row>
    <row r="532" spans="1:92" ht="14.4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53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80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161"/>
      <c r="BS532" s="161"/>
      <c r="BT532" s="161"/>
      <c r="BU532" s="162"/>
      <c r="BV532" s="163"/>
      <c r="BW532" s="163"/>
      <c r="BX532" s="163"/>
      <c r="BY532" s="163"/>
      <c r="BZ532" s="163"/>
      <c r="CA532" s="163"/>
      <c r="CB532" s="161"/>
      <c r="CC532" s="161"/>
      <c r="CD532" s="161"/>
      <c r="CE532" s="161"/>
      <c r="CF532" s="161"/>
      <c r="CG532" s="3"/>
      <c r="CH532" s="3"/>
      <c r="CI532" s="3"/>
      <c r="CJ532" s="3"/>
      <c r="CK532" s="3"/>
      <c r="CL532" s="3"/>
      <c r="CM532" s="3"/>
      <c r="CN532" s="3"/>
    </row>
    <row r="533" spans="1:92" ht="14.4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53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80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161"/>
      <c r="BS533" s="161"/>
      <c r="BT533" s="161"/>
      <c r="BU533" s="162"/>
      <c r="BV533" s="163"/>
      <c r="BW533" s="163"/>
      <c r="BX533" s="163"/>
      <c r="BY533" s="163"/>
      <c r="BZ533" s="163"/>
      <c r="CA533" s="163"/>
      <c r="CB533" s="161"/>
      <c r="CC533" s="161"/>
      <c r="CD533" s="161"/>
      <c r="CE533" s="161"/>
      <c r="CF533" s="161"/>
      <c r="CG533" s="3"/>
      <c r="CH533" s="3"/>
      <c r="CI533" s="3"/>
      <c r="CJ533" s="3"/>
      <c r="CK533" s="3"/>
      <c r="CL533" s="3"/>
      <c r="CM533" s="3"/>
      <c r="CN533" s="3"/>
    </row>
    <row r="534" spans="1:92" ht="14.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53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80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161"/>
      <c r="BS534" s="161"/>
      <c r="BT534" s="161"/>
      <c r="BU534" s="162"/>
      <c r="BV534" s="163"/>
      <c r="BW534" s="163"/>
      <c r="BX534" s="163"/>
      <c r="BY534" s="163"/>
      <c r="BZ534" s="163"/>
      <c r="CA534" s="163"/>
      <c r="CB534" s="161"/>
      <c r="CC534" s="161"/>
      <c r="CD534" s="161"/>
      <c r="CE534" s="161"/>
      <c r="CF534" s="161"/>
      <c r="CG534" s="3"/>
      <c r="CH534" s="3"/>
      <c r="CI534" s="3"/>
      <c r="CJ534" s="3"/>
      <c r="CK534" s="3"/>
      <c r="CL534" s="3"/>
      <c r="CM534" s="3"/>
      <c r="CN534" s="3"/>
    </row>
    <row r="535" spans="1:92" ht="14.4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53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80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161"/>
      <c r="BS535" s="161"/>
      <c r="BT535" s="161"/>
      <c r="BU535" s="162"/>
      <c r="BV535" s="163"/>
      <c r="BW535" s="163"/>
      <c r="BX535" s="163"/>
      <c r="BY535" s="163"/>
      <c r="BZ535" s="163"/>
      <c r="CA535" s="163"/>
      <c r="CB535" s="161"/>
      <c r="CC535" s="161"/>
      <c r="CD535" s="161"/>
      <c r="CE535" s="161"/>
      <c r="CF535" s="161"/>
      <c r="CG535" s="3"/>
      <c r="CH535" s="3"/>
      <c r="CI535" s="3"/>
      <c r="CJ535" s="3"/>
      <c r="CK535" s="3"/>
      <c r="CL535" s="3"/>
      <c r="CM535" s="3"/>
      <c r="CN535" s="3"/>
    </row>
    <row r="536" spans="1:92" ht="14.4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53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80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161"/>
      <c r="BS536" s="161"/>
      <c r="BT536" s="161"/>
      <c r="BU536" s="162"/>
      <c r="BV536" s="163"/>
      <c r="BW536" s="163"/>
      <c r="BX536" s="163"/>
      <c r="BY536" s="163"/>
      <c r="BZ536" s="163"/>
      <c r="CA536" s="163"/>
      <c r="CB536" s="161"/>
      <c r="CC536" s="161"/>
      <c r="CD536" s="161"/>
      <c r="CE536" s="161"/>
      <c r="CF536" s="161"/>
      <c r="CG536" s="3"/>
      <c r="CH536" s="3"/>
      <c r="CI536" s="3"/>
      <c r="CJ536" s="3"/>
      <c r="CK536" s="3"/>
      <c r="CL536" s="3"/>
      <c r="CM536" s="3"/>
      <c r="CN536" s="3"/>
    </row>
    <row r="537" spans="1:92" ht="14.4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53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80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161"/>
      <c r="BS537" s="161"/>
      <c r="BT537" s="161"/>
      <c r="BU537" s="162"/>
      <c r="BV537" s="163"/>
      <c r="BW537" s="163"/>
      <c r="BX537" s="163"/>
      <c r="BY537" s="163"/>
      <c r="BZ537" s="163"/>
      <c r="CA537" s="163"/>
      <c r="CB537" s="161"/>
      <c r="CC537" s="161"/>
      <c r="CD537" s="161"/>
      <c r="CE537" s="161"/>
      <c r="CF537" s="161"/>
      <c r="CG537" s="3"/>
      <c r="CH537" s="3"/>
      <c r="CI537" s="3"/>
      <c r="CJ537" s="3"/>
      <c r="CK537" s="3"/>
      <c r="CL537" s="3"/>
      <c r="CM537" s="3"/>
      <c r="CN537" s="3"/>
    </row>
    <row r="538" spans="1:92" ht="14.4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53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80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161"/>
      <c r="BS538" s="161"/>
      <c r="BT538" s="161"/>
      <c r="BU538" s="162"/>
      <c r="BV538" s="163"/>
      <c r="BW538" s="163"/>
      <c r="BX538" s="163"/>
      <c r="BY538" s="163"/>
      <c r="BZ538" s="163"/>
      <c r="CA538" s="163"/>
      <c r="CB538" s="161"/>
      <c r="CC538" s="161"/>
      <c r="CD538" s="161"/>
      <c r="CE538" s="161"/>
      <c r="CF538" s="161"/>
      <c r="CG538" s="3"/>
      <c r="CH538" s="3"/>
      <c r="CI538" s="3"/>
      <c r="CJ538" s="3"/>
      <c r="CK538" s="3"/>
      <c r="CL538" s="3"/>
      <c r="CM538" s="3"/>
      <c r="CN538" s="3"/>
    </row>
    <row r="539" spans="1:92" ht="14.4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53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80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161"/>
      <c r="BS539" s="161"/>
      <c r="BT539" s="161"/>
      <c r="BU539" s="162"/>
      <c r="BV539" s="163"/>
      <c r="BW539" s="163"/>
      <c r="BX539" s="163"/>
      <c r="BY539" s="163"/>
      <c r="BZ539" s="163"/>
      <c r="CA539" s="163"/>
      <c r="CB539" s="161"/>
      <c r="CC539" s="161"/>
      <c r="CD539" s="161"/>
      <c r="CE539" s="161"/>
      <c r="CF539" s="161"/>
      <c r="CG539" s="3"/>
      <c r="CH539" s="3"/>
      <c r="CI539" s="3"/>
      <c r="CJ539" s="3"/>
      <c r="CK539" s="3"/>
      <c r="CL539" s="3"/>
      <c r="CM539" s="3"/>
      <c r="CN539" s="3"/>
    </row>
    <row r="540" spans="1:92" ht="14.4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53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80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161"/>
      <c r="BS540" s="161"/>
      <c r="BT540" s="161"/>
      <c r="BU540" s="162"/>
      <c r="BV540" s="163"/>
      <c r="BW540" s="163"/>
      <c r="BX540" s="163"/>
      <c r="BY540" s="163"/>
      <c r="BZ540" s="163"/>
      <c r="CA540" s="163"/>
      <c r="CB540" s="161"/>
      <c r="CC540" s="161"/>
      <c r="CD540" s="161"/>
      <c r="CE540" s="161"/>
      <c r="CF540" s="161"/>
      <c r="CG540" s="3"/>
      <c r="CH540" s="3"/>
      <c r="CI540" s="3"/>
      <c r="CJ540" s="3"/>
      <c r="CK540" s="3"/>
      <c r="CL540" s="3"/>
      <c r="CM540" s="3"/>
      <c r="CN540" s="3"/>
    </row>
    <row r="541" spans="1:92" ht="14.4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53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80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161"/>
      <c r="BS541" s="161"/>
      <c r="BT541" s="161"/>
      <c r="BU541" s="162"/>
      <c r="BV541" s="163"/>
      <c r="BW541" s="163"/>
      <c r="BX541" s="163"/>
      <c r="BY541" s="163"/>
      <c r="BZ541" s="163"/>
      <c r="CA541" s="163"/>
      <c r="CB541" s="161"/>
      <c r="CC541" s="161"/>
      <c r="CD541" s="161"/>
      <c r="CE541" s="161"/>
      <c r="CF541" s="161"/>
      <c r="CG541" s="3"/>
      <c r="CH541" s="3"/>
      <c r="CI541" s="3"/>
      <c r="CJ541" s="3"/>
      <c r="CK541" s="3"/>
      <c r="CL541" s="3"/>
      <c r="CM541" s="3"/>
      <c r="CN541" s="3"/>
    </row>
    <row r="542" spans="1:92" ht="14.4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53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80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161"/>
      <c r="BS542" s="161"/>
      <c r="BT542" s="161"/>
      <c r="BU542" s="162"/>
      <c r="BV542" s="163"/>
      <c r="BW542" s="163"/>
      <c r="BX542" s="163"/>
      <c r="BY542" s="163"/>
      <c r="BZ542" s="163"/>
      <c r="CA542" s="163"/>
      <c r="CB542" s="161"/>
      <c r="CC542" s="161"/>
      <c r="CD542" s="161"/>
      <c r="CE542" s="161"/>
      <c r="CF542" s="161"/>
      <c r="CG542" s="3"/>
      <c r="CH542" s="3"/>
      <c r="CI542" s="3"/>
      <c r="CJ542" s="3"/>
      <c r="CK542" s="3"/>
      <c r="CL542" s="3"/>
      <c r="CM542" s="3"/>
      <c r="CN542" s="3"/>
    </row>
    <row r="543" spans="1:92" ht="14.4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53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80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161"/>
      <c r="BS543" s="161"/>
      <c r="BT543" s="161"/>
      <c r="BU543" s="162"/>
      <c r="BV543" s="163"/>
      <c r="BW543" s="163"/>
      <c r="BX543" s="163"/>
      <c r="BY543" s="163"/>
      <c r="BZ543" s="163"/>
      <c r="CA543" s="163"/>
      <c r="CB543" s="161"/>
      <c r="CC543" s="161"/>
      <c r="CD543" s="161"/>
      <c r="CE543" s="161"/>
      <c r="CF543" s="161"/>
      <c r="CG543" s="3"/>
      <c r="CH543" s="3"/>
      <c r="CI543" s="3"/>
      <c r="CJ543" s="3"/>
      <c r="CK543" s="3"/>
      <c r="CL543" s="3"/>
      <c r="CM543" s="3"/>
      <c r="CN543" s="3"/>
    </row>
    <row r="544" spans="1:92" ht="14.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53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80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161"/>
      <c r="BS544" s="161"/>
      <c r="BT544" s="161"/>
      <c r="BU544" s="162"/>
      <c r="BV544" s="163"/>
      <c r="BW544" s="163"/>
      <c r="BX544" s="163"/>
      <c r="BY544" s="163"/>
      <c r="BZ544" s="163"/>
      <c r="CA544" s="163"/>
      <c r="CB544" s="161"/>
      <c r="CC544" s="161"/>
      <c r="CD544" s="161"/>
      <c r="CE544" s="161"/>
      <c r="CF544" s="161"/>
      <c r="CG544" s="3"/>
      <c r="CH544" s="3"/>
      <c r="CI544" s="3"/>
      <c r="CJ544" s="3"/>
      <c r="CK544" s="3"/>
      <c r="CL544" s="3"/>
      <c r="CM544" s="3"/>
      <c r="CN544" s="3"/>
    </row>
    <row r="545" spans="1:92" ht="14.4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53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80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161"/>
      <c r="BS545" s="161"/>
      <c r="BT545" s="161"/>
      <c r="BU545" s="162"/>
      <c r="BV545" s="163"/>
      <c r="BW545" s="163"/>
      <c r="BX545" s="163"/>
      <c r="BY545" s="163"/>
      <c r="BZ545" s="163"/>
      <c r="CA545" s="163"/>
      <c r="CB545" s="161"/>
      <c r="CC545" s="161"/>
      <c r="CD545" s="161"/>
      <c r="CE545" s="161"/>
      <c r="CF545" s="161"/>
      <c r="CG545" s="3"/>
      <c r="CH545" s="3"/>
      <c r="CI545" s="3"/>
      <c r="CJ545" s="3"/>
      <c r="CK545" s="3"/>
      <c r="CL545" s="3"/>
      <c r="CM545" s="3"/>
      <c r="CN545" s="3"/>
    </row>
    <row r="546" spans="1:92" ht="14.4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53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80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161"/>
      <c r="BS546" s="161"/>
      <c r="BT546" s="161"/>
      <c r="BU546" s="162"/>
      <c r="BV546" s="163"/>
      <c r="BW546" s="163"/>
      <c r="BX546" s="163"/>
      <c r="BY546" s="163"/>
      <c r="BZ546" s="163"/>
      <c r="CA546" s="163"/>
      <c r="CB546" s="161"/>
      <c r="CC546" s="161"/>
      <c r="CD546" s="161"/>
      <c r="CE546" s="161"/>
      <c r="CF546" s="161"/>
      <c r="CG546" s="3"/>
      <c r="CH546" s="3"/>
      <c r="CI546" s="3"/>
      <c r="CJ546" s="3"/>
      <c r="CK546" s="3"/>
      <c r="CL546" s="3"/>
      <c r="CM546" s="3"/>
      <c r="CN546" s="3"/>
    </row>
    <row r="547" spans="1:92" ht="14.4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53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80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161"/>
      <c r="BS547" s="161"/>
      <c r="BT547" s="161"/>
      <c r="BU547" s="162"/>
      <c r="BV547" s="163"/>
      <c r="BW547" s="163"/>
      <c r="BX547" s="163"/>
      <c r="BY547" s="163"/>
      <c r="BZ547" s="163"/>
      <c r="CA547" s="163"/>
      <c r="CB547" s="161"/>
      <c r="CC547" s="161"/>
      <c r="CD547" s="161"/>
      <c r="CE547" s="161"/>
      <c r="CF547" s="161"/>
      <c r="CG547" s="3"/>
      <c r="CH547" s="3"/>
      <c r="CI547" s="3"/>
      <c r="CJ547" s="3"/>
      <c r="CK547" s="3"/>
      <c r="CL547" s="3"/>
      <c r="CM547" s="3"/>
      <c r="CN547" s="3"/>
    </row>
    <row r="548" spans="1:92" ht="14.4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53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80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161"/>
      <c r="BS548" s="161"/>
      <c r="BT548" s="161"/>
      <c r="BU548" s="162"/>
      <c r="BV548" s="163"/>
      <c r="BW548" s="163"/>
      <c r="BX548" s="163"/>
      <c r="BY548" s="163"/>
      <c r="BZ548" s="163"/>
      <c r="CA548" s="163"/>
      <c r="CB548" s="161"/>
      <c r="CC548" s="161"/>
      <c r="CD548" s="161"/>
      <c r="CE548" s="161"/>
      <c r="CF548" s="161"/>
      <c r="CG548" s="3"/>
      <c r="CH548" s="3"/>
      <c r="CI548" s="3"/>
      <c r="CJ548" s="3"/>
      <c r="CK548" s="3"/>
      <c r="CL548" s="3"/>
      <c r="CM548" s="3"/>
      <c r="CN548" s="3"/>
    </row>
    <row r="549" spans="1:92" ht="14.4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53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80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161"/>
      <c r="BS549" s="161"/>
      <c r="BT549" s="161"/>
      <c r="BU549" s="162"/>
      <c r="BV549" s="163"/>
      <c r="BW549" s="163"/>
      <c r="BX549" s="163"/>
      <c r="BY549" s="163"/>
      <c r="BZ549" s="163"/>
      <c r="CA549" s="163"/>
      <c r="CB549" s="161"/>
      <c r="CC549" s="161"/>
      <c r="CD549" s="161"/>
      <c r="CE549" s="161"/>
      <c r="CF549" s="161"/>
      <c r="CG549" s="3"/>
      <c r="CH549" s="3"/>
      <c r="CI549" s="3"/>
      <c r="CJ549" s="3"/>
      <c r="CK549" s="3"/>
      <c r="CL549" s="3"/>
      <c r="CM549" s="3"/>
      <c r="CN549" s="3"/>
    </row>
    <row r="550" spans="1:92" ht="14.4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53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80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161"/>
      <c r="BS550" s="161"/>
      <c r="BT550" s="161"/>
      <c r="BU550" s="162"/>
      <c r="BV550" s="163"/>
      <c r="BW550" s="163"/>
      <c r="BX550" s="163"/>
      <c r="BY550" s="163"/>
      <c r="BZ550" s="163"/>
      <c r="CA550" s="163"/>
      <c r="CB550" s="161"/>
      <c r="CC550" s="161"/>
      <c r="CD550" s="161"/>
      <c r="CE550" s="161"/>
      <c r="CF550" s="161"/>
      <c r="CG550" s="3"/>
      <c r="CH550" s="3"/>
      <c r="CI550" s="3"/>
      <c r="CJ550" s="3"/>
      <c r="CK550" s="3"/>
      <c r="CL550" s="3"/>
      <c r="CM550" s="3"/>
      <c r="CN550" s="3"/>
    </row>
    <row r="551" spans="1:92" ht="14.4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53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80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161"/>
      <c r="BS551" s="161"/>
      <c r="BT551" s="161"/>
      <c r="BU551" s="162"/>
      <c r="BV551" s="163"/>
      <c r="BW551" s="163"/>
      <c r="BX551" s="163"/>
      <c r="BY551" s="163"/>
      <c r="BZ551" s="163"/>
      <c r="CA551" s="163"/>
      <c r="CB551" s="161"/>
      <c r="CC551" s="161"/>
      <c r="CD551" s="161"/>
      <c r="CE551" s="161"/>
      <c r="CF551" s="161"/>
      <c r="CG551" s="3"/>
      <c r="CH551" s="3"/>
      <c r="CI551" s="3"/>
      <c r="CJ551" s="3"/>
      <c r="CK551" s="3"/>
      <c r="CL551" s="3"/>
      <c r="CM551" s="3"/>
      <c r="CN551" s="3"/>
    </row>
    <row r="552" spans="1:92" ht="14.4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53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80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161"/>
      <c r="BS552" s="161"/>
      <c r="BT552" s="161"/>
      <c r="BU552" s="162"/>
      <c r="BV552" s="163"/>
      <c r="BW552" s="163"/>
      <c r="BX552" s="163"/>
      <c r="BY552" s="163"/>
      <c r="BZ552" s="163"/>
      <c r="CA552" s="163"/>
      <c r="CB552" s="161"/>
      <c r="CC552" s="161"/>
      <c r="CD552" s="161"/>
      <c r="CE552" s="161"/>
      <c r="CF552" s="161"/>
      <c r="CG552" s="3"/>
      <c r="CH552" s="3"/>
      <c r="CI552" s="3"/>
      <c r="CJ552" s="3"/>
      <c r="CK552" s="3"/>
      <c r="CL552" s="3"/>
      <c r="CM552" s="3"/>
      <c r="CN552" s="3"/>
    </row>
    <row r="553" spans="1:92" ht="14.4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53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80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161"/>
      <c r="BS553" s="161"/>
      <c r="BT553" s="161"/>
      <c r="BU553" s="162"/>
      <c r="BV553" s="163"/>
      <c r="BW553" s="163"/>
      <c r="BX553" s="163"/>
      <c r="BY553" s="163"/>
      <c r="BZ553" s="163"/>
      <c r="CA553" s="163"/>
      <c r="CB553" s="161"/>
      <c r="CC553" s="161"/>
      <c r="CD553" s="161"/>
      <c r="CE553" s="161"/>
      <c r="CF553" s="161"/>
      <c r="CG553" s="3"/>
      <c r="CH553" s="3"/>
      <c r="CI553" s="3"/>
      <c r="CJ553" s="3"/>
      <c r="CK553" s="3"/>
      <c r="CL553" s="3"/>
      <c r="CM553" s="3"/>
      <c r="CN553" s="3"/>
    </row>
    <row r="554" spans="1:92" ht="14.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53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80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161"/>
      <c r="BS554" s="161"/>
      <c r="BT554" s="161"/>
      <c r="BU554" s="162"/>
      <c r="BV554" s="163"/>
      <c r="BW554" s="163"/>
      <c r="BX554" s="163"/>
      <c r="BY554" s="163"/>
      <c r="BZ554" s="163"/>
      <c r="CA554" s="163"/>
      <c r="CB554" s="161"/>
      <c r="CC554" s="161"/>
      <c r="CD554" s="161"/>
      <c r="CE554" s="161"/>
      <c r="CF554" s="161"/>
      <c r="CG554" s="3"/>
      <c r="CH554" s="3"/>
      <c r="CI554" s="3"/>
      <c r="CJ554" s="3"/>
      <c r="CK554" s="3"/>
      <c r="CL554" s="3"/>
      <c r="CM554" s="3"/>
      <c r="CN554" s="3"/>
    </row>
    <row r="555" spans="1:92" ht="14.4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53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80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161"/>
      <c r="BS555" s="161"/>
      <c r="BT555" s="161"/>
      <c r="BU555" s="162"/>
      <c r="BV555" s="163"/>
      <c r="BW555" s="163"/>
      <c r="BX555" s="163"/>
      <c r="BY555" s="163"/>
      <c r="BZ555" s="163"/>
      <c r="CA555" s="163"/>
      <c r="CB555" s="161"/>
      <c r="CC555" s="161"/>
      <c r="CD555" s="161"/>
      <c r="CE555" s="161"/>
      <c r="CF555" s="161"/>
      <c r="CG555" s="3"/>
      <c r="CH555" s="3"/>
      <c r="CI555" s="3"/>
      <c r="CJ555" s="3"/>
      <c r="CK555" s="3"/>
      <c r="CL555" s="3"/>
      <c r="CM555" s="3"/>
      <c r="CN555" s="3"/>
    </row>
    <row r="556" spans="1:92" ht="14.4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53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80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161"/>
      <c r="BS556" s="161"/>
      <c r="BT556" s="161"/>
      <c r="BU556" s="162"/>
      <c r="BV556" s="163"/>
      <c r="BW556" s="163"/>
      <c r="BX556" s="163"/>
      <c r="BY556" s="163"/>
      <c r="BZ556" s="163"/>
      <c r="CA556" s="163"/>
      <c r="CB556" s="161"/>
      <c r="CC556" s="161"/>
      <c r="CD556" s="161"/>
      <c r="CE556" s="161"/>
      <c r="CF556" s="161"/>
      <c r="CG556" s="3"/>
      <c r="CH556" s="3"/>
      <c r="CI556" s="3"/>
      <c r="CJ556" s="3"/>
      <c r="CK556" s="3"/>
      <c r="CL556" s="3"/>
      <c r="CM556" s="3"/>
      <c r="CN556" s="3"/>
    </row>
    <row r="557" spans="1:92" ht="14.4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53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80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161"/>
      <c r="BS557" s="161"/>
      <c r="BT557" s="161"/>
      <c r="BU557" s="162"/>
      <c r="BV557" s="163"/>
      <c r="BW557" s="163"/>
      <c r="BX557" s="163"/>
      <c r="BY557" s="163"/>
      <c r="BZ557" s="163"/>
      <c r="CA557" s="163"/>
      <c r="CB557" s="161"/>
      <c r="CC557" s="161"/>
      <c r="CD557" s="161"/>
      <c r="CE557" s="161"/>
      <c r="CF557" s="161"/>
      <c r="CG557" s="3"/>
      <c r="CH557" s="3"/>
      <c r="CI557" s="3"/>
      <c r="CJ557" s="3"/>
      <c r="CK557" s="3"/>
      <c r="CL557" s="3"/>
      <c r="CM557" s="3"/>
      <c r="CN557" s="3"/>
    </row>
    <row r="558" spans="1:92" ht="14.4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53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80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161"/>
      <c r="BS558" s="161"/>
      <c r="BT558" s="161"/>
      <c r="BU558" s="162"/>
      <c r="BV558" s="163"/>
      <c r="BW558" s="163"/>
      <c r="BX558" s="163"/>
      <c r="BY558" s="163"/>
      <c r="BZ558" s="163"/>
      <c r="CA558" s="163"/>
      <c r="CB558" s="161"/>
      <c r="CC558" s="161"/>
      <c r="CD558" s="161"/>
      <c r="CE558" s="161"/>
      <c r="CF558" s="161"/>
      <c r="CG558" s="3"/>
      <c r="CH558" s="3"/>
      <c r="CI558" s="3"/>
      <c r="CJ558" s="3"/>
      <c r="CK558" s="3"/>
      <c r="CL558" s="3"/>
      <c r="CM558" s="3"/>
      <c r="CN558" s="3"/>
    </row>
    <row r="559" spans="1:92" ht="14.4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53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80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161"/>
      <c r="BS559" s="161"/>
      <c r="BT559" s="161"/>
      <c r="BU559" s="162"/>
      <c r="BV559" s="163"/>
      <c r="BW559" s="163"/>
      <c r="BX559" s="163"/>
      <c r="BY559" s="163"/>
      <c r="BZ559" s="163"/>
      <c r="CA559" s="163"/>
      <c r="CB559" s="161"/>
      <c r="CC559" s="161"/>
      <c r="CD559" s="161"/>
      <c r="CE559" s="161"/>
      <c r="CF559" s="161"/>
      <c r="CG559" s="3"/>
      <c r="CH559" s="3"/>
      <c r="CI559" s="3"/>
      <c r="CJ559" s="3"/>
      <c r="CK559" s="3"/>
      <c r="CL559" s="3"/>
      <c r="CM559" s="3"/>
      <c r="CN559" s="3"/>
    </row>
    <row r="560" spans="1:92" ht="14.4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53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80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161"/>
      <c r="BS560" s="161"/>
      <c r="BT560" s="161"/>
      <c r="BU560" s="162"/>
      <c r="BV560" s="163"/>
      <c r="BW560" s="163"/>
      <c r="BX560" s="163"/>
      <c r="BY560" s="163"/>
      <c r="BZ560" s="163"/>
      <c r="CA560" s="163"/>
      <c r="CB560" s="161"/>
      <c r="CC560" s="161"/>
      <c r="CD560" s="161"/>
      <c r="CE560" s="161"/>
      <c r="CF560" s="161"/>
      <c r="CG560" s="3"/>
      <c r="CH560" s="3"/>
      <c r="CI560" s="3"/>
      <c r="CJ560" s="3"/>
      <c r="CK560" s="3"/>
      <c r="CL560" s="3"/>
      <c r="CM560" s="3"/>
      <c r="CN560" s="3"/>
    </row>
    <row r="561" spans="1:92" ht="14.4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53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80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161"/>
      <c r="BS561" s="161"/>
      <c r="BT561" s="161"/>
      <c r="BU561" s="162"/>
      <c r="BV561" s="163"/>
      <c r="BW561" s="163"/>
      <c r="BX561" s="163"/>
      <c r="BY561" s="163"/>
      <c r="BZ561" s="163"/>
      <c r="CA561" s="163"/>
      <c r="CB561" s="161"/>
      <c r="CC561" s="161"/>
      <c r="CD561" s="161"/>
      <c r="CE561" s="161"/>
      <c r="CF561" s="161"/>
      <c r="CG561" s="3"/>
      <c r="CH561" s="3"/>
      <c r="CI561" s="3"/>
      <c r="CJ561" s="3"/>
      <c r="CK561" s="3"/>
      <c r="CL561" s="3"/>
      <c r="CM561" s="3"/>
      <c r="CN561" s="3"/>
    </row>
    <row r="562" spans="1:92" ht="14.4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53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80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161"/>
      <c r="BS562" s="161"/>
      <c r="BT562" s="161"/>
      <c r="BU562" s="162"/>
      <c r="BV562" s="163"/>
      <c r="BW562" s="163"/>
      <c r="BX562" s="163"/>
      <c r="BY562" s="163"/>
      <c r="BZ562" s="163"/>
      <c r="CA562" s="163"/>
      <c r="CB562" s="161"/>
      <c r="CC562" s="161"/>
      <c r="CD562" s="161"/>
      <c r="CE562" s="161"/>
      <c r="CF562" s="161"/>
      <c r="CG562" s="3"/>
      <c r="CH562" s="3"/>
      <c r="CI562" s="3"/>
      <c r="CJ562" s="3"/>
      <c r="CK562" s="3"/>
      <c r="CL562" s="3"/>
      <c r="CM562" s="3"/>
      <c r="CN562" s="3"/>
    </row>
    <row r="563" spans="1:92" ht="14.4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53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80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161"/>
      <c r="BS563" s="161"/>
      <c r="BT563" s="161"/>
      <c r="BU563" s="162"/>
      <c r="BV563" s="163"/>
      <c r="BW563" s="163"/>
      <c r="BX563" s="163"/>
      <c r="BY563" s="163"/>
      <c r="BZ563" s="163"/>
      <c r="CA563" s="163"/>
      <c r="CB563" s="161"/>
      <c r="CC563" s="161"/>
      <c r="CD563" s="161"/>
      <c r="CE563" s="161"/>
      <c r="CF563" s="161"/>
      <c r="CG563" s="3"/>
      <c r="CH563" s="3"/>
      <c r="CI563" s="3"/>
      <c r="CJ563" s="3"/>
      <c r="CK563" s="3"/>
      <c r="CL563" s="3"/>
      <c r="CM563" s="3"/>
      <c r="CN563" s="3"/>
    </row>
    <row r="564" spans="1:92" ht="14.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53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80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161"/>
      <c r="BS564" s="161"/>
      <c r="BT564" s="161"/>
      <c r="BU564" s="162"/>
      <c r="BV564" s="163"/>
      <c r="BW564" s="163"/>
      <c r="BX564" s="163"/>
      <c r="BY564" s="163"/>
      <c r="BZ564" s="163"/>
      <c r="CA564" s="163"/>
      <c r="CB564" s="161"/>
      <c r="CC564" s="161"/>
      <c r="CD564" s="161"/>
      <c r="CE564" s="161"/>
      <c r="CF564" s="161"/>
      <c r="CG564" s="3"/>
      <c r="CH564" s="3"/>
      <c r="CI564" s="3"/>
      <c r="CJ564" s="3"/>
      <c r="CK564" s="3"/>
      <c r="CL564" s="3"/>
      <c r="CM564" s="3"/>
      <c r="CN564" s="3"/>
    </row>
    <row r="565" spans="1:92" ht="14.4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53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80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161"/>
      <c r="BS565" s="161"/>
      <c r="BT565" s="161"/>
      <c r="BU565" s="162"/>
      <c r="BV565" s="163"/>
      <c r="BW565" s="163"/>
      <c r="BX565" s="163"/>
      <c r="BY565" s="163"/>
      <c r="BZ565" s="163"/>
      <c r="CA565" s="163"/>
      <c r="CB565" s="161"/>
      <c r="CC565" s="161"/>
      <c r="CD565" s="161"/>
      <c r="CE565" s="161"/>
      <c r="CF565" s="161"/>
      <c r="CG565" s="3"/>
      <c r="CH565" s="3"/>
      <c r="CI565" s="3"/>
      <c r="CJ565" s="3"/>
      <c r="CK565" s="3"/>
      <c r="CL565" s="3"/>
      <c r="CM565" s="3"/>
      <c r="CN565" s="3"/>
    </row>
    <row r="566" spans="1:92" ht="14.4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53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80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161"/>
      <c r="BS566" s="161"/>
      <c r="BT566" s="161"/>
      <c r="BU566" s="162"/>
      <c r="BV566" s="163"/>
      <c r="BW566" s="163"/>
      <c r="BX566" s="163"/>
      <c r="BY566" s="163"/>
      <c r="BZ566" s="163"/>
      <c r="CA566" s="163"/>
      <c r="CB566" s="161"/>
      <c r="CC566" s="161"/>
      <c r="CD566" s="161"/>
      <c r="CE566" s="161"/>
      <c r="CF566" s="161"/>
      <c r="CG566" s="3"/>
      <c r="CH566" s="3"/>
      <c r="CI566" s="3"/>
      <c r="CJ566" s="3"/>
      <c r="CK566" s="3"/>
      <c r="CL566" s="3"/>
      <c r="CM566" s="3"/>
      <c r="CN566" s="3"/>
    </row>
    <row r="567" spans="1:92" ht="14.4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53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80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161"/>
      <c r="BS567" s="161"/>
      <c r="BT567" s="161"/>
      <c r="BU567" s="162"/>
      <c r="BV567" s="163"/>
      <c r="BW567" s="163"/>
      <c r="BX567" s="163"/>
      <c r="BY567" s="163"/>
      <c r="BZ567" s="163"/>
      <c r="CA567" s="163"/>
      <c r="CB567" s="161"/>
      <c r="CC567" s="161"/>
      <c r="CD567" s="161"/>
      <c r="CE567" s="161"/>
      <c r="CF567" s="161"/>
      <c r="CG567" s="3"/>
      <c r="CH567" s="3"/>
      <c r="CI567" s="3"/>
      <c r="CJ567" s="3"/>
      <c r="CK567" s="3"/>
      <c r="CL567" s="3"/>
      <c r="CM567" s="3"/>
      <c r="CN567" s="3"/>
    </row>
    <row r="568" spans="1:92" ht="14.4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53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80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161"/>
      <c r="BS568" s="161"/>
      <c r="BT568" s="161"/>
      <c r="BU568" s="162"/>
      <c r="BV568" s="163"/>
      <c r="BW568" s="163"/>
      <c r="BX568" s="163"/>
      <c r="BY568" s="163"/>
      <c r="BZ568" s="163"/>
      <c r="CA568" s="163"/>
      <c r="CB568" s="161"/>
      <c r="CC568" s="161"/>
      <c r="CD568" s="161"/>
      <c r="CE568" s="161"/>
      <c r="CF568" s="161"/>
      <c r="CG568" s="3"/>
      <c r="CH568" s="3"/>
      <c r="CI568" s="3"/>
      <c r="CJ568" s="3"/>
      <c r="CK568" s="3"/>
      <c r="CL568" s="3"/>
      <c r="CM568" s="3"/>
      <c r="CN568" s="3"/>
    </row>
    <row r="569" spans="1:92" ht="14.4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53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80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161"/>
      <c r="BS569" s="161"/>
      <c r="BT569" s="161"/>
      <c r="BU569" s="162"/>
      <c r="BV569" s="163"/>
      <c r="BW569" s="163"/>
      <c r="BX569" s="163"/>
      <c r="BY569" s="163"/>
      <c r="BZ569" s="163"/>
      <c r="CA569" s="163"/>
      <c r="CB569" s="161"/>
      <c r="CC569" s="161"/>
      <c r="CD569" s="161"/>
      <c r="CE569" s="161"/>
      <c r="CF569" s="161"/>
      <c r="CG569" s="3"/>
      <c r="CH569" s="3"/>
      <c r="CI569" s="3"/>
      <c r="CJ569" s="3"/>
      <c r="CK569" s="3"/>
      <c r="CL569" s="3"/>
      <c r="CM569" s="3"/>
      <c r="CN569" s="3"/>
    </row>
    <row r="570" spans="1:92" ht="14.4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53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80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161"/>
      <c r="BS570" s="161"/>
      <c r="BT570" s="161"/>
      <c r="BU570" s="162"/>
      <c r="BV570" s="163"/>
      <c r="BW570" s="163"/>
      <c r="BX570" s="163"/>
      <c r="BY570" s="163"/>
      <c r="BZ570" s="163"/>
      <c r="CA570" s="163"/>
      <c r="CB570" s="161"/>
      <c r="CC570" s="161"/>
      <c r="CD570" s="161"/>
      <c r="CE570" s="161"/>
      <c r="CF570" s="161"/>
      <c r="CG570" s="3"/>
      <c r="CH570" s="3"/>
      <c r="CI570" s="3"/>
      <c r="CJ570" s="3"/>
      <c r="CK570" s="3"/>
      <c r="CL570" s="3"/>
      <c r="CM570" s="3"/>
      <c r="CN570" s="3"/>
    </row>
    <row r="571" spans="1:92" ht="14.4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53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80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161"/>
      <c r="BS571" s="161"/>
      <c r="BT571" s="161"/>
      <c r="BU571" s="162"/>
      <c r="BV571" s="163"/>
      <c r="BW571" s="163"/>
      <c r="BX571" s="163"/>
      <c r="BY571" s="163"/>
      <c r="BZ571" s="163"/>
      <c r="CA571" s="163"/>
      <c r="CB571" s="161"/>
      <c r="CC571" s="161"/>
      <c r="CD571" s="161"/>
      <c r="CE571" s="161"/>
      <c r="CF571" s="161"/>
      <c r="CG571" s="3"/>
      <c r="CH571" s="3"/>
      <c r="CI571" s="3"/>
      <c r="CJ571" s="3"/>
      <c r="CK571" s="3"/>
      <c r="CL571" s="3"/>
      <c r="CM571" s="3"/>
      <c r="CN571" s="3"/>
    </row>
    <row r="572" spans="1:92" ht="14.4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53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80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161"/>
      <c r="BS572" s="161"/>
      <c r="BT572" s="161"/>
      <c r="BU572" s="162"/>
      <c r="BV572" s="163"/>
      <c r="BW572" s="163"/>
      <c r="BX572" s="163"/>
      <c r="BY572" s="163"/>
      <c r="BZ572" s="163"/>
      <c r="CA572" s="163"/>
      <c r="CB572" s="161"/>
      <c r="CC572" s="161"/>
      <c r="CD572" s="161"/>
      <c r="CE572" s="161"/>
      <c r="CF572" s="161"/>
      <c r="CG572" s="3"/>
      <c r="CH572" s="3"/>
      <c r="CI572" s="3"/>
      <c r="CJ572" s="3"/>
      <c r="CK572" s="3"/>
      <c r="CL572" s="3"/>
      <c r="CM572" s="3"/>
      <c r="CN572" s="3"/>
    </row>
    <row r="573" spans="1:92" ht="14.4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53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80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161"/>
      <c r="BS573" s="161"/>
      <c r="BT573" s="161"/>
      <c r="BU573" s="162"/>
      <c r="BV573" s="163"/>
      <c r="BW573" s="163"/>
      <c r="BX573" s="163"/>
      <c r="BY573" s="163"/>
      <c r="BZ573" s="163"/>
      <c r="CA573" s="163"/>
      <c r="CB573" s="161"/>
      <c r="CC573" s="161"/>
      <c r="CD573" s="161"/>
      <c r="CE573" s="161"/>
      <c r="CF573" s="161"/>
      <c r="CG573" s="3"/>
      <c r="CH573" s="3"/>
      <c r="CI573" s="3"/>
      <c r="CJ573" s="3"/>
      <c r="CK573" s="3"/>
      <c r="CL573" s="3"/>
      <c r="CM573" s="3"/>
      <c r="CN573" s="3"/>
    </row>
    <row r="574" spans="1:92" ht="14.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53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80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161"/>
      <c r="BS574" s="161"/>
      <c r="BT574" s="161"/>
      <c r="BU574" s="162"/>
      <c r="BV574" s="163"/>
      <c r="BW574" s="163"/>
      <c r="BX574" s="163"/>
      <c r="BY574" s="163"/>
      <c r="BZ574" s="163"/>
      <c r="CA574" s="163"/>
      <c r="CB574" s="161"/>
      <c r="CC574" s="161"/>
      <c r="CD574" s="161"/>
      <c r="CE574" s="161"/>
      <c r="CF574" s="161"/>
      <c r="CG574" s="3"/>
      <c r="CH574" s="3"/>
      <c r="CI574" s="3"/>
      <c r="CJ574" s="3"/>
      <c r="CK574" s="3"/>
      <c r="CL574" s="3"/>
      <c r="CM574" s="3"/>
      <c r="CN574" s="3"/>
    </row>
    <row r="575" spans="1:92" ht="14.4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53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80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161"/>
      <c r="BS575" s="161"/>
      <c r="BT575" s="161"/>
      <c r="BU575" s="162"/>
      <c r="BV575" s="163"/>
      <c r="BW575" s="163"/>
      <c r="BX575" s="163"/>
      <c r="BY575" s="163"/>
      <c r="BZ575" s="163"/>
      <c r="CA575" s="163"/>
      <c r="CB575" s="161"/>
      <c r="CC575" s="161"/>
      <c r="CD575" s="161"/>
      <c r="CE575" s="161"/>
      <c r="CF575" s="161"/>
      <c r="CG575" s="3"/>
      <c r="CH575" s="3"/>
      <c r="CI575" s="3"/>
      <c r="CJ575" s="3"/>
      <c r="CK575" s="3"/>
      <c r="CL575" s="3"/>
      <c r="CM575" s="3"/>
      <c r="CN575" s="3"/>
    </row>
    <row r="576" spans="1:92" ht="14.4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53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80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161"/>
      <c r="BS576" s="161"/>
      <c r="BT576" s="161"/>
      <c r="BU576" s="162"/>
      <c r="BV576" s="163"/>
      <c r="BW576" s="163"/>
      <c r="BX576" s="163"/>
      <c r="BY576" s="163"/>
      <c r="BZ576" s="163"/>
      <c r="CA576" s="163"/>
      <c r="CB576" s="161"/>
      <c r="CC576" s="161"/>
      <c r="CD576" s="161"/>
      <c r="CE576" s="161"/>
      <c r="CF576" s="161"/>
      <c r="CG576" s="3"/>
      <c r="CH576" s="3"/>
      <c r="CI576" s="3"/>
      <c r="CJ576" s="3"/>
      <c r="CK576" s="3"/>
      <c r="CL576" s="3"/>
      <c r="CM576" s="3"/>
      <c r="CN576" s="3"/>
    </row>
    <row r="577" spans="1:92" ht="14.4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53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80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161"/>
      <c r="BS577" s="161"/>
      <c r="BT577" s="161"/>
      <c r="BU577" s="162"/>
      <c r="BV577" s="163"/>
      <c r="BW577" s="163"/>
      <c r="BX577" s="163"/>
      <c r="BY577" s="163"/>
      <c r="BZ577" s="163"/>
      <c r="CA577" s="163"/>
      <c r="CB577" s="161"/>
      <c r="CC577" s="161"/>
      <c r="CD577" s="161"/>
      <c r="CE577" s="161"/>
      <c r="CF577" s="161"/>
      <c r="CG577" s="3"/>
      <c r="CH577" s="3"/>
      <c r="CI577" s="3"/>
      <c r="CJ577" s="3"/>
      <c r="CK577" s="3"/>
      <c r="CL577" s="3"/>
      <c r="CM577" s="3"/>
      <c r="CN577" s="3"/>
    </row>
    <row r="578" spans="1:92" ht="14.4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53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80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161"/>
      <c r="BS578" s="161"/>
      <c r="BT578" s="161"/>
      <c r="BU578" s="162"/>
      <c r="BV578" s="163"/>
      <c r="BW578" s="163"/>
      <c r="BX578" s="163"/>
      <c r="BY578" s="163"/>
      <c r="BZ578" s="163"/>
      <c r="CA578" s="163"/>
      <c r="CB578" s="161"/>
      <c r="CC578" s="161"/>
      <c r="CD578" s="161"/>
      <c r="CE578" s="161"/>
      <c r="CF578" s="161"/>
      <c r="CG578" s="3"/>
      <c r="CH578" s="3"/>
      <c r="CI578" s="3"/>
      <c r="CJ578" s="3"/>
      <c r="CK578" s="3"/>
      <c r="CL578" s="3"/>
      <c r="CM578" s="3"/>
      <c r="CN578" s="3"/>
    </row>
    <row r="579" spans="1:92" ht="14.4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53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80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161"/>
      <c r="BS579" s="161"/>
      <c r="BT579" s="161"/>
      <c r="BU579" s="162"/>
      <c r="BV579" s="163"/>
      <c r="BW579" s="163"/>
      <c r="BX579" s="163"/>
      <c r="BY579" s="163"/>
      <c r="BZ579" s="163"/>
      <c r="CA579" s="163"/>
      <c r="CB579" s="161"/>
      <c r="CC579" s="161"/>
      <c r="CD579" s="161"/>
      <c r="CE579" s="161"/>
      <c r="CF579" s="161"/>
      <c r="CG579" s="3"/>
      <c r="CH579" s="3"/>
      <c r="CI579" s="3"/>
      <c r="CJ579" s="3"/>
      <c r="CK579" s="3"/>
      <c r="CL579" s="3"/>
      <c r="CM579" s="3"/>
      <c r="CN579" s="3"/>
    </row>
    <row r="580" spans="1:92" ht="14.4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53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80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161"/>
      <c r="BS580" s="161"/>
      <c r="BT580" s="161"/>
      <c r="BU580" s="162"/>
      <c r="BV580" s="163"/>
      <c r="BW580" s="163"/>
      <c r="BX580" s="163"/>
      <c r="BY580" s="163"/>
      <c r="BZ580" s="163"/>
      <c r="CA580" s="163"/>
      <c r="CB580" s="161"/>
      <c r="CC580" s="161"/>
      <c r="CD580" s="161"/>
      <c r="CE580" s="161"/>
      <c r="CF580" s="161"/>
      <c r="CG580" s="3"/>
      <c r="CH580" s="3"/>
      <c r="CI580" s="3"/>
      <c r="CJ580" s="3"/>
      <c r="CK580" s="3"/>
      <c r="CL580" s="3"/>
      <c r="CM580" s="3"/>
      <c r="CN580" s="3"/>
    </row>
    <row r="581" spans="1:92" ht="14.4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53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80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161"/>
      <c r="BS581" s="161"/>
      <c r="BT581" s="161"/>
      <c r="BU581" s="162"/>
      <c r="BV581" s="163"/>
      <c r="BW581" s="163"/>
      <c r="BX581" s="163"/>
      <c r="BY581" s="163"/>
      <c r="BZ581" s="163"/>
      <c r="CA581" s="163"/>
      <c r="CB581" s="161"/>
      <c r="CC581" s="161"/>
      <c r="CD581" s="161"/>
      <c r="CE581" s="161"/>
      <c r="CF581" s="161"/>
      <c r="CG581" s="3"/>
      <c r="CH581" s="3"/>
      <c r="CI581" s="3"/>
      <c r="CJ581" s="3"/>
      <c r="CK581" s="3"/>
      <c r="CL581" s="3"/>
      <c r="CM581" s="3"/>
      <c r="CN581" s="3"/>
    </row>
    <row r="582" spans="1:92" ht="14.4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53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80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161"/>
      <c r="BS582" s="161"/>
      <c r="BT582" s="161"/>
      <c r="BU582" s="162"/>
      <c r="BV582" s="163"/>
      <c r="BW582" s="163"/>
      <c r="BX582" s="163"/>
      <c r="BY582" s="163"/>
      <c r="BZ582" s="163"/>
      <c r="CA582" s="163"/>
      <c r="CB582" s="161"/>
      <c r="CC582" s="161"/>
      <c r="CD582" s="161"/>
      <c r="CE582" s="161"/>
      <c r="CF582" s="161"/>
      <c r="CG582" s="3"/>
      <c r="CH582" s="3"/>
      <c r="CI582" s="3"/>
      <c r="CJ582" s="3"/>
      <c r="CK582" s="3"/>
      <c r="CL582" s="3"/>
      <c r="CM582" s="3"/>
      <c r="CN582" s="3"/>
    </row>
    <row r="583" spans="1:92" ht="14.4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53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80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161"/>
      <c r="BS583" s="161"/>
      <c r="BT583" s="161"/>
      <c r="BU583" s="162"/>
      <c r="BV583" s="163"/>
      <c r="BW583" s="163"/>
      <c r="BX583" s="163"/>
      <c r="BY583" s="163"/>
      <c r="BZ583" s="163"/>
      <c r="CA583" s="163"/>
      <c r="CB583" s="161"/>
      <c r="CC583" s="161"/>
      <c r="CD583" s="161"/>
      <c r="CE583" s="161"/>
      <c r="CF583" s="161"/>
      <c r="CG583" s="3"/>
      <c r="CH583" s="3"/>
      <c r="CI583" s="3"/>
      <c r="CJ583" s="3"/>
      <c r="CK583" s="3"/>
      <c r="CL583" s="3"/>
      <c r="CM583" s="3"/>
      <c r="CN583" s="3"/>
    </row>
    <row r="584" spans="1:92" ht="14.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53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80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161"/>
      <c r="BS584" s="161"/>
      <c r="BT584" s="161"/>
      <c r="BU584" s="162"/>
      <c r="BV584" s="163"/>
      <c r="BW584" s="163"/>
      <c r="BX584" s="163"/>
      <c r="BY584" s="163"/>
      <c r="BZ584" s="163"/>
      <c r="CA584" s="163"/>
      <c r="CB584" s="161"/>
      <c r="CC584" s="161"/>
      <c r="CD584" s="161"/>
      <c r="CE584" s="161"/>
      <c r="CF584" s="161"/>
      <c r="CG584" s="3"/>
      <c r="CH584" s="3"/>
      <c r="CI584" s="3"/>
      <c r="CJ584" s="3"/>
      <c r="CK584" s="3"/>
      <c r="CL584" s="3"/>
      <c r="CM584" s="3"/>
      <c r="CN584" s="3"/>
    </row>
    <row r="585" spans="1:92" ht="14.4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53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80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161"/>
      <c r="BS585" s="161"/>
      <c r="BT585" s="161"/>
      <c r="BU585" s="162"/>
      <c r="BV585" s="163"/>
      <c r="BW585" s="163"/>
      <c r="BX585" s="163"/>
      <c r="BY585" s="163"/>
      <c r="BZ585" s="163"/>
      <c r="CA585" s="163"/>
      <c r="CB585" s="161"/>
      <c r="CC585" s="161"/>
      <c r="CD585" s="161"/>
      <c r="CE585" s="161"/>
      <c r="CF585" s="161"/>
      <c r="CG585" s="3"/>
      <c r="CH585" s="3"/>
      <c r="CI585" s="3"/>
      <c r="CJ585" s="3"/>
      <c r="CK585" s="3"/>
      <c r="CL585" s="3"/>
      <c r="CM585" s="3"/>
      <c r="CN585" s="3"/>
    </row>
    <row r="586" spans="1:92" ht="14.4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53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80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161"/>
      <c r="BS586" s="161"/>
      <c r="BT586" s="161"/>
      <c r="BU586" s="162"/>
      <c r="BV586" s="163"/>
      <c r="BW586" s="163"/>
      <c r="BX586" s="163"/>
      <c r="BY586" s="163"/>
      <c r="BZ586" s="163"/>
      <c r="CA586" s="163"/>
      <c r="CB586" s="161"/>
      <c r="CC586" s="161"/>
      <c r="CD586" s="161"/>
      <c r="CE586" s="161"/>
      <c r="CF586" s="161"/>
      <c r="CG586" s="3"/>
      <c r="CH586" s="3"/>
      <c r="CI586" s="3"/>
      <c r="CJ586" s="3"/>
      <c r="CK586" s="3"/>
      <c r="CL586" s="3"/>
      <c r="CM586" s="3"/>
      <c r="CN586" s="3"/>
    </row>
    <row r="587" spans="1:92" ht="14.4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53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80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161"/>
      <c r="BS587" s="161"/>
      <c r="BT587" s="161"/>
      <c r="BU587" s="162"/>
      <c r="BV587" s="163"/>
      <c r="BW587" s="163"/>
      <c r="BX587" s="163"/>
      <c r="BY587" s="163"/>
      <c r="BZ587" s="163"/>
      <c r="CA587" s="163"/>
      <c r="CB587" s="161"/>
      <c r="CC587" s="161"/>
      <c r="CD587" s="161"/>
      <c r="CE587" s="161"/>
      <c r="CF587" s="161"/>
      <c r="CG587" s="3"/>
      <c r="CH587" s="3"/>
      <c r="CI587" s="3"/>
      <c r="CJ587" s="3"/>
      <c r="CK587" s="3"/>
      <c r="CL587" s="3"/>
      <c r="CM587" s="3"/>
      <c r="CN587" s="3"/>
    </row>
    <row r="588" spans="1:92" ht="14.4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53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80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161"/>
      <c r="BS588" s="161"/>
      <c r="BT588" s="161"/>
      <c r="BU588" s="162"/>
      <c r="BV588" s="163"/>
      <c r="BW588" s="163"/>
      <c r="BX588" s="163"/>
      <c r="BY588" s="163"/>
      <c r="BZ588" s="163"/>
      <c r="CA588" s="163"/>
      <c r="CB588" s="161"/>
      <c r="CC588" s="161"/>
      <c r="CD588" s="161"/>
      <c r="CE588" s="161"/>
      <c r="CF588" s="161"/>
      <c r="CG588" s="3"/>
      <c r="CH588" s="3"/>
      <c r="CI588" s="3"/>
      <c r="CJ588" s="3"/>
      <c r="CK588" s="3"/>
      <c r="CL588" s="3"/>
      <c r="CM588" s="3"/>
      <c r="CN588" s="3"/>
    </row>
    <row r="589" spans="1:92" ht="14.4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53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80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161"/>
      <c r="BS589" s="161"/>
      <c r="BT589" s="161"/>
      <c r="BU589" s="162"/>
      <c r="BV589" s="163"/>
      <c r="BW589" s="163"/>
      <c r="BX589" s="163"/>
      <c r="BY589" s="163"/>
      <c r="BZ589" s="163"/>
      <c r="CA589" s="163"/>
      <c r="CB589" s="161"/>
      <c r="CC589" s="161"/>
      <c r="CD589" s="161"/>
      <c r="CE589" s="161"/>
      <c r="CF589" s="161"/>
      <c r="CG589" s="3"/>
      <c r="CH589" s="3"/>
      <c r="CI589" s="3"/>
      <c r="CJ589" s="3"/>
      <c r="CK589" s="3"/>
      <c r="CL589" s="3"/>
      <c r="CM589" s="3"/>
      <c r="CN589" s="3"/>
    </row>
    <row r="590" spans="1:92" ht="14.4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53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80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161"/>
      <c r="BS590" s="161"/>
      <c r="BT590" s="161"/>
      <c r="BU590" s="162"/>
      <c r="BV590" s="163"/>
      <c r="BW590" s="163"/>
      <c r="BX590" s="163"/>
      <c r="BY590" s="163"/>
      <c r="BZ590" s="163"/>
      <c r="CA590" s="163"/>
      <c r="CB590" s="161"/>
      <c r="CC590" s="161"/>
      <c r="CD590" s="161"/>
      <c r="CE590" s="161"/>
      <c r="CF590" s="161"/>
      <c r="CG590" s="3"/>
      <c r="CH590" s="3"/>
      <c r="CI590" s="3"/>
      <c r="CJ590" s="3"/>
      <c r="CK590" s="3"/>
      <c r="CL590" s="3"/>
      <c r="CM590" s="3"/>
      <c r="CN590" s="3"/>
    </row>
    <row r="591" spans="1:92" ht="14.4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53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80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161"/>
      <c r="BS591" s="161"/>
      <c r="BT591" s="161"/>
      <c r="BU591" s="162"/>
      <c r="BV591" s="163"/>
      <c r="BW591" s="163"/>
      <c r="BX591" s="163"/>
      <c r="BY591" s="163"/>
      <c r="BZ591" s="163"/>
      <c r="CA591" s="163"/>
      <c r="CB591" s="161"/>
      <c r="CC591" s="161"/>
      <c r="CD591" s="161"/>
      <c r="CE591" s="161"/>
      <c r="CF591" s="161"/>
      <c r="CG591" s="3"/>
      <c r="CH591" s="3"/>
      <c r="CI591" s="3"/>
      <c r="CJ591" s="3"/>
      <c r="CK591" s="3"/>
      <c r="CL591" s="3"/>
      <c r="CM591" s="3"/>
      <c r="CN591" s="3"/>
    </row>
    <row r="592" spans="1:92" ht="14.4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53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80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161"/>
      <c r="BS592" s="161"/>
      <c r="BT592" s="161"/>
      <c r="BU592" s="162"/>
      <c r="BV592" s="163"/>
      <c r="BW592" s="163"/>
      <c r="BX592" s="163"/>
      <c r="BY592" s="163"/>
      <c r="BZ592" s="163"/>
      <c r="CA592" s="163"/>
      <c r="CB592" s="161"/>
      <c r="CC592" s="161"/>
      <c r="CD592" s="161"/>
      <c r="CE592" s="161"/>
      <c r="CF592" s="161"/>
      <c r="CG592" s="3"/>
      <c r="CH592" s="3"/>
      <c r="CI592" s="3"/>
      <c r="CJ592" s="3"/>
      <c r="CK592" s="3"/>
      <c r="CL592" s="3"/>
      <c r="CM592" s="3"/>
      <c r="CN592" s="3"/>
    </row>
    <row r="593" spans="1:92" ht="14.4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53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80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161"/>
      <c r="BS593" s="161"/>
      <c r="BT593" s="161"/>
      <c r="BU593" s="162"/>
      <c r="BV593" s="163"/>
      <c r="BW593" s="163"/>
      <c r="BX593" s="163"/>
      <c r="BY593" s="163"/>
      <c r="BZ593" s="163"/>
      <c r="CA593" s="163"/>
      <c r="CB593" s="161"/>
      <c r="CC593" s="161"/>
      <c r="CD593" s="161"/>
      <c r="CE593" s="161"/>
      <c r="CF593" s="161"/>
      <c r="CG593" s="3"/>
      <c r="CH593" s="3"/>
      <c r="CI593" s="3"/>
      <c r="CJ593" s="3"/>
      <c r="CK593" s="3"/>
      <c r="CL593" s="3"/>
      <c r="CM593" s="3"/>
      <c r="CN593" s="3"/>
    </row>
    <row r="594" spans="1:92" ht="14.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53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80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161"/>
      <c r="BS594" s="161"/>
      <c r="BT594" s="161"/>
      <c r="BU594" s="162"/>
      <c r="BV594" s="163"/>
      <c r="BW594" s="163"/>
      <c r="BX594" s="163"/>
      <c r="BY594" s="163"/>
      <c r="BZ594" s="163"/>
      <c r="CA594" s="163"/>
      <c r="CB594" s="161"/>
      <c r="CC594" s="161"/>
      <c r="CD594" s="161"/>
      <c r="CE594" s="161"/>
      <c r="CF594" s="161"/>
      <c r="CG594" s="3"/>
      <c r="CH594" s="3"/>
      <c r="CI594" s="3"/>
      <c r="CJ594" s="3"/>
      <c r="CK594" s="3"/>
      <c r="CL594" s="3"/>
      <c r="CM594" s="3"/>
      <c r="CN594" s="3"/>
    </row>
    <row r="595" spans="1:92" ht="14.4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53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80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161"/>
      <c r="BS595" s="161"/>
      <c r="BT595" s="161"/>
      <c r="BU595" s="162"/>
      <c r="BV595" s="163"/>
      <c r="BW595" s="163"/>
      <c r="BX595" s="163"/>
      <c r="BY595" s="163"/>
      <c r="BZ595" s="163"/>
      <c r="CA595" s="163"/>
      <c r="CB595" s="161"/>
      <c r="CC595" s="161"/>
      <c r="CD595" s="161"/>
      <c r="CE595" s="161"/>
      <c r="CF595" s="161"/>
      <c r="CG595" s="3"/>
      <c r="CH595" s="3"/>
      <c r="CI595" s="3"/>
      <c r="CJ595" s="3"/>
      <c r="CK595" s="3"/>
      <c r="CL595" s="3"/>
      <c r="CM595" s="3"/>
      <c r="CN595" s="3"/>
    </row>
    <row r="596" spans="1:92" ht="14.4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53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80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161"/>
      <c r="BS596" s="161"/>
      <c r="BT596" s="161"/>
      <c r="BU596" s="162"/>
      <c r="BV596" s="163"/>
      <c r="BW596" s="163"/>
      <c r="BX596" s="163"/>
      <c r="BY596" s="163"/>
      <c r="BZ596" s="163"/>
      <c r="CA596" s="163"/>
      <c r="CB596" s="161"/>
      <c r="CC596" s="161"/>
      <c r="CD596" s="161"/>
      <c r="CE596" s="161"/>
      <c r="CF596" s="161"/>
      <c r="CG596" s="3"/>
      <c r="CH596" s="3"/>
      <c r="CI596" s="3"/>
      <c r="CJ596" s="3"/>
      <c r="CK596" s="3"/>
      <c r="CL596" s="3"/>
      <c r="CM596" s="3"/>
      <c r="CN596" s="3"/>
    </row>
    <row r="597" spans="1:92" ht="14.4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53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80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161"/>
      <c r="BS597" s="161"/>
      <c r="BT597" s="161"/>
      <c r="BU597" s="162"/>
      <c r="BV597" s="163"/>
      <c r="BW597" s="163"/>
      <c r="BX597" s="163"/>
      <c r="BY597" s="163"/>
      <c r="BZ597" s="163"/>
      <c r="CA597" s="163"/>
      <c r="CB597" s="161"/>
      <c r="CC597" s="161"/>
      <c r="CD597" s="161"/>
      <c r="CE597" s="161"/>
      <c r="CF597" s="161"/>
      <c r="CG597" s="3"/>
      <c r="CH597" s="3"/>
      <c r="CI597" s="3"/>
      <c r="CJ597" s="3"/>
      <c r="CK597" s="3"/>
      <c r="CL597" s="3"/>
      <c r="CM597" s="3"/>
      <c r="CN597" s="3"/>
    </row>
    <row r="598" spans="1:92" ht="14.4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53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80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161"/>
      <c r="BS598" s="161"/>
      <c r="BT598" s="161"/>
      <c r="BU598" s="162"/>
      <c r="BV598" s="163"/>
      <c r="BW598" s="163"/>
      <c r="BX598" s="163"/>
      <c r="BY598" s="163"/>
      <c r="BZ598" s="163"/>
      <c r="CA598" s="163"/>
      <c r="CB598" s="161"/>
      <c r="CC598" s="161"/>
      <c r="CD598" s="161"/>
      <c r="CE598" s="161"/>
      <c r="CF598" s="161"/>
      <c r="CG598" s="3"/>
      <c r="CH598" s="3"/>
      <c r="CI598" s="3"/>
      <c r="CJ598" s="3"/>
      <c r="CK598" s="3"/>
      <c r="CL598" s="3"/>
      <c r="CM598" s="3"/>
      <c r="CN598" s="3"/>
    </row>
    <row r="599" spans="1:92" ht="14.4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53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80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161"/>
      <c r="BS599" s="161"/>
      <c r="BT599" s="161"/>
      <c r="BU599" s="162"/>
      <c r="BV599" s="163"/>
      <c r="BW599" s="163"/>
      <c r="BX599" s="163"/>
      <c r="BY599" s="163"/>
      <c r="BZ599" s="163"/>
      <c r="CA599" s="163"/>
      <c r="CB599" s="161"/>
      <c r="CC599" s="161"/>
      <c r="CD599" s="161"/>
      <c r="CE599" s="161"/>
      <c r="CF599" s="161"/>
      <c r="CG599" s="3"/>
      <c r="CH599" s="3"/>
      <c r="CI599" s="3"/>
      <c r="CJ599" s="3"/>
      <c r="CK599" s="3"/>
      <c r="CL599" s="3"/>
      <c r="CM599" s="3"/>
      <c r="CN599" s="3"/>
    </row>
    <row r="600" spans="1:92" ht="14.4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53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80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161"/>
      <c r="BS600" s="161"/>
      <c r="BT600" s="161"/>
      <c r="BU600" s="162"/>
      <c r="BV600" s="163"/>
      <c r="BW600" s="163"/>
      <c r="BX600" s="163"/>
      <c r="BY600" s="163"/>
      <c r="BZ600" s="163"/>
      <c r="CA600" s="163"/>
      <c r="CB600" s="161"/>
      <c r="CC600" s="161"/>
      <c r="CD600" s="161"/>
      <c r="CE600" s="161"/>
      <c r="CF600" s="161"/>
      <c r="CG600" s="3"/>
      <c r="CH600" s="3"/>
      <c r="CI600" s="3"/>
      <c r="CJ600" s="3"/>
      <c r="CK600" s="3"/>
      <c r="CL600" s="3"/>
      <c r="CM600" s="3"/>
      <c r="CN600" s="3"/>
    </row>
    <row r="601" spans="1:92" ht="14.4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53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80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161"/>
      <c r="BS601" s="161"/>
      <c r="BT601" s="161"/>
      <c r="BU601" s="162"/>
      <c r="BV601" s="163"/>
      <c r="BW601" s="163"/>
      <c r="BX601" s="163"/>
      <c r="BY601" s="163"/>
      <c r="BZ601" s="163"/>
      <c r="CA601" s="163"/>
      <c r="CB601" s="161"/>
      <c r="CC601" s="161"/>
      <c r="CD601" s="161"/>
      <c r="CE601" s="161"/>
      <c r="CF601" s="161"/>
      <c r="CG601" s="3"/>
      <c r="CH601" s="3"/>
      <c r="CI601" s="3"/>
      <c r="CJ601" s="3"/>
      <c r="CK601" s="3"/>
      <c r="CL601" s="3"/>
      <c r="CM601" s="3"/>
      <c r="CN601" s="3"/>
    </row>
    <row r="602" spans="1:92" ht="14.4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53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80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161"/>
      <c r="BS602" s="161"/>
      <c r="BT602" s="161"/>
      <c r="BU602" s="162"/>
      <c r="BV602" s="163"/>
      <c r="BW602" s="163"/>
      <c r="BX602" s="163"/>
      <c r="BY602" s="163"/>
      <c r="BZ602" s="163"/>
      <c r="CA602" s="163"/>
      <c r="CB602" s="161"/>
      <c r="CC602" s="161"/>
      <c r="CD602" s="161"/>
      <c r="CE602" s="161"/>
      <c r="CF602" s="161"/>
      <c r="CG602" s="3"/>
      <c r="CH602" s="3"/>
      <c r="CI602" s="3"/>
      <c r="CJ602" s="3"/>
      <c r="CK602" s="3"/>
      <c r="CL602" s="3"/>
      <c r="CM602" s="3"/>
      <c r="CN602" s="3"/>
    </row>
    <row r="603" spans="1:92" ht="14.4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53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80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161"/>
      <c r="BS603" s="161"/>
      <c r="BT603" s="161"/>
      <c r="BU603" s="162"/>
      <c r="BV603" s="163"/>
      <c r="BW603" s="163"/>
      <c r="BX603" s="163"/>
      <c r="BY603" s="163"/>
      <c r="BZ603" s="163"/>
      <c r="CA603" s="163"/>
      <c r="CB603" s="161"/>
      <c r="CC603" s="161"/>
      <c r="CD603" s="161"/>
      <c r="CE603" s="161"/>
      <c r="CF603" s="161"/>
      <c r="CG603" s="3"/>
      <c r="CH603" s="3"/>
      <c r="CI603" s="3"/>
      <c r="CJ603" s="3"/>
      <c r="CK603" s="3"/>
      <c r="CL603" s="3"/>
      <c r="CM603" s="3"/>
      <c r="CN603" s="3"/>
    </row>
    <row r="604" spans="1:92" ht="14.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53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80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161"/>
      <c r="BS604" s="161"/>
      <c r="BT604" s="161"/>
      <c r="BU604" s="162"/>
      <c r="BV604" s="163"/>
      <c r="BW604" s="163"/>
      <c r="BX604" s="163"/>
      <c r="BY604" s="163"/>
      <c r="BZ604" s="163"/>
      <c r="CA604" s="163"/>
      <c r="CB604" s="161"/>
      <c r="CC604" s="161"/>
      <c r="CD604" s="161"/>
      <c r="CE604" s="161"/>
      <c r="CF604" s="161"/>
      <c r="CG604" s="3"/>
      <c r="CH604" s="3"/>
      <c r="CI604" s="3"/>
      <c r="CJ604" s="3"/>
      <c r="CK604" s="3"/>
      <c r="CL604" s="3"/>
      <c r="CM604" s="3"/>
      <c r="CN604" s="3"/>
    </row>
    <row r="605" spans="1:92" ht="14.4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53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80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161"/>
      <c r="BS605" s="161"/>
      <c r="BT605" s="161"/>
      <c r="BU605" s="162"/>
      <c r="BV605" s="163"/>
      <c r="BW605" s="163"/>
      <c r="BX605" s="163"/>
      <c r="BY605" s="163"/>
      <c r="BZ605" s="163"/>
      <c r="CA605" s="163"/>
      <c r="CB605" s="161"/>
      <c r="CC605" s="161"/>
      <c r="CD605" s="161"/>
      <c r="CE605" s="161"/>
      <c r="CF605" s="161"/>
      <c r="CG605" s="3"/>
      <c r="CH605" s="3"/>
      <c r="CI605" s="3"/>
      <c r="CJ605" s="3"/>
      <c r="CK605" s="3"/>
      <c r="CL605" s="3"/>
      <c r="CM605" s="3"/>
      <c r="CN605" s="3"/>
    </row>
    <row r="606" spans="1:92" ht="14.4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53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80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161"/>
      <c r="BS606" s="161"/>
      <c r="BT606" s="161"/>
      <c r="BU606" s="162"/>
      <c r="BV606" s="163"/>
      <c r="BW606" s="163"/>
      <c r="BX606" s="163"/>
      <c r="BY606" s="163"/>
      <c r="BZ606" s="163"/>
      <c r="CA606" s="163"/>
      <c r="CB606" s="161"/>
      <c r="CC606" s="161"/>
      <c r="CD606" s="161"/>
      <c r="CE606" s="161"/>
      <c r="CF606" s="161"/>
      <c r="CG606" s="3"/>
      <c r="CH606" s="3"/>
      <c r="CI606" s="3"/>
      <c r="CJ606" s="3"/>
      <c r="CK606" s="3"/>
      <c r="CL606" s="3"/>
      <c r="CM606" s="3"/>
      <c r="CN606" s="3"/>
    </row>
    <row r="607" spans="1:92" ht="14.4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53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80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161"/>
      <c r="BS607" s="161"/>
      <c r="BT607" s="161"/>
      <c r="BU607" s="162"/>
      <c r="BV607" s="163"/>
      <c r="BW607" s="163"/>
      <c r="BX607" s="163"/>
      <c r="BY607" s="163"/>
      <c r="BZ607" s="163"/>
      <c r="CA607" s="163"/>
      <c r="CB607" s="161"/>
      <c r="CC607" s="161"/>
      <c r="CD607" s="161"/>
      <c r="CE607" s="161"/>
      <c r="CF607" s="161"/>
      <c r="CG607" s="3"/>
      <c r="CH607" s="3"/>
      <c r="CI607" s="3"/>
      <c r="CJ607" s="3"/>
      <c r="CK607" s="3"/>
      <c r="CL607" s="3"/>
      <c r="CM607" s="3"/>
      <c r="CN607" s="3"/>
    </row>
    <row r="608" spans="1:92" ht="14.4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53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80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161"/>
      <c r="BS608" s="161"/>
      <c r="BT608" s="161"/>
      <c r="BU608" s="162"/>
      <c r="BV608" s="163"/>
      <c r="BW608" s="163"/>
      <c r="BX608" s="163"/>
      <c r="BY608" s="163"/>
      <c r="BZ608" s="163"/>
      <c r="CA608" s="163"/>
      <c r="CB608" s="161"/>
      <c r="CC608" s="161"/>
      <c r="CD608" s="161"/>
      <c r="CE608" s="161"/>
      <c r="CF608" s="161"/>
      <c r="CG608" s="3"/>
      <c r="CH608" s="3"/>
      <c r="CI608" s="3"/>
      <c r="CJ608" s="3"/>
      <c r="CK608" s="3"/>
      <c r="CL608" s="3"/>
      <c r="CM608" s="3"/>
      <c r="CN608" s="3"/>
    </row>
    <row r="609" spans="1:92" ht="14.4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53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80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161"/>
      <c r="BS609" s="161"/>
      <c r="BT609" s="161"/>
      <c r="BU609" s="162"/>
      <c r="BV609" s="163"/>
      <c r="BW609" s="163"/>
      <c r="BX609" s="163"/>
      <c r="BY609" s="163"/>
      <c r="BZ609" s="163"/>
      <c r="CA609" s="163"/>
      <c r="CB609" s="161"/>
      <c r="CC609" s="161"/>
      <c r="CD609" s="161"/>
      <c r="CE609" s="161"/>
      <c r="CF609" s="161"/>
      <c r="CG609" s="3"/>
      <c r="CH609" s="3"/>
      <c r="CI609" s="3"/>
      <c r="CJ609" s="3"/>
      <c r="CK609" s="3"/>
      <c r="CL609" s="3"/>
      <c r="CM609" s="3"/>
      <c r="CN609" s="3"/>
    </row>
    <row r="610" spans="1:92" ht="14.4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53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80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161"/>
      <c r="BS610" s="161"/>
      <c r="BT610" s="161"/>
      <c r="BU610" s="162"/>
      <c r="BV610" s="163"/>
      <c r="BW610" s="163"/>
      <c r="BX610" s="163"/>
      <c r="BY610" s="163"/>
      <c r="BZ610" s="163"/>
      <c r="CA610" s="163"/>
      <c r="CB610" s="161"/>
      <c r="CC610" s="161"/>
      <c r="CD610" s="161"/>
      <c r="CE610" s="161"/>
      <c r="CF610" s="161"/>
      <c r="CG610" s="3"/>
      <c r="CH610" s="3"/>
      <c r="CI610" s="3"/>
      <c r="CJ610" s="3"/>
      <c r="CK610" s="3"/>
      <c r="CL610" s="3"/>
      <c r="CM610" s="3"/>
      <c r="CN610" s="3"/>
    </row>
    <row r="611" spans="1:92" ht="14.4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53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80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161"/>
      <c r="BS611" s="161"/>
      <c r="BT611" s="161"/>
      <c r="BU611" s="162"/>
      <c r="BV611" s="163"/>
      <c r="BW611" s="163"/>
      <c r="BX611" s="163"/>
      <c r="BY611" s="163"/>
      <c r="BZ611" s="163"/>
      <c r="CA611" s="163"/>
      <c r="CB611" s="161"/>
      <c r="CC611" s="161"/>
      <c r="CD611" s="161"/>
      <c r="CE611" s="161"/>
      <c r="CF611" s="161"/>
      <c r="CG611" s="3"/>
      <c r="CH611" s="3"/>
      <c r="CI611" s="3"/>
      <c r="CJ611" s="3"/>
      <c r="CK611" s="3"/>
      <c r="CL611" s="3"/>
      <c r="CM611" s="3"/>
      <c r="CN611" s="3"/>
    </row>
    <row r="612" spans="1:92" ht="14.4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53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80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161"/>
      <c r="BS612" s="161"/>
      <c r="BT612" s="161"/>
      <c r="BU612" s="162"/>
      <c r="BV612" s="163"/>
      <c r="BW612" s="163"/>
      <c r="BX612" s="163"/>
      <c r="BY612" s="163"/>
      <c r="BZ612" s="163"/>
      <c r="CA612" s="163"/>
      <c r="CB612" s="161"/>
      <c r="CC612" s="161"/>
      <c r="CD612" s="161"/>
      <c r="CE612" s="161"/>
      <c r="CF612" s="161"/>
      <c r="CG612" s="3"/>
      <c r="CH612" s="3"/>
      <c r="CI612" s="3"/>
      <c r="CJ612" s="3"/>
      <c r="CK612" s="3"/>
      <c r="CL612" s="3"/>
      <c r="CM612" s="3"/>
      <c r="CN612" s="3"/>
    </row>
    <row r="613" spans="1:92" ht="14.4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53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80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161"/>
      <c r="BS613" s="161"/>
      <c r="BT613" s="161"/>
      <c r="BU613" s="162"/>
      <c r="BV613" s="163"/>
      <c r="BW613" s="163"/>
      <c r="BX613" s="163"/>
      <c r="BY613" s="163"/>
      <c r="BZ613" s="163"/>
      <c r="CA613" s="163"/>
      <c r="CB613" s="161"/>
      <c r="CC613" s="161"/>
      <c r="CD613" s="161"/>
      <c r="CE613" s="161"/>
      <c r="CF613" s="161"/>
      <c r="CG613" s="3"/>
      <c r="CH613" s="3"/>
      <c r="CI613" s="3"/>
      <c r="CJ613" s="3"/>
      <c r="CK613" s="3"/>
      <c r="CL613" s="3"/>
      <c r="CM613" s="3"/>
      <c r="CN613" s="3"/>
    </row>
    <row r="614" spans="1:92" ht="14.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53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80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161"/>
      <c r="BS614" s="161"/>
      <c r="BT614" s="161"/>
      <c r="BU614" s="162"/>
      <c r="BV614" s="163"/>
      <c r="BW614" s="163"/>
      <c r="BX614" s="163"/>
      <c r="BY614" s="163"/>
      <c r="BZ614" s="163"/>
      <c r="CA614" s="163"/>
      <c r="CB614" s="161"/>
      <c r="CC614" s="161"/>
      <c r="CD614" s="161"/>
      <c r="CE614" s="161"/>
      <c r="CF614" s="161"/>
      <c r="CG614" s="3"/>
      <c r="CH614" s="3"/>
      <c r="CI614" s="3"/>
      <c r="CJ614" s="3"/>
      <c r="CK614" s="3"/>
      <c r="CL614" s="3"/>
      <c r="CM614" s="3"/>
      <c r="CN614" s="3"/>
    </row>
    <row r="615" spans="1:92" ht="14.4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53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80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161"/>
      <c r="BS615" s="161"/>
      <c r="BT615" s="161"/>
      <c r="BU615" s="162"/>
      <c r="BV615" s="163"/>
      <c r="BW615" s="163"/>
      <c r="BX615" s="163"/>
      <c r="BY615" s="163"/>
      <c r="BZ615" s="163"/>
      <c r="CA615" s="163"/>
      <c r="CB615" s="161"/>
      <c r="CC615" s="161"/>
      <c r="CD615" s="161"/>
      <c r="CE615" s="161"/>
      <c r="CF615" s="161"/>
      <c r="CG615" s="3"/>
      <c r="CH615" s="3"/>
      <c r="CI615" s="3"/>
      <c r="CJ615" s="3"/>
      <c r="CK615" s="3"/>
      <c r="CL615" s="3"/>
      <c r="CM615" s="3"/>
      <c r="CN615" s="3"/>
    </row>
    <row r="616" spans="1:92" ht="14.4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53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80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161"/>
      <c r="BS616" s="161"/>
      <c r="BT616" s="161"/>
      <c r="BU616" s="162"/>
      <c r="BV616" s="163"/>
      <c r="BW616" s="163"/>
      <c r="BX616" s="163"/>
      <c r="BY616" s="163"/>
      <c r="BZ616" s="163"/>
      <c r="CA616" s="163"/>
      <c r="CB616" s="161"/>
      <c r="CC616" s="161"/>
      <c r="CD616" s="161"/>
      <c r="CE616" s="161"/>
      <c r="CF616" s="161"/>
      <c r="CG616" s="3"/>
      <c r="CH616" s="3"/>
      <c r="CI616" s="3"/>
      <c r="CJ616" s="3"/>
      <c r="CK616" s="3"/>
      <c r="CL616" s="3"/>
      <c r="CM616" s="3"/>
      <c r="CN616" s="3"/>
    </row>
    <row r="617" spans="1:92" ht="14.4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53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80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161"/>
      <c r="BS617" s="161"/>
      <c r="BT617" s="161"/>
      <c r="BU617" s="162"/>
      <c r="BV617" s="163"/>
      <c r="BW617" s="163"/>
      <c r="BX617" s="163"/>
      <c r="BY617" s="163"/>
      <c r="BZ617" s="163"/>
      <c r="CA617" s="163"/>
      <c r="CB617" s="161"/>
      <c r="CC617" s="161"/>
      <c r="CD617" s="161"/>
      <c r="CE617" s="161"/>
      <c r="CF617" s="161"/>
      <c r="CG617" s="3"/>
      <c r="CH617" s="3"/>
      <c r="CI617" s="3"/>
      <c r="CJ617" s="3"/>
      <c r="CK617" s="3"/>
      <c r="CL617" s="3"/>
      <c r="CM617" s="3"/>
      <c r="CN617" s="3"/>
    </row>
    <row r="618" spans="1:92" ht="14.4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53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80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161"/>
      <c r="BS618" s="161"/>
      <c r="BT618" s="161"/>
      <c r="BU618" s="162"/>
      <c r="BV618" s="163"/>
      <c r="BW618" s="163"/>
      <c r="BX618" s="163"/>
      <c r="BY618" s="163"/>
      <c r="BZ618" s="163"/>
      <c r="CA618" s="163"/>
      <c r="CB618" s="161"/>
      <c r="CC618" s="161"/>
      <c r="CD618" s="161"/>
      <c r="CE618" s="161"/>
      <c r="CF618" s="161"/>
      <c r="CG618" s="3"/>
      <c r="CH618" s="3"/>
      <c r="CI618" s="3"/>
      <c r="CJ618" s="3"/>
      <c r="CK618" s="3"/>
      <c r="CL618" s="3"/>
      <c r="CM618" s="3"/>
      <c r="CN618" s="3"/>
    </row>
    <row r="619" spans="1:92" ht="14.4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53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80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161"/>
      <c r="BS619" s="161"/>
      <c r="BT619" s="161"/>
      <c r="BU619" s="162"/>
      <c r="BV619" s="163"/>
      <c r="BW619" s="163"/>
      <c r="BX619" s="163"/>
      <c r="BY619" s="163"/>
      <c r="BZ619" s="163"/>
      <c r="CA619" s="163"/>
      <c r="CB619" s="161"/>
      <c r="CC619" s="161"/>
      <c r="CD619" s="161"/>
      <c r="CE619" s="161"/>
      <c r="CF619" s="161"/>
      <c r="CG619" s="3"/>
      <c r="CH619" s="3"/>
      <c r="CI619" s="3"/>
      <c r="CJ619" s="3"/>
      <c r="CK619" s="3"/>
      <c r="CL619" s="3"/>
      <c r="CM619" s="3"/>
      <c r="CN619" s="3"/>
    </row>
    <row r="620" spans="1:92" ht="14.4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53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80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161"/>
      <c r="BS620" s="161"/>
      <c r="BT620" s="161"/>
      <c r="BU620" s="162"/>
      <c r="BV620" s="163"/>
      <c r="BW620" s="163"/>
      <c r="BX620" s="163"/>
      <c r="BY620" s="163"/>
      <c r="BZ620" s="163"/>
      <c r="CA620" s="163"/>
      <c r="CB620" s="161"/>
      <c r="CC620" s="161"/>
      <c r="CD620" s="161"/>
      <c r="CE620" s="161"/>
      <c r="CF620" s="161"/>
      <c r="CG620" s="3"/>
      <c r="CH620" s="3"/>
      <c r="CI620" s="3"/>
      <c r="CJ620" s="3"/>
      <c r="CK620" s="3"/>
      <c r="CL620" s="3"/>
      <c r="CM620" s="3"/>
      <c r="CN620" s="3"/>
    </row>
    <row r="621" spans="1:92" ht="14.4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53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80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161"/>
      <c r="BS621" s="161"/>
      <c r="BT621" s="161"/>
      <c r="BU621" s="162"/>
      <c r="BV621" s="163"/>
      <c r="BW621" s="163"/>
      <c r="BX621" s="163"/>
      <c r="BY621" s="163"/>
      <c r="BZ621" s="163"/>
      <c r="CA621" s="163"/>
      <c r="CB621" s="161"/>
      <c r="CC621" s="161"/>
      <c r="CD621" s="161"/>
      <c r="CE621" s="161"/>
      <c r="CF621" s="161"/>
      <c r="CG621" s="3"/>
      <c r="CH621" s="3"/>
      <c r="CI621" s="3"/>
      <c r="CJ621" s="3"/>
      <c r="CK621" s="3"/>
      <c r="CL621" s="3"/>
      <c r="CM621" s="3"/>
      <c r="CN621" s="3"/>
    </row>
    <row r="622" spans="1:92" ht="14.4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53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80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161"/>
      <c r="BS622" s="161"/>
      <c r="BT622" s="161"/>
      <c r="BU622" s="162"/>
      <c r="BV622" s="163"/>
      <c r="BW622" s="163"/>
      <c r="BX622" s="163"/>
      <c r="BY622" s="163"/>
      <c r="BZ622" s="163"/>
      <c r="CA622" s="163"/>
      <c r="CB622" s="161"/>
      <c r="CC622" s="161"/>
      <c r="CD622" s="161"/>
      <c r="CE622" s="161"/>
      <c r="CF622" s="161"/>
      <c r="CG622" s="3"/>
      <c r="CH622" s="3"/>
      <c r="CI622" s="3"/>
      <c r="CJ622" s="3"/>
      <c r="CK622" s="3"/>
      <c r="CL622" s="3"/>
      <c r="CM622" s="3"/>
      <c r="CN622" s="3"/>
    </row>
    <row r="623" spans="1:92" ht="14.4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53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80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161"/>
      <c r="BS623" s="161"/>
      <c r="BT623" s="161"/>
      <c r="BU623" s="162"/>
      <c r="BV623" s="163"/>
      <c r="BW623" s="163"/>
      <c r="BX623" s="163"/>
      <c r="BY623" s="163"/>
      <c r="BZ623" s="163"/>
      <c r="CA623" s="163"/>
      <c r="CB623" s="161"/>
      <c r="CC623" s="161"/>
      <c r="CD623" s="161"/>
      <c r="CE623" s="161"/>
      <c r="CF623" s="161"/>
      <c r="CG623" s="3"/>
      <c r="CH623" s="3"/>
      <c r="CI623" s="3"/>
      <c r="CJ623" s="3"/>
      <c r="CK623" s="3"/>
      <c r="CL623" s="3"/>
      <c r="CM623" s="3"/>
      <c r="CN623" s="3"/>
    </row>
    <row r="624" spans="1:92" ht="14.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53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80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161"/>
      <c r="BS624" s="161"/>
      <c r="BT624" s="161"/>
      <c r="BU624" s="162"/>
      <c r="BV624" s="163"/>
      <c r="BW624" s="163"/>
      <c r="BX624" s="163"/>
      <c r="BY624" s="163"/>
      <c r="BZ624" s="163"/>
      <c r="CA624" s="163"/>
      <c r="CB624" s="161"/>
      <c r="CC624" s="161"/>
      <c r="CD624" s="161"/>
      <c r="CE624" s="161"/>
      <c r="CF624" s="161"/>
      <c r="CG624" s="3"/>
      <c r="CH624" s="3"/>
      <c r="CI624" s="3"/>
      <c r="CJ624" s="3"/>
      <c r="CK624" s="3"/>
      <c r="CL624" s="3"/>
      <c r="CM624" s="3"/>
      <c r="CN624" s="3"/>
    </row>
    <row r="625" spans="1:92" ht="14.4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53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80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161"/>
      <c r="BS625" s="161"/>
      <c r="BT625" s="161"/>
      <c r="BU625" s="162"/>
      <c r="BV625" s="163"/>
      <c r="BW625" s="163"/>
      <c r="BX625" s="163"/>
      <c r="BY625" s="163"/>
      <c r="BZ625" s="163"/>
      <c r="CA625" s="163"/>
      <c r="CB625" s="161"/>
      <c r="CC625" s="161"/>
      <c r="CD625" s="161"/>
      <c r="CE625" s="161"/>
      <c r="CF625" s="161"/>
      <c r="CG625" s="3"/>
      <c r="CH625" s="3"/>
      <c r="CI625" s="3"/>
      <c r="CJ625" s="3"/>
      <c r="CK625" s="3"/>
      <c r="CL625" s="3"/>
      <c r="CM625" s="3"/>
      <c r="CN625" s="3"/>
    </row>
    <row r="626" spans="1:92" ht="14.4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53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80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161"/>
      <c r="BS626" s="161"/>
      <c r="BT626" s="161"/>
      <c r="BU626" s="162"/>
      <c r="BV626" s="163"/>
      <c r="BW626" s="163"/>
      <c r="BX626" s="163"/>
      <c r="BY626" s="163"/>
      <c r="BZ626" s="163"/>
      <c r="CA626" s="163"/>
      <c r="CB626" s="161"/>
      <c r="CC626" s="161"/>
      <c r="CD626" s="161"/>
      <c r="CE626" s="161"/>
      <c r="CF626" s="161"/>
      <c r="CG626" s="3"/>
      <c r="CH626" s="3"/>
      <c r="CI626" s="3"/>
      <c r="CJ626" s="3"/>
      <c r="CK626" s="3"/>
      <c r="CL626" s="3"/>
      <c r="CM626" s="3"/>
      <c r="CN626" s="3"/>
    </row>
    <row r="627" spans="1:92" ht="14.4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53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80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161"/>
      <c r="BS627" s="161"/>
      <c r="BT627" s="161"/>
      <c r="BU627" s="162"/>
      <c r="BV627" s="163"/>
      <c r="BW627" s="163"/>
      <c r="BX627" s="163"/>
      <c r="BY627" s="163"/>
      <c r="BZ627" s="163"/>
      <c r="CA627" s="163"/>
      <c r="CB627" s="161"/>
      <c r="CC627" s="161"/>
      <c r="CD627" s="161"/>
      <c r="CE627" s="161"/>
      <c r="CF627" s="161"/>
      <c r="CG627" s="3"/>
      <c r="CH627" s="3"/>
      <c r="CI627" s="3"/>
      <c r="CJ627" s="3"/>
      <c r="CK627" s="3"/>
      <c r="CL627" s="3"/>
      <c r="CM627" s="3"/>
      <c r="CN627" s="3"/>
    </row>
    <row r="628" spans="1:92" ht="14.4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53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80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161"/>
      <c r="BS628" s="161"/>
      <c r="BT628" s="161"/>
      <c r="BU628" s="162"/>
      <c r="BV628" s="163"/>
      <c r="BW628" s="163"/>
      <c r="BX628" s="163"/>
      <c r="BY628" s="163"/>
      <c r="BZ628" s="163"/>
      <c r="CA628" s="163"/>
      <c r="CB628" s="161"/>
      <c r="CC628" s="161"/>
      <c r="CD628" s="161"/>
      <c r="CE628" s="161"/>
      <c r="CF628" s="161"/>
      <c r="CG628" s="3"/>
      <c r="CH628" s="3"/>
      <c r="CI628" s="3"/>
      <c r="CJ628" s="3"/>
      <c r="CK628" s="3"/>
      <c r="CL628" s="3"/>
      <c r="CM628" s="3"/>
      <c r="CN628" s="3"/>
    </row>
    <row r="629" spans="1:92" ht="14.4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53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80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161"/>
      <c r="BS629" s="161"/>
      <c r="BT629" s="161"/>
      <c r="BU629" s="162"/>
      <c r="BV629" s="163"/>
      <c r="BW629" s="163"/>
      <c r="BX629" s="163"/>
      <c r="BY629" s="163"/>
      <c r="BZ629" s="163"/>
      <c r="CA629" s="163"/>
      <c r="CB629" s="161"/>
      <c r="CC629" s="161"/>
      <c r="CD629" s="161"/>
      <c r="CE629" s="161"/>
      <c r="CF629" s="161"/>
      <c r="CG629" s="3"/>
      <c r="CH629" s="3"/>
      <c r="CI629" s="3"/>
      <c r="CJ629" s="3"/>
      <c r="CK629" s="3"/>
      <c r="CL629" s="3"/>
      <c r="CM629" s="3"/>
      <c r="CN629" s="3"/>
    </row>
    <row r="630" spans="1:92" ht="14.4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53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80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161"/>
      <c r="BS630" s="161"/>
      <c r="BT630" s="161"/>
      <c r="BU630" s="162"/>
      <c r="BV630" s="163"/>
      <c r="BW630" s="163"/>
      <c r="BX630" s="163"/>
      <c r="BY630" s="163"/>
      <c r="BZ630" s="163"/>
      <c r="CA630" s="163"/>
      <c r="CB630" s="161"/>
      <c r="CC630" s="161"/>
      <c r="CD630" s="161"/>
      <c r="CE630" s="161"/>
      <c r="CF630" s="161"/>
      <c r="CG630" s="3"/>
      <c r="CH630" s="3"/>
      <c r="CI630" s="3"/>
      <c r="CJ630" s="3"/>
      <c r="CK630" s="3"/>
      <c r="CL630" s="3"/>
      <c r="CM630" s="3"/>
      <c r="CN630" s="3"/>
    </row>
    <row r="631" spans="1:92" ht="14.4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53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80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161"/>
      <c r="BS631" s="161"/>
      <c r="BT631" s="161"/>
      <c r="BU631" s="162"/>
      <c r="BV631" s="163"/>
      <c r="BW631" s="163"/>
      <c r="BX631" s="163"/>
      <c r="BY631" s="163"/>
      <c r="BZ631" s="163"/>
      <c r="CA631" s="163"/>
      <c r="CB631" s="161"/>
      <c r="CC631" s="161"/>
      <c r="CD631" s="161"/>
      <c r="CE631" s="161"/>
      <c r="CF631" s="161"/>
      <c r="CG631" s="3"/>
      <c r="CH631" s="3"/>
      <c r="CI631" s="3"/>
      <c r="CJ631" s="3"/>
      <c r="CK631" s="3"/>
      <c r="CL631" s="3"/>
      <c r="CM631" s="3"/>
      <c r="CN631" s="3"/>
    </row>
    <row r="632" spans="1:92" ht="14.4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53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80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161"/>
      <c r="BS632" s="161"/>
      <c r="BT632" s="161"/>
      <c r="BU632" s="162"/>
      <c r="BV632" s="163"/>
      <c r="BW632" s="163"/>
      <c r="BX632" s="163"/>
      <c r="BY632" s="163"/>
      <c r="BZ632" s="163"/>
      <c r="CA632" s="163"/>
      <c r="CB632" s="161"/>
      <c r="CC632" s="161"/>
      <c r="CD632" s="161"/>
      <c r="CE632" s="161"/>
      <c r="CF632" s="161"/>
      <c r="CG632" s="3"/>
      <c r="CH632" s="3"/>
      <c r="CI632" s="3"/>
      <c r="CJ632" s="3"/>
      <c r="CK632" s="3"/>
      <c r="CL632" s="3"/>
      <c r="CM632" s="3"/>
      <c r="CN632" s="3"/>
    </row>
    <row r="633" spans="1:92" ht="14.4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53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80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161"/>
      <c r="BS633" s="161"/>
      <c r="BT633" s="161"/>
      <c r="BU633" s="162"/>
      <c r="BV633" s="163"/>
      <c r="BW633" s="163"/>
      <c r="BX633" s="163"/>
      <c r="BY633" s="163"/>
      <c r="BZ633" s="163"/>
      <c r="CA633" s="163"/>
      <c r="CB633" s="161"/>
      <c r="CC633" s="161"/>
      <c r="CD633" s="161"/>
      <c r="CE633" s="161"/>
      <c r="CF633" s="161"/>
      <c r="CG633" s="3"/>
      <c r="CH633" s="3"/>
      <c r="CI633" s="3"/>
      <c r="CJ633" s="3"/>
      <c r="CK633" s="3"/>
      <c r="CL633" s="3"/>
      <c r="CM633" s="3"/>
      <c r="CN633" s="3"/>
    </row>
    <row r="634" spans="1:92" ht="14.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53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80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161"/>
      <c r="BS634" s="161"/>
      <c r="BT634" s="161"/>
      <c r="BU634" s="162"/>
      <c r="BV634" s="163"/>
      <c r="BW634" s="163"/>
      <c r="BX634" s="163"/>
      <c r="BY634" s="163"/>
      <c r="BZ634" s="163"/>
      <c r="CA634" s="163"/>
      <c r="CB634" s="161"/>
      <c r="CC634" s="161"/>
      <c r="CD634" s="161"/>
      <c r="CE634" s="161"/>
      <c r="CF634" s="161"/>
      <c r="CG634" s="3"/>
      <c r="CH634" s="3"/>
      <c r="CI634" s="3"/>
      <c r="CJ634" s="3"/>
      <c r="CK634" s="3"/>
      <c r="CL634" s="3"/>
      <c r="CM634" s="3"/>
      <c r="CN634" s="3"/>
    </row>
    <row r="635" spans="1:92" ht="14.4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53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80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161"/>
      <c r="BS635" s="161"/>
      <c r="BT635" s="161"/>
      <c r="BU635" s="162"/>
      <c r="BV635" s="163"/>
      <c r="BW635" s="163"/>
      <c r="BX635" s="163"/>
      <c r="BY635" s="163"/>
      <c r="BZ635" s="163"/>
      <c r="CA635" s="163"/>
      <c r="CB635" s="161"/>
      <c r="CC635" s="161"/>
      <c r="CD635" s="161"/>
      <c r="CE635" s="161"/>
      <c r="CF635" s="161"/>
      <c r="CG635" s="3"/>
      <c r="CH635" s="3"/>
      <c r="CI635" s="3"/>
      <c r="CJ635" s="3"/>
      <c r="CK635" s="3"/>
      <c r="CL635" s="3"/>
      <c r="CM635" s="3"/>
      <c r="CN635" s="3"/>
    </row>
    <row r="636" spans="1:92" ht="14.4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53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80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161"/>
      <c r="BS636" s="161"/>
      <c r="BT636" s="161"/>
      <c r="BU636" s="162"/>
      <c r="BV636" s="163"/>
      <c r="BW636" s="163"/>
      <c r="BX636" s="163"/>
      <c r="BY636" s="163"/>
      <c r="BZ636" s="163"/>
      <c r="CA636" s="163"/>
      <c r="CB636" s="161"/>
      <c r="CC636" s="161"/>
      <c r="CD636" s="161"/>
      <c r="CE636" s="161"/>
      <c r="CF636" s="161"/>
      <c r="CG636" s="3"/>
      <c r="CH636" s="3"/>
      <c r="CI636" s="3"/>
      <c r="CJ636" s="3"/>
      <c r="CK636" s="3"/>
      <c r="CL636" s="3"/>
      <c r="CM636" s="3"/>
      <c r="CN636" s="3"/>
    </row>
    <row r="637" spans="1:92" ht="14.4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53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80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161"/>
      <c r="BS637" s="161"/>
      <c r="BT637" s="161"/>
      <c r="BU637" s="162"/>
      <c r="BV637" s="163"/>
      <c r="BW637" s="163"/>
      <c r="BX637" s="163"/>
      <c r="BY637" s="163"/>
      <c r="BZ637" s="163"/>
      <c r="CA637" s="163"/>
      <c r="CB637" s="161"/>
      <c r="CC637" s="161"/>
      <c r="CD637" s="161"/>
      <c r="CE637" s="161"/>
      <c r="CF637" s="161"/>
      <c r="CG637" s="3"/>
      <c r="CH637" s="3"/>
      <c r="CI637" s="3"/>
      <c r="CJ637" s="3"/>
      <c r="CK637" s="3"/>
      <c r="CL637" s="3"/>
      <c r="CM637" s="3"/>
      <c r="CN637" s="3"/>
    </row>
    <row r="638" spans="1:92" ht="14.4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53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80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161"/>
      <c r="BS638" s="161"/>
      <c r="BT638" s="161"/>
      <c r="BU638" s="162"/>
      <c r="BV638" s="163"/>
      <c r="BW638" s="163"/>
      <c r="BX638" s="163"/>
      <c r="BY638" s="163"/>
      <c r="BZ638" s="163"/>
      <c r="CA638" s="163"/>
      <c r="CB638" s="161"/>
      <c r="CC638" s="161"/>
      <c r="CD638" s="161"/>
      <c r="CE638" s="161"/>
      <c r="CF638" s="161"/>
      <c r="CG638" s="3"/>
      <c r="CH638" s="3"/>
      <c r="CI638" s="3"/>
      <c r="CJ638" s="3"/>
      <c r="CK638" s="3"/>
      <c r="CL638" s="3"/>
      <c r="CM638" s="3"/>
      <c r="CN638" s="3"/>
    </row>
    <row r="639" spans="1:92" ht="14.4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53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80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161"/>
      <c r="BS639" s="161"/>
      <c r="BT639" s="161"/>
      <c r="BU639" s="162"/>
      <c r="BV639" s="163"/>
      <c r="BW639" s="163"/>
      <c r="BX639" s="163"/>
      <c r="BY639" s="163"/>
      <c r="BZ639" s="163"/>
      <c r="CA639" s="163"/>
      <c r="CB639" s="161"/>
      <c r="CC639" s="161"/>
      <c r="CD639" s="161"/>
      <c r="CE639" s="161"/>
      <c r="CF639" s="161"/>
      <c r="CG639" s="3"/>
      <c r="CH639" s="3"/>
      <c r="CI639" s="3"/>
      <c r="CJ639" s="3"/>
      <c r="CK639" s="3"/>
      <c r="CL639" s="3"/>
      <c r="CM639" s="3"/>
      <c r="CN639" s="3"/>
    </row>
    <row r="640" spans="1:92" ht="14.4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53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80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161"/>
      <c r="BS640" s="161"/>
      <c r="BT640" s="161"/>
      <c r="BU640" s="162"/>
      <c r="BV640" s="163"/>
      <c r="BW640" s="163"/>
      <c r="BX640" s="163"/>
      <c r="BY640" s="163"/>
      <c r="BZ640" s="163"/>
      <c r="CA640" s="163"/>
      <c r="CB640" s="161"/>
      <c r="CC640" s="161"/>
      <c r="CD640" s="161"/>
      <c r="CE640" s="161"/>
      <c r="CF640" s="161"/>
      <c r="CG640" s="3"/>
      <c r="CH640" s="3"/>
      <c r="CI640" s="3"/>
      <c r="CJ640" s="3"/>
      <c r="CK640" s="3"/>
      <c r="CL640" s="3"/>
      <c r="CM640" s="3"/>
      <c r="CN640" s="3"/>
    </row>
    <row r="641" spans="1:92" ht="14.4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53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80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161"/>
      <c r="BS641" s="161"/>
      <c r="BT641" s="161"/>
      <c r="BU641" s="162"/>
      <c r="BV641" s="163"/>
      <c r="BW641" s="163"/>
      <c r="BX641" s="163"/>
      <c r="BY641" s="163"/>
      <c r="BZ641" s="163"/>
      <c r="CA641" s="163"/>
      <c r="CB641" s="161"/>
      <c r="CC641" s="161"/>
      <c r="CD641" s="161"/>
      <c r="CE641" s="161"/>
      <c r="CF641" s="161"/>
      <c r="CG641" s="3"/>
      <c r="CH641" s="3"/>
      <c r="CI641" s="3"/>
      <c r="CJ641" s="3"/>
      <c r="CK641" s="3"/>
      <c r="CL641" s="3"/>
      <c r="CM641" s="3"/>
      <c r="CN641" s="3"/>
    </row>
    <row r="642" spans="1:92" ht="14.4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53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80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161"/>
      <c r="BS642" s="161"/>
      <c r="BT642" s="161"/>
      <c r="BU642" s="162"/>
      <c r="BV642" s="163"/>
      <c r="BW642" s="163"/>
      <c r="BX642" s="163"/>
      <c r="BY642" s="163"/>
      <c r="BZ642" s="163"/>
      <c r="CA642" s="163"/>
      <c r="CB642" s="161"/>
      <c r="CC642" s="161"/>
      <c r="CD642" s="161"/>
      <c r="CE642" s="161"/>
      <c r="CF642" s="161"/>
      <c r="CG642" s="3"/>
      <c r="CH642" s="3"/>
      <c r="CI642" s="3"/>
      <c r="CJ642" s="3"/>
      <c r="CK642" s="3"/>
      <c r="CL642" s="3"/>
      <c r="CM642" s="3"/>
      <c r="CN642" s="3"/>
    </row>
    <row r="643" spans="1:92" ht="14.4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53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80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161"/>
      <c r="BS643" s="161"/>
      <c r="BT643" s="161"/>
      <c r="BU643" s="162"/>
      <c r="BV643" s="163"/>
      <c r="BW643" s="163"/>
      <c r="BX643" s="163"/>
      <c r="BY643" s="163"/>
      <c r="BZ643" s="163"/>
      <c r="CA643" s="163"/>
      <c r="CB643" s="161"/>
      <c r="CC643" s="161"/>
      <c r="CD643" s="161"/>
      <c r="CE643" s="161"/>
      <c r="CF643" s="161"/>
      <c r="CG643" s="3"/>
      <c r="CH643" s="3"/>
      <c r="CI643" s="3"/>
      <c r="CJ643" s="3"/>
      <c r="CK643" s="3"/>
      <c r="CL643" s="3"/>
      <c r="CM643" s="3"/>
      <c r="CN643" s="3"/>
    </row>
    <row r="644" spans="1:92" ht="14.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53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80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161"/>
      <c r="BS644" s="161"/>
      <c r="BT644" s="161"/>
      <c r="BU644" s="162"/>
      <c r="BV644" s="163"/>
      <c r="BW644" s="163"/>
      <c r="BX644" s="163"/>
      <c r="BY644" s="163"/>
      <c r="BZ644" s="163"/>
      <c r="CA644" s="163"/>
      <c r="CB644" s="161"/>
      <c r="CC644" s="161"/>
      <c r="CD644" s="161"/>
      <c r="CE644" s="161"/>
      <c r="CF644" s="161"/>
      <c r="CG644" s="3"/>
      <c r="CH644" s="3"/>
      <c r="CI644" s="3"/>
      <c r="CJ644" s="3"/>
      <c r="CK644" s="3"/>
      <c r="CL644" s="3"/>
      <c r="CM644" s="3"/>
      <c r="CN644" s="3"/>
    </row>
    <row r="645" spans="1:92" ht="14.4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53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80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161"/>
      <c r="BS645" s="161"/>
      <c r="BT645" s="161"/>
      <c r="BU645" s="162"/>
      <c r="BV645" s="163"/>
      <c r="BW645" s="163"/>
      <c r="BX645" s="163"/>
      <c r="BY645" s="163"/>
      <c r="BZ645" s="163"/>
      <c r="CA645" s="163"/>
      <c r="CB645" s="161"/>
      <c r="CC645" s="161"/>
      <c r="CD645" s="161"/>
      <c r="CE645" s="161"/>
      <c r="CF645" s="161"/>
      <c r="CG645" s="3"/>
      <c r="CH645" s="3"/>
      <c r="CI645" s="3"/>
      <c r="CJ645" s="3"/>
      <c r="CK645" s="3"/>
      <c r="CL645" s="3"/>
      <c r="CM645" s="3"/>
      <c r="CN645" s="3"/>
    </row>
    <row r="646" spans="1:92" ht="14.4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53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80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161"/>
      <c r="BS646" s="161"/>
      <c r="BT646" s="161"/>
      <c r="BU646" s="162"/>
      <c r="BV646" s="163"/>
      <c r="BW646" s="163"/>
      <c r="BX646" s="163"/>
      <c r="BY646" s="163"/>
      <c r="BZ646" s="163"/>
      <c r="CA646" s="163"/>
      <c r="CB646" s="161"/>
      <c r="CC646" s="161"/>
      <c r="CD646" s="161"/>
      <c r="CE646" s="161"/>
      <c r="CF646" s="161"/>
      <c r="CG646" s="3"/>
      <c r="CH646" s="3"/>
      <c r="CI646" s="3"/>
      <c r="CJ646" s="3"/>
      <c r="CK646" s="3"/>
      <c r="CL646" s="3"/>
      <c r="CM646" s="3"/>
      <c r="CN646" s="3"/>
    </row>
    <row r="647" spans="1:92" ht="14.4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53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80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161"/>
      <c r="BS647" s="161"/>
      <c r="BT647" s="161"/>
      <c r="BU647" s="162"/>
      <c r="BV647" s="163"/>
      <c r="BW647" s="163"/>
      <c r="BX647" s="163"/>
      <c r="BY647" s="163"/>
      <c r="BZ647" s="163"/>
      <c r="CA647" s="163"/>
      <c r="CB647" s="161"/>
      <c r="CC647" s="161"/>
      <c r="CD647" s="161"/>
      <c r="CE647" s="161"/>
      <c r="CF647" s="161"/>
      <c r="CG647" s="3"/>
      <c r="CH647" s="3"/>
      <c r="CI647" s="3"/>
      <c r="CJ647" s="3"/>
      <c r="CK647" s="3"/>
      <c r="CL647" s="3"/>
      <c r="CM647" s="3"/>
      <c r="CN647" s="3"/>
    </row>
    <row r="648" spans="1:92" ht="14.4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53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80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161"/>
      <c r="BS648" s="161"/>
      <c r="BT648" s="161"/>
      <c r="BU648" s="162"/>
      <c r="BV648" s="163"/>
      <c r="BW648" s="163"/>
      <c r="BX648" s="163"/>
      <c r="BY648" s="163"/>
      <c r="BZ648" s="163"/>
      <c r="CA648" s="163"/>
      <c r="CB648" s="161"/>
      <c r="CC648" s="161"/>
      <c r="CD648" s="161"/>
      <c r="CE648" s="161"/>
      <c r="CF648" s="161"/>
      <c r="CG648" s="3"/>
      <c r="CH648" s="3"/>
      <c r="CI648" s="3"/>
      <c r="CJ648" s="3"/>
      <c r="CK648" s="3"/>
      <c r="CL648" s="3"/>
      <c r="CM648" s="3"/>
      <c r="CN648" s="3"/>
    </row>
    <row r="649" spans="1:92" ht="14.4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53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80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161"/>
      <c r="BS649" s="161"/>
      <c r="BT649" s="161"/>
      <c r="BU649" s="162"/>
      <c r="BV649" s="163"/>
      <c r="BW649" s="163"/>
      <c r="BX649" s="163"/>
      <c r="BY649" s="163"/>
      <c r="BZ649" s="163"/>
      <c r="CA649" s="163"/>
      <c r="CB649" s="161"/>
      <c r="CC649" s="161"/>
      <c r="CD649" s="161"/>
      <c r="CE649" s="161"/>
      <c r="CF649" s="161"/>
      <c r="CG649" s="3"/>
      <c r="CH649" s="3"/>
      <c r="CI649" s="3"/>
      <c r="CJ649" s="3"/>
      <c r="CK649" s="3"/>
      <c r="CL649" s="3"/>
      <c r="CM649" s="3"/>
      <c r="CN649" s="3"/>
    </row>
    <row r="650" spans="1:92" ht="14.4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53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80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161"/>
      <c r="BS650" s="161"/>
      <c r="BT650" s="161"/>
      <c r="BU650" s="162"/>
      <c r="BV650" s="163"/>
      <c r="BW650" s="163"/>
      <c r="BX650" s="163"/>
      <c r="BY650" s="163"/>
      <c r="BZ650" s="163"/>
      <c r="CA650" s="163"/>
      <c r="CB650" s="161"/>
      <c r="CC650" s="161"/>
      <c r="CD650" s="161"/>
      <c r="CE650" s="161"/>
      <c r="CF650" s="161"/>
      <c r="CG650" s="3"/>
      <c r="CH650" s="3"/>
      <c r="CI650" s="3"/>
      <c r="CJ650" s="3"/>
      <c r="CK650" s="3"/>
      <c r="CL650" s="3"/>
      <c r="CM650" s="3"/>
      <c r="CN650" s="3"/>
    </row>
    <row r="651" spans="1:92" ht="14.4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53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80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161"/>
      <c r="BS651" s="161"/>
      <c r="BT651" s="161"/>
      <c r="BU651" s="162"/>
      <c r="BV651" s="163"/>
      <c r="BW651" s="163"/>
      <c r="BX651" s="163"/>
      <c r="BY651" s="163"/>
      <c r="BZ651" s="163"/>
      <c r="CA651" s="163"/>
      <c r="CB651" s="161"/>
      <c r="CC651" s="161"/>
      <c r="CD651" s="161"/>
      <c r="CE651" s="161"/>
      <c r="CF651" s="161"/>
      <c r="CG651" s="3"/>
      <c r="CH651" s="3"/>
      <c r="CI651" s="3"/>
      <c r="CJ651" s="3"/>
      <c r="CK651" s="3"/>
      <c r="CL651" s="3"/>
      <c r="CM651" s="3"/>
      <c r="CN651" s="3"/>
    </row>
    <row r="652" spans="1:92" ht="14.4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53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80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161"/>
      <c r="BS652" s="161"/>
      <c r="BT652" s="161"/>
      <c r="BU652" s="162"/>
      <c r="BV652" s="163"/>
      <c r="BW652" s="163"/>
      <c r="BX652" s="163"/>
      <c r="BY652" s="163"/>
      <c r="BZ652" s="163"/>
      <c r="CA652" s="163"/>
      <c r="CB652" s="161"/>
      <c r="CC652" s="161"/>
      <c r="CD652" s="161"/>
      <c r="CE652" s="161"/>
      <c r="CF652" s="161"/>
      <c r="CG652" s="3"/>
      <c r="CH652" s="3"/>
      <c r="CI652" s="3"/>
      <c r="CJ652" s="3"/>
      <c r="CK652" s="3"/>
      <c r="CL652" s="3"/>
      <c r="CM652" s="3"/>
      <c r="CN652" s="3"/>
    </row>
    <row r="653" spans="1:92" ht="14.4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53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80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161"/>
      <c r="BS653" s="161"/>
      <c r="BT653" s="161"/>
      <c r="BU653" s="162"/>
      <c r="BV653" s="163"/>
      <c r="BW653" s="163"/>
      <c r="BX653" s="163"/>
      <c r="BY653" s="163"/>
      <c r="BZ653" s="163"/>
      <c r="CA653" s="163"/>
      <c r="CB653" s="161"/>
      <c r="CC653" s="161"/>
      <c r="CD653" s="161"/>
      <c r="CE653" s="161"/>
      <c r="CF653" s="161"/>
      <c r="CG653" s="3"/>
      <c r="CH653" s="3"/>
      <c r="CI653" s="3"/>
      <c r="CJ653" s="3"/>
      <c r="CK653" s="3"/>
      <c r="CL653" s="3"/>
      <c r="CM653" s="3"/>
      <c r="CN653" s="3"/>
    </row>
    <row r="654" spans="1:92" ht="14.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53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80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161"/>
      <c r="BS654" s="161"/>
      <c r="BT654" s="161"/>
      <c r="BU654" s="162"/>
      <c r="BV654" s="163"/>
      <c r="BW654" s="163"/>
      <c r="BX654" s="163"/>
      <c r="BY654" s="163"/>
      <c r="BZ654" s="163"/>
      <c r="CA654" s="163"/>
      <c r="CB654" s="161"/>
      <c r="CC654" s="161"/>
      <c r="CD654" s="161"/>
      <c r="CE654" s="161"/>
      <c r="CF654" s="161"/>
      <c r="CG654" s="3"/>
      <c r="CH654" s="3"/>
      <c r="CI654" s="3"/>
      <c r="CJ654" s="3"/>
      <c r="CK654" s="3"/>
      <c r="CL654" s="3"/>
      <c r="CM654" s="3"/>
      <c r="CN654" s="3"/>
    </row>
    <row r="655" spans="1:92" ht="14.4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53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80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161"/>
      <c r="BS655" s="161"/>
      <c r="BT655" s="161"/>
      <c r="BU655" s="162"/>
      <c r="BV655" s="163"/>
      <c r="BW655" s="163"/>
      <c r="BX655" s="163"/>
      <c r="BY655" s="163"/>
      <c r="BZ655" s="163"/>
      <c r="CA655" s="163"/>
      <c r="CB655" s="161"/>
      <c r="CC655" s="161"/>
      <c r="CD655" s="161"/>
      <c r="CE655" s="161"/>
      <c r="CF655" s="161"/>
      <c r="CG655" s="3"/>
      <c r="CH655" s="3"/>
      <c r="CI655" s="3"/>
      <c r="CJ655" s="3"/>
      <c r="CK655" s="3"/>
      <c r="CL655" s="3"/>
      <c r="CM655" s="3"/>
      <c r="CN655" s="3"/>
    </row>
    <row r="656" spans="1:92" ht="14.4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53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80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161"/>
      <c r="BS656" s="161"/>
      <c r="BT656" s="161"/>
      <c r="BU656" s="162"/>
      <c r="BV656" s="163"/>
      <c r="BW656" s="163"/>
      <c r="BX656" s="163"/>
      <c r="BY656" s="163"/>
      <c r="BZ656" s="163"/>
      <c r="CA656" s="163"/>
      <c r="CB656" s="161"/>
      <c r="CC656" s="161"/>
      <c r="CD656" s="161"/>
      <c r="CE656" s="161"/>
      <c r="CF656" s="161"/>
      <c r="CG656" s="3"/>
      <c r="CH656" s="3"/>
      <c r="CI656" s="3"/>
      <c r="CJ656" s="3"/>
      <c r="CK656" s="3"/>
      <c r="CL656" s="3"/>
      <c r="CM656" s="3"/>
      <c r="CN656" s="3"/>
    </row>
    <row r="657" spans="1:92" ht="14.4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53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80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161"/>
      <c r="BS657" s="161"/>
      <c r="BT657" s="161"/>
      <c r="BU657" s="162"/>
      <c r="BV657" s="163"/>
      <c r="BW657" s="163"/>
      <c r="BX657" s="163"/>
      <c r="BY657" s="163"/>
      <c r="BZ657" s="163"/>
      <c r="CA657" s="163"/>
      <c r="CB657" s="161"/>
      <c r="CC657" s="161"/>
      <c r="CD657" s="161"/>
      <c r="CE657" s="161"/>
      <c r="CF657" s="161"/>
      <c r="CG657" s="3"/>
      <c r="CH657" s="3"/>
      <c r="CI657" s="3"/>
      <c r="CJ657" s="3"/>
      <c r="CK657" s="3"/>
      <c r="CL657" s="3"/>
      <c r="CM657" s="3"/>
      <c r="CN657" s="3"/>
    </row>
    <row r="658" spans="1:92" ht="14.4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53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80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161"/>
      <c r="BS658" s="161"/>
      <c r="BT658" s="161"/>
      <c r="BU658" s="162"/>
      <c r="BV658" s="163"/>
      <c r="BW658" s="163"/>
      <c r="BX658" s="163"/>
      <c r="BY658" s="163"/>
      <c r="BZ658" s="163"/>
      <c r="CA658" s="163"/>
      <c r="CB658" s="161"/>
      <c r="CC658" s="161"/>
      <c r="CD658" s="161"/>
      <c r="CE658" s="161"/>
      <c r="CF658" s="161"/>
      <c r="CG658" s="3"/>
      <c r="CH658" s="3"/>
      <c r="CI658" s="3"/>
      <c r="CJ658" s="3"/>
      <c r="CK658" s="3"/>
      <c r="CL658" s="3"/>
      <c r="CM658" s="3"/>
      <c r="CN658" s="3"/>
    </row>
    <row r="659" spans="1:92" ht="14.4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53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80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161"/>
      <c r="BS659" s="161"/>
      <c r="BT659" s="161"/>
      <c r="BU659" s="162"/>
      <c r="BV659" s="163"/>
      <c r="BW659" s="163"/>
      <c r="BX659" s="163"/>
      <c r="BY659" s="163"/>
      <c r="BZ659" s="163"/>
      <c r="CA659" s="163"/>
      <c r="CB659" s="161"/>
      <c r="CC659" s="161"/>
      <c r="CD659" s="161"/>
      <c r="CE659" s="161"/>
      <c r="CF659" s="161"/>
      <c r="CG659" s="3"/>
      <c r="CH659" s="3"/>
      <c r="CI659" s="3"/>
      <c r="CJ659" s="3"/>
      <c r="CK659" s="3"/>
      <c r="CL659" s="3"/>
      <c r="CM659" s="3"/>
      <c r="CN659" s="3"/>
    </row>
    <row r="660" spans="1:92" ht="14.4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53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80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161"/>
      <c r="BS660" s="161"/>
      <c r="BT660" s="161"/>
      <c r="BU660" s="162"/>
      <c r="BV660" s="163"/>
      <c r="BW660" s="163"/>
      <c r="BX660" s="163"/>
      <c r="BY660" s="163"/>
      <c r="BZ660" s="163"/>
      <c r="CA660" s="163"/>
      <c r="CB660" s="161"/>
      <c r="CC660" s="161"/>
      <c r="CD660" s="161"/>
      <c r="CE660" s="161"/>
      <c r="CF660" s="161"/>
      <c r="CG660" s="3"/>
      <c r="CH660" s="3"/>
      <c r="CI660" s="3"/>
      <c r="CJ660" s="3"/>
      <c r="CK660" s="3"/>
      <c r="CL660" s="3"/>
      <c r="CM660" s="3"/>
      <c r="CN660" s="3"/>
    </row>
    <row r="661" spans="1:92" ht="14.4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53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80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161"/>
      <c r="BS661" s="161"/>
      <c r="BT661" s="161"/>
      <c r="BU661" s="162"/>
      <c r="BV661" s="163"/>
      <c r="BW661" s="163"/>
      <c r="BX661" s="163"/>
      <c r="BY661" s="163"/>
      <c r="BZ661" s="163"/>
      <c r="CA661" s="163"/>
      <c r="CB661" s="161"/>
      <c r="CC661" s="161"/>
      <c r="CD661" s="161"/>
      <c r="CE661" s="161"/>
      <c r="CF661" s="161"/>
      <c r="CG661" s="3"/>
      <c r="CH661" s="3"/>
      <c r="CI661" s="3"/>
      <c r="CJ661" s="3"/>
      <c r="CK661" s="3"/>
      <c r="CL661" s="3"/>
      <c r="CM661" s="3"/>
      <c r="CN661" s="3"/>
    </row>
    <row r="662" spans="1:92" ht="14.4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53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80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161"/>
      <c r="BS662" s="161"/>
      <c r="BT662" s="161"/>
      <c r="BU662" s="162"/>
      <c r="BV662" s="163"/>
      <c r="BW662" s="163"/>
      <c r="BX662" s="163"/>
      <c r="BY662" s="163"/>
      <c r="BZ662" s="163"/>
      <c r="CA662" s="163"/>
      <c r="CB662" s="161"/>
      <c r="CC662" s="161"/>
      <c r="CD662" s="161"/>
      <c r="CE662" s="161"/>
      <c r="CF662" s="161"/>
      <c r="CG662" s="3"/>
      <c r="CH662" s="3"/>
      <c r="CI662" s="3"/>
      <c r="CJ662" s="3"/>
      <c r="CK662" s="3"/>
      <c r="CL662" s="3"/>
      <c r="CM662" s="3"/>
      <c r="CN662" s="3"/>
    </row>
    <row r="663" spans="1:92" ht="14.4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53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80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161"/>
      <c r="BS663" s="161"/>
      <c r="BT663" s="161"/>
      <c r="BU663" s="162"/>
      <c r="BV663" s="163"/>
      <c r="BW663" s="163"/>
      <c r="BX663" s="163"/>
      <c r="BY663" s="163"/>
      <c r="BZ663" s="163"/>
      <c r="CA663" s="163"/>
      <c r="CB663" s="161"/>
      <c r="CC663" s="161"/>
      <c r="CD663" s="161"/>
      <c r="CE663" s="161"/>
      <c r="CF663" s="161"/>
      <c r="CG663" s="3"/>
      <c r="CH663" s="3"/>
      <c r="CI663" s="3"/>
      <c r="CJ663" s="3"/>
      <c r="CK663" s="3"/>
      <c r="CL663" s="3"/>
      <c r="CM663" s="3"/>
      <c r="CN663" s="3"/>
    </row>
    <row r="664" spans="1:92" ht="14.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53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80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161"/>
      <c r="BS664" s="161"/>
      <c r="BT664" s="161"/>
      <c r="BU664" s="162"/>
      <c r="BV664" s="163"/>
      <c r="BW664" s="163"/>
      <c r="BX664" s="163"/>
      <c r="BY664" s="163"/>
      <c r="BZ664" s="163"/>
      <c r="CA664" s="163"/>
      <c r="CB664" s="161"/>
      <c r="CC664" s="161"/>
      <c r="CD664" s="161"/>
      <c r="CE664" s="161"/>
      <c r="CF664" s="161"/>
      <c r="CG664" s="3"/>
      <c r="CH664" s="3"/>
      <c r="CI664" s="3"/>
      <c r="CJ664" s="3"/>
      <c r="CK664" s="3"/>
      <c r="CL664" s="3"/>
      <c r="CM664" s="3"/>
      <c r="CN664" s="3"/>
    </row>
    <row r="665" spans="1:92" ht="14.4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53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80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161"/>
      <c r="BS665" s="161"/>
      <c r="BT665" s="161"/>
      <c r="BU665" s="162"/>
      <c r="BV665" s="163"/>
      <c r="BW665" s="163"/>
      <c r="BX665" s="163"/>
      <c r="BY665" s="163"/>
      <c r="BZ665" s="163"/>
      <c r="CA665" s="163"/>
      <c r="CB665" s="161"/>
      <c r="CC665" s="161"/>
      <c r="CD665" s="161"/>
      <c r="CE665" s="161"/>
      <c r="CF665" s="161"/>
      <c r="CG665" s="3"/>
      <c r="CH665" s="3"/>
      <c r="CI665" s="3"/>
      <c r="CJ665" s="3"/>
      <c r="CK665" s="3"/>
      <c r="CL665" s="3"/>
      <c r="CM665" s="3"/>
      <c r="CN665" s="3"/>
    </row>
    <row r="666" spans="1:92" ht="14.4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53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80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161"/>
      <c r="BS666" s="161"/>
      <c r="BT666" s="161"/>
      <c r="BU666" s="162"/>
      <c r="BV666" s="163"/>
      <c r="BW666" s="163"/>
      <c r="BX666" s="163"/>
      <c r="BY666" s="163"/>
      <c r="BZ666" s="163"/>
      <c r="CA666" s="163"/>
      <c r="CB666" s="161"/>
      <c r="CC666" s="161"/>
      <c r="CD666" s="161"/>
      <c r="CE666" s="161"/>
      <c r="CF666" s="161"/>
      <c r="CG666" s="3"/>
      <c r="CH666" s="3"/>
      <c r="CI666" s="3"/>
      <c r="CJ666" s="3"/>
      <c r="CK666" s="3"/>
      <c r="CL666" s="3"/>
      <c r="CM666" s="3"/>
      <c r="CN666" s="3"/>
    </row>
    <row r="667" spans="1:92" ht="14.4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53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80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161"/>
      <c r="BS667" s="161"/>
      <c r="BT667" s="161"/>
      <c r="BU667" s="162"/>
      <c r="BV667" s="163"/>
      <c r="BW667" s="163"/>
      <c r="BX667" s="163"/>
      <c r="BY667" s="163"/>
      <c r="BZ667" s="163"/>
      <c r="CA667" s="163"/>
      <c r="CB667" s="161"/>
      <c r="CC667" s="161"/>
      <c r="CD667" s="161"/>
      <c r="CE667" s="161"/>
      <c r="CF667" s="161"/>
      <c r="CG667" s="3"/>
      <c r="CH667" s="3"/>
      <c r="CI667" s="3"/>
      <c r="CJ667" s="3"/>
      <c r="CK667" s="3"/>
      <c r="CL667" s="3"/>
      <c r="CM667" s="3"/>
      <c r="CN667" s="3"/>
    </row>
    <row r="668" spans="1:92" ht="14.4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53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80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161"/>
      <c r="BS668" s="161"/>
      <c r="BT668" s="161"/>
      <c r="BU668" s="162"/>
      <c r="BV668" s="163"/>
      <c r="BW668" s="163"/>
      <c r="BX668" s="163"/>
      <c r="BY668" s="163"/>
      <c r="BZ668" s="163"/>
      <c r="CA668" s="163"/>
      <c r="CB668" s="161"/>
      <c r="CC668" s="161"/>
      <c r="CD668" s="161"/>
      <c r="CE668" s="161"/>
      <c r="CF668" s="161"/>
      <c r="CG668" s="3"/>
      <c r="CH668" s="3"/>
      <c r="CI668" s="3"/>
      <c r="CJ668" s="3"/>
      <c r="CK668" s="3"/>
      <c r="CL668" s="3"/>
      <c r="CM668" s="3"/>
      <c r="CN668" s="3"/>
    </row>
    <row r="669" spans="1:92" ht="14.4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53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80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161"/>
      <c r="BS669" s="161"/>
      <c r="BT669" s="161"/>
      <c r="BU669" s="162"/>
      <c r="BV669" s="163"/>
      <c r="BW669" s="163"/>
      <c r="BX669" s="163"/>
      <c r="BY669" s="163"/>
      <c r="BZ669" s="163"/>
      <c r="CA669" s="163"/>
      <c r="CB669" s="161"/>
      <c r="CC669" s="161"/>
      <c r="CD669" s="161"/>
      <c r="CE669" s="161"/>
      <c r="CF669" s="161"/>
      <c r="CG669" s="3"/>
      <c r="CH669" s="3"/>
      <c r="CI669" s="3"/>
      <c r="CJ669" s="3"/>
      <c r="CK669" s="3"/>
      <c r="CL669" s="3"/>
      <c r="CM669" s="3"/>
      <c r="CN669" s="3"/>
    </row>
    <row r="670" spans="1:92" ht="14.4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53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80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161"/>
      <c r="BS670" s="161"/>
      <c r="BT670" s="161"/>
      <c r="BU670" s="162"/>
      <c r="BV670" s="163"/>
      <c r="BW670" s="163"/>
      <c r="BX670" s="163"/>
      <c r="BY670" s="163"/>
      <c r="BZ670" s="163"/>
      <c r="CA670" s="163"/>
      <c r="CB670" s="161"/>
      <c r="CC670" s="161"/>
      <c r="CD670" s="161"/>
      <c r="CE670" s="161"/>
      <c r="CF670" s="161"/>
      <c r="CG670" s="3"/>
      <c r="CH670" s="3"/>
      <c r="CI670" s="3"/>
      <c r="CJ670" s="3"/>
      <c r="CK670" s="3"/>
      <c r="CL670" s="3"/>
      <c r="CM670" s="3"/>
      <c r="CN670" s="3"/>
    </row>
    <row r="671" spans="1:92" ht="14.4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53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80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161"/>
      <c r="BS671" s="161"/>
      <c r="BT671" s="161"/>
      <c r="BU671" s="162"/>
      <c r="BV671" s="163"/>
      <c r="BW671" s="163"/>
      <c r="BX671" s="163"/>
      <c r="BY671" s="163"/>
      <c r="BZ671" s="163"/>
      <c r="CA671" s="163"/>
      <c r="CB671" s="161"/>
      <c r="CC671" s="161"/>
      <c r="CD671" s="161"/>
      <c r="CE671" s="161"/>
      <c r="CF671" s="161"/>
      <c r="CG671" s="3"/>
      <c r="CH671" s="3"/>
      <c r="CI671" s="3"/>
      <c r="CJ671" s="3"/>
      <c r="CK671" s="3"/>
      <c r="CL671" s="3"/>
      <c r="CM671" s="3"/>
      <c r="CN671" s="3"/>
    </row>
    <row r="672" spans="1:92" ht="14.4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53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80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161"/>
      <c r="BS672" s="161"/>
      <c r="BT672" s="161"/>
      <c r="BU672" s="162"/>
      <c r="BV672" s="163"/>
      <c r="BW672" s="163"/>
      <c r="BX672" s="163"/>
      <c r="BY672" s="163"/>
      <c r="BZ672" s="163"/>
      <c r="CA672" s="163"/>
      <c r="CB672" s="161"/>
      <c r="CC672" s="161"/>
      <c r="CD672" s="161"/>
      <c r="CE672" s="161"/>
      <c r="CF672" s="161"/>
      <c r="CG672" s="3"/>
      <c r="CH672" s="3"/>
      <c r="CI672" s="3"/>
      <c r="CJ672" s="3"/>
      <c r="CK672" s="3"/>
      <c r="CL672" s="3"/>
      <c r="CM672" s="3"/>
      <c r="CN672" s="3"/>
    </row>
    <row r="673" spans="1:92" ht="14.4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53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80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161"/>
      <c r="BS673" s="161"/>
      <c r="BT673" s="161"/>
      <c r="BU673" s="162"/>
      <c r="BV673" s="163"/>
      <c r="BW673" s="163"/>
      <c r="BX673" s="163"/>
      <c r="BY673" s="163"/>
      <c r="BZ673" s="163"/>
      <c r="CA673" s="163"/>
      <c r="CB673" s="161"/>
      <c r="CC673" s="161"/>
      <c r="CD673" s="161"/>
      <c r="CE673" s="161"/>
      <c r="CF673" s="161"/>
      <c r="CG673" s="3"/>
      <c r="CH673" s="3"/>
      <c r="CI673" s="3"/>
      <c r="CJ673" s="3"/>
      <c r="CK673" s="3"/>
      <c r="CL673" s="3"/>
      <c r="CM673" s="3"/>
      <c r="CN673" s="3"/>
    </row>
    <row r="674" spans="1:92" ht="14.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53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80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161"/>
      <c r="BS674" s="161"/>
      <c r="BT674" s="161"/>
      <c r="BU674" s="162"/>
      <c r="BV674" s="163"/>
      <c r="BW674" s="163"/>
      <c r="BX674" s="163"/>
      <c r="BY674" s="163"/>
      <c r="BZ674" s="163"/>
      <c r="CA674" s="163"/>
      <c r="CB674" s="161"/>
      <c r="CC674" s="161"/>
      <c r="CD674" s="161"/>
      <c r="CE674" s="161"/>
      <c r="CF674" s="161"/>
      <c r="CG674" s="3"/>
      <c r="CH674" s="3"/>
      <c r="CI674" s="3"/>
      <c r="CJ674" s="3"/>
      <c r="CK674" s="3"/>
      <c r="CL674" s="3"/>
      <c r="CM674" s="3"/>
      <c r="CN674" s="3"/>
    </row>
    <row r="675" spans="1:92" ht="14.4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53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80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161"/>
      <c r="BS675" s="161"/>
      <c r="BT675" s="161"/>
      <c r="BU675" s="162"/>
      <c r="BV675" s="163"/>
      <c r="BW675" s="163"/>
      <c r="BX675" s="163"/>
      <c r="BY675" s="163"/>
      <c r="BZ675" s="163"/>
      <c r="CA675" s="163"/>
      <c r="CB675" s="161"/>
      <c r="CC675" s="161"/>
      <c r="CD675" s="161"/>
      <c r="CE675" s="161"/>
      <c r="CF675" s="161"/>
      <c r="CG675" s="3"/>
      <c r="CH675" s="3"/>
      <c r="CI675" s="3"/>
      <c r="CJ675" s="3"/>
      <c r="CK675" s="3"/>
      <c r="CL675" s="3"/>
      <c r="CM675" s="3"/>
      <c r="CN675" s="3"/>
    </row>
    <row r="676" spans="1:92" ht="14.4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53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80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161"/>
      <c r="BS676" s="161"/>
      <c r="BT676" s="161"/>
      <c r="BU676" s="162"/>
      <c r="BV676" s="163"/>
      <c r="BW676" s="163"/>
      <c r="BX676" s="163"/>
      <c r="BY676" s="163"/>
      <c r="BZ676" s="163"/>
      <c r="CA676" s="163"/>
      <c r="CB676" s="161"/>
      <c r="CC676" s="161"/>
      <c r="CD676" s="161"/>
      <c r="CE676" s="161"/>
      <c r="CF676" s="161"/>
      <c r="CG676" s="3"/>
      <c r="CH676" s="3"/>
      <c r="CI676" s="3"/>
      <c r="CJ676" s="3"/>
      <c r="CK676" s="3"/>
      <c r="CL676" s="3"/>
      <c r="CM676" s="3"/>
      <c r="CN676" s="3"/>
    </row>
    <row r="677" spans="1:92" ht="14.4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53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80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161"/>
      <c r="BS677" s="161"/>
      <c r="BT677" s="161"/>
      <c r="BU677" s="162"/>
      <c r="BV677" s="163"/>
      <c r="BW677" s="163"/>
      <c r="BX677" s="163"/>
      <c r="BY677" s="163"/>
      <c r="BZ677" s="163"/>
      <c r="CA677" s="163"/>
      <c r="CB677" s="161"/>
      <c r="CC677" s="161"/>
      <c r="CD677" s="161"/>
      <c r="CE677" s="161"/>
      <c r="CF677" s="161"/>
      <c r="CG677" s="3"/>
      <c r="CH677" s="3"/>
      <c r="CI677" s="3"/>
      <c r="CJ677" s="3"/>
      <c r="CK677" s="3"/>
      <c r="CL677" s="3"/>
      <c r="CM677" s="3"/>
      <c r="CN677" s="3"/>
    </row>
    <row r="678" spans="1:92" ht="14.4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53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80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161"/>
      <c r="BS678" s="161"/>
      <c r="BT678" s="161"/>
      <c r="BU678" s="162"/>
      <c r="BV678" s="163"/>
      <c r="BW678" s="163"/>
      <c r="BX678" s="163"/>
      <c r="BY678" s="163"/>
      <c r="BZ678" s="163"/>
      <c r="CA678" s="163"/>
      <c r="CB678" s="161"/>
      <c r="CC678" s="161"/>
      <c r="CD678" s="161"/>
      <c r="CE678" s="161"/>
      <c r="CF678" s="161"/>
      <c r="CG678" s="3"/>
      <c r="CH678" s="3"/>
      <c r="CI678" s="3"/>
      <c r="CJ678" s="3"/>
      <c r="CK678" s="3"/>
      <c r="CL678" s="3"/>
      <c r="CM678" s="3"/>
      <c r="CN678" s="3"/>
    </row>
    <row r="679" spans="1:92" ht="14.4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53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80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161"/>
      <c r="BS679" s="161"/>
      <c r="BT679" s="161"/>
      <c r="BU679" s="162"/>
      <c r="BV679" s="163"/>
      <c r="BW679" s="163"/>
      <c r="BX679" s="163"/>
      <c r="BY679" s="163"/>
      <c r="BZ679" s="163"/>
      <c r="CA679" s="163"/>
      <c r="CB679" s="161"/>
      <c r="CC679" s="161"/>
      <c r="CD679" s="161"/>
      <c r="CE679" s="161"/>
      <c r="CF679" s="161"/>
      <c r="CG679" s="3"/>
      <c r="CH679" s="3"/>
      <c r="CI679" s="3"/>
      <c r="CJ679" s="3"/>
      <c r="CK679" s="3"/>
      <c r="CL679" s="3"/>
      <c r="CM679" s="3"/>
      <c r="CN679" s="3"/>
    </row>
    <row r="680" spans="1:92" ht="14.4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53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80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161"/>
      <c r="BS680" s="161"/>
      <c r="BT680" s="161"/>
      <c r="BU680" s="162"/>
      <c r="BV680" s="163"/>
      <c r="BW680" s="163"/>
      <c r="BX680" s="163"/>
      <c r="BY680" s="163"/>
      <c r="BZ680" s="163"/>
      <c r="CA680" s="163"/>
      <c r="CB680" s="161"/>
      <c r="CC680" s="161"/>
      <c r="CD680" s="161"/>
      <c r="CE680" s="161"/>
      <c r="CF680" s="161"/>
      <c r="CG680" s="3"/>
      <c r="CH680" s="3"/>
      <c r="CI680" s="3"/>
      <c r="CJ680" s="3"/>
      <c r="CK680" s="3"/>
      <c r="CL680" s="3"/>
      <c r="CM680" s="3"/>
      <c r="CN680" s="3"/>
    </row>
    <row r="681" spans="1:92" ht="14.4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53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80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161"/>
      <c r="BS681" s="161"/>
      <c r="BT681" s="161"/>
      <c r="BU681" s="162"/>
      <c r="BV681" s="163"/>
      <c r="BW681" s="163"/>
      <c r="BX681" s="163"/>
      <c r="BY681" s="163"/>
      <c r="BZ681" s="163"/>
      <c r="CA681" s="163"/>
      <c r="CB681" s="161"/>
      <c r="CC681" s="161"/>
      <c r="CD681" s="161"/>
      <c r="CE681" s="161"/>
      <c r="CF681" s="161"/>
      <c r="CG681" s="3"/>
      <c r="CH681" s="3"/>
      <c r="CI681" s="3"/>
      <c r="CJ681" s="3"/>
      <c r="CK681" s="3"/>
      <c r="CL681" s="3"/>
      <c r="CM681" s="3"/>
      <c r="CN681" s="3"/>
    </row>
    <row r="682" spans="1:92" ht="14.4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53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80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161"/>
      <c r="BS682" s="161"/>
      <c r="BT682" s="161"/>
      <c r="BU682" s="162"/>
      <c r="BV682" s="163"/>
      <c r="BW682" s="163"/>
      <c r="BX682" s="163"/>
      <c r="BY682" s="163"/>
      <c r="BZ682" s="163"/>
      <c r="CA682" s="163"/>
      <c r="CB682" s="161"/>
      <c r="CC682" s="161"/>
      <c r="CD682" s="161"/>
      <c r="CE682" s="161"/>
      <c r="CF682" s="161"/>
      <c r="CG682" s="3"/>
      <c r="CH682" s="3"/>
      <c r="CI682" s="3"/>
      <c r="CJ682" s="3"/>
      <c r="CK682" s="3"/>
      <c r="CL682" s="3"/>
      <c r="CM682" s="3"/>
      <c r="CN682" s="3"/>
    </row>
    <row r="683" spans="1:92" ht="14.4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53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80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161"/>
      <c r="BS683" s="161"/>
      <c r="BT683" s="161"/>
      <c r="BU683" s="162"/>
      <c r="BV683" s="163"/>
      <c r="BW683" s="163"/>
      <c r="BX683" s="163"/>
      <c r="BY683" s="163"/>
      <c r="BZ683" s="163"/>
      <c r="CA683" s="163"/>
      <c r="CB683" s="161"/>
      <c r="CC683" s="161"/>
      <c r="CD683" s="161"/>
      <c r="CE683" s="161"/>
      <c r="CF683" s="161"/>
      <c r="CG683" s="3"/>
      <c r="CH683" s="3"/>
      <c r="CI683" s="3"/>
      <c r="CJ683" s="3"/>
      <c r="CK683" s="3"/>
      <c r="CL683" s="3"/>
      <c r="CM683" s="3"/>
      <c r="CN683" s="3"/>
    </row>
    <row r="684" spans="1:92" ht="14.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53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80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161"/>
      <c r="BS684" s="161"/>
      <c r="BT684" s="161"/>
      <c r="BU684" s="162"/>
      <c r="BV684" s="163"/>
      <c r="BW684" s="163"/>
      <c r="BX684" s="163"/>
      <c r="BY684" s="163"/>
      <c r="BZ684" s="163"/>
      <c r="CA684" s="163"/>
      <c r="CB684" s="161"/>
      <c r="CC684" s="161"/>
      <c r="CD684" s="161"/>
      <c r="CE684" s="161"/>
      <c r="CF684" s="161"/>
      <c r="CG684" s="3"/>
      <c r="CH684" s="3"/>
      <c r="CI684" s="3"/>
      <c r="CJ684" s="3"/>
      <c r="CK684" s="3"/>
      <c r="CL684" s="3"/>
      <c r="CM684" s="3"/>
      <c r="CN684" s="3"/>
    </row>
    <row r="685" spans="1:92" ht="14.4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53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80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161"/>
      <c r="BS685" s="161"/>
      <c r="BT685" s="161"/>
      <c r="BU685" s="162"/>
      <c r="BV685" s="163"/>
      <c r="BW685" s="163"/>
      <c r="BX685" s="163"/>
      <c r="BY685" s="163"/>
      <c r="BZ685" s="163"/>
      <c r="CA685" s="163"/>
      <c r="CB685" s="161"/>
      <c r="CC685" s="161"/>
      <c r="CD685" s="161"/>
      <c r="CE685" s="161"/>
      <c r="CF685" s="161"/>
      <c r="CG685" s="3"/>
      <c r="CH685" s="3"/>
      <c r="CI685" s="3"/>
      <c r="CJ685" s="3"/>
      <c r="CK685" s="3"/>
      <c r="CL685" s="3"/>
      <c r="CM685" s="3"/>
      <c r="CN685" s="3"/>
    </row>
    <row r="686" spans="1:92" ht="14.4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53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80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161"/>
      <c r="BS686" s="161"/>
      <c r="BT686" s="161"/>
      <c r="BU686" s="162"/>
      <c r="BV686" s="163"/>
      <c r="BW686" s="163"/>
      <c r="BX686" s="163"/>
      <c r="BY686" s="163"/>
      <c r="BZ686" s="163"/>
      <c r="CA686" s="163"/>
      <c r="CB686" s="161"/>
      <c r="CC686" s="161"/>
      <c r="CD686" s="161"/>
      <c r="CE686" s="161"/>
      <c r="CF686" s="161"/>
      <c r="CG686" s="3"/>
      <c r="CH686" s="3"/>
      <c r="CI686" s="3"/>
      <c r="CJ686" s="3"/>
      <c r="CK686" s="3"/>
      <c r="CL686" s="3"/>
      <c r="CM686" s="3"/>
      <c r="CN686" s="3"/>
    </row>
    <row r="687" spans="1:92" ht="14.4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53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80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161"/>
      <c r="BS687" s="161"/>
      <c r="BT687" s="161"/>
      <c r="BU687" s="162"/>
      <c r="BV687" s="163"/>
      <c r="BW687" s="163"/>
      <c r="BX687" s="163"/>
      <c r="BY687" s="163"/>
      <c r="BZ687" s="163"/>
      <c r="CA687" s="163"/>
      <c r="CB687" s="161"/>
      <c r="CC687" s="161"/>
      <c r="CD687" s="161"/>
      <c r="CE687" s="161"/>
      <c r="CF687" s="161"/>
      <c r="CG687" s="3"/>
      <c r="CH687" s="3"/>
      <c r="CI687" s="3"/>
      <c r="CJ687" s="3"/>
      <c r="CK687" s="3"/>
      <c r="CL687" s="3"/>
      <c r="CM687" s="3"/>
      <c r="CN687" s="3"/>
    </row>
    <row r="688" spans="1:92" ht="14.4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53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80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161"/>
      <c r="BS688" s="161"/>
      <c r="BT688" s="161"/>
      <c r="BU688" s="162"/>
      <c r="BV688" s="163"/>
      <c r="BW688" s="163"/>
      <c r="BX688" s="163"/>
      <c r="BY688" s="163"/>
      <c r="BZ688" s="163"/>
      <c r="CA688" s="163"/>
      <c r="CB688" s="161"/>
      <c r="CC688" s="161"/>
      <c r="CD688" s="161"/>
      <c r="CE688" s="161"/>
      <c r="CF688" s="161"/>
      <c r="CG688" s="3"/>
      <c r="CH688" s="3"/>
      <c r="CI688" s="3"/>
      <c r="CJ688" s="3"/>
      <c r="CK688" s="3"/>
      <c r="CL688" s="3"/>
      <c r="CM688" s="3"/>
      <c r="CN688" s="3"/>
    </row>
    <row r="689" spans="1:92" ht="14.4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53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80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161"/>
      <c r="BS689" s="161"/>
      <c r="BT689" s="161"/>
      <c r="BU689" s="162"/>
      <c r="BV689" s="163"/>
      <c r="BW689" s="163"/>
      <c r="BX689" s="163"/>
      <c r="BY689" s="163"/>
      <c r="BZ689" s="163"/>
      <c r="CA689" s="163"/>
      <c r="CB689" s="161"/>
      <c r="CC689" s="161"/>
      <c r="CD689" s="161"/>
      <c r="CE689" s="161"/>
      <c r="CF689" s="161"/>
      <c r="CG689" s="3"/>
      <c r="CH689" s="3"/>
      <c r="CI689" s="3"/>
      <c r="CJ689" s="3"/>
      <c r="CK689" s="3"/>
      <c r="CL689" s="3"/>
      <c r="CM689" s="3"/>
      <c r="CN689" s="3"/>
    </row>
    <row r="690" spans="1:92" ht="14.4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53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80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161"/>
      <c r="BS690" s="161"/>
      <c r="BT690" s="161"/>
      <c r="BU690" s="162"/>
      <c r="BV690" s="163"/>
      <c r="BW690" s="163"/>
      <c r="BX690" s="163"/>
      <c r="BY690" s="163"/>
      <c r="BZ690" s="163"/>
      <c r="CA690" s="163"/>
      <c r="CB690" s="161"/>
      <c r="CC690" s="161"/>
      <c r="CD690" s="161"/>
      <c r="CE690" s="161"/>
      <c r="CF690" s="161"/>
      <c r="CG690" s="3"/>
      <c r="CH690" s="3"/>
      <c r="CI690" s="3"/>
      <c r="CJ690" s="3"/>
      <c r="CK690" s="3"/>
      <c r="CL690" s="3"/>
      <c r="CM690" s="3"/>
      <c r="CN690" s="3"/>
    </row>
    <row r="691" spans="1:92" ht="14.4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53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80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161"/>
      <c r="BS691" s="161"/>
      <c r="BT691" s="161"/>
      <c r="BU691" s="162"/>
      <c r="BV691" s="163"/>
      <c r="BW691" s="163"/>
      <c r="BX691" s="163"/>
      <c r="BY691" s="163"/>
      <c r="BZ691" s="163"/>
      <c r="CA691" s="163"/>
      <c r="CB691" s="161"/>
      <c r="CC691" s="161"/>
      <c r="CD691" s="161"/>
      <c r="CE691" s="161"/>
      <c r="CF691" s="161"/>
      <c r="CG691" s="3"/>
      <c r="CH691" s="3"/>
      <c r="CI691" s="3"/>
      <c r="CJ691" s="3"/>
      <c r="CK691" s="3"/>
      <c r="CL691" s="3"/>
      <c r="CM691" s="3"/>
      <c r="CN691" s="3"/>
    </row>
    <row r="692" spans="1:92" ht="14.4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53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80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161"/>
      <c r="BS692" s="161"/>
      <c r="BT692" s="161"/>
      <c r="BU692" s="162"/>
      <c r="BV692" s="163"/>
      <c r="BW692" s="163"/>
      <c r="BX692" s="163"/>
      <c r="BY692" s="163"/>
      <c r="BZ692" s="163"/>
      <c r="CA692" s="163"/>
      <c r="CB692" s="161"/>
      <c r="CC692" s="161"/>
      <c r="CD692" s="161"/>
      <c r="CE692" s="161"/>
      <c r="CF692" s="161"/>
      <c r="CG692" s="3"/>
      <c r="CH692" s="3"/>
      <c r="CI692" s="3"/>
      <c r="CJ692" s="3"/>
      <c r="CK692" s="3"/>
      <c r="CL692" s="3"/>
      <c r="CM692" s="3"/>
      <c r="CN692" s="3"/>
    </row>
    <row r="693" spans="1:92" ht="14.4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53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80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161"/>
      <c r="BS693" s="161"/>
      <c r="BT693" s="161"/>
      <c r="BU693" s="162"/>
      <c r="BV693" s="163"/>
      <c r="BW693" s="163"/>
      <c r="BX693" s="163"/>
      <c r="BY693" s="163"/>
      <c r="BZ693" s="163"/>
      <c r="CA693" s="163"/>
      <c r="CB693" s="161"/>
      <c r="CC693" s="161"/>
      <c r="CD693" s="161"/>
      <c r="CE693" s="161"/>
      <c r="CF693" s="161"/>
      <c r="CG693" s="3"/>
      <c r="CH693" s="3"/>
      <c r="CI693" s="3"/>
      <c r="CJ693" s="3"/>
      <c r="CK693" s="3"/>
      <c r="CL693" s="3"/>
      <c r="CM693" s="3"/>
      <c r="CN693" s="3"/>
    </row>
    <row r="694" spans="1:92" ht="14.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53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80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161"/>
      <c r="BS694" s="161"/>
      <c r="BT694" s="161"/>
      <c r="BU694" s="162"/>
      <c r="BV694" s="163"/>
      <c r="BW694" s="163"/>
      <c r="BX694" s="163"/>
      <c r="BY694" s="163"/>
      <c r="BZ694" s="163"/>
      <c r="CA694" s="163"/>
      <c r="CB694" s="161"/>
      <c r="CC694" s="161"/>
      <c r="CD694" s="161"/>
      <c r="CE694" s="161"/>
      <c r="CF694" s="161"/>
      <c r="CG694" s="3"/>
      <c r="CH694" s="3"/>
      <c r="CI694" s="3"/>
      <c r="CJ694" s="3"/>
      <c r="CK694" s="3"/>
      <c r="CL694" s="3"/>
      <c r="CM694" s="3"/>
      <c r="CN694" s="3"/>
    </row>
    <row r="695" spans="1:92" ht="14.4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53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80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161"/>
      <c r="BS695" s="161"/>
      <c r="BT695" s="161"/>
      <c r="BU695" s="162"/>
      <c r="BV695" s="163"/>
      <c r="BW695" s="163"/>
      <c r="BX695" s="163"/>
      <c r="BY695" s="163"/>
      <c r="BZ695" s="163"/>
      <c r="CA695" s="163"/>
      <c r="CB695" s="161"/>
      <c r="CC695" s="161"/>
      <c r="CD695" s="161"/>
      <c r="CE695" s="161"/>
      <c r="CF695" s="161"/>
      <c r="CG695" s="3"/>
      <c r="CH695" s="3"/>
      <c r="CI695" s="3"/>
      <c r="CJ695" s="3"/>
      <c r="CK695" s="3"/>
      <c r="CL695" s="3"/>
      <c r="CM695" s="3"/>
      <c r="CN695" s="3"/>
    </row>
    <row r="696" spans="1:92" ht="14.4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53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80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161"/>
      <c r="BS696" s="161"/>
      <c r="BT696" s="161"/>
      <c r="BU696" s="162"/>
      <c r="BV696" s="163"/>
      <c r="BW696" s="163"/>
      <c r="BX696" s="163"/>
      <c r="BY696" s="163"/>
      <c r="BZ696" s="163"/>
      <c r="CA696" s="163"/>
      <c r="CB696" s="161"/>
      <c r="CC696" s="161"/>
      <c r="CD696" s="161"/>
      <c r="CE696" s="161"/>
      <c r="CF696" s="161"/>
      <c r="CG696" s="3"/>
      <c r="CH696" s="3"/>
      <c r="CI696" s="3"/>
      <c r="CJ696" s="3"/>
      <c r="CK696" s="3"/>
      <c r="CL696" s="3"/>
      <c r="CM696" s="3"/>
      <c r="CN696" s="3"/>
    </row>
    <row r="697" spans="1:92" ht="14.4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53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80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161"/>
      <c r="BS697" s="161"/>
      <c r="BT697" s="161"/>
      <c r="BU697" s="162"/>
      <c r="BV697" s="163"/>
      <c r="BW697" s="163"/>
      <c r="BX697" s="163"/>
      <c r="BY697" s="163"/>
      <c r="BZ697" s="163"/>
      <c r="CA697" s="163"/>
      <c r="CB697" s="161"/>
      <c r="CC697" s="161"/>
      <c r="CD697" s="161"/>
      <c r="CE697" s="161"/>
      <c r="CF697" s="161"/>
      <c r="CG697" s="3"/>
      <c r="CH697" s="3"/>
      <c r="CI697" s="3"/>
      <c r="CJ697" s="3"/>
      <c r="CK697" s="3"/>
      <c r="CL697" s="3"/>
      <c r="CM697" s="3"/>
      <c r="CN697" s="3"/>
    </row>
    <row r="698" spans="1:92" ht="14.4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53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80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161"/>
      <c r="BS698" s="161"/>
      <c r="BT698" s="161"/>
      <c r="BU698" s="162"/>
      <c r="BV698" s="163"/>
      <c r="BW698" s="163"/>
      <c r="BX698" s="163"/>
      <c r="BY698" s="163"/>
      <c r="BZ698" s="163"/>
      <c r="CA698" s="163"/>
      <c r="CB698" s="161"/>
      <c r="CC698" s="161"/>
      <c r="CD698" s="161"/>
      <c r="CE698" s="161"/>
      <c r="CF698" s="161"/>
      <c r="CG698" s="3"/>
      <c r="CH698" s="3"/>
      <c r="CI698" s="3"/>
      <c r="CJ698" s="3"/>
      <c r="CK698" s="3"/>
      <c r="CL698" s="3"/>
      <c r="CM698" s="3"/>
      <c r="CN698" s="3"/>
    </row>
    <row r="699" spans="1:92" ht="14.4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53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80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161"/>
      <c r="BS699" s="161"/>
      <c r="BT699" s="161"/>
      <c r="BU699" s="162"/>
      <c r="BV699" s="163"/>
      <c r="BW699" s="163"/>
      <c r="BX699" s="163"/>
      <c r="BY699" s="163"/>
      <c r="BZ699" s="163"/>
      <c r="CA699" s="163"/>
      <c r="CB699" s="161"/>
      <c r="CC699" s="161"/>
      <c r="CD699" s="161"/>
      <c r="CE699" s="161"/>
      <c r="CF699" s="161"/>
      <c r="CG699" s="3"/>
      <c r="CH699" s="3"/>
      <c r="CI699" s="3"/>
      <c r="CJ699" s="3"/>
      <c r="CK699" s="3"/>
      <c r="CL699" s="3"/>
      <c r="CM699" s="3"/>
      <c r="CN699" s="3"/>
    </row>
    <row r="700" spans="1:92" ht="14.4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53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80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161"/>
      <c r="BS700" s="161"/>
      <c r="BT700" s="161"/>
      <c r="BU700" s="162"/>
      <c r="BV700" s="163"/>
      <c r="BW700" s="163"/>
      <c r="BX700" s="163"/>
      <c r="BY700" s="163"/>
      <c r="BZ700" s="163"/>
      <c r="CA700" s="163"/>
      <c r="CB700" s="161"/>
      <c r="CC700" s="161"/>
      <c r="CD700" s="161"/>
      <c r="CE700" s="161"/>
      <c r="CF700" s="161"/>
      <c r="CG700" s="3"/>
      <c r="CH700" s="3"/>
      <c r="CI700" s="3"/>
      <c r="CJ700" s="3"/>
      <c r="CK700" s="3"/>
      <c r="CL700" s="3"/>
      <c r="CM700" s="3"/>
      <c r="CN700" s="3"/>
    </row>
    <row r="701" spans="1:92" ht="14.4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53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80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161"/>
      <c r="BS701" s="161"/>
      <c r="BT701" s="161"/>
      <c r="BU701" s="162"/>
      <c r="BV701" s="163"/>
      <c r="BW701" s="163"/>
      <c r="BX701" s="163"/>
      <c r="BY701" s="163"/>
      <c r="BZ701" s="163"/>
      <c r="CA701" s="163"/>
      <c r="CB701" s="161"/>
      <c r="CC701" s="161"/>
      <c r="CD701" s="161"/>
      <c r="CE701" s="161"/>
      <c r="CF701" s="161"/>
      <c r="CG701" s="3"/>
      <c r="CH701" s="3"/>
      <c r="CI701" s="3"/>
      <c r="CJ701" s="3"/>
      <c r="CK701" s="3"/>
      <c r="CL701" s="3"/>
      <c r="CM701" s="3"/>
      <c r="CN701" s="3"/>
    </row>
    <row r="702" spans="1:92" ht="14.4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53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80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161"/>
      <c r="BS702" s="161"/>
      <c r="BT702" s="161"/>
      <c r="BU702" s="162"/>
      <c r="BV702" s="163"/>
      <c r="BW702" s="163"/>
      <c r="BX702" s="163"/>
      <c r="BY702" s="163"/>
      <c r="BZ702" s="163"/>
      <c r="CA702" s="163"/>
      <c r="CB702" s="161"/>
      <c r="CC702" s="161"/>
      <c r="CD702" s="161"/>
      <c r="CE702" s="161"/>
      <c r="CF702" s="161"/>
      <c r="CG702" s="3"/>
      <c r="CH702" s="3"/>
      <c r="CI702" s="3"/>
      <c r="CJ702" s="3"/>
      <c r="CK702" s="3"/>
      <c r="CL702" s="3"/>
      <c r="CM702" s="3"/>
      <c r="CN702" s="3"/>
    </row>
    <row r="703" spans="1:92" ht="14.4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53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80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161"/>
      <c r="BS703" s="161"/>
      <c r="BT703" s="161"/>
      <c r="BU703" s="162"/>
      <c r="BV703" s="163"/>
      <c r="BW703" s="163"/>
      <c r="BX703" s="163"/>
      <c r="BY703" s="163"/>
      <c r="BZ703" s="163"/>
      <c r="CA703" s="163"/>
      <c r="CB703" s="161"/>
      <c r="CC703" s="161"/>
      <c r="CD703" s="161"/>
      <c r="CE703" s="161"/>
      <c r="CF703" s="161"/>
      <c r="CG703" s="3"/>
      <c r="CH703" s="3"/>
      <c r="CI703" s="3"/>
      <c r="CJ703" s="3"/>
      <c r="CK703" s="3"/>
      <c r="CL703" s="3"/>
      <c r="CM703" s="3"/>
      <c r="CN703" s="3"/>
    </row>
    <row r="704" spans="1:92" ht="14.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53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80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161"/>
      <c r="BS704" s="161"/>
      <c r="BT704" s="161"/>
      <c r="BU704" s="162"/>
      <c r="BV704" s="163"/>
      <c r="BW704" s="163"/>
      <c r="BX704" s="163"/>
      <c r="BY704" s="163"/>
      <c r="BZ704" s="163"/>
      <c r="CA704" s="163"/>
      <c r="CB704" s="161"/>
      <c r="CC704" s="161"/>
      <c r="CD704" s="161"/>
      <c r="CE704" s="161"/>
      <c r="CF704" s="161"/>
      <c r="CG704" s="3"/>
      <c r="CH704" s="3"/>
      <c r="CI704" s="3"/>
      <c r="CJ704" s="3"/>
      <c r="CK704" s="3"/>
      <c r="CL704" s="3"/>
      <c r="CM704" s="3"/>
      <c r="CN704" s="3"/>
    </row>
    <row r="705" spans="1:92" ht="14.4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53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80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161"/>
      <c r="BS705" s="161"/>
      <c r="BT705" s="161"/>
      <c r="BU705" s="162"/>
      <c r="BV705" s="163"/>
      <c r="BW705" s="163"/>
      <c r="BX705" s="163"/>
      <c r="BY705" s="163"/>
      <c r="BZ705" s="163"/>
      <c r="CA705" s="163"/>
      <c r="CB705" s="161"/>
      <c r="CC705" s="161"/>
      <c r="CD705" s="161"/>
      <c r="CE705" s="161"/>
      <c r="CF705" s="161"/>
      <c r="CG705" s="3"/>
      <c r="CH705" s="3"/>
      <c r="CI705" s="3"/>
      <c r="CJ705" s="3"/>
      <c r="CK705" s="3"/>
      <c r="CL705" s="3"/>
      <c r="CM705" s="3"/>
      <c r="CN705" s="3"/>
    </row>
    <row r="706" spans="1:92" ht="14.4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53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80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161"/>
      <c r="BS706" s="161"/>
      <c r="BT706" s="161"/>
      <c r="BU706" s="162"/>
      <c r="BV706" s="163"/>
      <c r="BW706" s="163"/>
      <c r="BX706" s="163"/>
      <c r="BY706" s="163"/>
      <c r="BZ706" s="163"/>
      <c r="CA706" s="163"/>
      <c r="CB706" s="161"/>
      <c r="CC706" s="161"/>
      <c r="CD706" s="161"/>
      <c r="CE706" s="161"/>
      <c r="CF706" s="161"/>
      <c r="CG706" s="3"/>
      <c r="CH706" s="3"/>
      <c r="CI706" s="3"/>
      <c r="CJ706" s="3"/>
      <c r="CK706" s="3"/>
      <c r="CL706" s="3"/>
      <c r="CM706" s="3"/>
      <c r="CN706" s="3"/>
    </row>
    <row r="707" spans="1:92" ht="14.4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53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80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161"/>
      <c r="BS707" s="161"/>
      <c r="BT707" s="161"/>
      <c r="BU707" s="162"/>
      <c r="BV707" s="163"/>
      <c r="BW707" s="163"/>
      <c r="BX707" s="163"/>
      <c r="BY707" s="163"/>
      <c r="BZ707" s="163"/>
      <c r="CA707" s="163"/>
      <c r="CB707" s="161"/>
      <c r="CC707" s="161"/>
      <c r="CD707" s="161"/>
      <c r="CE707" s="161"/>
      <c r="CF707" s="161"/>
      <c r="CG707" s="3"/>
      <c r="CH707" s="3"/>
      <c r="CI707" s="3"/>
      <c r="CJ707" s="3"/>
      <c r="CK707" s="3"/>
      <c r="CL707" s="3"/>
      <c r="CM707" s="3"/>
      <c r="CN707" s="3"/>
    </row>
    <row r="708" spans="1:92" ht="14.4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53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80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161"/>
      <c r="BS708" s="161"/>
      <c r="BT708" s="161"/>
      <c r="BU708" s="162"/>
      <c r="BV708" s="163"/>
      <c r="BW708" s="163"/>
      <c r="BX708" s="163"/>
      <c r="BY708" s="163"/>
      <c r="BZ708" s="163"/>
      <c r="CA708" s="163"/>
      <c r="CB708" s="161"/>
      <c r="CC708" s="161"/>
      <c r="CD708" s="161"/>
      <c r="CE708" s="161"/>
      <c r="CF708" s="161"/>
      <c r="CG708" s="3"/>
      <c r="CH708" s="3"/>
      <c r="CI708" s="3"/>
      <c r="CJ708" s="3"/>
      <c r="CK708" s="3"/>
      <c r="CL708" s="3"/>
      <c r="CM708" s="3"/>
      <c r="CN708" s="3"/>
    </row>
    <row r="709" spans="1:92" ht="14.4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53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80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161"/>
      <c r="BS709" s="161"/>
      <c r="BT709" s="161"/>
      <c r="BU709" s="162"/>
      <c r="BV709" s="163"/>
      <c r="BW709" s="163"/>
      <c r="BX709" s="163"/>
      <c r="BY709" s="163"/>
      <c r="BZ709" s="163"/>
      <c r="CA709" s="163"/>
      <c r="CB709" s="161"/>
      <c r="CC709" s="161"/>
      <c r="CD709" s="161"/>
      <c r="CE709" s="161"/>
      <c r="CF709" s="161"/>
      <c r="CG709" s="3"/>
      <c r="CH709" s="3"/>
      <c r="CI709" s="3"/>
      <c r="CJ709" s="3"/>
      <c r="CK709" s="3"/>
      <c r="CL709" s="3"/>
      <c r="CM709" s="3"/>
      <c r="CN709" s="3"/>
    </row>
    <row r="710" spans="1:92" ht="14.4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53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80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161"/>
      <c r="BS710" s="161"/>
      <c r="BT710" s="161"/>
      <c r="BU710" s="162"/>
      <c r="BV710" s="163"/>
      <c r="BW710" s="163"/>
      <c r="BX710" s="163"/>
      <c r="BY710" s="163"/>
      <c r="BZ710" s="163"/>
      <c r="CA710" s="163"/>
      <c r="CB710" s="161"/>
      <c r="CC710" s="161"/>
      <c r="CD710" s="161"/>
      <c r="CE710" s="161"/>
      <c r="CF710" s="161"/>
      <c r="CG710" s="3"/>
      <c r="CH710" s="3"/>
      <c r="CI710" s="3"/>
      <c r="CJ710" s="3"/>
      <c r="CK710" s="3"/>
      <c r="CL710" s="3"/>
      <c r="CM710" s="3"/>
      <c r="CN710" s="3"/>
    </row>
    <row r="711" spans="1:92" ht="14.4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53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80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161"/>
      <c r="BS711" s="161"/>
      <c r="BT711" s="161"/>
      <c r="BU711" s="162"/>
      <c r="BV711" s="163"/>
      <c r="BW711" s="163"/>
      <c r="BX711" s="163"/>
      <c r="BY711" s="163"/>
      <c r="BZ711" s="163"/>
      <c r="CA711" s="163"/>
      <c r="CB711" s="161"/>
      <c r="CC711" s="161"/>
      <c r="CD711" s="161"/>
      <c r="CE711" s="161"/>
      <c r="CF711" s="161"/>
      <c r="CG711" s="3"/>
      <c r="CH711" s="3"/>
      <c r="CI711" s="3"/>
      <c r="CJ711" s="3"/>
      <c r="CK711" s="3"/>
      <c r="CL711" s="3"/>
      <c r="CM711" s="3"/>
      <c r="CN711" s="3"/>
    </row>
    <row r="712" spans="1:92" ht="14.4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53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80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161"/>
      <c r="BS712" s="161"/>
      <c r="BT712" s="161"/>
      <c r="BU712" s="162"/>
      <c r="BV712" s="163"/>
      <c r="BW712" s="163"/>
      <c r="BX712" s="163"/>
      <c r="BY712" s="163"/>
      <c r="BZ712" s="163"/>
      <c r="CA712" s="163"/>
      <c r="CB712" s="161"/>
      <c r="CC712" s="161"/>
      <c r="CD712" s="161"/>
      <c r="CE712" s="161"/>
      <c r="CF712" s="161"/>
      <c r="CG712" s="3"/>
      <c r="CH712" s="3"/>
      <c r="CI712" s="3"/>
      <c r="CJ712" s="3"/>
      <c r="CK712" s="3"/>
      <c r="CL712" s="3"/>
      <c r="CM712" s="3"/>
      <c r="CN712" s="3"/>
    </row>
    <row r="713" spans="1:92" ht="14.4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53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80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161"/>
      <c r="BS713" s="161"/>
      <c r="BT713" s="161"/>
      <c r="BU713" s="162"/>
      <c r="BV713" s="163"/>
      <c r="BW713" s="163"/>
      <c r="BX713" s="163"/>
      <c r="BY713" s="163"/>
      <c r="BZ713" s="163"/>
      <c r="CA713" s="163"/>
      <c r="CB713" s="161"/>
      <c r="CC713" s="161"/>
      <c r="CD713" s="161"/>
      <c r="CE713" s="161"/>
      <c r="CF713" s="161"/>
      <c r="CG713" s="3"/>
      <c r="CH713" s="3"/>
      <c r="CI713" s="3"/>
      <c r="CJ713" s="3"/>
      <c r="CK713" s="3"/>
      <c r="CL713" s="3"/>
      <c r="CM713" s="3"/>
      <c r="CN713" s="3"/>
    </row>
    <row r="714" spans="1:92" ht="14.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53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80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161"/>
      <c r="BS714" s="161"/>
      <c r="BT714" s="161"/>
      <c r="BU714" s="162"/>
      <c r="BV714" s="163"/>
      <c r="BW714" s="163"/>
      <c r="BX714" s="163"/>
      <c r="BY714" s="163"/>
      <c r="BZ714" s="163"/>
      <c r="CA714" s="163"/>
      <c r="CB714" s="161"/>
      <c r="CC714" s="161"/>
      <c r="CD714" s="161"/>
      <c r="CE714" s="161"/>
      <c r="CF714" s="161"/>
      <c r="CG714" s="3"/>
      <c r="CH714" s="3"/>
      <c r="CI714" s="3"/>
      <c r="CJ714" s="3"/>
      <c r="CK714" s="3"/>
      <c r="CL714" s="3"/>
      <c r="CM714" s="3"/>
      <c r="CN714" s="3"/>
    </row>
    <row r="715" spans="1:92" ht="14.4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53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80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161"/>
      <c r="BS715" s="161"/>
      <c r="BT715" s="161"/>
      <c r="BU715" s="162"/>
      <c r="BV715" s="163"/>
      <c r="BW715" s="163"/>
      <c r="BX715" s="163"/>
      <c r="BY715" s="163"/>
      <c r="BZ715" s="163"/>
      <c r="CA715" s="163"/>
      <c r="CB715" s="161"/>
      <c r="CC715" s="161"/>
      <c r="CD715" s="161"/>
      <c r="CE715" s="161"/>
      <c r="CF715" s="161"/>
      <c r="CG715" s="3"/>
      <c r="CH715" s="3"/>
      <c r="CI715" s="3"/>
      <c r="CJ715" s="3"/>
      <c r="CK715" s="3"/>
      <c r="CL715" s="3"/>
      <c r="CM715" s="3"/>
      <c r="CN715" s="3"/>
    </row>
    <row r="716" spans="1:92" ht="14.4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53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80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161"/>
      <c r="BS716" s="161"/>
      <c r="BT716" s="161"/>
      <c r="BU716" s="162"/>
      <c r="BV716" s="163"/>
      <c r="BW716" s="163"/>
      <c r="BX716" s="163"/>
      <c r="BY716" s="163"/>
      <c r="BZ716" s="163"/>
      <c r="CA716" s="163"/>
      <c r="CB716" s="161"/>
      <c r="CC716" s="161"/>
      <c r="CD716" s="161"/>
      <c r="CE716" s="161"/>
      <c r="CF716" s="161"/>
      <c r="CG716" s="3"/>
      <c r="CH716" s="3"/>
      <c r="CI716" s="3"/>
      <c r="CJ716" s="3"/>
      <c r="CK716" s="3"/>
      <c r="CL716" s="3"/>
      <c r="CM716" s="3"/>
      <c r="CN716" s="3"/>
    </row>
    <row r="717" spans="1:92" ht="14.4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53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80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161"/>
      <c r="BS717" s="161"/>
      <c r="BT717" s="161"/>
      <c r="BU717" s="162"/>
      <c r="BV717" s="163"/>
      <c r="BW717" s="163"/>
      <c r="BX717" s="163"/>
      <c r="BY717" s="163"/>
      <c r="BZ717" s="163"/>
      <c r="CA717" s="163"/>
      <c r="CB717" s="161"/>
      <c r="CC717" s="161"/>
      <c r="CD717" s="161"/>
      <c r="CE717" s="161"/>
      <c r="CF717" s="161"/>
      <c r="CG717" s="3"/>
      <c r="CH717" s="3"/>
      <c r="CI717" s="3"/>
      <c r="CJ717" s="3"/>
      <c r="CK717" s="3"/>
      <c r="CL717" s="3"/>
      <c r="CM717" s="3"/>
      <c r="CN717" s="3"/>
    </row>
    <row r="718" spans="1:92" ht="14.4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53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80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161"/>
      <c r="BS718" s="161"/>
      <c r="BT718" s="161"/>
      <c r="BU718" s="162"/>
      <c r="BV718" s="163"/>
      <c r="BW718" s="163"/>
      <c r="BX718" s="163"/>
      <c r="BY718" s="163"/>
      <c r="BZ718" s="163"/>
      <c r="CA718" s="163"/>
      <c r="CB718" s="161"/>
      <c r="CC718" s="161"/>
      <c r="CD718" s="161"/>
      <c r="CE718" s="161"/>
      <c r="CF718" s="161"/>
      <c r="CG718" s="3"/>
      <c r="CH718" s="3"/>
      <c r="CI718" s="3"/>
      <c r="CJ718" s="3"/>
      <c r="CK718" s="3"/>
      <c r="CL718" s="3"/>
      <c r="CM718" s="3"/>
      <c r="CN718" s="3"/>
    </row>
    <row r="719" spans="1:92" ht="14.4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53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80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161"/>
      <c r="BS719" s="161"/>
      <c r="BT719" s="161"/>
      <c r="BU719" s="162"/>
      <c r="BV719" s="163"/>
      <c r="BW719" s="163"/>
      <c r="BX719" s="163"/>
      <c r="BY719" s="163"/>
      <c r="BZ719" s="163"/>
      <c r="CA719" s="163"/>
      <c r="CB719" s="161"/>
      <c r="CC719" s="161"/>
      <c r="CD719" s="161"/>
      <c r="CE719" s="161"/>
      <c r="CF719" s="161"/>
      <c r="CG719" s="3"/>
      <c r="CH719" s="3"/>
      <c r="CI719" s="3"/>
      <c r="CJ719" s="3"/>
      <c r="CK719" s="3"/>
      <c r="CL719" s="3"/>
      <c r="CM719" s="3"/>
      <c r="CN719" s="3"/>
    </row>
    <row r="720" spans="1:92" ht="14.4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53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80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161"/>
      <c r="BS720" s="161"/>
      <c r="BT720" s="161"/>
      <c r="BU720" s="162"/>
      <c r="BV720" s="163"/>
      <c r="BW720" s="163"/>
      <c r="BX720" s="163"/>
      <c r="BY720" s="163"/>
      <c r="BZ720" s="163"/>
      <c r="CA720" s="163"/>
      <c r="CB720" s="161"/>
      <c r="CC720" s="161"/>
      <c r="CD720" s="161"/>
      <c r="CE720" s="161"/>
      <c r="CF720" s="161"/>
      <c r="CG720" s="3"/>
      <c r="CH720" s="3"/>
      <c r="CI720" s="3"/>
      <c r="CJ720" s="3"/>
      <c r="CK720" s="3"/>
      <c r="CL720" s="3"/>
      <c r="CM720" s="3"/>
      <c r="CN720" s="3"/>
    </row>
    <row r="721" spans="1:92" ht="14.4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53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80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161"/>
      <c r="BS721" s="161"/>
      <c r="BT721" s="161"/>
      <c r="BU721" s="162"/>
      <c r="BV721" s="163"/>
      <c r="BW721" s="163"/>
      <c r="BX721" s="163"/>
      <c r="BY721" s="163"/>
      <c r="BZ721" s="163"/>
      <c r="CA721" s="163"/>
      <c r="CB721" s="161"/>
      <c r="CC721" s="161"/>
      <c r="CD721" s="161"/>
      <c r="CE721" s="161"/>
      <c r="CF721" s="161"/>
      <c r="CG721" s="3"/>
      <c r="CH721" s="3"/>
      <c r="CI721" s="3"/>
      <c r="CJ721" s="3"/>
      <c r="CK721" s="3"/>
      <c r="CL721" s="3"/>
      <c r="CM721" s="3"/>
      <c r="CN721" s="3"/>
    </row>
    <row r="722" spans="1:92" ht="14.4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53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80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161"/>
      <c r="BS722" s="161"/>
      <c r="BT722" s="161"/>
      <c r="BU722" s="162"/>
      <c r="BV722" s="163"/>
      <c r="BW722" s="163"/>
      <c r="BX722" s="163"/>
      <c r="BY722" s="163"/>
      <c r="BZ722" s="163"/>
      <c r="CA722" s="163"/>
      <c r="CB722" s="161"/>
      <c r="CC722" s="161"/>
      <c r="CD722" s="161"/>
      <c r="CE722" s="161"/>
      <c r="CF722" s="161"/>
      <c r="CG722" s="3"/>
      <c r="CH722" s="3"/>
      <c r="CI722" s="3"/>
      <c r="CJ722" s="3"/>
      <c r="CK722" s="3"/>
      <c r="CL722" s="3"/>
      <c r="CM722" s="3"/>
      <c r="CN722" s="3"/>
    </row>
    <row r="723" spans="1:92" ht="14.4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53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80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161"/>
      <c r="BS723" s="161"/>
      <c r="BT723" s="161"/>
      <c r="BU723" s="162"/>
      <c r="BV723" s="163"/>
      <c r="BW723" s="163"/>
      <c r="BX723" s="163"/>
      <c r="BY723" s="163"/>
      <c r="BZ723" s="163"/>
      <c r="CA723" s="163"/>
      <c r="CB723" s="161"/>
      <c r="CC723" s="161"/>
      <c r="CD723" s="161"/>
      <c r="CE723" s="161"/>
      <c r="CF723" s="161"/>
      <c r="CG723" s="3"/>
      <c r="CH723" s="3"/>
      <c r="CI723" s="3"/>
      <c r="CJ723" s="3"/>
      <c r="CK723" s="3"/>
      <c r="CL723" s="3"/>
      <c r="CM723" s="3"/>
      <c r="CN723" s="3"/>
    </row>
    <row r="724" spans="1:92" ht="14.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53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80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161"/>
      <c r="BS724" s="161"/>
      <c r="BT724" s="161"/>
      <c r="BU724" s="162"/>
      <c r="BV724" s="163"/>
      <c r="BW724" s="163"/>
      <c r="BX724" s="163"/>
      <c r="BY724" s="163"/>
      <c r="BZ724" s="163"/>
      <c r="CA724" s="163"/>
      <c r="CB724" s="161"/>
      <c r="CC724" s="161"/>
      <c r="CD724" s="161"/>
      <c r="CE724" s="161"/>
      <c r="CF724" s="161"/>
      <c r="CG724" s="3"/>
      <c r="CH724" s="3"/>
      <c r="CI724" s="3"/>
      <c r="CJ724" s="3"/>
      <c r="CK724" s="3"/>
      <c r="CL724" s="3"/>
      <c r="CM724" s="3"/>
      <c r="CN724" s="3"/>
    </row>
    <row r="725" spans="1:92" ht="14.4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53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80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161"/>
      <c r="BS725" s="161"/>
      <c r="BT725" s="161"/>
      <c r="BU725" s="162"/>
      <c r="BV725" s="163"/>
      <c r="BW725" s="163"/>
      <c r="BX725" s="163"/>
      <c r="BY725" s="163"/>
      <c r="BZ725" s="163"/>
      <c r="CA725" s="163"/>
      <c r="CB725" s="161"/>
      <c r="CC725" s="161"/>
      <c r="CD725" s="161"/>
      <c r="CE725" s="161"/>
      <c r="CF725" s="161"/>
      <c r="CG725" s="3"/>
      <c r="CH725" s="3"/>
      <c r="CI725" s="3"/>
      <c r="CJ725" s="3"/>
      <c r="CK725" s="3"/>
      <c r="CL725" s="3"/>
      <c r="CM725" s="3"/>
      <c r="CN725" s="3"/>
    </row>
    <row r="726" spans="1:92" ht="14.4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53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80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161"/>
      <c r="BS726" s="161"/>
      <c r="BT726" s="161"/>
      <c r="BU726" s="162"/>
      <c r="BV726" s="163"/>
      <c r="BW726" s="163"/>
      <c r="BX726" s="163"/>
      <c r="BY726" s="163"/>
      <c r="BZ726" s="163"/>
      <c r="CA726" s="163"/>
      <c r="CB726" s="161"/>
      <c r="CC726" s="161"/>
      <c r="CD726" s="161"/>
      <c r="CE726" s="161"/>
      <c r="CF726" s="161"/>
      <c r="CG726" s="3"/>
      <c r="CH726" s="3"/>
      <c r="CI726" s="3"/>
      <c r="CJ726" s="3"/>
      <c r="CK726" s="3"/>
      <c r="CL726" s="3"/>
      <c r="CM726" s="3"/>
      <c r="CN726" s="3"/>
    </row>
    <row r="727" spans="1:92" ht="14.4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53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80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161"/>
      <c r="BS727" s="161"/>
      <c r="BT727" s="161"/>
      <c r="BU727" s="162"/>
      <c r="BV727" s="163"/>
      <c r="BW727" s="163"/>
      <c r="BX727" s="163"/>
      <c r="BY727" s="163"/>
      <c r="BZ727" s="163"/>
      <c r="CA727" s="163"/>
      <c r="CB727" s="161"/>
      <c r="CC727" s="161"/>
      <c r="CD727" s="161"/>
      <c r="CE727" s="161"/>
      <c r="CF727" s="161"/>
      <c r="CG727" s="3"/>
      <c r="CH727" s="3"/>
      <c r="CI727" s="3"/>
      <c r="CJ727" s="3"/>
      <c r="CK727" s="3"/>
      <c r="CL727" s="3"/>
      <c r="CM727" s="3"/>
      <c r="CN727" s="3"/>
    </row>
    <row r="728" spans="1:92" ht="14.4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53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80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161"/>
      <c r="BS728" s="161"/>
      <c r="BT728" s="161"/>
      <c r="BU728" s="162"/>
      <c r="BV728" s="163"/>
      <c r="BW728" s="163"/>
      <c r="BX728" s="163"/>
      <c r="BY728" s="163"/>
      <c r="BZ728" s="163"/>
      <c r="CA728" s="163"/>
      <c r="CB728" s="161"/>
      <c r="CC728" s="161"/>
      <c r="CD728" s="161"/>
      <c r="CE728" s="161"/>
      <c r="CF728" s="161"/>
      <c r="CG728" s="3"/>
      <c r="CH728" s="3"/>
      <c r="CI728" s="3"/>
      <c r="CJ728" s="3"/>
      <c r="CK728" s="3"/>
      <c r="CL728" s="3"/>
      <c r="CM728" s="3"/>
      <c r="CN728" s="3"/>
    </row>
    <row r="729" spans="1:92" ht="14.4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53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80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161"/>
      <c r="BS729" s="161"/>
      <c r="BT729" s="161"/>
      <c r="BU729" s="162"/>
      <c r="BV729" s="163"/>
      <c r="BW729" s="163"/>
      <c r="BX729" s="163"/>
      <c r="BY729" s="163"/>
      <c r="BZ729" s="163"/>
      <c r="CA729" s="163"/>
      <c r="CB729" s="161"/>
      <c r="CC729" s="161"/>
      <c r="CD729" s="161"/>
      <c r="CE729" s="161"/>
      <c r="CF729" s="161"/>
      <c r="CG729" s="3"/>
      <c r="CH729" s="3"/>
      <c r="CI729" s="3"/>
      <c r="CJ729" s="3"/>
      <c r="CK729" s="3"/>
      <c r="CL729" s="3"/>
      <c r="CM729" s="3"/>
      <c r="CN729" s="3"/>
    </row>
    <row r="730" spans="1:92" ht="14.4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53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80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161"/>
      <c r="BS730" s="161"/>
      <c r="BT730" s="161"/>
      <c r="BU730" s="162"/>
      <c r="BV730" s="163"/>
      <c r="BW730" s="163"/>
      <c r="BX730" s="163"/>
      <c r="BY730" s="163"/>
      <c r="BZ730" s="163"/>
      <c r="CA730" s="163"/>
      <c r="CB730" s="161"/>
      <c r="CC730" s="161"/>
      <c r="CD730" s="161"/>
      <c r="CE730" s="161"/>
      <c r="CF730" s="161"/>
      <c r="CG730" s="3"/>
      <c r="CH730" s="3"/>
      <c r="CI730" s="3"/>
      <c r="CJ730" s="3"/>
      <c r="CK730" s="3"/>
      <c r="CL730" s="3"/>
      <c r="CM730" s="3"/>
      <c r="CN730" s="3"/>
    </row>
    <row r="731" spans="1:92" ht="14.4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53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80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161"/>
      <c r="BS731" s="161"/>
      <c r="BT731" s="161"/>
      <c r="BU731" s="162"/>
      <c r="BV731" s="163"/>
      <c r="BW731" s="163"/>
      <c r="BX731" s="163"/>
      <c r="BY731" s="163"/>
      <c r="BZ731" s="163"/>
      <c r="CA731" s="163"/>
      <c r="CB731" s="161"/>
      <c r="CC731" s="161"/>
      <c r="CD731" s="161"/>
      <c r="CE731" s="161"/>
      <c r="CF731" s="161"/>
      <c r="CG731" s="3"/>
      <c r="CH731" s="3"/>
      <c r="CI731" s="3"/>
      <c r="CJ731" s="3"/>
      <c r="CK731" s="3"/>
      <c r="CL731" s="3"/>
      <c r="CM731" s="3"/>
      <c r="CN731" s="3"/>
    </row>
    <row r="732" spans="1:92" ht="14.4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53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80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161"/>
      <c r="BS732" s="161"/>
      <c r="BT732" s="161"/>
      <c r="BU732" s="162"/>
      <c r="BV732" s="163"/>
      <c r="BW732" s="163"/>
      <c r="BX732" s="163"/>
      <c r="BY732" s="163"/>
      <c r="BZ732" s="163"/>
      <c r="CA732" s="163"/>
      <c r="CB732" s="161"/>
      <c r="CC732" s="161"/>
      <c r="CD732" s="161"/>
      <c r="CE732" s="161"/>
      <c r="CF732" s="161"/>
      <c r="CG732" s="3"/>
      <c r="CH732" s="3"/>
      <c r="CI732" s="3"/>
      <c r="CJ732" s="3"/>
      <c r="CK732" s="3"/>
      <c r="CL732" s="3"/>
      <c r="CM732" s="3"/>
      <c r="CN732" s="3"/>
    </row>
    <row r="733" spans="1:92" ht="14.4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53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80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161"/>
      <c r="BS733" s="161"/>
      <c r="BT733" s="161"/>
      <c r="BU733" s="162"/>
      <c r="BV733" s="163"/>
      <c r="BW733" s="163"/>
      <c r="BX733" s="163"/>
      <c r="BY733" s="163"/>
      <c r="BZ733" s="163"/>
      <c r="CA733" s="163"/>
      <c r="CB733" s="161"/>
      <c r="CC733" s="161"/>
      <c r="CD733" s="161"/>
      <c r="CE733" s="161"/>
      <c r="CF733" s="161"/>
      <c r="CG733" s="3"/>
      <c r="CH733" s="3"/>
      <c r="CI733" s="3"/>
      <c r="CJ733" s="3"/>
      <c r="CK733" s="3"/>
      <c r="CL733" s="3"/>
      <c r="CM733" s="3"/>
      <c r="CN733" s="3"/>
    </row>
    <row r="734" spans="1:92" ht="14.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53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80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161"/>
      <c r="BS734" s="161"/>
      <c r="BT734" s="161"/>
      <c r="BU734" s="162"/>
      <c r="BV734" s="163"/>
      <c r="BW734" s="163"/>
      <c r="BX734" s="163"/>
      <c r="BY734" s="163"/>
      <c r="BZ734" s="163"/>
      <c r="CA734" s="163"/>
      <c r="CB734" s="161"/>
      <c r="CC734" s="161"/>
      <c r="CD734" s="161"/>
      <c r="CE734" s="161"/>
      <c r="CF734" s="161"/>
      <c r="CG734" s="3"/>
      <c r="CH734" s="3"/>
      <c r="CI734" s="3"/>
      <c r="CJ734" s="3"/>
      <c r="CK734" s="3"/>
      <c r="CL734" s="3"/>
      <c r="CM734" s="3"/>
      <c r="CN734" s="3"/>
    </row>
    <row r="735" spans="1:92" ht="14.4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53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80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161"/>
      <c r="BS735" s="161"/>
      <c r="BT735" s="161"/>
      <c r="BU735" s="162"/>
      <c r="BV735" s="163"/>
      <c r="BW735" s="163"/>
      <c r="BX735" s="163"/>
      <c r="BY735" s="163"/>
      <c r="BZ735" s="163"/>
      <c r="CA735" s="163"/>
      <c r="CB735" s="161"/>
      <c r="CC735" s="161"/>
      <c r="CD735" s="161"/>
      <c r="CE735" s="161"/>
      <c r="CF735" s="161"/>
      <c r="CG735" s="3"/>
      <c r="CH735" s="3"/>
      <c r="CI735" s="3"/>
      <c r="CJ735" s="3"/>
      <c r="CK735" s="3"/>
      <c r="CL735" s="3"/>
      <c r="CM735" s="3"/>
      <c r="CN735" s="3"/>
    </row>
    <row r="736" spans="1:92" ht="14.4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53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80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161"/>
      <c r="BS736" s="161"/>
      <c r="BT736" s="161"/>
      <c r="BU736" s="162"/>
      <c r="BV736" s="163"/>
      <c r="BW736" s="163"/>
      <c r="BX736" s="163"/>
      <c r="BY736" s="163"/>
      <c r="BZ736" s="163"/>
      <c r="CA736" s="163"/>
      <c r="CB736" s="161"/>
      <c r="CC736" s="161"/>
      <c r="CD736" s="161"/>
      <c r="CE736" s="161"/>
      <c r="CF736" s="161"/>
      <c r="CG736" s="3"/>
      <c r="CH736" s="3"/>
      <c r="CI736" s="3"/>
      <c r="CJ736" s="3"/>
      <c r="CK736" s="3"/>
      <c r="CL736" s="3"/>
      <c r="CM736" s="3"/>
      <c r="CN736" s="3"/>
    </row>
    <row r="737" spans="1:92" ht="14.4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53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80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161"/>
      <c r="BS737" s="161"/>
      <c r="BT737" s="161"/>
      <c r="BU737" s="162"/>
      <c r="BV737" s="163"/>
      <c r="BW737" s="163"/>
      <c r="BX737" s="163"/>
      <c r="BY737" s="163"/>
      <c r="BZ737" s="163"/>
      <c r="CA737" s="163"/>
      <c r="CB737" s="161"/>
      <c r="CC737" s="161"/>
      <c r="CD737" s="161"/>
      <c r="CE737" s="161"/>
      <c r="CF737" s="161"/>
      <c r="CG737" s="3"/>
      <c r="CH737" s="3"/>
      <c r="CI737" s="3"/>
      <c r="CJ737" s="3"/>
      <c r="CK737" s="3"/>
      <c r="CL737" s="3"/>
      <c r="CM737" s="3"/>
      <c r="CN737" s="3"/>
    </row>
    <row r="738" spans="1:92" ht="14.4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53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80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161"/>
      <c r="BS738" s="161"/>
      <c r="BT738" s="161"/>
      <c r="BU738" s="162"/>
      <c r="BV738" s="163"/>
      <c r="BW738" s="163"/>
      <c r="BX738" s="163"/>
      <c r="BY738" s="163"/>
      <c r="BZ738" s="163"/>
      <c r="CA738" s="163"/>
      <c r="CB738" s="161"/>
      <c r="CC738" s="161"/>
      <c r="CD738" s="161"/>
      <c r="CE738" s="161"/>
      <c r="CF738" s="161"/>
      <c r="CG738" s="3"/>
      <c r="CH738" s="3"/>
      <c r="CI738" s="3"/>
      <c r="CJ738" s="3"/>
      <c r="CK738" s="3"/>
      <c r="CL738" s="3"/>
      <c r="CM738" s="3"/>
      <c r="CN738" s="3"/>
    </row>
    <row r="739" spans="1:92" ht="14.4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53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80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161"/>
      <c r="BS739" s="161"/>
      <c r="BT739" s="161"/>
      <c r="BU739" s="162"/>
      <c r="BV739" s="163"/>
      <c r="BW739" s="163"/>
      <c r="BX739" s="163"/>
      <c r="BY739" s="163"/>
      <c r="BZ739" s="163"/>
      <c r="CA739" s="163"/>
      <c r="CB739" s="161"/>
      <c r="CC739" s="161"/>
      <c r="CD739" s="161"/>
      <c r="CE739" s="161"/>
      <c r="CF739" s="161"/>
      <c r="CG739" s="3"/>
      <c r="CH739" s="3"/>
      <c r="CI739" s="3"/>
      <c r="CJ739" s="3"/>
      <c r="CK739" s="3"/>
      <c r="CL739" s="3"/>
      <c r="CM739" s="3"/>
      <c r="CN739" s="3"/>
    </row>
    <row r="740" spans="1:92" ht="14.4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53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80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161"/>
      <c r="BS740" s="161"/>
      <c r="BT740" s="161"/>
      <c r="BU740" s="162"/>
      <c r="BV740" s="163"/>
      <c r="BW740" s="163"/>
      <c r="BX740" s="163"/>
      <c r="BY740" s="163"/>
      <c r="BZ740" s="163"/>
      <c r="CA740" s="163"/>
      <c r="CB740" s="161"/>
      <c r="CC740" s="161"/>
      <c r="CD740" s="161"/>
      <c r="CE740" s="161"/>
      <c r="CF740" s="161"/>
      <c r="CG740" s="3"/>
      <c r="CH740" s="3"/>
      <c r="CI740" s="3"/>
      <c r="CJ740" s="3"/>
      <c r="CK740" s="3"/>
      <c r="CL740" s="3"/>
      <c r="CM740" s="3"/>
      <c r="CN740" s="3"/>
    </row>
    <row r="741" spans="1:92" ht="14.4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53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80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161"/>
      <c r="BS741" s="161"/>
      <c r="BT741" s="161"/>
      <c r="BU741" s="162"/>
      <c r="BV741" s="163"/>
      <c r="BW741" s="163"/>
      <c r="BX741" s="163"/>
      <c r="BY741" s="163"/>
      <c r="BZ741" s="163"/>
      <c r="CA741" s="163"/>
      <c r="CB741" s="161"/>
      <c r="CC741" s="161"/>
      <c r="CD741" s="161"/>
      <c r="CE741" s="161"/>
      <c r="CF741" s="161"/>
      <c r="CG741" s="3"/>
      <c r="CH741" s="3"/>
      <c r="CI741" s="3"/>
      <c r="CJ741" s="3"/>
      <c r="CK741" s="3"/>
      <c r="CL741" s="3"/>
      <c r="CM741" s="3"/>
      <c r="CN741" s="3"/>
    </row>
    <row r="742" spans="1:92" ht="14.4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53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80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161"/>
      <c r="BS742" s="161"/>
      <c r="BT742" s="161"/>
      <c r="BU742" s="162"/>
      <c r="BV742" s="163"/>
      <c r="BW742" s="163"/>
      <c r="BX742" s="163"/>
      <c r="BY742" s="163"/>
      <c r="BZ742" s="163"/>
      <c r="CA742" s="163"/>
      <c r="CB742" s="161"/>
      <c r="CC742" s="161"/>
      <c r="CD742" s="161"/>
      <c r="CE742" s="161"/>
      <c r="CF742" s="161"/>
      <c r="CG742" s="3"/>
      <c r="CH742" s="3"/>
      <c r="CI742" s="3"/>
      <c r="CJ742" s="3"/>
      <c r="CK742" s="3"/>
      <c r="CL742" s="3"/>
      <c r="CM742" s="3"/>
      <c r="CN742" s="3"/>
    </row>
    <row r="743" spans="1:92" ht="14.4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53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80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161"/>
      <c r="BS743" s="161"/>
      <c r="BT743" s="161"/>
      <c r="BU743" s="162"/>
      <c r="BV743" s="163"/>
      <c r="BW743" s="163"/>
      <c r="BX743" s="163"/>
      <c r="BY743" s="163"/>
      <c r="BZ743" s="163"/>
      <c r="CA743" s="163"/>
      <c r="CB743" s="161"/>
      <c r="CC743" s="161"/>
      <c r="CD743" s="161"/>
      <c r="CE743" s="161"/>
      <c r="CF743" s="161"/>
      <c r="CG743" s="3"/>
      <c r="CH743" s="3"/>
      <c r="CI743" s="3"/>
      <c r="CJ743" s="3"/>
      <c r="CK743" s="3"/>
      <c r="CL743" s="3"/>
      <c r="CM743" s="3"/>
      <c r="CN743" s="3"/>
    </row>
    <row r="744" spans="1:92" ht="14.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53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80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161"/>
      <c r="BS744" s="161"/>
      <c r="BT744" s="161"/>
      <c r="BU744" s="162"/>
      <c r="BV744" s="163"/>
      <c r="BW744" s="163"/>
      <c r="BX744" s="163"/>
      <c r="BY744" s="163"/>
      <c r="BZ744" s="163"/>
      <c r="CA744" s="163"/>
      <c r="CB744" s="161"/>
      <c r="CC744" s="161"/>
      <c r="CD744" s="161"/>
      <c r="CE744" s="161"/>
      <c r="CF744" s="161"/>
      <c r="CG744" s="3"/>
      <c r="CH744" s="3"/>
      <c r="CI744" s="3"/>
      <c r="CJ744" s="3"/>
      <c r="CK744" s="3"/>
      <c r="CL744" s="3"/>
      <c r="CM744" s="3"/>
      <c r="CN744" s="3"/>
    </row>
    <row r="745" spans="1:92" ht="14.4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53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80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161"/>
      <c r="BS745" s="161"/>
      <c r="BT745" s="161"/>
      <c r="BU745" s="162"/>
      <c r="BV745" s="163"/>
      <c r="BW745" s="163"/>
      <c r="BX745" s="163"/>
      <c r="BY745" s="163"/>
      <c r="BZ745" s="163"/>
      <c r="CA745" s="163"/>
      <c r="CB745" s="161"/>
      <c r="CC745" s="161"/>
      <c r="CD745" s="161"/>
      <c r="CE745" s="161"/>
      <c r="CF745" s="161"/>
      <c r="CG745" s="3"/>
      <c r="CH745" s="3"/>
      <c r="CI745" s="3"/>
      <c r="CJ745" s="3"/>
      <c r="CK745" s="3"/>
      <c r="CL745" s="3"/>
      <c r="CM745" s="3"/>
      <c r="CN745" s="3"/>
    </row>
    <row r="746" spans="1:92" ht="14.4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53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80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161"/>
      <c r="BS746" s="161"/>
      <c r="BT746" s="161"/>
      <c r="BU746" s="162"/>
      <c r="BV746" s="163"/>
      <c r="BW746" s="163"/>
      <c r="BX746" s="163"/>
      <c r="BY746" s="163"/>
      <c r="BZ746" s="163"/>
      <c r="CA746" s="163"/>
      <c r="CB746" s="161"/>
      <c r="CC746" s="161"/>
      <c r="CD746" s="161"/>
      <c r="CE746" s="161"/>
      <c r="CF746" s="161"/>
      <c r="CG746" s="3"/>
      <c r="CH746" s="3"/>
      <c r="CI746" s="3"/>
      <c r="CJ746" s="3"/>
      <c r="CK746" s="3"/>
      <c r="CL746" s="3"/>
      <c r="CM746" s="3"/>
      <c r="CN746" s="3"/>
    </row>
    <row r="747" spans="1:92" ht="14.4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53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80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161"/>
      <c r="BS747" s="161"/>
      <c r="BT747" s="161"/>
      <c r="BU747" s="162"/>
      <c r="BV747" s="163"/>
      <c r="BW747" s="163"/>
      <c r="BX747" s="163"/>
      <c r="BY747" s="163"/>
      <c r="BZ747" s="163"/>
      <c r="CA747" s="163"/>
      <c r="CB747" s="161"/>
      <c r="CC747" s="161"/>
      <c r="CD747" s="161"/>
      <c r="CE747" s="161"/>
      <c r="CF747" s="161"/>
      <c r="CG747" s="3"/>
      <c r="CH747" s="3"/>
      <c r="CI747" s="3"/>
      <c r="CJ747" s="3"/>
      <c r="CK747" s="3"/>
      <c r="CL747" s="3"/>
      <c r="CM747" s="3"/>
      <c r="CN747" s="3"/>
    </row>
    <row r="748" spans="1:92" ht="14.4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53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80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161"/>
      <c r="BS748" s="161"/>
      <c r="BT748" s="161"/>
      <c r="BU748" s="162"/>
      <c r="BV748" s="163"/>
      <c r="BW748" s="163"/>
      <c r="BX748" s="163"/>
      <c r="BY748" s="163"/>
      <c r="BZ748" s="163"/>
      <c r="CA748" s="163"/>
      <c r="CB748" s="161"/>
      <c r="CC748" s="161"/>
      <c r="CD748" s="161"/>
      <c r="CE748" s="161"/>
      <c r="CF748" s="161"/>
      <c r="CG748" s="3"/>
      <c r="CH748" s="3"/>
      <c r="CI748" s="3"/>
      <c r="CJ748" s="3"/>
      <c r="CK748" s="3"/>
      <c r="CL748" s="3"/>
      <c r="CM748" s="3"/>
      <c r="CN748" s="3"/>
    </row>
    <row r="749" spans="1:92" ht="14.4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53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80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161"/>
      <c r="BS749" s="161"/>
      <c r="BT749" s="161"/>
      <c r="BU749" s="162"/>
      <c r="BV749" s="163"/>
      <c r="BW749" s="163"/>
      <c r="BX749" s="163"/>
      <c r="BY749" s="163"/>
      <c r="BZ749" s="163"/>
      <c r="CA749" s="163"/>
      <c r="CB749" s="161"/>
      <c r="CC749" s="161"/>
      <c r="CD749" s="161"/>
      <c r="CE749" s="161"/>
      <c r="CF749" s="161"/>
      <c r="CG749" s="3"/>
      <c r="CH749" s="3"/>
      <c r="CI749" s="3"/>
      <c r="CJ749" s="3"/>
      <c r="CK749" s="3"/>
      <c r="CL749" s="3"/>
      <c r="CM749" s="3"/>
      <c r="CN749" s="3"/>
    </row>
    <row r="750" spans="1:92" ht="14.4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53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80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161"/>
      <c r="BS750" s="161"/>
      <c r="BT750" s="161"/>
      <c r="BU750" s="162"/>
      <c r="BV750" s="163"/>
      <c r="BW750" s="163"/>
      <c r="BX750" s="163"/>
      <c r="BY750" s="163"/>
      <c r="BZ750" s="163"/>
      <c r="CA750" s="163"/>
      <c r="CB750" s="161"/>
      <c r="CC750" s="161"/>
      <c r="CD750" s="161"/>
      <c r="CE750" s="161"/>
      <c r="CF750" s="161"/>
      <c r="CG750" s="3"/>
      <c r="CH750" s="3"/>
      <c r="CI750" s="3"/>
      <c r="CJ750" s="3"/>
      <c r="CK750" s="3"/>
      <c r="CL750" s="3"/>
      <c r="CM750" s="3"/>
      <c r="CN750" s="3"/>
    </row>
    <row r="751" spans="1:92" ht="14.4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53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80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161"/>
      <c r="BS751" s="161"/>
      <c r="BT751" s="161"/>
      <c r="BU751" s="162"/>
      <c r="BV751" s="163"/>
      <c r="BW751" s="163"/>
      <c r="BX751" s="163"/>
      <c r="BY751" s="163"/>
      <c r="BZ751" s="163"/>
      <c r="CA751" s="163"/>
      <c r="CB751" s="161"/>
      <c r="CC751" s="161"/>
      <c r="CD751" s="161"/>
      <c r="CE751" s="161"/>
      <c r="CF751" s="161"/>
      <c r="CG751" s="3"/>
      <c r="CH751" s="3"/>
      <c r="CI751" s="3"/>
      <c r="CJ751" s="3"/>
      <c r="CK751" s="3"/>
      <c r="CL751" s="3"/>
      <c r="CM751" s="3"/>
      <c r="CN751" s="3"/>
    </row>
    <row r="752" spans="1:92" ht="14.4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53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80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161"/>
      <c r="BS752" s="161"/>
      <c r="BT752" s="161"/>
      <c r="BU752" s="162"/>
      <c r="BV752" s="163"/>
      <c r="BW752" s="163"/>
      <c r="BX752" s="163"/>
      <c r="BY752" s="163"/>
      <c r="BZ752" s="163"/>
      <c r="CA752" s="163"/>
      <c r="CB752" s="161"/>
      <c r="CC752" s="161"/>
      <c r="CD752" s="161"/>
      <c r="CE752" s="161"/>
      <c r="CF752" s="161"/>
      <c r="CG752" s="3"/>
      <c r="CH752" s="3"/>
      <c r="CI752" s="3"/>
      <c r="CJ752" s="3"/>
      <c r="CK752" s="3"/>
      <c r="CL752" s="3"/>
      <c r="CM752" s="3"/>
      <c r="CN752" s="3"/>
    </row>
    <row r="753" spans="1:92" ht="14.4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53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80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161"/>
      <c r="BS753" s="161"/>
      <c r="BT753" s="161"/>
      <c r="BU753" s="162"/>
      <c r="BV753" s="163"/>
      <c r="BW753" s="163"/>
      <c r="BX753" s="163"/>
      <c r="BY753" s="163"/>
      <c r="BZ753" s="163"/>
      <c r="CA753" s="163"/>
      <c r="CB753" s="161"/>
      <c r="CC753" s="161"/>
      <c r="CD753" s="161"/>
      <c r="CE753" s="161"/>
      <c r="CF753" s="161"/>
      <c r="CG753" s="3"/>
      <c r="CH753" s="3"/>
      <c r="CI753" s="3"/>
      <c r="CJ753" s="3"/>
      <c r="CK753" s="3"/>
      <c r="CL753" s="3"/>
      <c r="CM753" s="3"/>
      <c r="CN753" s="3"/>
    </row>
    <row r="754" spans="1:92" ht="14.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53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80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161"/>
      <c r="BS754" s="161"/>
      <c r="BT754" s="161"/>
      <c r="BU754" s="162"/>
      <c r="BV754" s="163"/>
      <c r="BW754" s="163"/>
      <c r="BX754" s="163"/>
      <c r="BY754" s="163"/>
      <c r="BZ754" s="163"/>
      <c r="CA754" s="163"/>
      <c r="CB754" s="161"/>
      <c r="CC754" s="161"/>
      <c r="CD754" s="161"/>
      <c r="CE754" s="161"/>
      <c r="CF754" s="161"/>
      <c r="CG754" s="3"/>
      <c r="CH754" s="3"/>
      <c r="CI754" s="3"/>
      <c r="CJ754" s="3"/>
      <c r="CK754" s="3"/>
      <c r="CL754" s="3"/>
      <c r="CM754" s="3"/>
      <c r="CN754" s="3"/>
    </row>
    <row r="755" spans="1:92" ht="14.4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53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80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161"/>
      <c r="BS755" s="161"/>
      <c r="BT755" s="161"/>
      <c r="BU755" s="162"/>
      <c r="BV755" s="163"/>
      <c r="BW755" s="163"/>
      <c r="BX755" s="163"/>
      <c r="BY755" s="163"/>
      <c r="BZ755" s="163"/>
      <c r="CA755" s="163"/>
      <c r="CB755" s="161"/>
      <c r="CC755" s="161"/>
      <c r="CD755" s="161"/>
      <c r="CE755" s="161"/>
      <c r="CF755" s="161"/>
      <c r="CG755" s="3"/>
      <c r="CH755" s="3"/>
      <c r="CI755" s="3"/>
      <c r="CJ755" s="3"/>
      <c r="CK755" s="3"/>
      <c r="CL755" s="3"/>
      <c r="CM755" s="3"/>
      <c r="CN755" s="3"/>
    </row>
    <row r="756" spans="1:92" ht="14.4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53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80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161"/>
      <c r="BS756" s="161"/>
      <c r="BT756" s="161"/>
      <c r="BU756" s="162"/>
      <c r="BV756" s="163"/>
      <c r="BW756" s="163"/>
      <c r="BX756" s="163"/>
      <c r="BY756" s="163"/>
      <c r="BZ756" s="163"/>
      <c r="CA756" s="163"/>
      <c r="CB756" s="161"/>
      <c r="CC756" s="161"/>
      <c r="CD756" s="161"/>
      <c r="CE756" s="161"/>
      <c r="CF756" s="161"/>
      <c r="CG756" s="3"/>
      <c r="CH756" s="3"/>
      <c r="CI756" s="3"/>
      <c r="CJ756" s="3"/>
      <c r="CK756" s="3"/>
      <c r="CL756" s="3"/>
      <c r="CM756" s="3"/>
      <c r="CN756" s="3"/>
    </row>
    <row r="757" spans="1:92" ht="14.4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53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80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161"/>
      <c r="BS757" s="161"/>
      <c r="BT757" s="161"/>
      <c r="BU757" s="162"/>
      <c r="BV757" s="163"/>
      <c r="BW757" s="163"/>
      <c r="BX757" s="163"/>
      <c r="BY757" s="163"/>
      <c r="BZ757" s="163"/>
      <c r="CA757" s="163"/>
      <c r="CB757" s="161"/>
      <c r="CC757" s="161"/>
      <c r="CD757" s="161"/>
      <c r="CE757" s="161"/>
      <c r="CF757" s="161"/>
      <c r="CG757" s="3"/>
      <c r="CH757" s="3"/>
      <c r="CI757" s="3"/>
      <c r="CJ757" s="3"/>
      <c r="CK757" s="3"/>
      <c r="CL757" s="3"/>
      <c r="CM757" s="3"/>
      <c r="CN757" s="3"/>
    </row>
    <row r="758" spans="1:92" ht="14.4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53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80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161"/>
      <c r="BS758" s="161"/>
      <c r="BT758" s="161"/>
      <c r="BU758" s="162"/>
      <c r="BV758" s="163"/>
      <c r="BW758" s="163"/>
      <c r="BX758" s="163"/>
      <c r="BY758" s="163"/>
      <c r="BZ758" s="163"/>
      <c r="CA758" s="163"/>
      <c r="CB758" s="161"/>
      <c r="CC758" s="161"/>
      <c r="CD758" s="161"/>
      <c r="CE758" s="161"/>
      <c r="CF758" s="161"/>
      <c r="CG758" s="3"/>
      <c r="CH758" s="3"/>
      <c r="CI758" s="3"/>
      <c r="CJ758" s="3"/>
      <c r="CK758" s="3"/>
      <c r="CL758" s="3"/>
      <c r="CM758" s="3"/>
      <c r="CN758" s="3"/>
    </row>
    <row r="759" spans="1:92" ht="14.4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53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80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161"/>
      <c r="BS759" s="161"/>
      <c r="BT759" s="161"/>
      <c r="BU759" s="162"/>
      <c r="BV759" s="163"/>
      <c r="BW759" s="163"/>
      <c r="BX759" s="163"/>
      <c r="BY759" s="163"/>
      <c r="BZ759" s="163"/>
      <c r="CA759" s="163"/>
      <c r="CB759" s="161"/>
      <c r="CC759" s="161"/>
      <c r="CD759" s="161"/>
      <c r="CE759" s="161"/>
      <c r="CF759" s="161"/>
      <c r="CG759" s="3"/>
      <c r="CH759" s="3"/>
      <c r="CI759" s="3"/>
      <c r="CJ759" s="3"/>
      <c r="CK759" s="3"/>
      <c r="CL759" s="3"/>
      <c r="CM759" s="3"/>
      <c r="CN759" s="3"/>
    </row>
    <row r="760" spans="1:92" ht="14.4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53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80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161"/>
      <c r="BS760" s="161"/>
      <c r="BT760" s="161"/>
      <c r="BU760" s="162"/>
      <c r="BV760" s="163"/>
      <c r="BW760" s="163"/>
      <c r="BX760" s="163"/>
      <c r="BY760" s="163"/>
      <c r="BZ760" s="163"/>
      <c r="CA760" s="163"/>
      <c r="CB760" s="161"/>
      <c r="CC760" s="161"/>
      <c r="CD760" s="161"/>
      <c r="CE760" s="161"/>
      <c r="CF760" s="161"/>
      <c r="CG760" s="3"/>
      <c r="CH760" s="3"/>
      <c r="CI760" s="3"/>
      <c r="CJ760" s="3"/>
      <c r="CK760" s="3"/>
      <c r="CL760" s="3"/>
      <c r="CM760" s="3"/>
      <c r="CN760" s="3"/>
    </row>
    <row r="761" spans="1:92" ht="14.4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53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80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161"/>
      <c r="BS761" s="161"/>
      <c r="BT761" s="161"/>
      <c r="BU761" s="162"/>
      <c r="BV761" s="163"/>
      <c r="BW761" s="163"/>
      <c r="BX761" s="163"/>
      <c r="BY761" s="163"/>
      <c r="BZ761" s="163"/>
      <c r="CA761" s="163"/>
      <c r="CB761" s="161"/>
      <c r="CC761" s="161"/>
      <c r="CD761" s="161"/>
      <c r="CE761" s="161"/>
      <c r="CF761" s="161"/>
      <c r="CG761" s="3"/>
      <c r="CH761" s="3"/>
      <c r="CI761" s="3"/>
      <c r="CJ761" s="3"/>
      <c r="CK761" s="3"/>
      <c r="CL761" s="3"/>
      <c r="CM761" s="3"/>
      <c r="CN761" s="3"/>
    </row>
    <row r="762" spans="1:92" ht="14.4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53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80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161"/>
      <c r="BS762" s="161"/>
      <c r="BT762" s="161"/>
      <c r="BU762" s="162"/>
      <c r="BV762" s="163"/>
      <c r="BW762" s="163"/>
      <c r="BX762" s="163"/>
      <c r="BY762" s="163"/>
      <c r="BZ762" s="163"/>
      <c r="CA762" s="163"/>
      <c r="CB762" s="161"/>
      <c r="CC762" s="161"/>
      <c r="CD762" s="161"/>
      <c r="CE762" s="161"/>
      <c r="CF762" s="161"/>
      <c r="CG762" s="3"/>
      <c r="CH762" s="3"/>
      <c r="CI762" s="3"/>
      <c r="CJ762" s="3"/>
      <c r="CK762" s="3"/>
      <c r="CL762" s="3"/>
      <c r="CM762" s="3"/>
      <c r="CN762" s="3"/>
    </row>
    <row r="763" spans="1:92" ht="14.4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53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80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161"/>
      <c r="BS763" s="161"/>
      <c r="BT763" s="161"/>
      <c r="BU763" s="162"/>
      <c r="BV763" s="163"/>
      <c r="BW763" s="163"/>
      <c r="BX763" s="163"/>
      <c r="BY763" s="163"/>
      <c r="BZ763" s="163"/>
      <c r="CA763" s="163"/>
      <c r="CB763" s="161"/>
      <c r="CC763" s="161"/>
      <c r="CD763" s="161"/>
      <c r="CE763" s="161"/>
      <c r="CF763" s="161"/>
      <c r="CG763" s="3"/>
      <c r="CH763" s="3"/>
      <c r="CI763" s="3"/>
      <c r="CJ763" s="3"/>
      <c r="CK763" s="3"/>
      <c r="CL763" s="3"/>
      <c r="CM763" s="3"/>
      <c r="CN763" s="3"/>
    </row>
    <row r="764" spans="1:92" ht="14.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53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80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161"/>
      <c r="BS764" s="161"/>
      <c r="BT764" s="161"/>
      <c r="BU764" s="162"/>
      <c r="BV764" s="163"/>
      <c r="BW764" s="163"/>
      <c r="BX764" s="163"/>
      <c r="BY764" s="163"/>
      <c r="BZ764" s="163"/>
      <c r="CA764" s="163"/>
      <c r="CB764" s="161"/>
      <c r="CC764" s="161"/>
      <c r="CD764" s="161"/>
      <c r="CE764" s="161"/>
      <c r="CF764" s="161"/>
      <c r="CG764" s="3"/>
      <c r="CH764" s="3"/>
      <c r="CI764" s="3"/>
      <c r="CJ764" s="3"/>
      <c r="CK764" s="3"/>
      <c r="CL764" s="3"/>
      <c r="CM764" s="3"/>
      <c r="CN764" s="3"/>
    </row>
    <row r="765" spans="1:92" ht="14.4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53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80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161"/>
      <c r="BS765" s="161"/>
      <c r="BT765" s="161"/>
      <c r="BU765" s="162"/>
      <c r="BV765" s="163"/>
      <c r="BW765" s="163"/>
      <c r="BX765" s="163"/>
      <c r="BY765" s="163"/>
      <c r="BZ765" s="163"/>
      <c r="CA765" s="163"/>
      <c r="CB765" s="161"/>
      <c r="CC765" s="161"/>
      <c r="CD765" s="161"/>
      <c r="CE765" s="161"/>
      <c r="CF765" s="161"/>
      <c r="CG765" s="3"/>
      <c r="CH765" s="3"/>
      <c r="CI765" s="3"/>
      <c r="CJ765" s="3"/>
      <c r="CK765" s="3"/>
      <c r="CL765" s="3"/>
      <c r="CM765" s="3"/>
      <c r="CN765" s="3"/>
    </row>
    <row r="766" spans="1:92" ht="14.4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53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80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161"/>
      <c r="BS766" s="161"/>
      <c r="BT766" s="161"/>
      <c r="BU766" s="162"/>
      <c r="BV766" s="163"/>
      <c r="BW766" s="163"/>
      <c r="BX766" s="163"/>
      <c r="BY766" s="163"/>
      <c r="BZ766" s="163"/>
      <c r="CA766" s="163"/>
      <c r="CB766" s="161"/>
      <c r="CC766" s="161"/>
      <c r="CD766" s="161"/>
      <c r="CE766" s="161"/>
      <c r="CF766" s="161"/>
      <c r="CG766" s="3"/>
      <c r="CH766" s="3"/>
      <c r="CI766" s="3"/>
      <c r="CJ766" s="3"/>
      <c r="CK766" s="3"/>
      <c r="CL766" s="3"/>
      <c r="CM766" s="3"/>
      <c r="CN766" s="3"/>
    </row>
    <row r="767" spans="1:92" ht="14.4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53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80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161"/>
      <c r="BS767" s="161"/>
      <c r="BT767" s="161"/>
      <c r="BU767" s="162"/>
      <c r="BV767" s="163"/>
      <c r="BW767" s="163"/>
      <c r="BX767" s="163"/>
      <c r="BY767" s="163"/>
      <c r="BZ767" s="163"/>
      <c r="CA767" s="163"/>
      <c r="CB767" s="161"/>
      <c r="CC767" s="161"/>
      <c r="CD767" s="161"/>
      <c r="CE767" s="161"/>
      <c r="CF767" s="161"/>
      <c r="CG767" s="3"/>
      <c r="CH767" s="3"/>
      <c r="CI767" s="3"/>
      <c r="CJ767" s="3"/>
      <c r="CK767" s="3"/>
      <c r="CL767" s="3"/>
      <c r="CM767" s="3"/>
      <c r="CN767" s="3"/>
    </row>
    <row r="768" spans="1:92" ht="14.4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53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80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161"/>
      <c r="BS768" s="161"/>
      <c r="BT768" s="161"/>
      <c r="BU768" s="162"/>
      <c r="BV768" s="163"/>
      <c r="BW768" s="163"/>
      <c r="BX768" s="163"/>
      <c r="BY768" s="163"/>
      <c r="BZ768" s="163"/>
      <c r="CA768" s="163"/>
      <c r="CB768" s="161"/>
      <c r="CC768" s="161"/>
      <c r="CD768" s="161"/>
      <c r="CE768" s="161"/>
      <c r="CF768" s="161"/>
      <c r="CG768" s="3"/>
      <c r="CH768" s="3"/>
      <c r="CI768" s="3"/>
      <c r="CJ768" s="3"/>
      <c r="CK768" s="3"/>
      <c r="CL768" s="3"/>
      <c r="CM768" s="3"/>
      <c r="CN768" s="3"/>
    </row>
    <row r="769" spans="1:92" ht="14.4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53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80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161"/>
      <c r="BS769" s="161"/>
      <c r="BT769" s="161"/>
      <c r="BU769" s="162"/>
      <c r="BV769" s="163"/>
      <c r="BW769" s="163"/>
      <c r="BX769" s="163"/>
      <c r="BY769" s="163"/>
      <c r="BZ769" s="163"/>
      <c r="CA769" s="163"/>
      <c r="CB769" s="161"/>
      <c r="CC769" s="161"/>
      <c r="CD769" s="161"/>
      <c r="CE769" s="161"/>
      <c r="CF769" s="161"/>
      <c r="CG769" s="3"/>
      <c r="CH769" s="3"/>
      <c r="CI769" s="3"/>
      <c r="CJ769" s="3"/>
      <c r="CK769" s="3"/>
      <c r="CL769" s="3"/>
      <c r="CM769" s="3"/>
      <c r="CN769" s="3"/>
    </row>
    <row r="770" spans="1:92" ht="14.4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53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80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161"/>
      <c r="BS770" s="161"/>
      <c r="BT770" s="161"/>
      <c r="BU770" s="162"/>
      <c r="BV770" s="163"/>
      <c r="BW770" s="163"/>
      <c r="BX770" s="163"/>
      <c r="BY770" s="163"/>
      <c r="BZ770" s="163"/>
      <c r="CA770" s="163"/>
      <c r="CB770" s="161"/>
      <c r="CC770" s="161"/>
      <c r="CD770" s="161"/>
      <c r="CE770" s="161"/>
      <c r="CF770" s="161"/>
      <c r="CG770" s="3"/>
      <c r="CH770" s="3"/>
      <c r="CI770" s="3"/>
      <c r="CJ770" s="3"/>
      <c r="CK770" s="3"/>
      <c r="CL770" s="3"/>
      <c r="CM770" s="3"/>
      <c r="CN770" s="3"/>
    </row>
    <row r="771" spans="1:92" ht="14.4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53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80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161"/>
      <c r="BS771" s="161"/>
      <c r="BT771" s="161"/>
      <c r="BU771" s="162"/>
      <c r="BV771" s="163"/>
      <c r="BW771" s="163"/>
      <c r="BX771" s="163"/>
      <c r="BY771" s="163"/>
      <c r="BZ771" s="163"/>
      <c r="CA771" s="163"/>
      <c r="CB771" s="161"/>
      <c r="CC771" s="161"/>
      <c r="CD771" s="161"/>
      <c r="CE771" s="161"/>
      <c r="CF771" s="161"/>
      <c r="CG771" s="3"/>
      <c r="CH771" s="3"/>
      <c r="CI771" s="3"/>
      <c r="CJ771" s="3"/>
      <c r="CK771" s="3"/>
      <c r="CL771" s="3"/>
      <c r="CM771" s="3"/>
      <c r="CN771" s="3"/>
    </row>
    <row r="772" spans="1:92" ht="14.4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53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80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161"/>
      <c r="BS772" s="161"/>
      <c r="BT772" s="161"/>
      <c r="BU772" s="162"/>
      <c r="BV772" s="163"/>
      <c r="BW772" s="163"/>
      <c r="BX772" s="163"/>
      <c r="BY772" s="163"/>
      <c r="BZ772" s="163"/>
      <c r="CA772" s="163"/>
      <c r="CB772" s="161"/>
      <c r="CC772" s="161"/>
      <c r="CD772" s="161"/>
      <c r="CE772" s="161"/>
      <c r="CF772" s="161"/>
      <c r="CG772" s="3"/>
      <c r="CH772" s="3"/>
      <c r="CI772" s="3"/>
      <c r="CJ772" s="3"/>
      <c r="CK772" s="3"/>
      <c r="CL772" s="3"/>
      <c r="CM772" s="3"/>
      <c r="CN772" s="3"/>
    </row>
    <row r="773" spans="1:92" ht="14.4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53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80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161"/>
      <c r="BS773" s="161"/>
      <c r="BT773" s="161"/>
      <c r="BU773" s="162"/>
      <c r="BV773" s="163"/>
      <c r="BW773" s="163"/>
      <c r="BX773" s="163"/>
      <c r="BY773" s="163"/>
      <c r="BZ773" s="163"/>
      <c r="CA773" s="163"/>
      <c r="CB773" s="161"/>
      <c r="CC773" s="161"/>
      <c r="CD773" s="161"/>
      <c r="CE773" s="161"/>
      <c r="CF773" s="161"/>
      <c r="CG773" s="3"/>
      <c r="CH773" s="3"/>
      <c r="CI773" s="3"/>
      <c r="CJ773" s="3"/>
      <c r="CK773" s="3"/>
      <c r="CL773" s="3"/>
      <c r="CM773" s="3"/>
      <c r="CN773" s="3"/>
    </row>
    <row r="774" spans="1:92" ht="14.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53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80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161"/>
      <c r="BS774" s="161"/>
      <c r="BT774" s="161"/>
      <c r="BU774" s="162"/>
      <c r="BV774" s="163"/>
      <c r="BW774" s="163"/>
      <c r="BX774" s="163"/>
      <c r="BY774" s="163"/>
      <c r="BZ774" s="163"/>
      <c r="CA774" s="163"/>
      <c r="CB774" s="161"/>
      <c r="CC774" s="161"/>
      <c r="CD774" s="161"/>
      <c r="CE774" s="161"/>
      <c r="CF774" s="161"/>
      <c r="CG774" s="3"/>
      <c r="CH774" s="3"/>
      <c r="CI774" s="3"/>
      <c r="CJ774" s="3"/>
      <c r="CK774" s="3"/>
      <c r="CL774" s="3"/>
      <c r="CM774" s="3"/>
      <c r="CN774" s="3"/>
    </row>
    <row r="775" spans="1:92" ht="14.4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53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80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161"/>
      <c r="BS775" s="161"/>
      <c r="BT775" s="161"/>
      <c r="BU775" s="162"/>
      <c r="BV775" s="163"/>
      <c r="BW775" s="163"/>
      <c r="BX775" s="163"/>
      <c r="BY775" s="163"/>
      <c r="BZ775" s="163"/>
      <c r="CA775" s="163"/>
      <c r="CB775" s="161"/>
      <c r="CC775" s="161"/>
      <c r="CD775" s="161"/>
      <c r="CE775" s="161"/>
      <c r="CF775" s="161"/>
      <c r="CG775" s="3"/>
      <c r="CH775" s="3"/>
      <c r="CI775" s="3"/>
      <c r="CJ775" s="3"/>
      <c r="CK775" s="3"/>
      <c r="CL775" s="3"/>
      <c r="CM775" s="3"/>
      <c r="CN775" s="3"/>
    </row>
    <row r="776" spans="1:92" ht="14.4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53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80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161"/>
      <c r="BS776" s="161"/>
      <c r="BT776" s="161"/>
      <c r="BU776" s="162"/>
      <c r="BV776" s="163"/>
      <c r="BW776" s="163"/>
      <c r="BX776" s="163"/>
      <c r="BY776" s="163"/>
      <c r="BZ776" s="163"/>
      <c r="CA776" s="163"/>
      <c r="CB776" s="161"/>
      <c r="CC776" s="161"/>
      <c r="CD776" s="161"/>
      <c r="CE776" s="161"/>
      <c r="CF776" s="161"/>
      <c r="CG776" s="3"/>
      <c r="CH776" s="3"/>
      <c r="CI776" s="3"/>
      <c r="CJ776" s="3"/>
      <c r="CK776" s="3"/>
      <c r="CL776" s="3"/>
      <c r="CM776" s="3"/>
      <c r="CN776" s="3"/>
    </row>
    <row r="777" spans="1:92" ht="14.4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53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80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161"/>
      <c r="BS777" s="161"/>
      <c r="BT777" s="161"/>
      <c r="BU777" s="162"/>
      <c r="BV777" s="163"/>
      <c r="BW777" s="163"/>
      <c r="BX777" s="163"/>
      <c r="BY777" s="163"/>
      <c r="BZ777" s="163"/>
      <c r="CA777" s="163"/>
      <c r="CB777" s="161"/>
      <c r="CC777" s="161"/>
      <c r="CD777" s="161"/>
      <c r="CE777" s="161"/>
      <c r="CF777" s="161"/>
      <c r="CG777" s="3"/>
      <c r="CH777" s="3"/>
      <c r="CI777" s="3"/>
      <c r="CJ777" s="3"/>
      <c r="CK777" s="3"/>
      <c r="CL777" s="3"/>
      <c r="CM777" s="3"/>
      <c r="CN777" s="3"/>
    </row>
    <row r="778" spans="1:92" ht="14.4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53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80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161"/>
      <c r="BS778" s="161"/>
      <c r="BT778" s="161"/>
      <c r="BU778" s="162"/>
      <c r="BV778" s="163"/>
      <c r="BW778" s="163"/>
      <c r="BX778" s="163"/>
      <c r="BY778" s="163"/>
      <c r="BZ778" s="163"/>
      <c r="CA778" s="163"/>
      <c r="CB778" s="161"/>
      <c r="CC778" s="161"/>
      <c r="CD778" s="161"/>
      <c r="CE778" s="161"/>
      <c r="CF778" s="161"/>
      <c r="CG778" s="3"/>
      <c r="CH778" s="3"/>
      <c r="CI778" s="3"/>
      <c r="CJ778" s="3"/>
      <c r="CK778" s="3"/>
      <c r="CL778" s="3"/>
      <c r="CM778" s="3"/>
      <c r="CN778" s="3"/>
    </row>
    <row r="779" spans="1:92" ht="14.4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53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80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161"/>
      <c r="BS779" s="161"/>
      <c r="BT779" s="161"/>
      <c r="BU779" s="162"/>
      <c r="BV779" s="163"/>
      <c r="BW779" s="163"/>
      <c r="BX779" s="163"/>
      <c r="BY779" s="163"/>
      <c r="BZ779" s="163"/>
      <c r="CA779" s="163"/>
      <c r="CB779" s="161"/>
      <c r="CC779" s="161"/>
      <c r="CD779" s="161"/>
      <c r="CE779" s="161"/>
      <c r="CF779" s="161"/>
      <c r="CG779" s="3"/>
      <c r="CH779" s="3"/>
      <c r="CI779" s="3"/>
      <c r="CJ779" s="3"/>
      <c r="CK779" s="3"/>
      <c r="CL779" s="3"/>
      <c r="CM779" s="3"/>
      <c r="CN779" s="3"/>
    </row>
    <row r="780" spans="1:92" ht="14.4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53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80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161"/>
      <c r="BS780" s="161"/>
      <c r="BT780" s="161"/>
      <c r="BU780" s="162"/>
      <c r="BV780" s="163"/>
      <c r="BW780" s="163"/>
      <c r="BX780" s="163"/>
      <c r="BY780" s="163"/>
      <c r="BZ780" s="163"/>
      <c r="CA780" s="163"/>
      <c r="CB780" s="161"/>
      <c r="CC780" s="161"/>
      <c r="CD780" s="161"/>
      <c r="CE780" s="161"/>
      <c r="CF780" s="161"/>
      <c r="CG780" s="3"/>
      <c r="CH780" s="3"/>
      <c r="CI780" s="3"/>
      <c r="CJ780" s="3"/>
      <c r="CK780" s="3"/>
      <c r="CL780" s="3"/>
      <c r="CM780" s="3"/>
      <c r="CN780" s="3"/>
    </row>
    <row r="781" spans="1:92" ht="14.4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53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80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161"/>
      <c r="BS781" s="161"/>
      <c r="BT781" s="161"/>
      <c r="BU781" s="162"/>
      <c r="BV781" s="163"/>
      <c r="BW781" s="163"/>
      <c r="BX781" s="163"/>
      <c r="BY781" s="163"/>
      <c r="BZ781" s="163"/>
      <c r="CA781" s="163"/>
      <c r="CB781" s="161"/>
      <c r="CC781" s="161"/>
      <c r="CD781" s="161"/>
      <c r="CE781" s="161"/>
      <c r="CF781" s="161"/>
      <c r="CG781" s="3"/>
      <c r="CH781" s="3"/>
      <c r="CI781" s="3"/>
      <c r="CJ781" s="3"/>
      <c r="CK781" s="3"/>
      <c r="CL781" s="3"/>
      <c r="CM781" s="3"/>
      <c r="CN781" s="3"/>
    </row>
    <row r="782" spans="1:92" ht="14.4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53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80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161"/>
      <c r="BS782" s="161"/>
      <c r="BT782" s="161"/>
      <c r="BU782" s="162"/>
      <c r="BV782" s="163"/>
      <c r="BW782" s="163"/>
      <c r="BX782" s="163"/>
      <c r="BY782" s="163"/>
      <c r="BZ782" s="163"/>
      <c r="CA782" s="163"/>
      <c r="CB782" s="161"/>
      <c r="CC782" s="161"/>
      <c r="CD782" s="161"/>
      <c r="CE782" s="161"/>
      <c r="CF782" s="161"/>
      <c r="CG782" s="3"/>
      <c r="CH782" s="3"/>
      <c r="CI782" s="3"/>
      <c r="CJ782" s="3"/>
      <c r="CK782" s="3"/>
      <c r="CL782" s="3"/>
      <c r="CM782" s="3"/>
      <c r="CN782" s="3"/>
    </row>
    <row r="783" spans="1:92" ht="14.4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53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80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161"/>
      <c r="BS783" s="161"/>
      <c r="BT783" s="161"/>
      <c r="BU783" s="162"/>
      <c r="BV783" s="163"/>
      <c r="BW783" s="163"/>
      <c r="BX783" s="163"/>
      <c r="BY783" s="163"/>
      <c r="BZ783" s="163"/>
      <c r="CA783" s="163"/>
      <c r="CB783" s="161"/>
      <c r="CC783" s="161"/>
      <c r="CD783" s="161"/>
      <c r="CE783" s="161"/>
      <c r="CF783" s="161"/>
      <c r="CG783" s="3"/>
      <c r="CH783" s="3"/>
      <c r="CI783" s="3"/>
      <c r="CJ783" s="3"/>
      <c r="CK783" s="3"/>
      <c r="CL783" s="3"/>
      <c r="CM783" s="3"/>
      <c r="CN783" s="3"/>
    </row>
    <row r="784" spans="1:92" ht="14.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53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80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161"/>
      <c r="BS784" s="161"/>
      <c r="BT784" s="161"/>
      <c r="BU784" s="162"/>
      <c r="BV784" s="163"/>
      <c r="BW784" s="163"/>
      <c r="BX784" s="163"/>
      <c r="BY784" s="163"/>
      <c r="BZ784" s="163"/>
      <c r="CA784" s="163"/>
      <c r="CB784" s="161"/>
      <c r="CC784" s="161"/>
      <c r="CD784" s="161"/>
      <c r="CE784" s="161"/>
      <c r="CF784" s="161"/>
      <c r="CG784" s="3"/>
      <c r="CH784" s="3"/>
      <c r="CI784" s="3"/>
      <c r="CJ784" s="3"/>
      <c r="CK784" s="3"/>
      <c r="CL784" s="3"/>
      <c r="CM784" s="3"/>
      <c r="CN784" s="3"/>
    </row>
    <row r="785" spans="1:92" ht="14.4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53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80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161"/>
      <c r="BS785" s="161"/>
      <c r="BT785" s="161"/>
      <c r="BU785" s="162"/>
      <c r="BV785" s="163"/>
      <c r="BW785" s="163"/>
      <c r="BX785" s="163"/>
      <c r="BY785" s="163"/>
      <c r="BZ785" s="163"/>
      <c r="CA785" s="163"/>
      <c r="CB785" s="161"/>
      <c r="CC785" s="161"/>
      <c r="CD785" s="161"/>
      <c r="CE785" s="161"/>
      <c r="CF785" s="161"/>
      <c r="CG785" s="3"/>
      <c r="CH785" s="3"/>
      <c r="CI785" s="3"/>
      <c r="CJ785" s="3"/>
      <c r="CK785" s="3"/>
      <c r="CL785" s="3"/>
      <c r="CM785" s="3"/>
      <c r="CN785" s="3"/>
    </row>
    <row r="786" spans="1:92" ht="14.4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53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80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161"/>
      <c r="BS786" s="161"/>
      <c r="BT786" s="161"/>
      <c r="BU786" s="162"/>
      <c r="BV786" s="163"/>
      <c r="BW786" s="163"/>
      <c r="BX786" s="163"/>
      <c r="BY786" s="163"/>
      <c r="BZ786" s="163"/>
      <c r="CA786" s="163"/>
      <c r="CB786" s="161"/>
      <c r="CC786" s="161"/>
      <c r="CD786" s="161"/>
      <c r="CE786" s="161"/>
      <c r="CF786" s="161"/>
      <c r="CG786" s="3"/>
      <c r="CH786" s="3"/>
      <c r="CI786" s="3"/>
      <c r="CJ786" s="3"/>
      <c r="CK786" s="3"/>
      <c r="CL786" s="3"/>
      <c r="CM786" s="3"/>
      <c r="CN786" s="3"/>
    </row>
    <row r="787" spans="1:92" ht="14.4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53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80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161"/>
      <c r="BS787" s="161"/>
      <c r="BT787" s="161"/>
      <c r="BU787" s="162"/>
      <c r="BV787" s="163"/>
      <c r="BW787" s="163"/>
      <c r="BX787" s="163"/>
      <c r="BY787" s="163"/>
      <c r="BZ787" s="163"/>
      <c r="CA787" s="163"/>
      <c r="CB787" s="161"/>
      <c r="CC787" s="161"/>
      <c r="CD787" s="161"/>
      <c r="CE787" s="161"/>
      <c r="CF787" s="161"/>
      <c r="CG787" s="3"/>
      <c r="CH787" s="3"/>
      <c r="CI787" s="3"/>
      <c r="CJ787" s="3"/>
      <c r="CK787" s="3"/>
      <c r="CL787" s="3"/>
      <c r="CM787" s="3"/>
      <c r="CN787" s="3"/>
    </row>
    <row r="788" spans="1:92" ht="14.4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53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80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161"/>
      <c r="BS788" s="161"/>
      <c r="BT788" s="161"/>
      <c r="BU788" s="162"/>
      <c r="BV788" s="163"/>
      <c r="BW788" s="163"/>
      <c r="BX788" s="163"/>
      <c r="BY788" s="163"/>
      <c r="BZ788" s="163"/>
      <c r="CA788" s="163"/>
      <c r="CB788" s="161"/>
      <c r="CC788" s="161"/>
      <c r="CD788" s="161"/>
      <c r="CE788" s="161"/>
      <c r="CF788" s="161"/>
      <c r="CG788" s="3"/>
      <c r="CH788" s="3"/>
      <c r="CI788" s="3"/>
      <c r="CJ788" s="3"/>
      <c r="CK788" s="3"/>
      <c r="CL788" s="3"/>
      <c r="CM788" s="3"/>
      <c r="CN788" s="3"/>
    </row>
    <row r="789" spans="1:92" ht="14.4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53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80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161"/>
      <c r="BS789" s="161"/>
      <c r="BT789" s="161"/>
      <c r="BU789" s="162"/>
      <c r="BV789" s="163"/>
      <c r="BW789" s="163"/>
      <c r="BX789" s="163"/>
      <c r="BY789" s="163"/>
      <c r="BZ789" s="163"/>
      <c r="CA789" s="163"/>
      <c r="CB789" s="161"/>
      <c r="CC789" s="161"/>
      <c r="CD789" s="161"/>
      <c r="CE789" s="161"/>
      <c r="CF789" s="161"/>
      <c r="CG789" s="3"/>
      <c r="CH789" s="3"/>
      <c r="CI789" s="3"/>
      <c r="CJ789" s="3"/>
      <c r="CK789" s="3"/>
      <c r="CL789" s="3"/>
      <c r="CM789" s="3"/>
      <c r="CN789" s="3"/>
    </row>
    <row r="790" spans="1:92" ht="14.4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53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80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161"/>
      <c r="BS790" s="161"/>
      <c r="BT790" s="161"/>
      <c r="BU790" s="162"/>
      <c r="BV790" s="163"/>
      <c r="BW790" s="163"/>
      <c r="BX790" s="163"/>
      <c r="BY790" s="163"/>
      <c r="BZ790" s="163"/>
      <c r="CA790" s="163"/>
      <c r="CB790" s="161"/>
      <c r="CC790" s="161"/>
      <c r="CD790" s="161"/>
      <c r="CE790" s="161"/>
      <c r="CF790" s="161"/>
      <c r="CG790" s="3"/>
      <c r="CH790" s="3"/>
      <c r="CI790" s="3"/>
      <c r="CJ790" s="3"/>
      <c r="CK790" s="3"/>
      <c r="CL790" s="3"/>
      <c r="CM790" s="3"/>
      <c r="CN790" s="3"/>
    </row>
    <row r="791" spans="1:92" ht="14.4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53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80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161"/>
      <c r="BS791" s="161"/>
      <c r="BT791" s="161"/>
      <c r="BU791" s="162"/>
      <c r="BV791" s="163"/>
      <c r="BW791" s="163"/>
      <c r="BX791" s="163"/>
      <c r="BY791" s="163"/>
      <c r="BZ791" s="163"/>
      <c r="CA791" s="163"/>
      <c r="CB791" s="161"/>
      <c r="CC791" s="161"/>
      <c r="CD791" s="161"/>
      <c r="CE791" s="161"/>
      <c r="CF791" s="161"/>
      <c r="CG791" s="3"/>
      <c r="CH791" s="3"/>
      <c r="CI791" s="3"/>
      <c r="CJ791" s="3"/>
      <c r="CK791" s="3"/>
      <c r="CL791" s="3"/>
      <c r="CM791" s="3"/>
      <c r="CN791" s="3"/>
    </row>
    <row r="792" spans="1:92" ht="14.4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53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80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161"/>
      <c r="BS792" s="161"/>
      <c r="BT792" s="161"/>
      <c r="BU792" s="162"/>
      <c r="BV792" s="163"/>
      <c r="BW792" s="163"/>
      <c r="BX792" s="163"/>
      <c r="BY792" s="163"/>
      <c r="BZ792" s="163"/>
      <c r="CA792" s="163"/>
      <c r="CB792" s="161"/>
      <c r="CC792" s="161"/>
      <c r="CD792" s="161"/>
      <c r="CE792" s="161"/>
      <c r="CF792" s="161"/>
      <c r="CG792" s="3"/>
      <c r="CH792" s="3"/>
      <c r="CI792" s="3"/>
      <c r="CJ792" s="3"/>
      <c r="CK792" s="3"/>
      <c r="CL792" s="3"/>
      <c r="CM792" s="3"/>
      <c r="CN792" s="3"/>
    </row>
    <row r="793" spans="1:92" ht="14.4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53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80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161"/>
      <c r="BS793" s="161"/>
      <c r="BT793" s="161"/>
      <c r="BU793" s="162"/>
      <c r="BV793" s="163"/>
      <c r="BW793" s="163"/>
      <c r="BX793" s="163"/>
      <c r="BY793" s="163"/>
      <c r="BZ793" s="163"/>
      <c r="CA793" s="163"/>
      <c r="CB793" s="161"/>
      <c r="CC793" s="161"/>
      <c r="CD793" s="161"/>
      <c r="CE793" s="161"/>
      <c r="CF793" s="161"/>
      <c r="CG793" s="3"/>
      <c r="CH793" s="3"/>
      <c r="CI793" s="3"/>
      <c r="CJ793" s="3"/>
      <c r="CK793" s="3"/>
      <c r="CL793" s="3"/>
      <c r="CM793" s="3"/>
      <c r="CN793" s="3"/>
    </row>
    <row r="794" spans="1:92" ht="14.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53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80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161"/>
      <c r="BS794" s="161"/>
      <c r="BT794" s="161"/>
      <c r="BU794" s="162"/>
      <c r="BV794" s="163"/>
      <c r="BW794" s="163"/>
      <c r="BX794" s="163"/>
      <c r="BY794" s="163"/>
      <c r="BZ794" s="163"/>
      <c r="CA794" s="163"/>
      <c r="CB794" s="161"/>
      <c r="CC794" s="161"/>
      <c r="CD794" s="161"/>
      <c r="CE794" s="161"/>
      <c r="CF794" s="161"/>
      <c r="CG794" s="3"/>
      <c r="CH794" s="3"/>
      <c r="CI794" s="3"/>
      <c r="CJ794" s="3"/>
      <c r="CK794" s="3"/>
      <c r="CL794" s="3"/>
      <c r="CM794" s="3"/>
      <c r="CN794" s="3"/>
    </row>
    <row r="795" spans="1:92" ht="14.4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53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80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161"/>
      <c r="BS795" s="161"/>
      <c r="BT795" s="161"/>
      <c r="BU795" s="162"/>
      <c r="BV795" s="163"/>
      <c r="BW795" s="163"/>
      <c r="BX795" s="163"/>
      <c r="BY795" s="163"/>
      <c r="BZ795" s="163"/>
      <c r="CA795" s="163"/>
      <c r="CB795" s="161"/>
      <c r="CC795" s="161"/>
      <c r="CD795" s="161"/>
      <c r="CE795" s="161"/>
      <c r="CF795" s="161"/>
      <c r="CG795" s="3"/>
      <c r="CH795" s="3"/>
      <c r="CI795" s="3"/>
      <c r="CJ795" s="3"/>
      <c r="CK795" s="3"/>
      <c r="CL795" s="3"/>
      <c r="CM795" s="3"/>
      <c r="CN795" s="3"/>
    </row>
    <row r="796" spans="1:92" ht="14.4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53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80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161"/>
      <c r="BS796" s="161"/>
      <c r="BT796" s="161"/>
      <c r="BU796" s="162"/>
      <c r="BV796" s="163"/>
      <c r="BW796" s="163"/>
      <c r="BX796" s="163"/>
      <c r="BY796" s="163"/>
      <c r="BZ796" s="163"/>
      <c r="CA796" s="163"/>
      <c r="CB796" s="161"/>
      <c r="CC796" s="161"/>
      <c r="CD796" s="161"/>
      <c r="CE796" s="161"/>
      <c r="CF796" s="161"/>
      <c r="CG796" s="3"/>
      <c r="CH796" s="3"/>
      <c r="CI796" s="3"/>
      <c r="CJ796" s="3"/>
      <c r="CK796" s="3"/>
      <c r="CL796" s="3"/>
      <c r="CM796" s="3"/>
      <c r="CN796" s="3"/>
    </row>
    <row r="797" spans="1:92" ht="14.4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53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80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161"/>
      <c r="BS797" s="161"/>
      <c r="BT797" s="161"/>
      <c r="BU797" s="162"/>
      <c r="BV797" s="163"/>
      <c r="BW797" s="163"/>
      <c r="BX797" s="163"/>
      <c r="BY797" s="163"/>
      <c r="BZ797" s="163"/>
      <c r="CA797" s="163"/>
      <c r="CB797" s="161"/>
      <c r="CC797" s="161"/>
      <c r="CD797" s="161"/>
      <c r="CE797" s="161"/>
      <c r="CF797" s="161"/>
      <c r="CG797" s="3"/>
      <c r="CH797" s="3"/>
      <c r="CI797" s="3"/>
      <c r="CJ797" s="3"/>
      <c r="CK797" s="3"/>
      <c r="CL797" s="3"/>
      <c r="CM797" s="3"/>
      <c r="CN797" s="3"/>
    </row>
    <row r="798" spans="1:92" ht="14.4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53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80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161"/>
      <c r="BS798" s="161"/>
      <c r="BT798" s="161"/>
      <c r="BU798" s="162"/>
      <c r="BV798" s="163"/>
      <c r="BW798" s="163"/>
      <c r="BX798" s="163"/>
      <c r="BY798" s="163"/>
      <c r="BZ798" s="163"/>
      <c r="CA798" s="163"/>
      <c r="CB798" s="161"/>
      <c r="CC798" s="161"/>
      <c r="CD798" s="161"/>
      <c r="CE798" s="161"/>
      <c r="CF798" s="161"/>
      <c r="CG798" s="3"/>
      <c r="CH798" s="3"/>
      <c r="CI798" s="3"/>
      <c r="CJ798" s="3"/>
      <c r="CK798" s="3"/>
      <c r="CL798" s="3"/>
      <c r="CM798" s="3"/>
      <c r="CN798" s="3"/>
    </row>
    <row r="799" spans="1:92" ht="14.4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53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80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161"/>
      <c r="BS799" s="161"/>
      <c r="BT799" s="161"/>
      <c r="BU799" s="162"/>
      <c r="BV799" s="163"/>
      <c r="BW799" s="163"/>
      <c r="BX799" s="163"/>
      <c r="BY799" s="163"/>
      <c r="BZ799" s="163"/>
      <c r="CA799" s="163"/>
      <c r="CB799" s="161"/>
      <c r="CC799" s="161"/>
      <c r="CD799" s="161"/>
      <c r="CE799" s="161"/>
      <c r="CF799" s="161"/>
      <c r="CG799" s="3"/>
      <c r="CH799" s="3"/>
      <c r="CI799" s="3"/>
      <c r="CJ799" s="3"/>
      <c r="CK799" s="3"/>
      <c r="CL799" s="3"/>
      <c r="CM799" s="3"/>
      <c r="CN799" s="3"/>
    </row>
    <row r="800" spans="1:92" ht="14.4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53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80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161"/>
      <c r="BS800" s="161"/>
      <c r="BT800" s="161"/>
      <c r="BU800" s="162"/>
      <c r="BV800" s="163"/>
      <c r="BW800" s="163"/>
      <c r="BX800" s="163"/>
      <c r="BY800" s="163"/>
      <c r="BZ800" s="163"/>
      <c r="CA800" s="163"/>
      <c r="CB800" s="161"/>
      <c r="CC800" s="161"/>
      <c r="CD800" s="161"/>
      <c r="CE800" s="161"/>
      <c r="CF800" s="161"/>
      <c r="CG800" s="3"/>
      <c r="CH800" s="3"/>
      <c r="CI800" s="3"/>
      <c r="CJ800" s="3"/>
      <c r="CK800" s="3"/>
      <c r="CL800" s="3"/>
      <c r="CM800" s="3"/>
      <c r="CN800" s="3"/>
    </row>
    <row r="801" spans="1:92" ht="14.4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53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80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161"/>
      <c r="BS801" s="161"/>
      <c r="BT801" s="161"/>
      <c r="BU801" s="162"/>
      <c r="BV801" s="163"/>
      <c r="BW801" s="163"/>
      <c r="BX801" s="163"/>
      <c r="BY801" s="163"/>
      <c r="BZ801" s="163"/>
      <c r="CA801" s="163"/>
      <c r="CB801" s="161"/>
      <c r="CC801" s="161"/>
      <c r="CD801" s="161"/>
      <c r="CE801" s="161"/>
      <c r="CF801" s="161"/>
      <c r="CG801" s="3"/>
      <c r="CH801" s="3"/>
      <c r="CI801" s="3"/>
      <c r="CJ801" s="3"/>
      <c r="CK801" s="3"/>
      <c r="CL801" s="3"/>
      <c r="CM801" s="3"/>
      <c r="CN801" s="3"/>
    </row>
    <row r="802" spans="1:92" ht="14.4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53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80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161"/>
      <c r="BS802" s="161"/>
      <c r="BT802" s="161"/>
      <c r="BU802" s="162"/>
      <c r="BV802" s="163"/>
      <c r="BW802" s="163"/>
      <c r="BX802" s="163"/>
      <c r="BY802" s="163"/>
      <c r="BZ802" s="163"/>
      <c r="CA802" s="163"/>
      <c r="CB802" s="161"/>
      <c r="CC802" s="161"/>
      <c r="CD802" s="161"/>
      <c r="CE802" s="161"/>
      <c r="CF802" s="161"/>
      <c r="CG802" s="3"/>
      <c r="CH802" s="3"/>
      <c r="CI802" s="3"/>
      <c r="CJ802" s="3"/>
      <c r="CK802" s="3"/>
      <c r="CL802" s="3"/>
      <c r="CM802" s="3"/>
      <c r="CN802" s="3"/>
    </row>
    <row r="803" spans="1:92" ht="14.4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53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80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161"/>
      <c r="BS803" s="161"/>
      <c r="BT803" s="161"/>
      <c r="BU803" s="162"/>
      <c r="BV803" s="163"/>
      <c r="BW803" s="163"/>
      <c r="BX803" s="163"/>
      <c r="BY803" s="163"/>
      <c r="BZ803" s="163"/>
      <c r="CA803" s="163"/>
      <c r="CB803" s="161"/>
      <c r="CC803" s="161"/>
      <c r="CD803" s="161"/>
      <c r="CE803" s="161"/>
      <c r="CF803" s="161"/>
      <c r="CG803" s="3"/>
      <c r="CH803" s="3"/>
      <c r="CI803" s="3"/>
      <c r="CJ803" s="3"/>
      <c r="CK803" s="3"/>
      <c r="CL803" s="3"/>
      <c r="CM803" s="3"/>
      <c r="CN803" s="3"/>
    </row>
    <row r="804" spans="1:92" ht="14.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53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80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161"/>
      <c r="BS804" s="161"/>
      <c r="BT804" s="161"/>
      <c r="BU804" s="162"/>
      <c r="BV804" s="163"/>
      <c r="BW804" s="163"/>
      <c r="BX804" s="163"/>
      <c r="BY804" s="163"/>
      <c r="BZ804" s="163"/>
      <c r="CA804" s="163"/>
      <c r="CB804" s="161"/>
      <c r="CC804" s="161"/>
      <c r="CD804" s="161"/>
      <c r="CE804" s="161"/>
      <c r="CF804" s="161"/>
      <c r="CG804" s="3"/>
      <c r="CH804" s="3"/>
      <c r="CI804" s="3"/>
      <c r="CJ804" s="3"/>
      <c r="CK804" s="3"/>
      <c r="CL804" s="3"/>
      <c r="CM804" s="3"/>
      <c r="CN804" s="3"/>
    </row>
    <row r="805" spans="1:92" ht="14.4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53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80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161"/>
      <c r="BS805" s="161"/>
      <c r="BT805" s="161"/>
      <c r="BU805" s="162"/>
      <c r="BV805" s="163"/>
      <c r="BW805" s="163"/>
      <c r="BX805" s="163"/>
      <c r="BY805" s="163"/>
      <c r="BZ805" s="163"/>
      <c r="CA805" s="163"/>
      <c r="CB805" s="161"/>
      <c r="CC805" s="161"/>
      <c r="CD805" s="161"/>
      <c r="CE805" s="161"/>
      <c r="CF805" s="161"/>
      <c r="CG805" s="3"/>
      <c r="CH805" s="3"/>
      <c r="CI805" s="3"/>
      <c r="CJ805" s="3"/>
      <c r="CK805" s="3"/>
      <c r="CL805" s="3"/>
      <c r="CM805" s="3"/>
      <c r="CN805" s="3"/>
    </row>
    <row r="806" spans="1:92" ht="14.4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53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80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161"/>
      <c r="BS806" s="161"/>
      <c r="BT806" s="161"/>
      <c r="BU806" s="162"/>
      <c r="BV806" s="163"/>
      <c r="BW806" s="163"/>
      <c r="BX806" s="163"/>
      <c r="BY806" s="163"/>
      <c r="BZ806" s="163"/>
      <c r="CA806" s="163"/>
      <c r="CB806" s="161"/>
      <c r="CC806" s="161"/>
      <c r="CD806" s="161"/>
      <c r="CE806" s="161"/>
      <c r="CF806" s="161"/>
      <c r="CG806" s="3"/>
      <c r="CH806" s="3"/>
      <c r="CI806" s="3"/>
      <c r="CJ806" s="3"/>
      <c r="CK806" s="3"/>
      <c r="CL806" s="3"/>
      <c r="CM806" s="3"/>
      <c r="CN806" s="3"/>
    </row>
    <row r="807" spans="1:92" ht="14.4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53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80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161"/>
      <c r="BS807" s="161"/>
      <c r="BT807" s="161"/>
      <c r="BU807" s="162"/>
      <c r="BV807" s="163"/>
      <c r="BW807" s="163"/>
      <c r="BX807" s="163"/>
      <c r="BY807" s="163"/>
      <c r="BZ807" s="163"/>
      <c r="CA807" s="163"/>
      <c r="CB807" s="161"/>
      <c r="CC807" s="161"/>
      <c r="CD807" s="161"/>
      <c r="CE807" s="161"/>
      <c r="CF807" s="161"/>
      <c r="CG807" s="3"/>
      <c r="CH807" s="3"/>
      <c r="CI807" s="3"/>
      <c r="CJ807" s="3"/>
      <c r="CK807" s="3"/>
      <c r="CL807" s="3"/>
      <c r="CM807" s="3"/>
      <c r="CN807" s="3"/>
    </row>
    <row r="808" spans="1:92" ht="14.4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53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80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161"/>
      <c r="BS808" s="161"/>
      <c r="BT808" s="161"/>
      <c r="BU808" s="162"/>
      <c r="BV808" s="163"/>
      <c r="BW808" s="163"/>
      <c r="BX808" s="163"/>
      <c r="BY808" s="163"/>
      <c r="BZ808" s="163"/>
      <c r="CA808" s="163"/>
      <c r="CB808" s="161"/>
      <c r="CC808" s="161"/>
      <c r="CD808" s="161"/>
      <c r="CE808" s="161"/>
      <c r="CF808" s="161"/>
      <c r="CG808" s="3"/>
      <c r="CH808" s="3"/>
      <c r="CI808" s="3"/>
      <c r="CJ808" s="3"/>
      <c r="CK808" s="3"/>
      <c r="CL808" s="3"/>
      <c r="CM808" s="3"/>
      <c r="CN808" s="3"/>
    </row>
    <row r="809" spans="1:92" ht="14.4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53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80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161"/>
      <c r="BS809" s="161"/>
      <c r="BT809" s="161"/>
      <c r="BU809" s="162"/>
      <c r="BV809" s="163"/>
      <c r="BW809" s="163"/>
      <c r="BX809" s="163"/>
      <c r="BY809" s="163"/>
      <c r="BZ809" s="163"/>
      <c r="CA809" s="163"/>
      <c r="CB809" s="161"/>
      <c r="CC809" s="161"/>
      <c r="CD809" s="161"/>
      <c r="CE809" s="161"/>
      <c r="CF809" s="161"/>
      <c r="CG809" s="3"/>
      <c r="CH809" s="3"/>
      <c r="CI809" s="3"/>
      <c r="CJ809" s="3"/>
      <c r="CK809" s="3"/>
      <c r="CL809" s="3"/>
      <c r="CM809" s="3"/>
      <c r="CN809" s="3"/>
    </row>
    <row r="810" spans="1:92" ht="14.4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53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80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161"/>
      <c r="BS810" s="161"/>
      <c r="BT810" s="161"/>
      <c r="BU810" s="162"/>
      <c r="BV810" s="163"/>
      <c r="BW810" s="163"/>
      <c r="BX810" s="163"/>
      <c r="BY810" s="163"/>
      <c r="BZ810" s="163"/>
      <c r="CA810" s="163"/>
      <c r="CB810" s="161"/>
      <c r="CC810" s="161"/>
      <c r="CD810" s="161"/>
      <c r="CE810" s="161"/>
      <c r="CF810" s="161"/>
      <c r="CG810" s="3"/>
      <c r="CH810" s="3"/>
      <c r="CI810" s="3"/>
      <c r="CJ810" s="3"/>
      <c r="CK810" s="3"/>
      <c r="CL810" s="3"/>
      <c r="CM810" s="3"/>
      <c r="CN810" s="3"/>
    </row>
    <row r="811" spans="1:92" ht="14.4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53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80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161"/>
      <c r="BS811" s="161"/>
      <c r="BT811" s="161"/>
      <c r="BU811" s="162"/>
      <c r="BV811" s="163"/>
      <c r="BW811" s="163"/>
      <c r="BX811" s="163"/>
      <c r="BY811" s="163"/>
      <c r="BZ811" s="163"/>
      <c r="CA811" s="163"/>
      <c r="CB811" s="161"/>
      <c r="CC811" s="161"/>
      <c r="CD811" s="161"/>
      <c r="CE811" s="161"/>
      <c r="CF811" s="161"/>
      <c r="CG811" s="3"/>
      <c r="CH811" s="3"/>
      <c r="CI811" s="3"/>
      <c r="CJ811" s="3"/>
      <c r="CK811" s="3"/>
      <c r="CL811" s="3"/>
      <c r="CM811" s="3"/>
      <c r="CN811" s="3"/>
    </row>
    <row r="812" spans="1:92" ht="14.4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53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80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161"/>
      <c r="BS812" s="161"/>
      <c r="BT812" s="161"/>
      <c r="BU812" s="162"/>
      <c r="BV812" s="163"/>
      <c r="BW812" s="163"/>
      <c r="BX812" s="163"/>
      <c r="BY812" s="163"/>
      <c r="BZ812" s="163"/>
      <c r="CA812" s="163"/>
      <c r="CB812" s="161"/>
      <c r="CC812" s="161"/>
      <c r="CD812" s="161"/>
      <c r="CE812" s="161"/>
      <c r="CF812" s="161"/>
      <c r="CG812" s="3"/>
      <c r="CH812" s="3"/>
      <c r="CI812" s="3"/>
      <c r="CJ812" s="3"/>
      <c r="CK812" s="3"/>
      <c r="CL812" s="3"/>
      <c r="CM812" s="3"/>
      <c r="CN812" s="3"/>
    </row>
    <row r="813" spans="1:92" ht="14.4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53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80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161"/>
      <c r="BS813" s="161"/>
      <c r="BT813" s="161"/>
      <c r="BU813" s="162"/>
      <c r="BV813" s="163"/>
      <c r="BW813" s="163"/>
      <c r="BX813" s="163"/>
      <c r="BY813" s="163"/>
      <c r="BZ813" s="163"/>
      <c r="CA813" s="163"/>
      <c r="CB813" s="161"/>
      <c r="CC813" s="161"/>
      <c r="CD813" s="161"/>
      <c r="CE813" s="161"/>
      <c r="CF813" s="161"/>
      <c r="CG813" s="3"/>
      <c r="CH813" s="3"/>
      <c r="CI813" s="3"/>
      <c r="CJ813" s="3"/>
      <c r="CK813" s="3"/>
      <c r="CL813" s="3"/>
      <c r="CM813" s="3"/>
      <c r="CN813" s="3"/>
    </row>
    <row r="814" spans="1:92" ht="14.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53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80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161"/>
      <c r="BS814" s="161"/>
      <c r="BT814" s="161"/>
      <c r="BU814" s="162"/>
      <c r="BV814" s="163"/>
      <c r="BW814" s="163"/>
      <c r="BX814" s="163"/>
      <c r="BY814" s="163"/>
      <c r="BZ814" s="163"/>
      <c r="CA814" s="163"/>
      <c r="CB814" s="161"/>
      <c r="CC814" s="161"/>
      <c r="CD814" s="161"/>
      <c r="CE814" s="161"/>
      <c r="CF814" s="161"/>
      <c r="CG814" s="3"/>
      <c r="CH814" s="3"/>
      <c r="CI814" s="3"/>
      <c r="CJ814" s="3"/>
      <c r="CK814" s="3"/>
      <c r="CL814" s="3"/>
      <c r="CM814" s="3"/>
      <c r="CN814" s="3"/>
    </row>
    <row r="815" spans="1:92" ht="14.4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53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80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161"/>
      <c r="BS815" s="161"/>
      <c r="BT815" s="161"/>
      <c r="BU815" s="162"/>
      <c r="BV815" s="163"/>
      <c r="BW815" s="163"/>
      <c r="BX815" s="163"/>
      <c r="BY815" s="163"/>
      <c r="BZ815" s="163"/>
      <c r="CA815" s="163"/>
      <c r="CB815" s="161"/>
      <c r="CC815" s="161"/>
      <c r="CD815" s="161"/>
      <c r="CE815" s="161"/>
      <c r="CF815" s="161"/>
      <c r="CG815" s="3"/>
      <c r="CH815" s="3"/>
      <c r="CI815" s="3"/>
      <c r="CJ815" s="3"/>
      <c r="CK815" s="3"/>
      <c r="CL815" s="3"/>
      <c r="CM815" s="3"/>
      <c r="CN815" s="3"/>
    </row>
    <row r="816" spans="1:92" ht="14.4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53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80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161"/>
      <c r="BS816" s="161"/>
      <c r="BT816" s="161"/>
      <c r="BU816" s="162"/>
      <c r="BV816" s="163"/>
      <c r="BW816" s="163"/>
      <c r="BX816" s="163"/>
      <c r="BY816" s="163"/>
      <c r="BZ816" s="163"/>
      <c r="CA816" s="163"/>
      <c r="CB816" s="161"/>
      <c r="CC816" s="161"/>
      <c r="CD816" s="161"/>
      <c r="CE816" s="161"/>
      <c r="CF816" s="161"/>
      <c r="CG816" s="3"/>
      <c r="CH816" s="3"/>
      <c r="CI816" s="3"/>
      <c r="CJ816" s="3"/>
      <c r="CK816" s="3"/>
      <c r="CL816" s="3"/>
      <c r="CM816" s="3"/>
      <c r="CN816" s="3"/>
    </row>
    <row r="817" spans="1:92" ht="14.4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53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80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161"/>
      <c r="BS817" s="161"/>
      <c r="BT817" s="161"/>
      <c r="BU817" s="162"/>
      <c r="BV817" s="163"/>
      <c r="BW817" s="163"/>
      <c r="BX817" s="163"/>
      <c r="BY817" s="163"/>
      <c r="BZ817" s="163"/>
      <c r="CA817" s="163"/>
      <c r="CB817" s="161"/>
      <c r="CC817" s="161"/>
      <c r="CD817" s="161"/>
      <c r="CE817" s="161"/>
      <c r="CF817" s="161"/>
      <c r="CG817" s="3"/>
      <c r="CH817" s="3"/>
      <c r="CI817" s="3"/>
      <c r="CJ817" s="3"/>
      <c r="CK817" s="3"/>
      <c r="CL817" s="3"/>
      <c r="CM817" s="3"/>
      <c r="CN817" s="3"/>
    </row>
    <row r="818" spans="1:92" ht="14.4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53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80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161"/>
      <c r="BS818" s="161"/>
      <c r="BT818" s="161"/>
      <c r="BU818" s="162"/>
      <c r="BV818" s="163"/>
      <c r="BW818" s="163"/>
      <c r="BX818" s="163"/>
      <c r="BY818" s="163"/>
      <c r="BZ818" s="163"/>
      <c r="CA818" s="163"/>
      <c r="CB818" s="161"/>
      <c r="CC818" s="161"/>
      <c r="CD818" s="161"/>
      <c r="CE818" s="161"/>
      <c r="CF818" s="161"/>
      <c r="CG818" s="3"/>
      <c r="CH818" s="3"/>
      <c r="CI818" s="3"/>
      <c r="CJ818" s="3"/>
      <c r="CK818" s="3"/>
      <c r="CL818" s="3"/>
      <c r="CM818" s="3"/>
      <c r="CN818" s="3"/>
    </row>
    <row r="819" spans="1:92" ht="14.4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53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80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161"/>
      <c r="BS819" s="161"/>
      <c r="BT819" s="161"/>
      <c r="BU819" s="162"/>
      <c r="BV819" s="163"/>
      <c r="BW819" s="163"/>
      <c r="BX819" s="163"/>
      <c r="BY819" s="163"/>
      <c r="BZ819" s="163"/>
      <c r="CA819" s="163"/>
      <c r="CB819" s="161"/>
      <c r="CC819" s="161"/>
      <c r="CD819" s="161"/>
      <c r="CE819" s="161"/>
      <c r="CF819" s="161"/>
      <c r="CG819" s="3"/>
      <c r="CH819" s="3"/>
      <c r="CI819" s="3"/>
      <c r="CJ819" s="3"/>
      <c r="CK819" s="3"/>
      <c r="CL819" s="3"/>
      <c r="CM819" s="3"/>
      <c r="CN819" s="3"/>
    </row>
    <row r="820" spans="1:92" ht="14.4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53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80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161"/>
      <c r="BS820" s="161"/>
      <c r="BT820" s="161"/>
      <c r="BU820" s="162"/>
      <c r="BV820" s="163"/>
      <c r="BW820" s="163"/>
      <c r="BX820" s="163"/>
      <c r="BY820" s="163"/>
      <c r="BZ820" s="163"/>
      <c r="CA820" s="163"/>
      <c r="CB820" s="161"/>
      <c r="CC820" s="161"/>
      <c r="CD820" s="161"/>
      <c r="CE820" s="161"/>
      <c r="CF820" s="161"/>
      <c r="CG820" s="3"/>
      <c r="CH820" s="3"/>
      <c r="CI820" s="3"/>
      <c r="CJ820" s="3"/>
      <c r="CK820" s="3"/>
      <c r="CL820" s="3"/>
      <c r="CM820" s="3"/>
      <c r="CN820" s="3"/>
    </row>
    <row r="821" spans="1:92" ht="14.4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53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80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161"/>
      <c r="BS821" s="161"/>
      <c r="BT821" s="161"/>
      <c r="BU821" s="162"/>
      <c r="BV821" s="163"/>
      <c r="BW821" s="163"/>
      <c r="BX821" s="163"/>
      <c r="BY821" s="163"/>
      <c r="BZ821" s="163"/>
      <c r="CA821" s="163"/>
      <c r="CB821" s="161"/>
      <c r="CC821" s="161"/>
      <c r="CD821" s="161"/>
      <c r="CE821" s="161"/>
      <c r="CF821" s="161"/>
      <c r="CG821" s="3"/>
      <c r="CH821" s="3"/>
      <c r="CI821" s="3"/>
      <c r="CJ821" s="3"/>
      <c r="CK821" s="3"/>
      <c r="CL821" s="3"/>
      <c r="CM821" s="3"/>
      <c r="CN821" s="3"/>
    </row>
    <row r="822" spans="1:92" ht="14.4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53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80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161"/>
      <c r="BS822" s="161"/>
      <c r="BT822" s="161"/>
      <c r="BU822" s="162"/>
      <c r="BV822" s="163"/>
      <c r="BW822" s="163"/>
      <c r="BX822" s="163"/>
      <c r="BY822" s="163"/>
      <c r="BZ822" s="163"/>
      <c r="CA822" s="163"/>
      <c r="CB822" s="161"/>
      <c r="CC822" s="161"/>
      <c r="CD822" s="161"/>
      <c r="CE822" s="161"/>
      <c r="CF822" s="161"/>
      <c r="CG822" s="3"/>
      <c r="CH822" s="3"/>
      <c r="CI822" s="3"/>
      <c r="CJ822" s="3"/>
      <c r="CK822" s="3"/>
      <c r="CL822" s="3"/>
      <c r="CM822" s="3"/>
      <c r="CN822" s="3"/>
    </row>
    <row r="823" spans="1:92" ht="14.4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53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80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161"/>
      <c r="BS823" s="161"/>
      <c r="BT823" s="161"/>
      <c r="BU823" s="162"/>
      <c r="BV823" s="163"/>
      <c r="BW823" s="163"/>
      <c r="BX823" s="163"/>
      <c r="BY823" s="163"/>
      <c r="BZ823" s="163"/>
      <c r="CA823" s="163"/>
      <c r="CB823" s="161"/>
      <c r="CC823" s="161"/>
      <c r="CD823" s="161"/>
      <c r="CE823" s="161"/>
      <c r="CF823" s="161"/>
      <c r="CG823" s="3"/>
      <c r="CH823" s="3"/>
      <c r="CI823" s="3"/>
      <c r="CJ823" s="3"/>
      <c r="CK823" s="3"/>
      <c r="CL823" s="3"/>
      <c r="CM823" s="3"/>
      <c r="CN823" s="3"/>
    </row>
    <row r="824" spans="1:92" ht="14.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53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80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161"/>
      <c r="BS824" s="161"/>
      <c r="BT824" s="161"/>
      <c r="BU824" s="162"/>
      <c r="BV824" s="163"/>
      <c r="BW824" s="163"/>
      <c r="BX824" s="163"/>
      <c r="BY824" s="163"/>
      <c r="BZ824" s="163"/>
      <c r="CA824" s="163"/>
      <c r="CB824" s="161"/>
      <c r="CC824" s="161"/>
      <c r="CD824" s="161"/>
      <c r="CE824" s="161"/>
      <c r="CF824" s="161"/>
      <c r="CG824" s="3"/>
      <c r="CH824" s="3"/>
      <c r="CI824" s="3"/>
      <c r="CJ824" s="3"/>
      <c r="CK824" s="3"/>
      <c r="CL824" s="3"/>
      <c r="CM824" s="3"/>
      <c r="CN824" s="3"/>
    </row>
    <row r="825" spans="1:92" ht="14.4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53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80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161"/>
      <c r="BS825" s="161"/>
      <c r="BT825" s="161"/>
      <c r="BU825" s="162"/>
      <c r="BV825" s="163"/>
      <c r="BW825" s="163"/>
      <c r="BX825" s="163"/>
      <c r="BY825" s="163"/>
      <c r="BZ825" s="163"/>
      <c r="CA825" s="163"/>
      <c r="CB825" s="161"/>
      <c r="CC825" s="161"/>
      <c r="CD825" s="161"/>
      <c r="CE825" s="161"/>
      <c r="CF825" s="161"/>
      <c r="CG825" s="3"/>
      <c r="CH825" s="3"/>
      <c r="CI825" s="3"/>
      <c r="CJ825" s="3"/>
      <c r="CK825" s="3"/>
      <c r="CL825" s="3"/>
      <c r="CM825" s="3"/>
      <c r="CN825" s="3"/>
    </row>
    <row r="826" spans="1:92" ht="14.4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53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80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161"/>
      <c r="BS826" s="161"/>
      <c r="BT826" s="161"/>
      <c r="BU826" s="162"/>
      <c r="BV826" s="163"/>
      <c r="BW826" s="163"/>
      <c r="BX826" s="163"/>
      <c r="BY826" s="163"/>
      <c r="BZ826" s="163"/>
      <c r="CA826" s="163"/>
      <c r="CB826" s="161"/>
      <c r="CC826" s="161"/>
      <c r="CD826" s="161"/>
      <c r="CE826" s="161"/>
      <c r="CF826" s="161"/>
      <c r="CG826" s="3"/>
      <c r="CH826" s="3"/>
      <c r="CI826" s="3"/>
      <c r="CJ826" s="3"/>
      <c r="CK826" s="3"/>
      <c r="CL826" s="3"/>
      <c r="CM826" s="3"/>
      <c r="CN826" s="3"/>
    </row>
    <row r="827" spans="1:92" ht="14.4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53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80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161"/>
      <c r="BS827" s="161"/>
      <c r="BT827" s="161"/>
      <c r="BU827" s="162"/>
      <c r="BV827" s="163"/>
      <c r="BW827" s="163"/>
      <c r="BX827" s="163"/>
      <c r="BY827" s="163"/>
      <c r="BZ827" s="163"/>
      <c r="CA827" s="163"/>
      <c r="CB827" s="161"/>
      <c r="CC827" s="161"/>
      <c r="CD827" s="161"/>
      <c r="CE827" s="161"/>
      <c r="CF827" s="161"/>
      <c r="CG827" s="3"/>
      <c r="CH827" s="3"/>
      <c r="CI827" s="3"/>
      <c r="CJ827" s="3"/>
      <c r="CK827" s="3"/>
      <c r="CL827" s="3"/>
      <c r="CM827" s="3"/>
      <c r="CN827" s="3"/>
    </row>
    <row r="828" spans="1:92" ht="14.4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53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80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161"/>
      <c r="BS828" s="161"/>
      <c r="BT828" s="161"/>
      <c r="BU828" s="162"/>
      <c r="BV828" s="163"/>
      <c r="BW828" s="163"/>
      <c r="BX828" s="163"/>
      <c r="BY828" s="163"/>
      <c r="BZ828" s="163"/>
      <c r="CA828" s="163"/>
      <c r="CB828" s="161"/>
      <c r="CC828" s="161"/>
      <c r="CD828" s="161"/>
      <c r="CE828" s="161"/>
      <c r="CF828" s="161"/>
      <c r="CG828" s="3"/>
      <c r="CH828" s="3"/>
      <c r="CI828" s="3"/>
      <c r="CJ828" s="3"/>
      <c r="CK828" s="3"/>
      <c r="CL828" s="3"/>
      <c r="CM828" s="3"/>
      <c r="CN828" s="3"/>
    </row>
    <row r="829" spans="1:92" ht="14.4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53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80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161"/>
      <c r="BS829" s="161"/>
      <c r="BT829" s="161"/>
      <c r="BU829" s="162"/>
      <c r="BV829" s="163"/>
      <c r="BW829" s="163"/>
      <c r="BX829" s="163"/>
      <c r="BY829" s="163"/>
      <c r="BZ829" s="163"/>
      <c r="CA829" s="163"/>
      <c r="CB829" s="161"/>
      <c r="CC829" s="161"/>
      <c r="CD829" s="161"/>
      <c r="CE829" s="161"/>
      <c r="CF829" s="161"/>
      <c r="CG829" s="3"/>
      <c r="CH829" s="3"/>
      <c r="CI829" s="3"/>
      <c r="CJ829" s="3"/>
      <c r="CK829" s="3"/>
      <c r="CL829" s="3"/>
      <c r="CM829" s="3"/>
      <c r="CN829" s="3"/>
    </row>
    <row r="830" spans="1:92" ht="14.4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53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80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161"/>
      <c r="BS830" s="161"/>
      <c r="BT830" s="161"/>
      <c r="BU830" s="162"/>
      <c r="BV830" s="163"/>
      <c r="BW830" s="163"/>
      <c r="BX830" s="163"/>
      <c r="BY830" s="163"/>
      <c r="BZ830" s="163"/>
      <c r="CA830" s="163"/>
      <c r="CB830" s="161"/>
      <c r="CC830" s="161"/>
      <c r="CD830" s="161"/>
      <c r="CE830" s="161"/>
      <c r="CF830" s="161"/>
      <c r="CG830" s="3"/>
      <c r="CH830" s="3"/>
      <c r="CI830" s="3"/>
      <c r="CJ830" s="3"/>
      <c r="CK830" s="3"/>
      <c r="CL830" s="3"/>
      <c r="CM830" s="3"/>
      <c r="CN830" s="3"/>
    </row>
    <row r="831" spans="1:92" ht="14.4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53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80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161"/>
      <c r="BS831" s="161"/>
      <c r="BT831" s="161"/>
      <c r="BU831" s="162"/>
      <c r="BV831" s="163"/>
      <c r="BW831" s="163"/>
      <c r="BX831" s="163"/>
      <c r="BY831" s="163"/>
      <c r="BZ831" s="163"/>
      <c r="CA831" s="163"/>
      <c r="CB831" s="161"/>
      <c r="CC831" s="161"/>
      <c r="CD831" s="161"/>
      <c r="CE831" s="161"/>
      <c r="CF831" s="161"/>
      <c r="CG831" s="3"/>
      <c r="CH831" s="3"/>
      <c r="CI831" s="3"/>
      <c r="CJ831" s="3"/>
      <c r="CK831" s="3"/>
      <c r="CL831" s="3"/>
      <c r="CM831" s="3"/>
      <c r="CN831" s="3"/>
    </row>
    <row r="832" spans="1:92" ht="14.4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53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80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161"/>
      <c r="BS832" s="161"/>
      <c r="BT832" s="161"/>
      <c r="BU832" s="162"/>
      <c r="BV832" s="163"/>
      <c r="BW832" s="163"/>
      <c r="BX832" s="163"/>
      <c r="BY832" s="163"/>
      <c r="BZ832" s="163"/>
      <c r="CA832" s="163"/>
      <c r="CB832" s="161"/>
      <c r="CC832" s="161"/>
      <c r="CD832" s="161"/>
      <c r="CE832" s="161"/>
      <c r="CF832" s="161"/>
      <c r="CG832" s="3"/>
      <c r="CH832" s="3"/>
      <c r="CI832" s="3"/>
      <c r="CJ832" s="3"/>
      <c r="CK832" s="3"/>
      <c r="CL832" s="3"/>
      <c r="CM832" s="3"/>
      <c r="CN832" s="3"/>
    </row>
    <row r="833" spans="1:92" ht="14.4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53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80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161"/>
      <c r="BS833" s="161"/>
      <c r="BT833" s="161"/>
      <c r="BU833" s="162"/>
      <c r="BV833" s="163"/>
      <c r="BW833" s="163"/>
      <c r="BX833" s="163"/>
      <c r="BY833" s="163"/>
      <c r="BZ833" s="163"/>
      <c r="CA833" s="163"/>
      <c r="CB833" s="161"/>
      <c r="CC833" s="161"/>
      <c r="CD833" s="161"/>
      <c r="CE833" s="161"/>
      <c r="CF833" s="161"/>
      <c r="CG833" s="3"/>
      <c r="CH833" s="3"/>
      <c r="CI833" s="3"/>
      <c r="CJ833" s="3"/>
      <c r="CK833" s="3"/>
      <c r="CL833" s="3"/>
      <c r="CM833" s="3"/>
      <c r="CN833" s="3"/>
    </row>
    <row r="834" spans="1:92" ht="14.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53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80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161"/>
      <c r="BS834" s="161"/>
      <c r="BT834" s="161"/>
      <c r="BU834" s="162"/>
      <c r="BV834" s="163"/>
      <c r="BW834" s="163"/>
      <c r="BX834" s="163"/>
      <c r="BY834" s="163"/>
      <c r="BZ834" s="163"/>
      <c r="CA834" s="163"/>
      <c r="CB834" s="161"/>
      <c r="CC834" s="161"/>
      <c r="CD834" s="161"/>
      <c r="CE834" s="161"/>
      <c r="CF834" s="161"/>
      <c r="CG834" s="3"/>
      <c r="CH834" s="3"/>
      <c r="CI834" s="3"/>
      <c r="CJ834" s="3"/>
      <c r="CK834" s="3"/>
      <c r="CL834" s="3"/>
      <c r="CM834" s="3"/>
      <c r="CN834" s="3"/>
    </row>
    <row r="835" spans="1:92" ht="14.4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53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80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161"/>
      <c r="BS835" s="161"/>
      <c r="BT835" s="161"/>
      <c r="BU835" s="162"/>
      <c r="BV835" s="163"/>
      <c r="BW835" s="163"/>
      <c r="BX835" s="163"/>
      <c r="BY835" s="163"/>
      <c r="BZ835" s="163"/>
      <c r="CA835" s="163"/>
      <c r="CB835" s="161"/>
      <c r="CC835" s="161"/>
      <c r="CD835" s="161"/>
      <c r="CE835" s="161"/>
      <c r="CF835" s="161"/>
      <c r="CG835" s="3"/>
      <c r="CH835" s="3"/>
      <c r="CI835" s="3"/>
      <c r="CJ835" s="3"/>
      <c r="CK835" s="3"/>
      <c r="CL835" s="3"/>
      <c r="CM835" s="3"/>
      <c r="CN835" s="3"/>
    </row>
    <row r="836" spans="1:92" ht="14.4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53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80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161"/>
      <c r="BS836" s="161"/>
      <c r="BT836" s="161"/>
      <c r="BU836" s="162"/>
      <c r="BV836" s="163"/>
      <c r="BW836" s="163"/>
      <c r="BX836" s="163"/>
      <c r="BY836" s="163"/>
      <c r="BZ836" s="163"/>
      <c r="CA836" s="163"/>
      <c r="CB836" s="161"/>
      <c r="CC836" s="161"/>
      <c r="CD836" s="161"/>
      <c r="CE836" s="161"/>
      <c r="CF836" s="161"/>
      <c r="CG836" s="3"/>
      <c r="CH836" s="3"/>
      <c r="CI836" s="3"/>
      <c r="CJ836" s="3"/>
      <c r="CK836" s="3"/>
      <c r="CL836" s="3"/>
      <c r="CM836" s="3"/>
      <c r="CN836" s="3"/>
    </row>
    <row r="837" spans="1:92" ht="14.4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53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80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161"/>
      <c r="BS837" s="161"/>
      <c r="BT837" s="161"/>
      <c r="BU837" s="162"/>
      <c r="BV837" s="163"/>
      <c r="BW837" s="163"/>
      <c r="BX837" s="163"/>
      <c r="BY837" s="163"/>
      <c r="BZ837" s="163"/>
      <c r="CA837" s="163"/>
      <c r="CB837" s="161"/>
      <c r="CC837" s="161"/>
      <c r="CD837" s="161"/>
      <c r="CE837" s="161"/>
      <c r="CF837" s="161"/>
      <c r="CG837" s="3"/>
      <c r="CH837" s="3"/>
      <c r="CI837" s="3"/>
      <c r="CJ837" s="3"/>
      <c r="CK837" s="3"/>
      <c r="CL837" s="3"/>
      <c r="CM837" s="3"/>
      <c r="CN837" s="3"/>
    </row>
    <row r="838" spans="1:92" ht="14.4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53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80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161"/>
      <c r="BS838" s="161"/>
      <c r="BT838" s="161"/>
      <c r="BU838" s="162"/>
      <c r="BV838" s="163"/>
      <c r="BW838" s="163"/>
      <c r="BX838" s="163"/>
      <c r="BY838" s="163"/>
      <c r="BZ838" s="163"/>
      <c r="CA838" s="163"/>
      <c r="CB838" s="161"/>
      <c r="CC838" s="161"/>
      <c r="CD838" s="161"/>
      <c r="CE838" s="161"/>
      <c r="CF838" s="161"/>
      <c r="CG838" s="3"/>
      <c r="CH838" s="3"/>
      <c r="CI838" s="3"/>
      <c r="CJ838" s="3"/>
      <c r="CK838" s="3"/>
      <c r="CL838" s="3"/>
      <c r="CM838" s="3"/>
      <c r="CN838" s="3"/>
    </row>
    <row r="839" spans="1:92" ht="14.4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53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80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161"/>
      <c r="BS839" s="161"/>
      <c r="BT839" s="161"/>
      <c r="BU839" s="162"/>
      <c r="BV839" s="163"/>
      <c r="BW839" s="163"/>
      <c r="BX839" s="163"/>
      <c r="BY839" s="163"/>
      <c r="BZ839" s="163"/>
      <c r="CA839" s="163"/>
      <c r="CB839" s="161"/>
      <c r="CC839" s="161"/>
      <c r="CD839" s="161"/>
      <c r="CE839" s="161"/>
      <c r="CF839" s="161"/>
      <c r="CG839" s="3"/>
      <c r="CH839" s="3"/>
      <c r="CI839" s="3"/>
      <c r="CJ839" s="3"/>
      <c r="CK839" s="3"/>
      <c r="CL839" s="3"/>
      <c r="CM839" s="3"/>
      <c r="CN839" s="3"/>
    </row>
    <row r="840" spans="1:92" ht="14.4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53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80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161"/>
      <c r="BS840" s="161"/>
      <c r="BT840" s="161"/>
      <c r="BU840" s="162"/>
      <c r="BV840" s="163"/>
      <c r="BW840" s="163"/>
      <c r="BX840" s="163"/>
      <c r="BY840" s="163"/>
      <c r="BZ840" s="163"/>
      <c r="CA840" s="163"/>
      <c r="CB840" s="161"/>
      <c r="CC840" s="161"/>
      <c r="CD840" s="161"/>
      <c r="CE840" s="161"/>
      <c r="CF840" s="161"/>
      <c r="CG840" s="3"/>
      <c r="CH840" s="3"/>
      <c r="CI840" s="3"/>
      <c r="CJ840" s="3"/>
      <c r="CK840" s="3"/>
      <c r="CL840" s="3"/>
      <c r="CM840" s="3"/>
      <c r="CN840" s="3"/>
    </row>
    <row r="841" spans="1:92" ht="14.4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53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80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161"/>
      <c r="BS841" s="161"/>
      <c r="BT841" s="161"/>
      <c r="BU841" s="162"/>
      <c r="BV841" s="163"/>
      <c r="BW841" s="163"/>
      <c r="BX841" s="163"/>
      <c r="BY841" s="163"/>
      <c r="BZ841" s="163"/>
      <c r="CA841" s="163"/>
      <c r="CB841" s="161"/>
      <c r="CC841" s="161"/>
      <c r="CD841" s="161"/>
      <c r="CE841" s="161"/>
      <c r="CF841" s="161"/>
      <c r="CG841" s="3"/>
      <c r="CH841" s="3"/>
      <c r="CI841" s="3"/>
      <c r="CJ841" s="3"/>
      <c r="CK841" s="3"/>
      <c r="CL841" s="3"/>
      <c r="CM841" s="3"/>
      <c r="CN841" s="3"/>
    </row>
    <row r="842" spans="1:92" ht="14.4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53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80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161"/>
      <c r="BS842" s="161"/>
      <c r="BT842" s="161"/>
      <c r="BU842" s="162"/>
      <c r="BV842" s="163"/>
      <c r="BW842" s="163"/>
      <c r="BX842" s="163"/>
      <c r="BY842" s="163"/>
      <c r="BZ842" s="163"/>
      <c r="CA842" s="163"/>
      <c r="CB842" s="161"/>
      <c r="CC842" s="161"/>
      <c r="CD842" s="161"/>
      <c r="CE842" s="161"/>
      <c r="CF842" s="161"/>
      <c r="CG842" s="3"/>
      <c r="CH842" s="3"/>
      <c r="CI842" s="3"/>
      <c r="CJ842" s="3"/>
      <c r="CK842" s="3"/>
      <c r="CL842" s="3"/>
      <c r="CM842" s="3"/>
      <c r="CN842" s="3"/>
    </row>
    <row r="843" spans="1:92" ht="14.4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53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80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161"/>
      <c r="BS843" s="161"/>
      <c r="BT843" s="161"/>
      <c r="BU843" s="162"/>
      <c r="BV843" s="163"/>
      <c r="BW843" s="163"/>
      <c r="BX843" s="163"/>
      <c r="BY843" s="163"/>
      <c r="BZ843" s="163"/>
      <c r="CA843" s="163"/>
      <c r="CB843" s="161"/>
      <c r="CC843" s="161"/>
      <c r="CD843" s="161"/>
      <c r="CE843" s="161"/>
      <c r="CF843" s="161"/>
      <c r="CG843" s="3"/>
      <c r="CH843" s="3"/>
      <c r="CI843" s="3"/>
      <c r="CJ843" s="3"/>
      <c r="CK843" s="3"/>
      <c r="CL843" s="3"/>
      <c r="CM843" s="3"/>
      <c r="CN843" s="3"/>
    </row>
    <row r="844" spans="1:92" ht="14.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53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80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161"/>
      <c r="BS844" s="161"/>
      <c r="BT844" s="161"/>
      <c r="BU844" s="162"/>
      <c r="BV844" s="163"/>
      <c r="BW844" s="163"/>
      <c r="BX844" s="163"/>
      <c r="BY844" s="163"/>
      <c r="BZ844" s="163"/>
      <c r="CA844" s="163"/>
      <c r="CB844" s="161"/>
      <c r="CC844" s="161"/>
      <c r="CD844" s="161"/>
      <c r="CE844" s="161"/>
      <c r="CF844" s="161"/>
      <c r="CG844" s="3"/>
      <c r="CH844" s="3"/>
      <c r="CI844" s="3"/>
      <c r="CJ844" s="3"/>
      <c r="CK844" s="3"/>
      <c r="CL844" s="3"/>
      <c r="CM844" s="3"/>
      <c r="CN844" s="3"/>
    </row>
    <row r="845" spans="1:92" ht="14.4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53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80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161"/>
      <c r="BS845" s="161"/>
      <c r="BT845" s="161"/>
      <c r="BU845" s="162"/>
      <c r="BV845" s="163"/>
      <c r="BW845" s="163"/>
      <c r="BX845" s="163"/>
      <c r="BY845" s="163"/>
      <c r="BZ845" s="163"/>
      <c r="CA845" s="163"/>
      <c r="CB845" s="161"/>
      <c r="CC845" s="161"/>
      <c r="CD845" s="161"/>
      <c r="CE845" s="161"/>
      <c r="CF845" s="161"/>
      <c r="CG845" s="3"/>
      <c r="CH845" s="3"/>
      <c r="CI845" s="3"/>
      <c r="CJ845" s="3"/>
      <c r="CK845" s="3"/>
      <c r="CL845" s="3"/>
      <c r="CM845" s="3"/>
      <c r="CN845" s="3"/>
    </row>
    <row r="846" spans="1:92" ht="14.4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53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80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161"/>
      <c r="BS846" s="161"/>
      <c r="BT846" s="161"/>
      <c r="BU846" s="162"/>
      <c r="BV846" s="163"/>
      <c r="BW846" s="163"/>
      <c r="BX846" s="163"/>
      <c r="BY846" s="163"/>
      <c r="BZ846" s="163"/>
      <c r="CA846" s="163"/>
      <c r="CB846" s="161"/>
      <c r="CC846" s="161"/>
      <c r="CD846" s="161"/>
      <c r="CE846" s="161"/>
      <c r="CF846" s="161"/>
      <c r="CG846" s="3"/>
      <c r="CH846" s="3"/>
      <c r="CI846" s="3"/>
      <c r="CJ846" s="3"/>
      <c r="CK846" s="3"/>
      <c r="CL846" s="3"/>
      <c r="CM846" s="3"/>
      <c r="CN846" s="3"/>
    </row>
    <row r="847" spans="1:92" ht="14.4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53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80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161"/>
      <c r="BS847" s="161"/>
      <c r="BT847" s="161"/>
      <c r="BU847" s="162"/>
      <c r="BV847" s="163"/>
      <c r="BW847" s="163"/>
      <c r="BX847" s="163"/>
      <c r="BY847" s="163"/>
      <c r="BZ847" s="163"/>
      <c r="CA847" s="163"/>
      <c r="CB847" s="161"/>
      <c r="CC847" s="161"/>
      <c r="CD847" s="161"/>
      <c r="CE847" s="161"/>
      <c r="CF847" s="161"/>
      <c r="CG847" s="3"/>
      <c r="CH847" s="3"/>
      <c r="CI847" s="3"/>
      <c r="CJ847" s="3"/>
      <c r="CK847" s="3"/>
      <c r="CL847" s="3"/>
      <c r="CM847" s="3"/>
      <c r="CN847" s="3"/>
    </row>
    <row r="848" spans="1:92" ht="14.4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53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80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161"/>
      <c r="BS848" s="161"/>
      <c r="BT848" s="161"/>
      <c r="BU848" s="162"/>
      <c r="BV848" s="163"/>
      <c r="BW848" s="163"/>
      <c r="BX848" s="163"/>
      <c r="BY848" s="163"/>
      <c r="BZ848" s="163"/>
      <c r="CA848" s="163"/>
      <c r="CB848" s="161"/>
      <c r="CC848" s="161"/>
      <c r="CD848" s="161"/>
      <c r="CE848" s="161"/>
      <c r="CF848" s="161"/>
      <c r="CG848" s="3"/>
      <c r="CH848" s="3"/>
      <c r="CI848" s="3"/>
      <c r="CJ848" s="3"/>
      <c r="CK848" s="3"/>
      <c r="CL848" s="3"/>
      <c r="CM848" s="3"/>
      <c r="CN848" s="3"/>
    </row>
    <row r="849" spans="1:92" ht="14.4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53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80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161"/>
      <c r="BS849" s="161"/>
      <c r="BT849" s="161"/>
      <c r="BU849" s="162"/>
      <c r="BV849" s="163"/>
      <c r="BW849" s="163"/>
      <c r="BX849" s="163"/>
      <c r="BY849" s="163"/>
      <c r="BZ849" s="163"/>
      <c r="CA849" s="163"/>
      <c r="CB849" s="161"/>
      <c r="CC849" s="161"/>
      <c r="CD849" s="161"/>
      <c r="CE849" s="161"/>
      <c r="CF849" s="161"/>
      <c r="CG849" s="3"/>
      <c r="CH849" s="3"/>
      <c r="CI849" s="3"/>
      <c r="CJ849" s="3"/>
      <c r="CK849" s="3"/>
      <c r="CL849" s="3"/>
      <c r="CM849" s="3"/>
      <c r="CN849" s="3"/>
    </row>
    <row r="850" spans="1:92" ht="14.4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53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80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161"/>
      <c r="BS850" s="161"/>
      <c r="BT850" s="161"/>
      <c r="BU850" s="162"/>
      <c r="BV850" s="163"/>
      <c r="BW850" s="163"/>
      <c r="BX850" s="163"/>
      <c r="BY850" s="163"/>
      <c r="BZ850" s="163"/>
      <c r="CA850" s="163"/>
      <c r="CB850" s="161"/>
      <c r="CC850" s="161"/>
      <c r="CD850" s="161"/>
      <c r="CE850" s="161"/>
      <c r="CF850" s="161"/>
      <c r="CG850" s="3"/>
      <c r="CH850" s="3"/>
      <c r="CI850" s="3"/>
      <c r="CJ850" s="3"/>
      <c r="CK850" s="3"/>
      <c r="CL850" s="3"/>
      <c r="CM850" s="3"/>
      <c r="CN850" s="3"/>
    </row>
    <row r="851" spans="1:92" ht="14.4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53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80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161"/>
      <c r="BS851" s="161"/>
      <c r="BT851" s="161"/>
      <c r="BU851" s="162"/>
      <c r="BV851" s="163"/>
      <c r="BW851" s="163"/>
      <c r="BX851" s="163"/>
      <c r="BY851" s="163"/>
      <c r="BZ851" s="163"/>
      <c r="CA851" s="163"/>
      <c r="CB851" s="161"/>
      <c r="CC851" s="161"/>
      <c r="CD851" s="161"/>
      <c r="CE851" s="161"/>
      <c r="CF851" s="161"/>
      <c r="CG851" s="3"/>
      <c r="CH851" s="3"/>
      <c r="CI851" s="3"/>
      <c r="CJ851" s="3"/>
      <c r="CK851" s="3"/>
      <c r="CL851" s="3"/>
      <c r="CM851" s="3"/>
      <c r="CN851" s="3"/>
    </row>
    <row r="852" spans="1:92" ht="14.4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53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80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161"/>
      <c r="BS852" s="161"/>
      <c r="BT852" s="161"/>
      <c r="BU852" s="162"/>
      <c r="BV852" s="163"/>
      <c r="BW852" s="163"/>
      <c r="BX852" s="163"/>
      <c r="BY852" s="163"/>
      <c r="BZ852" s="163"/>
      <c r="CA852" s="163"/>
      <c r="CB852" s="161"/>
      <c r="CC852" s="161"/>
      <c r="CD852" s="161"/>
      <c r="CE852" s="161"/>
      <c r="CF852" s="161"/>
      <c r="CG852" s="3"/>
      <c r="CH852" s="3"/>
      <c r="CI852" s="3"/>
      <c r="CJ852" s="3"/>
      <c r="CK852" s="3"/>
      <c r="CL852" s="3"/>
      <c r="CM852" s="3"/>
      <c r="CN852" s="3"/>
    </row>
    <row r="853" spans="1:92" ht="14.4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53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80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161"/>
      <c r="BS853" s="161"/>
      <c r="BT853" s="161"/>
      <c r="BU853" s="162"/>
      <c r="BV853" s="163"/>
      <c r="BW853" s="163"/>
      <c r="BX853" s="163"/>
      <c r="BY853" s="163"/>
      <c r="BZ853" s="163"/>
      <c r="CA853" s="163"/>
      <c r="CB853" s="161"/>
      <c r="CC853" s="161"/>
      <c r="CD853" s="161"/>
      <c r="CE853" s="161"/>
      <c r="CF853" s="161"/>
      <c r="CG853" s="3"/>
      <c r="CH853" s="3"/>
      <c r="CI853" s="3"/>
      <c r="CJ853" s="3"/>
      <c r="CK853" s="3"/>
      <c r="CL853" s="3"/>
      <c r="CM853" s="3"/>
      <c r="CN853" s="3"/>
    </row>
    <row r="854" spans="1:92" ht="14.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53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80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161"/>
      <c r="BS854" s="161"/>
      <c r="BT854" s="161"/>
      <c r="BU854" s="162"/>
      <c r="BV854" s="163"/>
      <c r="BW854" s="163"/>
      <c r="BX854" s="163"/>
      <c r="BY854" s="163"/>
      <c r="BZ854" s="163"/>
      <c r="CA854" s="163"/>
      <c r="CB854" s="161"/>
      <c r="CC854" s="161"/>
      <c r="CD854" s="161"/>
      <c r="CE854" s="161"/>
      <c r="CF854" s="161"/>
      <c r="CG854" s="3"/>
      <c r="CH854" s="3"/>
      <c r="CI854" s="3"/>
      <c r="CJ854" s="3"/>
      <c r="CK854" s="3"/>
      <c r="CL854" s="3"/>
      <c r="CM854" s="3"/>
      <c r="CN854" s="3"/>
    </row>
    <row r="855" spans="1:92" ht="14.4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53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80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161"/>
      <c r="BS855" s="161"/>
      <c r="BT855" s="161"/>
      <c r="BU855" s="162"/>
      <c r="BV855" s="163"/>
      <c r="BW855" s="163"/>
      <c r="BX855" s="163"/>
      <c r="BY855" s="163"/>
      <c r="BZ855" s="163"/>
      <c r="CA855" s="163"/>
      <c r="CB855" s="161"/>
      <c r="CC855" s="161"/>
      <c r="CD855" s="161"/>
      <c r="CE855" s="161"/>
      <c r="CF855" s="161"/>
      <c r="CG855" s="3"/>
      <c r="CH855" s="3"/>
      <c r="CI855" s="3"/>
      <c r="CJ855" s="3"/>
      <c r="CK855" s="3"/>
      <c r="CL855" s="3"/>
      <c r="CM855" s="3"/>
      <c r="CN855" s="3"/>
    </row>
    <row r="856" spans="1:92" ht="14.4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53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80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161"/>
      <c r="BS856" s="161"/>
      <c r="BT856" s="161"/>
      <c r="BU856" s="162"/>
      <c r="BV856" s="163"/>
      <c r="BW856" s="163"/>
      <c r="BX856" s="163"/>
      <c r="BY856" s="163"/>
      <c r="BZ856" s="163"/>
      <c r="CA856" s="163"/>
      <c r="CB856" s="161"/>
      <c r="CC856" s="161"/>
      <c r="CD856" s="161"/>
      <c r="CE856" s="161"/>
      <c r="CF856" s="161"/>
      <c r="CG856" s="3"/>
      <c r="CH856" s="3"/>
      <c r="CI856" s="3"/>
      <c r="CJ856" s="3"/>
      <c r="CK856" s="3"/>
      <c r="CL856" s="3"/>
      <c r="CM856" s="3"/>
      <c r="CN856" s="3"/>
    </row>
    <row r="857" spans="1:92" ht="14.4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53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80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161"/>
      <c r="BS857" s="161"/>
      <c r="BT857" s="161"/>
      <c r="BU857" s="162"/>
      <c r="BV857" s="163"/>
      <c r="BW857" s="163"/>
      <c r="BX857" s="163"/>
      <c r="BY857" s="163"/>
      <c r="BZ857" s="163"/>
      <c r="CA857" s="163"/>
      <c r="CB857" s="161"/>
      <c r="CC857" s="161"/>
      <c r="CD857" s="161"/>
      <c r="CE857" s="161"/>
      <c r="CF857" s="161"/>
      <c r="CG857" s="3"/>
      <c r="CH857" s="3"/>
      <c r="CI857" s="3"/>
      <c r="CJ857" s="3"/>
      <c r="CK857" s="3"/>
      <c r="CL857" s="3"/>
      <c r="CM857" s="3"/>
      <c r="CN857" s="3"/>
    </row>
    <row r="858" spans="1:92" ht="14.4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53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80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161"/>
      <c r="BS858" s="161"/>
      <c r="BT858" s="161"/>
      <c r="BU858" s="162"/>
      <c r="BV858" s="163"/>
      <c r="BW858" s="163"/>
      <c r="BX858" s="163"/>
      <c r="BY858" s="163"/>
      <c r="BZ858" s="163"/>
      <c r="CA858" s="163"/>
      <c r="CB858" s="161"/>
      <c r="CC858" s="161"/>
      <c r="CD858" s="161"/>
      <c r="CE858" s="161"/>
      <c r="CF858" s="161"/>
      <c r="CG858" s="3"/>
      <c r="CH858" s="3"/>
      <c r="CI858" s="3"/>
      <c r="CJ858" s="3"/>
      <c r="CK858" s="3"/>
      <c r="CL858" s="3"/>
      <c r="CM858" s="3"/>
      <c r="CN858" s="3"/>
    </row>
    <row r="859" spans="1:92" ht="14.4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53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80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161"/>
      <c r="BS859" s="161"/>
      <c r="BT859" s="161"/>
      <c r="BU859" s="162"/>
      <c r="BV859" s="163"/>
      <c r="BW859" s="163"/>
      <c r="BX859" s="163"/>
      <c r="BY859" s="163"/>
      <c r="BZ859" s="163"/>
      <c r="CA859" s="163"/>
      <c r="CB859" s="161"/>
      <c r="CC859" s="161"/>
      <c r="CD859" s="161"/>
      <c r="CE859" s="161"/>
      <c r="CF859" s="161"/>
      <c r="CG859" s="3"/>
      <c r="CH859" s="3"/>
      <c r="CI859" s="3"/>
      <c r="CJ859" s="3"/>
      <c r="CK859" s="3"/>
      <c r="CL859" s="3"/>
      <c r="CM859" s="3"/>
      <c r="CN859" s="3"/>
    </row>
    <row r="860" spans="1:92" ht="14.4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53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80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161"/>
      <c r="BS860" s="161"/>
      <c r="BT860" s="161"/>
      <c r="BU860" s="162"/>
      <c r="BV860" s="163"/>
      <c r="BW860" s="163"/>
      <c r="BX860" s="163"/>
      <c r="BY860" s="163"/>
      <c r="BZ860" s="163"/>
      <c r="CA860" s="163"/>
      <c r="CB860" s="161"/>
      <c r="CC860" s="161"/>
      <c r="CD860" s="161"/>
      <c r="CE860" s="161"/>
      <c r="CF860" s="161"/>
      <c r="CG860" s="3"/>
      <c r="CH860" s="3"/>
      <c r="CI860" s="3"/>
      <c r="CJ860" s="3"/>
      <c r="CK860" s="3"/>
      <c r="CL860" s="3"/>
      <c r="CM860" s="3"/>
      <c r="CN860" s="3"/>
    </row>
    <row r="861" spans="1:92" ht="14.4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53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80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161"/>
      <c r="BS861" s="161"/>
      <c r="BT861" s="161"/>
      <c r="BU861" s="162"/>
      <c r="BV861" s="163"/>
      <c r="BW861" s="163"/>
      <c r="BX861" s="163"/>
      <c r="BY861" s="163"/>
      <c r="BZ861" s="163"/>
      <c r="CA861" s="163"/>
      <c r="CB861" s="161"/>
      <c r="CC861" s="161"/>
      <c r="CD861" s="161"/>
      <c r="CE861" s="161"/>
      <c r="CF861" s="161"/>
      <c r="CG861" s="3"/>
      <c r="CH861" s="3"/>
      <c r="CI861" s="3"/>
      <c r="CJ861" s="3"/>
      <c r="CK861" s="3"/>
      <c r="CL861" s="3"/>
      <c r="CM861" s="3"/>
      <c r="CN861" s="3"/>
    </row>
    <row r="862" spans="1:92" ht="14.4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53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80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161"/>
      <c r="BS862" s="161"/>
      <c r="BT862" s="161"/>
      <c r="BU862" s="162"/>
      <c r="BV862" s="163"/>
      <c r="BW862" s="163"/>
      <c r="BX862" s="163"/>
      <c r="BY862" s="163"/>
      <c r="BZ862" s="163"/>
      <c r="CA862" s="163"/>
      <c r="CB862" s="161"/>
      <c r="CC862" s="161"/>
      <c r="CD862" s="161"/>
      <c r="CE862" s="161"/>
      <c r="CF862" s="161"/>
      <c r="CG862" s="3"/>
      <c r="CH862" s="3"/>
      <c r="CI862" s="3"/>
      <c r="CJ862" s="3"/>
      <c r="CK862" s="3"/>
      <c r="CL862" s="3"/>
      <c r="CM862" s="3"/>
      <c r="CN862" s="3"/>
    </row>
    <row r="863" spans="1:92" ht="14.4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53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80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161"/>
      <c r="BS863" s="161"/>
      <c r="BT863" s="161"/>
      <c r="BU863" s="162"/>
      <c r="BV863" s="163"/>
      <c r="BW863" s="163"/>
      <c r="BX863" s="163"/>
      <c r="BY863" s="163"/>
      <c r="BZ863" s="163"/>
      <c r="CA863" s="163"/>
      <c r="CB863" s="161"/>
      <c r="CC863" s="161"/>
      <c r="CD863" s="161"/>
      <c r="CE863" s="161"/>
      <c r="CF863" s="161"/>
      <c r="CG863" s="3"/>
      <c r="CH863" s="3"/>
      <c r="CI863" s="3"/>
      <c r="CJ863" s="3"/>
      <c r="CK863" s="3"/>
      <c r="CL863" s="3"/>
      <c r="CM863" s="3"/>
      <c r="CN863" s="3"/>
    </row>
    <row r="864" spans="1:92" ht="14.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53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80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161"/>
      <c r="BS864" s="161"/>
      <c r="BT864" s="161"/>
      <c r="BU864" s="162"/>
      <c r="BV864" s="163"/>
      <c r="BW864" s="163"/>
      <c r="BX864" s="163"/>
      <c r="BY864" s="163"/>
      <c r="BZ864" s="163"/>
      <c r="CA864" s="163"/>
      <c r="CB864" s="161"/>
      <c r="CC864" s="161"/>
      <c r="CD864" s="161"/>
      <c r="CE864" s="161"/>
      <c r="CF864" s="161"/>
      <c r="CG864" s="3"/>
      <c r="CH864" s="3"/>
      <c r="CI864" s="3"/>
      <c r="CJ864" s="3"/>
      <c r="CK864" s="3"/>
      <c r="CL864" s="3"/>
      <c r="CM864" s="3"/>
      <c r="CN864" s="3"/>
    </row>
    <row r="865" spans="1:92" ht="14.4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53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80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161"/>
      <c r="BS865" s="161"/>
      <c r="BT865" s="161"/>
      <c r="BU865" s="162"/>
      <c r="BV865" s="163"/>
      <c r="BW865" s="163"/>
      <c r="BX865" s="163"/>
      <c r="BY865" s="163"/>
      <c r="BZ865" s="163"/>
      <c r="CA865" s="163"/>
      <c r="CB865" s="161"/>
      <c r="CC865" s="161"/>
      <c r="CD865" s="161"/>
      <c r="CE865" s="161"/>
      <c r="CF865" s="161"/>
      <c r="CG865" s="3"/>
      <c r="CH865" s="3"/>
      <c r="CI865" s="3"/>
      <c r="CJ865" s="3"/>
      <c r="CK865" s="3"/>
      <c r="CL865" s="3"/>
      <c r="CM865" s="3"/>
      <c r="CN865" s="3"/>
    </row>
    <row r="866" spans="1:92" ht="14.4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53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80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161"/>
      <c r="BS866" s="161"/>
      <c r="BT866" s="161"/>
      <c r="BU866" s="162"/>
      <c r="BV866" s="163"/>
      <c r="BW866" s="163"/>
      <c r="BX866" s="163"/>
      <c r="BY866" s="163"/>
      <c r="BZ866" s="163"/>
      <c r="CA866" s="163"/>
      <c r="CB866" s="161"/>
      <c r="CC866" s="161"/>
      <c r="CD866" s="161"/>
      <c r="CE866" s="161"/>
      <c r="CF866" s="161"/>
      <c r="CG866" s="3"/>
      <c r="CH866" s="3"/>
      <c r="CI866" s="3"/>
      <c r="CJ866" s="3"/>
      <c r="CK866" s="3"/>
      <c r="CL866" s="3"/>
      <c r="CM866" s="3"/>
      <c r="CN866" s="3"/>
    </row>
    <row r="867" spans="1:92" ht="14.4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53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80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161"/>
      <c r="BS867" s="161"/>
      <c r="BT867" s="161"/>
      <c r="BU867" s="162"/>
      <c r="BV867" s="163"/>
      <c r="BW867" s="163"/>
      <c r="BX867" s="163"/>
      <c r="BY867" s="163"/>
      <c r="BZ867" s="163"/>
      <c r="CA867" s="163"/>
      <c r="CB867" s="161"/>
      <c r="CC867" s="161"/>
      <c r="CD867" s="161"/>
      <c r="CE867" s="161"/>
      <c r="CF867" s="161"/>
      <c r="CG867" s="3"/>
      <c r="CH867" s="3"/>
      <c r="CI867" s="3"/>
      <c r="CJ867" s="3"/>
      <c r="CK867" s="3"/>
      <c r="CL867" s="3"/>
      <c r="CM867" s="3"/>
      <c r="CN867" s="3"/>
    </row>
    <row r="868" spans="1:92" ht="14.4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53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80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161"/>
      <c r="BS868" s="161"/>
      <c r="BT868" s="161"/>
      <c r="BU868" s="162"/>
      <c r="BV868" s="163"/>
      <c r="BW868" s="163"/>
      <c r="BX868" s="163"/>
      <c r="BY868" s="163"/>
      <c r="BZ868" s="163"/>
      <c r="CA868" s="163"/>
      <c r="CB868" s="161"/>
      <c r="CC868" s="161"/>
      <c r="CD868" s="161"/>
      <c r="CE868" s="161"/>
      <c r="CF868" s="161"/>
      <c r="CG868" s="3"/>
      <c r="CH868" s="3"/>
      <c r="CI868" s="3"/>
      <c r="CJ868" s="3"/>
      <c r="CK868" s="3"/>
      <c r="CL868" s="3"/>
      <c r="CM868" s="3"/>
      <c r="CN868" s="3"/>
    </row>
    <row r="869" spans="1:92" ht="14.4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53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80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161"/>
      <c r="BS869" s="161"/>
      <c r="BT869" s="161"/>
      <c r="BU869" s="162"/>
      <c r="BV869" s="163"/>
      <c r="BW869" s="163"/>
      <c r="BX869" s="163"/>
      <c r="BY869" s="163"/>
      <c r="BZ869" s="163"/>
      <c r="CA869" s="163"/>
      <c r="CB869" s="161"/>
      <c r="CC869" s="161"/>
      <c r="CD869" s="161"/>
      <c r="CE869" s="161"/>
      <c r="CF869" s="161"/>
      <c r="CG869" s="3"/>
      <c r="CH869" s="3"/>
      <c r="CI869" s="3"/>
      <c r="CJ869" s="3"/>
      <c r="CK869" s="3"/>
      <c r="CL869" s="3"/>
      <c r="CM869" s="3"/>
      <c r="CN869" s="3"/>
    </row>
    <row r="870" spans="1:92" ht="14.4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53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80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161"/>
      <c r="BS870" s="161"/>
      <c r="BT870" s="161"/>
      <c r="BU870" s="162"/>
      <c r="BV870" s="163"/>
      <c r="BW870" s="163"/>
      <c r="BX870" s="163"/>
      <c r="BY870" s="163"/>
      <c r="BZ870" s="163"/>
      <c r="CA870" s="163"/>
      <c r="CB870" s="161"/>
      <c r="CC870" s="161"/>
      <c r="CD870" s="161"/>
      <c r="CE870" s="161"/>
      <c r="CF870" s="161"/>
      <c r="CG870" s="3"/>
      <c r="CH870" s="3"/>
      <c r="CI870" s="3"/>
      <c r="CJ870" s="3"/>
      <c r="CK870" s="3"/>
      <c r="CL870" s="3"/>
      <c r="CM870" s="3"/>
      <c r="CN870" s="3"/>
    </row>
    <row r="871" spans="1:92" ht="14.4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53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80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161"/>
      <c r="BS871" s="161"/>
      <c r="BT871" s="161"/>
      <c r="BU871" s="162"/>
      <c r="BV871" s="163"/>
      <c r="BW871" s="163"/>
      <c r="BX871" s="163"/>
      <c r="BY871" s="163"/>
      <c r="BZ871" s="163"/>
      <c r="CA871" s="163"/>
      <c r="CB871" s="161"/>
      <c r="CC871" s="161"/>
      <c r="CD871" s="161"/>
      <c r="CE871" s="161"/>
      <c r="CF871" s="161"/>
      <c r="CG871" s="3"/>
      <c r="CH871" s="3"/>
      <c r="CI871" s="3"/>
      <c r="CJ871" s="3"/>
      <c r="CK871" s="3"/>
      <c r="CL871" s="3"/>
      <c r="CM871" s="3"/>
      <c r="CN871" s="3"/>
    </row>
    <row r="872" spans="1:92" ht="14.4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53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80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161"/>
      <c r="BS872" s="161"/>
      <c r="BT872" s="161"/>
      <c r="BU872" s="162"/>
      <c r="BV872" s="163"/>
      <c r="BW872" s="163"/>
      <c r="BX872" s="163"/>
      <c r="BY872" s="163"/>
      <c r="BZ872" s="163"/>
      <c r="CA872" s="163"/>
      <c r="CB872" s="161"/>
      <c r="CC872" s="161"/>
      <c r="CD872" s="161"/>
      <c r="CE872" s="161"/>
      <c r="CF872" s="161"/>
      <c r="CG872" s="3"/>
      <c r="CH872" s="3"/>
      <c r="CI872" s="3"/>
      <c r="CJ872" s="3"/>
      <c r="CK872" s="3"/>
      <c r="CL872" s="3"/>
      <c r="CM872" s="3"/>
      <c r="CN872" s="3"/>
    </row>
    <row r="873" spans="1:92" ht="14.4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53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80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161"/>
      <c r="BS873" s="161"/>
      <c r="BT873" s="161"/>
      <c r="BU873" s="162"/>
      <c r="BV873" s="163"/>
      <c r="BW873" s="163"/>
      <c r="BX873" s="163"/>
      <c r="BY873" s="163"/>
      <c r="BZ873" s="163"/>
      <c r="CA873" s="163"/>
      <c r="CB873" s="161"/>
      <c r="CC873" s="161"/>
      <c r="CD873" s="161"/>
      <c r="CE873" s="161"/>
      <c r="CF873" s="161"/>
      <c r="CG873" s="3"/>
      <c r="CH873" s="3"/>
      <c r="CI873" s="3"/>
      <c r="CJ873" s="3"/>
      <c r="CK873" s="3"/>
      <c r="CL873" s="3"/>
      <c r="CM873" s="3"/>
      <c r="CN873" s="3"/>
    </row>
    <row r="874" spans="1:92" ht="14.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53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80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161"/>
      <c r="BS874" s="161"/>
      <c r="BT874" s="161"/>
      <c r="BU874" s="162"/>
      <c r="BV874" s="163"/>
      <c r="BW874" s="163"/>
      <c r="BX874" s="163"/>
      <c r="BY874" s="163"/>
      <c r="BZ874" s="163"/>
      <c r="CA874" s="163"/>
      <c r="CB874" s="161"/>
      <c r="CC874" s="161"/>
      <c r="CD874" s="161"/>
      <c r="CE874" s="161"/>
      <c r="CF874" s="161"/>
      <c r="CG874" s="3"/>
      <c r="CH874" s="3"/>
      <c r="CI874" s="3"/>
      <c r="CJ874" s="3"/>
      <c r="CK874" s="3"/>
      <c r="CL874" s="3"/>
      <c r="CM874" s="3"/>
      <c r="CN874" s="3"/>
    </row>
    <row r="875" spans="1:92" ht="14.4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53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80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161"/>
      <c r="BS875" s="161"/>
      <c r="BT875" s="161"/>
      <c r="BU875" s="162"/>
      <c r="BV875" s="163"/>
      <c r="BW875" s="163"/>
      <c r="BX875" s="163"/>
      <c r="BY875" s="163"/>
      <c r="BZ875" s="163"/>
      <c r="CA875" s="163"/>
      <c r="CB875" s="161"/>
      <c r="CC875" s="161"/>
      <c r="CD875" s="161"/>
      <c r="CE875" s="161"/>
      <c r="CF875" s="161"/>
      <c r="CG875" s="3"/>
      <c r="CH875" s="3"/>
      <c r="CI875" s="3"/>
      <c r="CJ875" s="3"/>
      <c r="CK875" s="3"/>
      <c r="CL875" s="3"/>
      <c r="CM875" s="3"/>
      <c r="CN875" s="3"/>
    </row>
    <row r="876" spans="1:92" ht="14.4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53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80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161"/>
      <c r="BS876" s="161"/>
      <c r="BT876" s="161"/>
      <c r="BU876" s="162"/>
      <c r="BV876" s="163"/>
      <c r="BW876" s="163"/>
      <c r="BX876" s="163"/>
      <c r="BY876" s="163"/>
      <c r="BZ876" s="163"/>
      <c r="CA876" s="163"/>
      <c r="CB876" s="161"/>
      <c r="CC876" s="161"/>
      <c r="CD876" s="161"/>
      <c r="CE876" s="161"/>
      <c r="CF876" s="161"/>
      <c r="CG876" s="3"/>
      <c r="CH876" s="3"/>
      <c r="CI876" s="3"/>
      <c r="CJ876" s="3"/>
      <c r="CK876" s="3"/>
      <c r="CL876" s="3"/>
      <c r="CM876" s="3"/>
      <c r="CN876" s="3"/>
    </row>
    <row r="877" spans="1:92" ht="14.4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53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80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161"/>
      <c r="BS877" s="161"/>
      <c r="BT877" s="161"/>
      <c r="BU877" s="162"/>
      <c r="BV877" s="163"/>
      <c r="BW877" s="163"/>
      <c r="BX877" s="163"/>
      <c r="BY877" s="163"/>
      <c r="BZ877" s="163"/>
      <c r="CA877" s="163"/>
      <c r="CB877" s="161"/>
      <c r="CC877" s="161"/>
      <c r="CD877" s="161"/>
      <c r="CE877" s="161"/>
      <c r="CF877" s="161"/>
      <c r="CG877" s="3"/>
      <c r="CH877" s="3"/>
      <c r="CI877" s="3"/>
      <c r="CJ877" s="3"/>
      <c r="CK877" s="3"/>
      <c r="CL877" s="3"/>
      <c r="CM877" s="3"/>
      <c r="CN877" s="3"/>
    </row>
    <row r="878" spans="1:92" ht="14.4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53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80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161"/>
      <c r="BS878" s="161"/>
      <c r="BT878" s="161"/>
      <c r="BU878" s="162"/>
      <c r="BV878" s="163"/>
      <c r="BW878" s="163"/>
      <c r="BX878" s="163"/>
      <c r="BY878" s="163"/>
      <c r="BZ878" s="163"/>
      <c r="CA878" s="163"/>
      <c r="CB878" s="161"/>
      <c r="CC878" s="161"/>
      <c r="CD878" s="161"/>
      <c r="CE878" s="161"/>
      <c r="CF878" s="161"/>
      <c r="CG878" s="3"/>
      <c r="CH878" s="3"/>
      <c r="CI878" s="3"/>
      <c r="CJ878" s="3"/>
      <c r="CK878" s="3"/>
      <c r="CL878" s="3"/>
      <c r="CM878" s="3"/>
      <c r="CN878" s="3"/>
    </row>
    <row r="879" spans="1:92" ht="14.4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53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80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161"/>
      <c r="BS879" s="161"/>
      <c r="BT879" s="161"/>
      <c r="BU879" s="162"/>
      <c r="BV879" s="163"/>
      <c r="BW879" s="163"/>
      <c r="BX879" s="163"/>
      <c r="BY879" s="163"/>
      <c r="BZ879" s="163"/>
      <c r="CA879" s="163"/>
      <c r="CB879" s="161"/>
      <c r="CC879" s="161"/>
      <c r="CD879" s="161"/>
      <c r="CE879" s="161"/>
      <c r="CF879" s="161"/>
      <c r="CG879" s="3"/>
      <c r="CH879" s="3"/>
      <c r="CI879" s="3"/>
      <c r="CJ879" s="3"/>
      <c r="CK879" s="3"/>
      <c r="CL879" s="3"/>
      <c r="CM879" s="3"/>
      <c r="CN879" s="3"/>
    </row>
    <row r="880" spans="1:92" ht="14.4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53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80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161"/>
      <c r="BS880" s="161"/>
      <c r="BT880" s="161"/>
      <c r="BU880" s="162"/>
      <c r="BV880" s="163"/>
      <c r="BW880" s="163"/>
      <c r="BX880" s="163"/>
      <c r="BY880" s="163"/>
      <c r="BZ880" s="163"/>
      <c r="CA880" s="163"/>
      <c r="CB880" s="161"/>
      <c r="CC880" s="161"/>
      <c r="CD880" s="161"/>
      <c r="CE880" s="161"/>
      <c r="CF880" s="161"/>
      <c r="CG880" s="3"/>
      <c r="CH880" s="3"/>
      <c r="CI880" s="3"/>
      <c r="CJ880" s="3"/>
      <c r="CK880" s="3"/>
      <c r="CL880" s="3"/>
      <c r="CM880" s="3"/>
      <c r="CN880" s="3"/>
    </row>
    <row r="881" spans="1:92" ht="14.4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53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80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161"/>
      <c r="BS881" s="161"/>
      <c r="BT881" s="161"/>
      <c r="BU881" s="162"/>
      <c r="BV881" s="163"/>
      <c r="BW881" s="163"/>
      <c r="BX881" s="163"/>
      <c r="BY881" s="163"/>
      <c r="BZ881" s="163"/>
      <c r="CA881" s="163"/>
      <c r="CB881" s="161"/>
      <c r="CC881" s="161"/>
      <c r="CD881" s="161"/>
      <c r="CE881" s="161"/>
      <c r="CF881" s="161"/>
      <c r="CG881" s="3"/>
      <c r="CH881" s="3"/>
      <c r="CI881" s="3"/>
      <c r="CJ881" s="3"/>
      <c r="CK881" s="3"/>
      <c r="CL881" s="3"/>
      <c r="CM881" s="3"/>
      <c r="CN881" s="3"/>
    </row>
    <row r="882" spans="1:92" ht="14.4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53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80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161"/>
      <c r="BS882" s="161"/>
      <c r="BT882" s="161"/>
      <c r="BU882" s="162"/>
      <c r="BV882" s="163"/>
      <c r="BW882" s="163"/>
      <c r="BX882" s="163"/>
      <c r="BY882" s="163"/>
      <c r="BZ882" s="163"/>
      <c r="CA882" s="163"/>
      <c r="CB882" s="161"/>
      <c r="CC882" s="161"/>
      <c r="CD882" s="161"/>
      <c r="CE882" s="161"/>
      <c r="CF882" s="161"/>
      <c r="CG882" s="3"/>
      <c r="CH882" s="3"/>
      <c r="CI882" s="3"/>
      <c r="CJ882" s="3"/>
      <c r="CK882" s="3"/>
      <c r="CL882" s="3"/>
      <c r="CM882" s="3"/>
      <c r="CN882" s="3"/>
    </row>
    <row r="883" spans="1:92" ht="14.4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53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80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161"/>
      <c r="BS883" s="161"/>
      <c r="BT883" s="161"/>
      <c r="BU883" s="162"/>
      <c r="BV883" s="163"/>
      <c r="BW883" s="163"/>
      <c r="BX883" s="163"/>
      <c r="BY883" s="163"/>
      <c r="BZ883" s="163"/>
      <c r="CA883" s="163"/>
      <c r="CB883" s="161"/>
      <c r="CC883" s="161"/>
      <c r="CD883" s="161"/>
      <c r="CE883" s="161"/>
      <c r="CF883" s="161"/>
      <c r="CG883" s="3"/>
      <c r="CH883" s="3"/>
      <c r="CI883" s="3"/>
      <c r="CJ883" s="3"/>
      <c r="CK883" s="3"/>
      <c r="CL883" s="3"/>
      <c r="CM883" s="3"/>
      <c r="CN883" s="3"/>
    </row>
    <row r="884" spans="1:92" ht="14.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53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80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161"/>
      <c r="BS884" s="161"/>
      <c r="BT884" s="161"/>
      <c r="BU884" s="162"/>
      <c r="BV884" s="163"/>
      <c r="BW884" s="163"/>
      <c r="BX884" s="163"/>
      <c r="BY884" s="163"/>
      <c r="BZ884" s="163"/>
      <c r="CA884" s="163"/>
      <c r="CB884" s="161"/>
      <c r="CC884" s="161"/>
      <c r="CD884" s="161"/>
      <c r="CE884" s="161"/>
      <c r="CF884" s="161"/>
      <c r="CG884" s="3"/>
      <c r="CH884" s="3"/>
      <c r="CI884" s="3"/>
      <c r="CJ884" s="3"/>
      <c r="CK884" s="3"/>
      <c r="CL884" s="3"/>
      <c r="CM884" s="3"/>
      <c r="CN884" s="3"/>
    </row>
    <row r="885" spans="1:92" ht="14.4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53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80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161"/>
      <c r="BS885" s="161"/>
      <c r="BT885" s="161"/>
      <c r="BU885" s="162"/>
      <c r="BV885" s="163"/>
      <c r="BW885" s="163"/>
      <c r="BX885" s="163"/>
      <c r="BY885" s="163"/>
      <c r="BZ885" s="163"/>
      <c r="CA885" s="163"/>
      <c r="CB885" s="161"/>
      <c r="CC885" s="161"/>
      <c r="CD885" s="161"/>
      <c r="CE885" s="161"/>
      <c r="CF885" s="161"/>
      <c r="CG885" s="3"/>
      <c r="CH885" s="3"/>
      <c r="CI885" s="3"/>
      <c r="CJ885" s="3"/>
      <c r="CK885" s="3"/>
      <c r="CL885" s="3"/>
      <c r="CM885" s="3"/>
      <c r="CN885" s="3"/>
    </row>
    <row r="886" spans="1:92" ht="14.4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53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80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161"/>
      <c r="BS886" s="161"/>
      <c r="BT886" s="161"/>
      <c r="BU886" s="162"/>
      <c r="BV886" s="163"/>
      <c r="BW886" s="163"/>
      <c r="BX886" s="163"/>
      <c r="BY886" s="163"/>
      <c r="BZ886" s="163"/>
      <c r="CA886" s="163"/>
      <c r="CB886" s="161"/>
      <c r="CC886" s="161"/>
      <c r="CD886" s="161"/>
      <c r="CE886" s="161"/>
      <c r="CF886" s="161"/>
      <c r="CG886" s="3"/>
      <c r="CH886" s="3"/>
      <c r="CI886" s="3"/>
      <c r="CJ886" s="3"/>
      <c r="CK886" s="3"/>
      <c r="CL886" s="3"/>
      <c r="CM886" s="3"/>
      <c r="CN886" s="3"/>
    </row>
    <row r="887" spans="1:92" ht="14.4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53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80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161"/>
      <c r="BS887" s="161"/>
      <c r="BT887" s="161"/>
      <c r="BU887" s="162"/>
      <c r="BV887" s="163"/>
      <c r="BW887" s="163"/>
      <c r="BX887" s="163"/>
      <c r="BY887" s="163"/>
      <c r="BZ887" s="163"/>
      <c r="CA887" s="163"/>
      <c r="CB887" s="161"/>
      <c r="CC887" s="161"/>
      <c r="CD887" s="161"/>
      <c r="CE887" s="161"/>
      <c r="CF887" s="161"/>
      <c r="CG887" s="3"/>
      <c r="CH887" s="3"/>
      <c r="CI887" s="3"/>
      <c r="CJ887" s="3"/>
      <c r="CK887" s="3"/>
      <c r="CL887" s="3"/>
      <c r="CM887" s="3"/>
      <c r="CN887" s="3"/>
    </row>
    <row r="888" spans="1:92" ht="14.4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53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80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161"/>
      <c r="BS888" s="161"/>
      <c r="BT888" s="161"/>
      <c r="BU888" s="162"/>
      <c r="BV888" s="163"/>
      <c r="BW888" s="163"/>
      <c r="BX888" s="163"/>
      <c r="BY888" s="163"/>
      <c r="BZ888" s="163"/>
      <c r="CA888" s="163"/>
      <c r="CB888" s="161"/>
      <c r="CC888" s="161"/>
      <c r="CD888" s="161"/>
      <c r="CE888" s="161"/>
      <c r="CF888" s="161"/>
      <c r="CG888" s="3"/>
      <c r="CH888" s="3"/>
      <c r="CI888" s="3"/>
      <c r="CJ888" s="3"/>
      <c r="CK888" s="3"/>
      <c r="CL888" s="3"/>
      <c r="CM888" s="3"/>
      <c r="CN888" s="3"/>
    </row>
    <row r="889" spans="1:92" ht="14.4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53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80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161"/>
      <c r="BS889" s="161"/>
      <c r="BT889" s="161"/>
      <c r="BU889" s="162"/>
      <c r="BV889" s="163"/>
      <c r="BW889" s="163"/>
      <c r="BX889" s="163"/>
      <c r="BY889" s="163"/>
      <c r="BZ889" s="163"/>
      <c r="CA889" s="163"/>
      <c r="CB889" s="161"/>
      <c r="CC889" s="161"/>
      <c r="CD889" s="161"/>
      <c r="CE889" s="161"/>
      <c r="CF889" s="161"/>
      <c r="CG889" s="3"/>
      <c r="CH889" s="3"/>
      <c r="CI889" s="3"/>
      <c r="CJ889" s="3"/>
      <c r="CK889" s="3"/>
      <c r="CL889" s="3"/>
      <c r="CM889" s="3"/>
      <c r="CN889" s="3"/>
    </row>
    <row r="890" spans="1:92" ht="14.4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53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80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161"/>
      <c r="BS890" s="161"/>
      <c r="BT890" s="161"/>
      <c r="BU890" s="162"/>
      <c r="BV890" s="163"/>
      <c r="BW890" s="163"/>
      <c r="BX890" s="163"/>
      <c r="BY890" s="163"/>
      <c r="BZ890" s="163"/>
      <c r="CA890" s="163"/>
      <c r="CB890" s="161"/>
      <c r="CC890" s="161"/>
      <c r="CD890" s="161"/>
      <c r="CE890" s="161"/>
      <c r="CF890" s="161"/>
      <c r="CG890" s="3"/>
      <c r="CH890" s="3"/>
      <c r="CI890" s="3"/>
      <c r="CJ890" s="3"/>
      <c r="CK890" s="3"/>
      <c r="CL890" s="3"/>
      <c r="CM890" s="3"/>
      <c r="CN890" s="3"/>
    </row>
    <row r="891" spans="1:92" ht="14.4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53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80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161"/>
      <c r="BS891" s="161"/>
      <c r="BT891" s="161"/>
      <c r="BU891" s="162"/>
      <c r="BV891" s="163"/>
      <c r="BW891" s="163"/>
      <c r="BX891" s="163"/>
      <c r="BY891" s="163"/>
      <c r="BZ891" s="163"/>
      <c r="CA891" s="163"/>
      <c r="CB891" s="161"/>
      <c r="CC891" s="161"/>
      <c r="CD891" s="161"/>
      <c r="CE891" s="161"/>
      <c r="CF891" s="161"/>
      <c r="CG891" s="3"/>
      <c r="CH891" s="3"/>
      <c r="CI891" s="3"/>
      <c r="CJ891" s="3"/>
      <c r="CK891" s="3"/>
      <c r="CL891" s="3"/>
      <c r="CM891" s="3"/>
      <c r="CN891" s="3"/>
    </row>
    <row r="892" spans="1:92" ht="14.4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53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80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161"/>
      <c r="BS892" s="161"/>
      <c r="BT892" s="161"/>
      <c r="BU892" s="162"/>
      <c r="BV892" s="163"/>
      <c r="BW892" s="163"/>
      <c r="BX892" s="163"/>
      <c r="BY892" s="163"/>
      <c r="BZ892" s="163"/>
      <c r="CA892" s="163"/>
      <c r="CB892" s="161"/>
      <c r="CC892" s="161"/>
      <c r="CD892" s="161"/>
      <c r="CE892" s="161"/>
      <c r="CF892" s="161"/>
      <c r="CG892" s="3"/>
      <c r="CH892" s="3"/>
      <c r="CI892" s="3"/>
      <c r="CJ892" s="3"/>
      <c r="CK892" s="3"/>
      <c r="CL892" s="3"/>
      <c r="CM892" s="3"/>
      <c r="CN892" s="3"/>
    </row>
    <row r="893" spans="1:92" ht="14.4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53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80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161"/>
      <c r="BS893" s="161"/>
      <c r="BT893" s="161"/>
      <c r="BU893" s="162"/>
      <c r="BV893" s="163"/>
      <c r="BW893" s="163"/>
      <c r="BX893" s="163"/>
      <c r="BY893" s="163"/>
      <c r="BZ893" s="163"/>
      <c r="CA893" s="163"/>
      <c r="CB893" s="161"/>
      <c r="CC893" s="161"/>
      <c r="CD893" s="161"/>
      <c r="CE893" s="161"/>
      <c r="CF893" s="161"/>
      <c r="CG893" s="3"/>
      <c r="CH893" s="3"/>
      <c r="CI893" s="3"/>
      <c r="CJ893" s="3"/>
      <c r="CK893" s="3"/>
      <c r="CL893" s="3"/>
      <c r="CM893" s="3"/>
      <c r="CN893" s="3"/>
    </row>
    <row r="894" spans="1:92" ht="14.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53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80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161"/>
      <c r="BS894" s="161"/>
      <c r="BT894" s="161"/>
      <c r="BU894" s="162"/>
      <c r="BV894" s="163"/>
      <c r="BW894" s="163"/>
      <c r="BX894" s="163"/>
      <c r="BY894" s="163"/>
      <c r="BZ894" s="163"/>
      <c r="CA894" s="163"/>
      <c r="CB894" s="161"/>
      <c r="CC894" s="161"/>
      <c r="CD894" s="161"/>
      <c r="CE894" s="161"/>
      <c r="CF894" s="161"/>
      <c r="CG894" s="3"/>
      <c r="CH894" s="3"/>
      <c r="CI894" s="3"/>
      <c r="CJ894" s="3"/>
      <c r="CK894" s="3"/>
      <c r="CL894" s="3"/>
      <c r="CM894" s="3"/>
      <c r="CN894" s="3"/>
    </row>
    <row r="895" spans="1:92" ht="14.4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53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80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161"/>
      <c r="BS895" s="161"/>
      <c r="BT895" s="161"/>
      <c r="BU895" s="162"/>
      <c r="BV895" s="163"/>
      <c r="BW895" s="163"/>
      <c r="BX895" s="163"/>
      <c r="BY895" s="163"/>
      <c r="BZ895" s="163"/>
      <c r="CA895" s="163"/>
      <c r="CB895" s="161"/>
      <c r="CC895" s="161"/>
      <c r="CD895" s="161"/>
      <c r="CE895" s="161"/>
      <c r="CF895" s="161"/>
      <c r="CG895" s="3"/>
      <c r="CH895" s="3"/>
      <c r="CI895" s="3"/>
      <c r="CJ895" s="3"/>
      <c r="CK895" s="3"/>
      <c r="CL895" s="3"/>
      <c r="CM895" s="3"/>
      <c r="CN895" s="3"/>
    </row>
    <row r="896" spans="1:92" ht="14.4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53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80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161"/>
      <c r="BS896" s="161"/>
      <c r="BT896" s="161"/>
      <c r="BU896" s="162"/>
      <c r="BV896" s="163"/>
      <c r="BW896" s="163"/>
      <c r="BX896" s="163"/>
      <c r="BY896" s="163"/>
      <c r="BZ896" s="163"/>
      <c r="CA896" s="163"/>
      <c r="CB896" s="161"/>
      <c r="CC896" s="161"/>
      <c r="CD896" s="161"/>
      <c r="CE896" s="161"/>
      <c r="CF896" s="161"/>
      <c r="CG896" s="3"/>
      <c r="CH896" s="3"/>
      <c r="CI896" s="3"/>
      <c r="CJ896" s="3"/>
      <c r="CK896" s="3"/>
      <c r="CL896" s="3"/>
      <c r="CM896" s="3"/>
      <c r="CN896" s="3"/>
    </row>
    <row r="897" spans="1:92" ht="14.4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53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80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161"/>
      <c r="BS897" s="161"/>
      <c r="BT897" s="161"/>
      <c r="BU897" s="162"/>
      <c r="BV897" s="163"/>
      <c r="BW897" s="163"/>
      <c r="BX897" s="163"/>
      <c r="BY897" s="163"/>
      <c r="BZ897" s="163"/>
      <c r="CA897" s="163"/>
      <c r="CB897" s="161"/>
      <c r="CC897" s="161"/>
      <c r="CD897" s="161"/>
      <c r="CE897" s="161"/>
      <c r="CF897" s="161"/>
      <c r="CG897" s="3"/>
      <c r="CH897" s="3"/>
      <c r="CI897" s="3"/>
      <c r="CJ897" s="3"/>
      <c r="CK897" s="3"/>
      <c r="CL897" s="3"/>
      <c r="CM897" s="3"/>
      <c r="CN897" s="3"/>
    </row>
    <row r="898" spans="1:92" ht="14.4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53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80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161"/>
      <c r="BS898" s="161"/>
      <c r="BT898" s="161"/>
      <c r="BU898" s="162"/>
      <c r="BV898" s="163"/>
      <c r="BW898" s="163"/>
      <c r="BX898" s="163"/>
      <c r="BY898" s="163"/>
      <c r="BZ898" s="163"/>
      <c r="CA898" s="163"/>
      <c r="CB898" s="161"/>
      <c r="CC898" s="161"/>
      <c r="CD898" s="161"/>
      <c r="CE898" s="161"/>
      <c r="CF898" s="161"/>
      <c r="CG898" s="3"/>
      <c r="CH898" s="3"/>
      <c r="CI898" s="3"/>
      <c r="CJ898" s="3"/>
      <c r="CK898" s="3"/>
      <c r="CL898" s="3"/>
      <c r="CM898" s="3"/>
      <c r="CN898" s="3"/>
    </row>
    <row r="899" spans="1:92" ht="14.4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53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80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161"/>
      <c r="BS899" s="161"/>
      <c r="BT899" s="161"/>
      <c r="BU899" s="162"/>
      <c r="BV899" s="163"/>
      <c r="BW899" s="163"/>
      <c r="BX899" s="163"/>
      <c r="BY899" s="163"/>
      <c r="BZ899" s="163"/>
      <c r="CA899" s="163"/>
      <c r="CB899" s="161"/>
      <c r="CC899" s="161"/>
      <c r="CD899" s="161"/>
      <c r="CE899" s="161"/>
      <c r="CF899" s="161"/>
      <c r="CG899" s="3"/>
      <c r="CH899" s="3"/>
      <c r="CI899" s="3"/>
      <c r="CJ899" s="3"/>
      <c r="CK899" s="3"/>
      <c r="CL899" s="3"/>
      <c r="CM899" s="3"/>
      <c r="CN899" s="3"/>
    </row>
    <row r="900" spans="1:92" ht="14.4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53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80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161"/>
      <c r="BS900" s="161"/>
      <c r="BT900" s="161"/>
      <c r="BU900" s="162"/>
      <c r="BV900" s="163"/>
      <c r="BW900" s="163"/>
      <c r="BX900" s="163"/>
      <c r="BY900" s="163"/>
      <c r="BZ900" s="163"/>
      <c r="CA900" s="163"/>
      <c r="CB900" s="161"/>
      <c r="CC900" s="161"/>
      <c r="CD900" s="161"/>
      <c r="CE900" s="161"/>
      <c r="CF900" s="161"/>
      <c r="CG900" s="3"/>
      <c r="CH900" s="3"/>
      <c r="CI900" s="3"/>
      <c r="CJ900" s="3"/>
      <c r="CK900" s="3"/>
      <c r="CL900" s="3"/>
      <c r="CM900" s="3"/>
      <c r="CN900" s="3"/>
    </row>
    <row r="901" spans="1:92" ht="14.4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53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80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161"/>
      <c r="BS901" s="161"/>
      <c r="BT901" s="161"/>
      <c r="BU901" s="162"/>
      <c r="BV901" s="163"/>
      <c r="BW901" s="163"/>
      <c r="BX901" s="163"/>
      <c r="BY901" s="163"/>
      <c r="BZ901" s="163"/>
      <c r="CA901" s="163"/>
      <c r="CB901" s="161"/>
      <c r="CC901" s="161"/>
      <c r="CD901" s="161"/>
      <c r="CE901" s="161"/>
      <c r="CF901" s="161"/>
      <c r="CG901" s="3"/>
      <c r="CH901" s="3"/>
      <c r="CI901" s="3"/>
      <c r="CJ901" s="3"/>
      <c r="CK901" s="3"/>
      <c r="CL901" s="3"/>
      <c r="CM901" s="3"/>
      <c r="CN901" s="3"/>
    </row>
    <row r="902" spans="1:92" ht="14.4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53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80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161"/>
      <c r="BS902" s="161"/>
      <c r="BT902" s="161"/>
      <c r="BU902" s="162"/>
      <c r="BV902" s="163"/>
      <c r="BW902" s="163"/>
      <c r="BX902" s="163"/>
      <c r="BY902" s="163"/>
      <c r="BZ902" s="163"/>
      <c r="CA902" s="163"/>
      <c r="CB902" s="161"/>
      <c r="CC902" s="161"/>
      <c r="CD902" s="161"/>
      <c r="CE902" s="161"/>
      <c r="CF902" s="161"/>
      <c r="CG902" s="3"/>
      <c r="CH902" s="3"/>
      <c r="CI902" s="3"/>
      <c r="CJ902" s="3"/>
      <c r="CK902" s="3"/>
      <c r="CL902" s="3"/>
      <c r="CM902" s="3"/>
      <c r="CN902" s="3"/>
    </row>
    <row r="903" spans="1:92" ht="14.4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53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80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161"/>
      <c r="BS903" s="161"/>
      <c r="BT903" s="161"/>
      <c r="BU903" s="162"/>
      <c r="BV903" s="163"/>
      <c r="BW903" s="163"/>
      <c r="BX903" s="163"/>
      <c r="BY903" s="163"/>
      <c r="BZ903" s="163"/>
      <c r="CA903" s="163"/>
      <c r="CB903" s="161"/>
      <c r="CC903" s="161"/>
      <c r="CD903" s="161"/>
      <c r="CE903" s="161"/>
      <c r="CF903" s="161"/>
      <c r="CG903" s="3"/>
      <c r="CH903" s="3"/>
      <c r="CI903" s="3"/>
      <c r="CJ903" s="3"/>
      <c r="CK903" s="3"/>
      <c r="CL903" s="3"/>
      <c r="CM903" s="3"/>
      <c r="CN903" s="3"/>
    </row>
    <row r="904" spans="1:92" ht="14.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53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80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161"/>
      <c r="BS904" s="161"/>
      <c r="BT904" s="161"/>
      <c r="BU904" s="162"/>
      <c r="BV904" s="163"/>
      <c r="BW904" s="163"/>
      <c r="BX904" s="163"/>
      <c r="BY904" s="163"/>
      <c r="BZ904" s="163"/>
      <c r="CA904" s="163"/>
      <c r="CB904" s="161"/>
      <c r="CC904" s="161"/>
      <c r="CD904" s="161"/>
      <c r="CE904" s="161"/>
      <c r="CF904" s="161"/>
      <c r="CG904" s="3"/>
      <c r="CH904" s="3"/>
      <c r="CI904" s="3"/>
      <c r="CJ904" s="3"/>
      <c r="CK904" s="3"/>
      <c r="CL904" s="3"/>
      <c r="CM904" s="3"/>
      <c r="CN904" s="3"/>
    </row>
    <row r="905" spans="1:92" ht="14.4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53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80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161"/>
      <c r="BS905" s="161"/>
      <c r="BT905" s="161"/>
      <c r="BU905" s="162"/>
      <c r="BV905" s="163"/>
      <c r="BW905" s="163"/>
      <c r="BX905" s="163"/>
      <c r="BY905" s="163"/>
      <c r="BZ905" s="163"/>
      <c r="CA905" s="163"/>
      <c r="CB905" s="161"/>
      <c r="CC905" s="161"/>
      <c r="CD905" s="161"/>
      <c r="CE905" s="161"/>
      <c r="CF905" s="161"/>
      <c r="CG905" s="3"/>
      <c r="CH905" s="3"/>
      <c r="CI905" s="3"/>
      <c r="CJ905" s="3"/>
      <c r="CK905" s="3"/>
      <c r="CL905" s="3"/>
      <c r="CM905" s="3"/>
      <c r="CN905" s="3"/>
    </row>
    <row r="906" spans="1:92" ht="14.4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53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80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161"/>
      <c r="BS906" s="161"/>
      <c r="BT906" s="161"/>
      <c r="BU906" s="162"/>
      <c r="BV906" s="163"/>
      <c r="BW906" s="163"/>
      <c r="BX906" s="163"/>
      <c r="BY906" s="163"/>
      <c r="BZ906" s="163"/>
      <c r="CA906" s="163"/>
      <c r="CB906" s="161"/>
      <c r="CC906" s="161"/>
      <c r="CD906" s="161"/>
      <c r="CE906" s="161"/>
      <c r="CF906" s="161"/>
      <c r="CG906" s="3"/>
      <c r="CH906" s="3"/>
      <c r="CI906" s="3"/>
      <c r="CJ906" s="3"/>
      <c r="CK906" s="3"/>
      <c r="CL906" s="3"/>
      <c r="CM906" s="3"/>
      <c r="CN906" s="3"/>
    </row>
    <row r="907" spans="1:92" ht="14.4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53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80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161"/>
      <c r="BS907" s="161"/>
      <c r="BT907" s="161"/>
      <c r="BU907" s="162"/>
      <c r="BV907" s="163"/>
      <c r="BW907" s="163"/>
      <c r="BX907" s="163"/>
      <c r="BY907" s="163"/>
      <c r="BZ907" s="163"/>
      <c r="CA907" s="163"/>
      <c r="CB907" s="161"/>
      <c r="CC907" s="161"/>
      <c r="CD907" s="161"/>
      <c r="CE907" s="161"/>
      <c r="CF907" s="161"/>
      <c r="CG907" s="3"/>
      <c r="CH907" s="3"/>
      <c r="CI907" s="3"/>
      <c r="CJ907" s="3"/>
      <c r="CK907" s="3"/>
      <c r="CL907" s="3"/>
      <c r="CM907" s="3"/>
      <c r="CN907" s="3"/>
    </row>
    <row r="908" spans="1:92" ht="14.4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53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80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161"/>
      <c r="BS908" s="161"/>
      <c r="BT908" s="161"/>
      <c r="BU908" s="162"/>
      <c r="BV908" s="163"/>
      <c r="BW908" s="163"/>
      <c r="BX908" s="163"/>
      <c r="BY908" s="163"/>
      <c r="BZ908" s="163"/>
      <c r="CA908" s="163"/>
      <c r="CB908" s="161"/>
      <c r="CC908" s="161"/>
      <c r="CD908" s="161"/>
      <c r="CE908" s="161"/>
      <c r="CF908" s="161"/>
      <c r="CG908" s="3"/>
      <c r="CH908" s="3"/>
      <c r="CI908" s="3"/>
      <c r="CJ908" s="3"/>
      <c r="CK908" s="3"/>
      <c r="CL908" s="3"/>
      <c r="CM908" s="3"/>
      <c r="CN908" s="3"/>
    </row>
    <row r="909" spans="1:92" ht="14.4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53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80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161"/>
      <c r="BS909" s="161"/>
      <c r="BT909" s="161"/>
      <c r="BU909" s="162"/>
      <c r="BV909" s="163"/>
      <c r="BW909" s="163"/>
      <c r="BX909" s="163"/>
      <c r="BY909" s="163"/>
      <c r="BZ909" s="163"/>
      <c r="CA909" s="163"/>
      <c r="CB909" s="161"/>
      <c r="CC909" s="161"/>
      <c r="CD909" s="161"/>
      <c r="CE909" s="161"/>
      <c r="CF909" s="161"/>
      <c r="CG909" s="3"/>
      <c r="CH909" s="3"/>
      <c r="CI909" s="3"/>
      <c r="CJ909" s="3"/>
      <c r="CK909" s="3"/>
      <c r="CL909" s="3"/>
      <c r="CM909" s="3"/>
      <c r="CN909" s="3"/>
    </row>
    <row r="910" spans="1:92" ht="14.4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53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80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161"/>
      <c r="BS910" s="161"/>
      <c r="BT910" s="161"/>
      <c r="BU910" s="162"/>
      <c r="BV910" s="163"/>
      <c r="BW910" s="163"/>
      <c r="BX910" s="163"/>
      <c r="BY910" s="163"/>
      <c r="BZ910" s="163"/>
      <c r="CA910" s="163"/>
      <c r="CB910" s="161"/>
      <c r="CC910" s="161"/>
      <c r="CD910" s="161"/>
      <c r="CE910" s="161"/>
      <c r="CF910" s="161"/>
      <c r="CG910" s="3"/>
      <c r="CH910" s="3"/>
      <c r="CI910" s="3"/>
      <c r="CJ910" s="3"/>
      <c r="CK910" s="3"/>
      <c r="CL910" s="3"/>
      <c r="CM910" s="3"/>
      <c r="CN910" s="3"/>
    </row>
    <row r="911" spans="1:92" ht="14.4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53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80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161"/>
      <c r="BS911" s="161"/>
      <c r="BT911" s="161"/>
      <c r="BU911" s="162"/>
      <c r="BV911" s="163"/>
      <c r="BW911" s="163"/>
      <c r="BX911" s="163"/>
      <c r="BY911" s="163"/>
      <c r="BZ911" s="163"/>
      <c r="CA911" s="163"/>
      <c r="CB911" s="161"/>
      <c r="CC911" s="161"/>
      <c r="CD911" s="161"/>
      <c r="CE911" s="161"/>
      <c r="CF911" s="161"/>
      <c r="CG911" s="3"/>
      <c r="CH911" s="3"/>
      <c r="CI911" s="3"/>
      <c r="CJ911" s="3"/>
      <c r="CK911" s="3"/>
      <c r="CL911" s="3"/>
      <c r="CM911" s="3"/>
      <c r="CN911" s="3"/>
    </row>
    <row r="912" spans="1:92" ht="14.4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53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80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161"/>
      <c r="BS912" s="161"/>
      <c r="BT912" s="161"/>
      <c r="BU912" s="162"/>
      <c r="BV912" s="163"/>
      <c r="BW912" s="163"/>
      <c r="BX912" s="163"/>
      <c r="BY912" s="163"/>
      <c r="BZ912" s="163"/>
      <c r="CA912" s="163"/>
      <c r="CB912" s="161"/>
      <c r="CC912" s="161"/>
      <c r="CD912" s="161"/>
      <c r="CE912" s="161"/>
      <c r="CF912" s="161"/>
      <c r="CG912" s="3"/>
      <c r="CH912" s="3"/>
      <c r="CI912" s="3"/>
      <c r="CJ912" s="3"/>
      <c r="CK912" s="3"/>
      <c r="CL912" s="3"/>
      <c r="CM912" s="3"/>
      <c r="CN912" s="3"/>
    </row>
    <row r="913" spans="1:92" ht="14.4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53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80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161"/>
      <c r="BS913" s="161"/>
      <c r="BT913" s="161"/>
      <c r="BU913" s="162"/>
      <c r="BV913" s="163"/>
      <c r="BW913" s="163"/>
      <c r="BX913" s="163"/>
      <c r="BY913" s="163"/>
      <c r="BZ913" s="163"/>
      <c r="CA913" s="163"/>
      <c r="CB913" s="161"/>
      <c r="CC913" s="161"/>
      <c r="CD913" s="161"/>
      <c r="CE913" s="161"/>
      <c r="CF913" s="161"/>
      <c r="CG913" s="3"/>
      <c r="CH913" s="3"/>
      <c r="CI913" s="3"/>
      <c r="CJ913" s="3"/>
      <c r="CK913" s="3"/>
      <c r="CL913" s="3"/>
      <c r="CM913" s="3"/>
      <c r="CN913" s="3"/>
    </row>
    <row r="914" spans="1:92" ht="14.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53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80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161"/>
      <c r="BS914" s="161"/>
      <c r="BT914" s="161"/>
      <c r="BU914" s="162"/>
      <c r="BV914" s="163"/>
      <c r="BW914" s="163"/>
      <c r="BX914" s="163"/>
      <c r="BY914" s="163"/>
      <c r="BZ914" s="163"/>
      <c r="CA914" s="163"/>
      <c r="CB914" s="161"/>
      <c r="CC914" s="161"/>
      <c r="CD914" s="161"/>
      <c r="CE914" s="161"/>
      <c r="CF914" s="161"/>
      <c r="CG914" s="3"/>
      <c r="CH914" s="3"/>
      <c r="CI914" s="3"/>
      <c r="CJ914" s="3"/>
      <c r="CK914" s="3"/>
      <c r="CL914" s="3"/>
      <c r="CM914" s="3"/>
      <c r="CN914" s="3"/>
    </row>
    <row r="915" spans="1:92" ht="14.4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53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80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161"/>
      <c r="BS915" s="161"/>
      <c r="BT915" s="161"/>
      <c r="BU915" s="162"/>
      <c r="BV915" s="163"/>
      <c r="BW915" s="163"/>
      <c r="BX915" s="163"/>
      <c r="BY915" s="163"/>
      <c r="BZ915" s="163"/>
      <c r="CA915" s="163"/>
      <c r="CB915" s="161"/>
      <c r="CC915" s="161"/>
      <c r="CD915" s="161"/>
      <c r="CE915" s="161"/>
      <c r="CF915" s="161"/>
      <c r="CG915" s="3"/>
      <c r="CH915" s="3"/>
      <c r="CI915" s="3"/>
      <c r="CJ915" s="3"/>
      <c r="CK915" s="3"/>
      <c r="CL915" s="3"/>
      <c r="CM915" s="3"/>
      <c r="CN915" s="3"/>
    </row>
    <row r="916" spans="1:92" ht="14.4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53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80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161"/>
      <c r="BS916" s="161"/>
      <c r="BT916" s="161"/>
      <c r="BU916" s="162"/>
      <c r="BV916" s="163"/>
      <c r="BW916" s="163"/>
      <c r="BX916" s="163"/>
      <c r="BY916" s="163"/>
      <c r="BZ916" s="163"/>
      <c r="CA916" s="163"/>
      <c r="CB916" s="161"/>
      <c r="CC916" s="161"/>
      <c r="CD916" s="161"/>
      <c r="CE916" s="161"/>
      <c r="CF916" s="161"/>
      <c r="CG916" s="3"/>
      <c r="CH916" s="3"/>
      <c r="CI916" s="3"/>
      <c r="CJ916" s="3"/>
      <c r="CK916" s="3"/>
      <c r="CL916" s="3"/>
      <c r="CM916" s="3"/>
      <c r="CN916" s="3"/>
    </row>
    <row r="917" spans="1:92" ht="14.4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53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80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161"/>
      <c r="BS917" s="161"/>
      <c r="BT917" s="161"/>
      <c r="BU917" s="162"/>
      <c r="BV917" s="163"/>
      <c r="BW917" s="163"/>
      <c r="BX917" s="163"/>
      <c r="BY917" s="163"/>
      <c r="BZ917" s="163"/>
      <c r="CA917" s="163"/>
      <c r="CB917" s="161"/>
      <c r="CC917" s="161"/>
      <c r="CD917" s="161"/>
      <c r="CE917" s="161"/>
      <c r="CF917" s="161"/>
      <c r="CG917" s="3"/>
      <c r="CH917" s="3"/>
      <c r="CI917" s="3"/>
      <c r="CJ917" s="3"/>
      <c r="CK917" s="3"/>
      <c r="CL917" s="3"/>
      <c r="CM917" s="3"/>
      <c r="CN917" s="3"/>
    </row>
    <row r="918" spans="1:92" ht="14.4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53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80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161"/>
      <c r="BS918" s="161"/>
      <c r="BT918" s="161"/>
      <c r="BU918" s="162"/>
      <c r="BV918" s="163"/>
      <c r="BW918" s="163"/>
      <c r="BX918" s="163"/>
      <c r="BY918" s="163"/>
      <c r="BZ918" s="163"/>
      <c r="CA918" s="163"/>
      <c r="CB918" s="161"/>
      <c r="CC918" s="161"/>
      <c r="CD918" s="161"/>
      <c r="CE918" s="161"/>
      <c r="CF918" s="161"/>
      <c r="CG918" s="3"/>
      <c r="CH918" s="3"/>
      <c r="CI918" s="3"/>
      <c r="CJ918" s="3"/>
      <c r="CK918" s="3"/>
      <c r="CL918" s="3"/>
      <c r="CM918" s="3"/>
      <c r="CN918" s="3"/>
    </row>
    <row r="919" spans="1:92" ht="14.4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53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80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161"/>
      <c r="BS919" s="161"/>
      <c r="BT919" s="161"/>
      <c r="BU919" s="162"/>
      <c r="BV919" s="163"/>
      <c r="BW919" s="163"/>
      <c r="BX919" s="163"/>
      <c r="BY919" s="163"/>
      <c r="BZ919" s="163"/>
      <c r="CA919" s="163"/>
      <c r="CB919" s="161"/>
      <c r="CC919" s="161"/>
      <c r="CD919" s="161"/>
      <c r="CE919" s="161"/>
      <c r="CF919" s="161"/>
      <c r="CG919" s="3"/>
      <c r="CH919" s="3"/>
      <c r="CI919" s="3"/>
      <c r="CJ919" s="3"/>
      <c r="CK919" s="3"/>
      <c r="CL919" s="3"/>
      <c r="CM919" s="3"/>
      <c r="CN919" s="3"/>
    </row>
    <row r="920" spans="1:92" ht="14.4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53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80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161"/>
      <c r="BS920" s="161"/>
      <c r="BT920" s="161"/>
      <c r="BU920" s="162"/>
      <c r="BV920" s="163"/>
      <c r="BW920" s="163"/>
      <c r="BX920" s="163"/>
      <c r="BY920" s="163"/>
      <c r="BZ920" s="163"/>
      <c r="CA920" s="163"/>
      <c r="CB920" s="161"/>
      <c r="CC920" s="161"/>
      <c r="CD920" s="161"/>
      <c r="CE920" s="161"/>
      <c r="CF920" s="161"/>
      <c r="CG920" s="3"/>
      <c r="CH920" s="3"/>
      <c r="CI920" s="3"/>
      <c r="CJ920" s="3"/>
      <c r="CK920" s="3"/>
      <c r="CL920" s="3"/>
      <c r="CM920" s="3"/>
      <c r="CN920" s="3"/>
    </row>
    <row r="921" spans="1:92" ht="14.4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53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80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161"/>
      <c r="BS921" s="161"/>
      <c r="BT921" s="161"/>
      <c r="BU921" s="162"/>
      <c r="BV921" s="163"/>
      <c r="BW921" s="163"/>
      <c r="BX921" s="163"/>
      <c r="BY921" s="163"/>
      <c r="BZ921" s="163"/>
      <c r="CA921" s="163"/>
      <c r="CB921" s="161"/>
      <c r="CC921" s="161"/>
      <c r="CD921" s="161"/>
      <c r="CE921" s="161"/>
      <c r="CF921" s="161"/>
      <c r="CG921" s="3"/>
      <c r="CH921" s="3"/>
      <c r="CI921" s="3"/>
      <c r="CJ921" s="3"/>
      <c r="CK921" s="3"/>
      <c r="CL921" s="3"/>
      <c r="CM921" s="3"/>
      <c r="CN921" s="3"/>
    </row>
    <row r="922" spans="1:92" ht="14.4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53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80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161"/>
      <c r="BS922" s="161"/>
      <c r="BT922" s="161"/>
      <c r="BU922" s="162"/>
      <c r="BV922" s="163"/>
      <c r="BW922" s="163"/>
      <c r="BX922" s="163"/>
      <c r="BY922" s="163"/>
      <c r="BZ922" s="163"/>
      <c r="CA922" s="163"/>
      <c r="CB922" s="161"/>
      <c r="CC922" s="161"/>
      <c r="CD922" s="161"/>
      <c r="CE922" s="161"/>
      <c r="CF922" s="161"/>
      <c r="CG922" s="3"/>
      <c r="CH922" s="3"/>
      <c r="CI922" s="3"/>
      <c r="CJ922" s="3"/>
      <c r="CK922" s="3"/>
      <c r="CL922" s="3"/>
      <c r="CM922" s="3"/>
      <c r="CN922" s="3"/>
    </row>
    <row r="923" spans="1:92" ht="14.4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53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80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161"/>
      <c r="BS923" s="161"/>
      <c r="BT923" s="161"/>
      <c r="BU923" s="162"/>
      <c r="BV923" s="163"/>
      <c r="BW923" s="163"/>
      <c r="BX923" s="163"/>
      <c r="BY923" s="163"/>
      <c r="BZ923" s="163"/>
      <c r="CA923" s="163"/>
      <c r="CB923" s="161"/>
      <c r="CC923" s="161"/>
      <c r="CD923" s="161"/>
      <c r="CE923" s="161"/>
      <c r="CF923" s="161"/>
      <c r="CG923" s="3"/>
      <c r="CH923" s="3"/>
      <c r="CI923" s="3"/>
      <c r="CJ923" s="3"/>
      <c r="CK923" s="3"/>
      <c r="CL923" s="3"/>
      <c r="CM923" s="3"/>
      <c r="CN923" s="3"/>
    </row>
    <row r="924" spans="1:92" ht="14.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53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80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161"/>
      <c r="BS924" s="161"/>
      <c r="BT924" s="161"/>
      <c r="BU924" s="162"/>
      <c r="BV924" s="163"/>
      <c r="BW924" s="163"/>
      <c r="BX924" s="163"/>
      <c r="BY924" s="163"/>
      <c r="BZ924" s="163"/>
      <c r="CA924" s="163"/>
      <c r="CB924" s="161"/>
      <c r="CC924" s="161"/>
      <c r="CD924" s="161"/>
      <c r="CE924" s="161"/>
      <c r="CF924" s="161"/>
      <c r="CG924" s="3"/>
      <c r="CH924" s="3"/>
      <c r="CI924" s="3"/>
      <c r="CJ924" s="3"/>
      <c r="CK924" s="3"/>
      <c r="CL924" s="3"/>
      <c r="CM924" s="3"/>
      <c r="CN924" s="3"/>
    </row>
    <row r="925" spans="1:92" ht="14.4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53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80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161"/>
      <c r="BS925" s="161"/>
      <c r="BT925" s="161"/>
      <c r="BU925" s="162"/>
      <c r="BV925" s="163"/>
      <c r="BW925" s="163"/>
      <c r="BX925" s="163"/>
      <c r="BY925" s="163"/>
      <c r="BZ925" s="163"/>
      <c r="CA925" s="163"/>
      <c r="CB925" s="161"/>
      <c r="CC925" s="161"/>
      <c r="CD925" s="161"/>
      <c r="CE925" s="161"/>
      <c r="CF925" s="161"/>
      <c r="CG925" s="3"/>
      <c r="CH925" s="3"/>
      <c r="CI925" s="3"/>
      <c r="CJ925" s="3"/>
      <c r="CK925" s="3"/>
      <c r="CL925" s="3"/>
      <c r="CM925" s="3"/>
      <c r="CN925" s="3"/>
    </row>
    <row r="926" spans="1:92" ht="14.4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53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80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161"/>
      <c r="BS926" s="161"/>
      <c r="BT926" s="161"/>
      <c r="BU926" s="162"/>
      <c r="BV926" s="163"/>
      <c r="BW926" s="163"/>
      <c r="BX926" s="163"/>
      <c r="BY926" s="163"/>
      <c r="BZ926" s="163"/>
      <c r="CA926" s="163"/>
      <c r="CB926" s="161"/>
      <c r="CC926" s="161"/>
      <c r="CD926" s="161"/>
      <c r="CE926" s="161"/>
      <c r="CF926" s="161"/>
      <c r="CG926" s="3"/>
      <c r="CH926" s="3"/>
      <c r="CI926" s="3"/>
      <c r="CJ926" s="3"/>
      <c r="CK926" s="3"/>
      <c r="CL926" s="3"/>
      <c r="CM926" s="3"/>
      <c r="CN926" s="3"/>
    </row>
    <row r="927" spans="1:92" ht="14.4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53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80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161"/>
      <c r="BS927" s="161"/>
      <c r="BT927" s="161"/>
      <c r="BU927" s="162"/>
      <c r="BV927" s="163"/>
      <c r="BW927" s="163"/>
      <c r="BX927" s="163"/>
      <c r="BY927" s="163"/>
      <c r="BZ927" s="163"/>
      <c r="CA927" s="163"/>
      <c r="CB927" s="161"/>
      <c r="CC927" s="161"/>
      <c r="CD927" s="161"/>
      <c r="CE927" s="161"/>
      <c r="CF927" s="161"/>
      <c r="CG927" s="3"/>
      <c r="CH927" s="3"/>
      <c r="CI927" s="3"/>
      <c r="CJ927" s="3"/>
      <c r="CK927" s="3"/>
      <c r="CL927" s="3"/>
      <c r="CM927" s="3"/>
      <c r="CN927" s="3"/>
    </row>
    <row r="928" spans="1:92" ht="14.4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53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80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161"/>
      <c r="BS928" s="161"/>
      <c r="BT928" s="161"/>
      <c r="BU928" s="162"/>
      <c r="BV928" s="163"/>
      <c r="BW928" s="163"/>
      <c r="BX928" s="163"/>
      <c r="BY928" s="163"/>
      <c r="BZ928" s="163"/>
      <c r="CA928" s="163"/>
      <c r="CB928" s="161"/>
      <c r="CC928" s="161"/>
      <c r="CD928" s="161"/>
      <c r="CE928" s="161"/>
      <c r="CF928" s="161"/>
      <c r="CG928" s="3"/>
      <c r="CH928" s="3"/>
      <c r="CI928" s="3"/>
      <c r="CJ928" s="3"/>
      <c r="CK928" s="3"/>
      <c r="CL928" s="3"/>
      <c r="CM928" s="3"/>
      <c r="CN928" s="3"/>
    </row>
    <row r="929" spans="1:92" ht="14.4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53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80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161"/>
      <c r="BS929" s="161"/>
      <c r="BT929" s="161"/>
      <c r="BU929" s="162"/>
      <c r="BV929" s="163"/>
      <c r="BW929" s="163"/>
      <c r="BX929" s="163"/>
      <c r="BY929" s="163"/>
      <c r="BZ929" s="163"/>
      <c r="CA929" s="163"/>
      <c r="CB929" s="161"/>
      <c r="CC929" s="161"/>
      <c r="CD929" s="161"/>
      <c r="CE929" s="161"/>
      <c r="CF929" s="161"/>
      <c r="CG929" s="3"/>
      <c r="CH929" s="3"/>
      <c r="CI929" s="3"/>
      <c r="CJ929" s="3"/>
      <c r="CK929" s="3"/>
      <c r="CL929" s="3"/>
      <c r="CM929" s="3"/>
      <c r="CN929" s="3"/>
    </row>
    <row r="930" spans="1:92" ht="14.4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53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80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161"/>
      <c r="BS930" s="161"/>
      <c r="BT930" s="161"/>
      <c r="BU930" s="162"/>
      <c r="BV930" s="163"/>
      <c r="BW930" s="163"/>
      <c r="BX930" s="163"/>
      <c r="BY930" s="163"/>
      <c r="BZ930" s="163"/>
      <c r="CA930" s="163"/>
      <c r="CB930" s="161"/>
      <c r="CC930" s="161"/>
      <c r="CD930" s="161"/>
      <c r="CE930" s="161"/>
      <c r="CF930" s="161"/>
      <c r="CG930" s="3"/>
      <c r="CH930" s="3"/>
      <c r="CI930" s="3"/>
      <c r="CJ930" s="3"/>
      <c r="CK930" s="3"/>
      <c r="CL930" s="3"/>
      <c r="CM930" s="3"/>
      <c r="CN930" s="3"/>
    </row>
    <row r="931" spans="1:92" ht="14.4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53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80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161"/>
      <c r="BS931" s="161"/>
      <c r="BT931" s="161"/>
      <c r="BU931" s="162"/>
      <c r="BV931" s="163"/>
      <c r="BW931" s="163"/>
      <c r="BX931" s="163"/>
      <c r="BY931" s="163"/>
      <c r="BZ931" s="163"/>
      <c r="CA931" s="163"/>
      <c r="CB931" s="161"/>
      <c r="CC931" s="161"/>
      <c r="CD931" s="161"/>
      <c r="CE931" s="161"/>
      <c r="CF931" s="161"/>
      <c r="CG931" s="3"/>
      <c r="CH931" s="3"/>
      <c r="CI931" s="3"/>
      <c r="CJ931" s="3"/>
      <c r="CK931" s="3"/>
      <c r="CL931" s="3"/>
      <c r="CM931" s="3"/>
      <c r="CN931" s="3"/>
    </row>
    <row r="932" spans="1:92" ht="14.4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53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80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161"/>
      <c r="BS932" s="161"/>
      <c r="BT932" s="161"/>
      <c r="BU932" s="162"/>
      <c r="BV932" s="163"/>
      <c r="BW932" s="163"/>
      <c r="BX932" s="163"/>
      <c r="BY932" s="163"/>
      <c r="BZ932" s="163"/>
      <c r="CA932" s="163"/>
      <c r="CB932" s="161"/>
      <c r="CC932" s="161"/>
      <c r="CD932" s="161"/>
      <c r="CE932" s="161"/>
      <c r="CF932" s="161"/>
      <c r="CG932" s="3"/>
      <c r="CH932" s="3"/>
      <c r="CI932" s="3"/>
      <c r="CJ932" s="3"/>
      <c r="CK932" s="3"/>
      <c r="CL932" s="3"/>
      <c r="CM932" s="3"/>
      <c r="CN932" s="3"/>
    </row>
    <row r="933" spans="1:92" ht="14.4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53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80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161"/>
      <c r="BS933" s="161"/>
      <c r="BT933" s="161"/>
      <c r="BU933" s="162"/>
      <c r="BV933" s="163"/>
      <c r="BW933" s="163"/>
      <c r="BX933" s="163"/>
      <c r="BY933" s="163"/>
      <c r="BZ933" s="163"/>
      <c r="CA933" s="163"/>
      <c r="CB933" s="161"/>
      <c r="CC933" s="161"/>
      <c r="CD933" s="161"/>
      <c r="CE933" s="161"/>
      <c r="CF933" s="161"/>
      <c r="CG933" s="3"/>
      <c r="CH933" s="3"/>
      <c r="CI933" s="3"/>
      <c r="CJ933" s="3"/>
      <c r="CK933" s="3"/>
      <c r="CL933" s="3"/>
      <c r="CM933" s="3"/>
      <c r="CN9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outlinePr summaryBelow="0" summaryRight="0"/>
  </sheetPr>
  <dimension ref="A1:Z1000"/>
  <sheetViews>
    <sheetView workbookViewId="0">
      <selection sqref="A1:B1"/>
    </sheetView>
  </sheetViews>
  <sheetFormatPr defaultColWidth="12.6640625" defaultRowHeight="15.75" customHeight="1"/>
  <cols>
    <col min="2" max="2" width="24.21875" customWidth="1"/>
    <col min="3" max="3" width="25.88671875" customWidth="1"/>
    <col min="4" max="4" width="24.77734375" bestFit="1" customWidth="1"/>
    <col min="5" max="5" width="16.109375" style="169" customWidth="1"/>
    <col min="6" max="6" width="17.21875" bestFit="1" customWidth="1"/>
    <col min="7" max="7" width="17.5546875" bestFit="1" customWidth="1"/>
    <col min="8" max="8" width="20.33203125" bestFit="1" customWidth="1"/>
    <col min="9" max="9" width="18" bestFit="1" customWidth="1"/>
    <col min="11" max="11" width="21.77734375" bestFit="1" customWidth="1"/>
    <col min="13" max="13" width="22.44140625" customWidth="1"/>
    <col min="14" max="14" width="16.33203125" customWidth="1"/>
    <col min="15" max="15" width="17.109375" customWidth="1"/>
    <col min="17" max="17" width="20" customWidth="1"/>
    <col min="18" max="18" width="16.88671875" customWidth="1"/>
    <col min="19" max="19" width="17.6640625" customWidth="1"/>
    <col min="20" max="20" width="18.33203125" customWidth="1"/>
    <col min="21" max="21" width="19.6640625" customWidth="1"/>
  </cols>
  <sheetData>
    <row r="1" spans="1:26" ht="15.75" customHeight="1">
      <c r="A1" s="201" t="s">
        <v>1068</v>
      </c>
      <c r="B1" s="202"/>
      <c r="C1" s="1"/>
      <c r="D1" s="201" t="s">
        <v>1069</v>
      </c>
      <c r="E1" s="202"/>
      <c r="F1" s="1"/>
      <c r="G1" s="1"/>
      <c r="H1" s="1"/>
      <c r="I1" s="1"/>
      <c r="J1" s="1"/>
      <c r="K1" s="1"/>
      <c r="L1" s="1"/>
      <c r="M1" s="201" t="s">
        <v>1070</v>
      </c>
      <c r="N1" s="203"/>
      <c r="O1" s="202"/>
      <c r="P1" s="1"/>
      <c r="Q1" s="201" t="s">
        <v>1071</v>
      </c>
      <c r="R1" s="202"/>
      <c r="S1" s="1"/>
      <c r="T1" s="1"/>
      <c r="U1" s="1"/>
      <c r="V1" s="1"/>
      <c r="W1" s="1"/>
      <c r="X1" s="107" t="e">
        <f ca="1">INDIRECT(B2)</f>
        <v>#VALUE!</v>
      </c>
      <c r="Y1" s="1"/>
      <c r="Z1" s="1"/>
    </row>
    <row r="2" spans="1:26" ht="15.75" customHeight="1">
      <c r="A2" s="108" t="s">
        <v>550</v>
      </c>
      <c r="B2" s="109" t="s">
        <v>36</v>
      </c>
      <c r="C2" s="1"/>
      <c r="D2" s="110" t="s">
        <v>550</v>
      </c>
      <c r="E2" s="175" t="str">
        <f t="array" ref="E2:J2">TRANSPOSE(Agents!A16:A21)</f>
        <v>USA_Department</v>
      </c>
      <c r="F2" s="111" t="str">
        <v>INDIA_Department</v>
      </c>
      <c r="G2" s="111" t="str">
        <v>Digital_Department</v>
      </c>
      <c r="H2" s="111" t="str">
        <v>Managed_Department</v>
      </c>
      <c r="I2" s="111" t="str">
        <v>OTHER_Department</v>
      </c>
      <c r="J2" s="111" t="str">
        <v>Teams</v>
      </c>
      <c r="K2" s="111" t="s">
        <v>1066</v>
      </c>
      <c r="L2" s="1"/>
      <c r="M2" s="110" t="s">
        <v>550</v>
      </c>
      <c r="N2" s="110" t="s">
        <v>550</v>
      </c>
      <c r="O2" s="109" t="s">
        <v>61</v>
      </c>
      <c r="P2" s="1"/>
      <c r="Q2" s="110" t="s">
        <v>550</v>
      </c>
      <c r="R2" s="112" t="str">
        <f t="array" ref="R2:U2">TRANSPOSE(Agents!A16:A19)</f>
        <v>USA_Department</v>
      </c>
      <c r="S2" s="112" t="str">
        <v>INDIA_Department</v>
      </c>
      <c r="T2" s="112" t="str">
        <v>Digital_Department</v>
      </c>
      <c r="U2" s="112" t="str">
        <v>Managed_Department</v>
      </c>
      <c r="V2" s="112" t="s">
        <v>1072</v>
      </c>
      <c r="W2" s="1"/>
      <c r="X2" s="107"/>
      <c r="Y2" s="1"/>
      <c r="Z2" s="1"/>
    </row>
    <row r="3" spans="1:26" ht="15.75" customHeight="1">
      <c r="A3" s="1"/>
      <c r="B3" s="1"/>
      <c r="C3" s="1"/>
      <c r="D3" s="1"/>
      <c r="E3" s="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07"/>
      <c r="Y3" s="1"/>
      <c r="Z3" s="1"/>
    </row>
    <row r="4" spans="1:26" ht="15.75" customHeight="1">
      <c r="A4" s="108" t="str">
        <f>B2</f>
        <v>USA_Department_Agents</v>
      </c>
      <c r="B4" s="112" t="s">
        <v>44</v>
      </c>
      <c r="C4" s="1"/>
      <c r="D4" s="111" t="s">
        <v>994</v>
      </c>
      <c r="E4" s="113">
        <f t="array" aca="1" ref="E4" ca="1">INDEX('Calculated Fields'!$C:$CS,MATCH(Department_KPIs!E$2,'Calculated Fields'!$B:$B,0),MATCH(Department_KPIs!$D4,'Calculated Fields'!$C$2:$CS$2,0))</f>
        <v>40356</v>
      </c>
      <c r="F4" s="113">
        <f t="array" aca="1" ref="F4" ca="1">INDEX('Calculated Fields'!$C:$CS,MATCH(Department_KPIs!F$2,'Calculated Fields'!$B:$B,0),MATCH(Department_KPIs!$D4,'Calculated Fields'!$C$2:$CS$2,0))</f>
        <v>16834</v>
      </c>
      <c r="G4" s="113">
        <f t="array" aca="1" ref="G4" ca="1">INDEX('Calculated Fields'!$C:$CS,MATCH(Department_KPIs!G$2,'Calculated Fields'!$B:$B,0),MATCH(Department_KPIs!$D4,'Calculated Fields'!$C$2:$CS$2,0))</f>
        <v>7783</v>
      </c>
      <c r="H4" s="113">
        <f t="array" aca="1" ref="H4" ca="1">INDEX('Calculated Fields'!$C:$CS,MATCH(Department_KPIs!H$2,'Calculated Fields'!$B:$B,0),MATCH(Department_KPIs!$D4,'Calculated Fields'!$C$2:$CS$2,0))</f>
        <v>5880</v>
      </c>
      <c r="I4" s="113">
        <f t="array" aca="1" ref="I4" ca="1">INDEX('Calculated Fields'!$C:$CS,MATCH(Department_KPIs!I$2,'Calculated Fields'!$B:$B,0),MATCH(Department_KPIs!$D4,'Calculated Fields'!$C$2:$CS$2,0))</f>
        <v>785</v>
      </c>
      <c r="J4" s="113">
        <f t="array" aca="1" ref="J4" ca="1">INDEX('Calculated Fields'!$C:$CS,MATCH(Department_KPIs!J$2,'Calculated Fields'!$B:$B,0),MATCH(Department_KPIs!$D4,'Calculated Fields'!$C$2:$CS$2,0))</f>
        <v>71638</v>
      </c>
      <c r="K4" s="113">
        <f t="array" aca="1" ref="K4" ca="1">INDEX('Calculated Fields'!$C:$CS,MATCH(Department_KPIs!K$2,'Calculated Fields'!$B:$B,0),MATCH(Department_KPIs!$D4,'Calculated Fields'!$C$2:$CS$2,0))</f>
        <v>57190</v>
      </c>
      <c r="L4" s="114"/>
      <c r="M4" s="111" t="s">
        <v>1073</v>
      </c>
      <c r="N4" s="111" t="s">
        <v>994</v>
      </c>
      <c r="O4" s="115">
        <f ca="1">_xlfn.IFNA(INDEX('Calculated Fields'!$C:$AE,MATCH(Department_KPIs!M4,'Calculated Fields'!$B$1:$B$47,0),MATCH(Department_KPIs!N4,'Calculated Fields'!$C$2:$AE$2,0)),0)+_xlfn.IFNA(INDEX('Calculated Fields'!$C:$AE,MATCH("Managed_Department",'Calculated Fields'!$B$1:$B$47,0),MATCH(Department_KPIs!N4,'Calculated Fields'!$C$2:$AE$2,0)),0)</f>
        <v>13663</v>
      </c>
      <c r="P4" s="1"/>
      <c r="Q4" s="111" t="s">
        <v>994</v>
      </c>
      <c r="R4" s="113">
        <f t="array" aca="1" ref="R4" ca="1">INDEX('Calculated Fields'!$C:$CS,MATCH(Department_KPIs!R$2,'Calculated Fields'!$B:$B,0),MATCH(Department_KPIs!$D4,'Calculated Fields'!$C$2:$CS$2,0))</f>
        <v>40356</v>
      </c>
      <c r="S4" s="113">
        <f t="array" aca="1" ref="S4" ca="1">INDEX('Calculated Fields'!$C:$CS,MATCH(Department_KPIs!S$2,'Calculated Fields'!$B:$B,0),MATCH(Department_KPIs!$D4,'Calculated Fields'!$C$2:$CS$2,0))</f>
        <v>16834</v>
      </c>
      <c r="T4" s="113">
        <f t="array" aca="1" ref="T4" ca="1">INDEX('Calculated Fields'!$C:$CS,MATCH(Department_KPIs!T$2,'Calculated Fields'!$B:$B,0),MATCH(Department_KPIs!$D4,'Calculated Fields'!$C$2:$CS$2,0))</f>
        <v>7783</v>
      </c>
      <c r="U4" s="113">
        <f t="array" aca="1" ref="U4" ca="1">INDEX('Calculated Fields'!$C:$CS,MATCH(Department_KPIs!U$2,'Calculated Fields'!$B:$B,0),MATCH(Department_KPIs!$D4,'Calculated Fields'!$C$2:$CS$2,0))</f>
        <v>5880</v>
      </c>
      <c r="V4" s="116">
        <f t="shared" ref="V4:V5" ca="1" si="0">SUM(R4:U4)</f>
        <v>70853</v>
      </c>
      <c r="W4" s="1"/>
      <c r="X4" s="107"/>
      <c r="Y4" s="1"/>
      <c r="Z4" s="1"/>
    </row>
    <row r="5" spans="1:26" ht="15.75" customHeight="1">
      <c r="A5" s="1"/>
      <c r="B5" s="1"/>
      <c r="C5" s="1"/>
      <c r="D5" s="111" t="s">
        <v>995</v>
      </c>
      <c r="E5" s="113">
        <f t="array" aca="1" ref="E5" ca="1">INDEX('Calculated Fields'!$C:$CS,MATCH(Department_KPIs!E$2,'Calculated Fields'!$B:$B,0),MATCH(Department_KPIs!$D5,'Calculated Fields'!$C$2:$CS$2,0))</f>
        <v>72526.66</v>
      </c>
      <c r="F5" s="113">
        <f t="array" aca="1" ref="F5" ca="1">INDEX('Calculated Fields'!$C:$CS,MATCH(Department_KPIs!F$2,'Calculated Fields'!$B:$B,0),MATCH(Department_KPIs!$D5,'Calculated Fields'!$C$2:$CS$2,0))</f>
        <v>14306.01</v>
      </c>
      <c r="G5" s="113">
        <f t="array" aca="1" ref="G5" ca="1">INDEX('Calculated Fields'!$C:$CS,MATCH(Department_KPIs!G$2,'Calculated Fields'!$B:$B,0),MATCH(Department_KPIs!$D5,'Calculated Fields'!$C$2:$CS$2,0))</f>
        <v>8376.01</v>
      </c>
      <c r="H5" s="113">
        <f t="array" aca="1" ref="H5" ca="1">INDEX('Calculated Fields'!$C:$CS,MATCH(Department_KPIs!H$2,'Calculated Fields'!$B:$B,0),MATCH(Department_KPIs!$D5,'Calculated Fields'!$C$2:$CS$2,0))</f>
        <v>5590</v>
      </c>
      <c r="I5" s="113">
        <f t="array" aca="1" ref="I5" ca="1">INDEX('Calculated Fields'!$C:$CS,MATCH(Department_KPIs!I$2,'Calculated Fields'!$B:$B,0),MATCH(Department_KPIs!$D5,'Calculated Fields'!$C$2:$CS$2,0))</f>
        <v>0</v>
      </c>
      <c r="J5" s="113">
        <f t="array" aca="1" ref="J5" ca="1">INDEX('Calculated Fields'!$C:$CS,MATCH(Department_KPIs!J$2,'Calculated Fields'!$B:$B,0),MATCH(Department_KPIs!$D5,'Calculated Fields'!$C$2:$CS$2,0))</f>
        <v>100798.68</v>
      </c>
      <c r="K5" s="113">
        <f t="array" aca="1" ref="K5" ca="1">INDEX('Calculated Fields'!$C:$CS,MATCH(Department_KPIs!K$2,'Calculated Fields'!$B:$B,0),MATCH(Department_KPIs!$D5,'Calculated Fields'!$C$2:$CS$2,0))</f>
        <v>86832.67</v>
      </c>
      <c r="L5" s="114"/>
      <c r="M5" s="111" t="s">
        <v>1073</v>
      </c>
      <c r="N5" s="111" t="s">
        <v>996</v>
      </c>
      <c r="O5" s="115">
        <f ca="1">_xlfn.IFNA(INDEX('Calculated Fields'!$C:$AE,MATCH(Department_KPIs!M5,'Calculated Fields'!$B$1:$B$47,0),MATCH(Department_KPIs!N5,'Calculated Fields'!$C$2:$AE$2,0)),0)+_xlfn.IFNA(INDEX('Calculated Fields'!$C:$AE,MATCH("Managed_Department",'Calculated Fields'!$B$1:$B$47,0),MATCH(Department_KPIs!N5,'Calculated Fields'!$C$2:$AE$2,0)),0)</f>
        <v>13974.01</v>
      </c>
      <c r="P5" s="1"/>
      <c r="Q5" s="111" t="s">
        <v>996</v>
      </c>
      <c r="R5" s="113">
        <f t="array" aca="1" ref="R5" ca="1">INDEX('Calculated Fields'!$C:$CS,MATCH(Department_KPIs!R$2,'Calculated Fields'!$B:$B,0),MATCH(Department_KPIs!$D6,'Calculated Fields'!$C$2:$CS$2,0))</f>
        <v>69990.66</v>
      </c>
      <c r="S5" s="113">
        <f t="array" aca="1" ref="S5" ca="1">INDEX('Calculated Fields'!$C:$CS,MATCH(Department_KPIs!S$2,'Calculated Fields'!$B:$B,0),MATCH(Department_KPIs!$D6,'Calculated Fields'!$C$2:$CS$2,0))</f>
        <v>14756.01</v>
      </c>
      <c r="T5" s="113">
        <f t="array" aca="1" ref="T5" ca="1">INDEX('Calculated Fields'!$C:$CS,MATCH(Department_KPIs!T$2,'Calculated Fields'!$B:$B,0),MATCH(Department_KPIs!$D6,'Calculated Fields'!$C$2:$CS$2,0))</f>
        <v>8384.01</v>
      </c>
      <c r="U5" s="113">
        <f t="array" aca="1" ref="U5" ca="1">INDEX('Calculated Fields'!$C:$CS,MATCH(Department_KPIs!U$2,'Calculated Fields'!$B:$B,0),MATCH(Department_KPIs!$D6,'Calculated Fields'!$C$2:$CS$2,0))</f>
        <v>5590</v>
      </c>
      <c r="V5" s="116">
        <f t="shared" ca="1" si="0"/>
        <v>98720.68</v>
      </c>
      <c r="W5" s="1"/>
      <c r="X5" s="107"/>
      <c r="Y5" s="1"/>
      <c r="Z5" s="1"/>
    </row>
    <row r="6" spans="1:26" ht="15.75" customHeight="1">
      <c r="A6" s="111" t="s">
        <v>994</v>
      </c>
      <c r="B6" s="115">
        <f t="array" aca="1" ref="B6" ca="1">INDEX('Calculated Fields'!$C$3:$CQ$83,MATCH(TRIM(Department_KPIs!$B$4),TRIM('Calculated Fields'!$B$3:$B$83),0),MATCH(Department_KPIs!$A6,'Calculated Fields'!$C$2:$CQ$2,0))</f>
        <v>3857</v>
      </c>
      <c r="C6" s="1"/>
      <c r="D6" s="111" t="s">
        <v>996</v>
      </c>
      <c r="E6" s="113">
        <f t="array" aca="1" ref="E6" ca="1">INDEX('Calculated Fields'!$C:$CS,MATCH(Department_KPIs!$E$2,'Calculated Fields'!$B:$B,0),MATCH(Department_KPIs!$D6,'Calculated Fields'!$C$2:$CS$2,0))</f>
        <v>69990.66</v>
      </c>
      <c r="F6" s="113">
        <f t="array" aca="1" ref="F6" ca="1">INDEX('Calculated Fields'!$C:$CS,MATCH(Department_KPIs!F$2,'Calculated Fields'!$B:$B,0),MATCH(Department_KPIs!$D6,'Calculated Fields'!$C$2:$CS$2,0))</f>
        <v>14756.01</v>
      </c>
      <c r="G6" s="113">
        <f t="array" aca="1" ref="G6" ca="1">INDEX('Calculated Fields'!$C:$CS,MATCH(Department_KPIs!G$2,'Calculated Fields'!$B:$B,0),MATCH(Department_KPIs!$D6,'Calculated Fields'!$C$2:$CS$2,0))</f>
        <v>8384.01</v>
      </c>
      <c r="H6" s="113">
        <f t="array" aca="1" ref="H6" ca="1">INDEX('Calculated Fields'!$C:$CS,MATCH(Department_KPIs!H$2,'Calculated Fields'!$B:$B,0),MATCH(Department_KPIs!$D6,'Calculated Fields'!$C$2:$CS$2,0))</f>
        <v>5590</v>
      </c>
      <c r="I6" s="113">
        <f t="array" aca="1" ref="I6" ca="1">INDEX('Calculated Fields'!$C:$CS,MATCH(Department_KPIs!I$2,'Calculated Fields'!$B:$B,0),MATCH(Department_KPIs!$D6,'Calculated Fields'!$C$2:$CS$2,0))</f>
        <v>0</v>
      </c>
      <c r="J6" s="113">
        <f t="array" aca="1" ref="J6" ca="1">INDEX('Calculated Fields'!$C:$CS,MATCH(Department_KPIs!J$2,'Calculated Fields'!$B:$B,0),MATCH(Department_KPIs!$D6,'Calculated Fields'!$C$2:$CS$2,0))</f>
        <v>98720.68</v>
      </c>
      <c r="K6" s="113">
        <f t="array" aca="1" ref="K6" ca="1">INDEX('Calculated Fields'!$C:$CS,MATCH(Department_KPIs!K$2,'Calculated Fields'!$B:$B,0),MATCH(Department_KPIs!$D6,'Calculated Fields'!$C$2:$CS$2,0))</f>
        <v>84746.67</v>
      </c>
      <c r="L6" s="114"/>
      <c r="M6" s="111" t="s">
        <v>1073</v>
      </c>
      <c r="N6" s="111" t="s">
        <v>104</v>
      </c>
      <c r="O6" s="115">
        <f ca="1">_xlfn.IFNA(INDEX('Calculated Fields'!$C:$AE,MATCH(Department_KPIs!M6,'Calculated Fields'!$B$1:$B$47,0),MATCH(Department_KPIs!N6,'Calculated Fields'!$C$2:$AE$2,0)),0)+_xlfn.IFNA(INDEX('Calculated Fields'!$C:$AE,MATCH("Managed_Department",'Calculated Fields'!$B$1:$B$47,0),MATCH(Department_KPIs!N6,'Calculated Fields'!$C$2:$AE$2,0)),0)</f>
        <v>-19</v>
      </c>
      <c r="P6" s="1"/>
      <c r="Q6" s="111" t="s">
        <v>1016</v>
      </c>
      <c r="R6" s="118">
        <f t="array" aca="1" ref="R6" ca="1">INDEX('Calculated Fields'!$C:$CS,MATCH(Department_KPIs!R$2,'Calculated Fields'!$B:$B,0),MATCH(Department_KPIs!$D31,'Calculated Fields'!$C$2:$CS$2,0))</f>
        <v>0.17101710171017101</v>
      </c>
      <c r="S6" s="118">
        <f t="array" aca="1" ref="S6" ca="1">INDEX('Calculated Fields'!$C:$CS,MATCH(Department_KPIs!S$2,'Calculated Fields'!$B:$B,0),MATCH(Department_KPIs!$D31,'Calculated Fields'!$C$2:$CS$2,0))</f>
        <v>0.15963855421686746</v>
      </c>
      <c r="T6" s="118" t="str">
        <f t="array" aca="1" ref="T6" ca="1">INDEX('Calculated Fields'!$C:$CS,MATCH(Department_KPIs!T$2,'Calculated Fields'!$B:$B,0),MATCH(Department_KPIs!$D31,'Calculated Fields'!$C$2:$CS$2,0))</f>
        <v>❌</v>
      </c>
      <c r="U6" s="118" t="str">
        <f t="array" aca="1" ref="U6" ca="1">INDEX('Calculated Fields'!$C:$CS,MATCH(Department_KPIs!U$2,'Calculated Fields'!$B:$B,0),MATCH(Department_KPIs!$D31,'Calculated Fields'!$C$2:$CS$2,0))</f>
        <v>❌</v>
      </c>
      <c r="V6" s="119">
        <f t="array" aca="1" ref="V6" ca="1">INDEX('Calculated Fields'!$C:$CS,MATCH(Department_KPIs!V$2,'Calculated Fields'!$B:$B,0),MATCH(Department_KPIs!$D31,'Calculated Fields'!$C$2:$CS$2,0))</f>
        <v>0.16839916839916841</v>
      </c>
      <c r="W6" s="1"/>
      <c r="X6" s="107"/>
      <c r="Y6" s="1"/>
      <c r="Z6" s="1"/>
    </row>
    <row r="7" spans="1:26" ht="15.75" customHeight="1">
      <c r="A7" s="111" t="s">
        <v>995</v>
      </c>
      <c r="B7" s="115">
        <f t="array" aca="1" ref="B7" ca="1">INDEX('Calculated Fields'!$C$3:$CQ$83,MATCH(TRIM(Department_KPIs!$B$4),TRIM('Calculated Fields'!$B$3:$B$83),0),MATCH(Department_KPIs!$A7,'Calculated Fields'!$C$2:$CQ$2,0))</f>
        <v>2715</v>
      </c>
      <c r="C7" s="1"/>
      <c r="D7" s="111" t="s">
        <v>997</v>
      </c>
      <c r="E7" s="113">
        <f t="array" aca="1" ref="E7" ca="1">INDEX('Calculated Fields'!$C:$CS,MATCH(Department_KPIs!$E$2,'Calculated Fields'!$B:$B,0),MATCH(Department_KPIs!$D7,'Calculated Fields'!$C$2:$CS$2,0))</f>
        <v>12555</v>
      </c>
      <c r="F7" s="113">
        <f t="array" aca="1" ref="F7" ca="1">INDEX('Calculated Fields'!$C:$CS,MATCH(Department_KPIs!F$2,'Calculated Fields'!$B:$B,0),MATCH(Department_KPIs!$D7,'Calculated Fields'!$C$2:$CS$2,0))</f>
        <v>0</v>
      </c>
      <c r="G7" s="113">
        <f t="array" aca="1" ref="G7" ca="1">INDEX('Calculated Fields'!$C:$CS,MATCH(Department_KPIs!G$2,'Calculated Fields'!$B:$B,0),MATCH(Department_KPIs!$D7,'Calculated Fields'!$C$2:$CS$2,0))</f>
        <v>0</v>
      </c>
      <c r="H7" s="113">
        <f t="array" aca="1" ref="H7" ca="1">INDEX('Calculated Fields'!$C:$CS,MATCH(Department_KPIs!H$2,'Calculated Fields'!$B:$B,0),MATCH(Department_KPIs!$D7,'Calculated Fields'!$C$2:$CS$2,0))</f>
        <v>0</v>
      </c>
      <c r="I7" s="113">
        <f t="array" aca="1" ref="I7" ca="1">INDEX('Calculated Fields'!$C:$CS,MATCH(Department_KPIs!I$2,'Calculated Fields'!$B:$B,0),MATCH(Department_KPIs!$D7,'Calculated Fields'!$C$2:$CS$2,0))</f>
        <v>0</v>
      </c>
      <c r="J7" s="113">
        <f t="array" aca="1" ref="J7" ca="1">INDEX('Calculated Fields'!$C:$CS,MATCH(Department_KPIs!J$2,'Calculated Fields'!$B:$B,0),MATCH(Department_KPIs!$D7,'Calculated Fields'!$C$2:$CS$2,0))</f>
        <v>12555</v>
      </c>
      <c r="K7" s="113">
        <f t="array" aca="1" ref="K7" ca="1">INDEX('Calculated Fields'!$C:$CS,MATCH(Department_KPIs!K$2,'Calculated Fields'!$B:$B,0),MATCH(Department_KPIs!$D7,'Calculated Fields'!$C$2:$CS$2,0))</f>
        <v>12555</v>
      </c>
      <c r="L7" s="114"/>
      <c r="M7" s="111" t="s">
        <v>97</v>
      </c>
      <c r="N7" s="111" t="s">
        <v>994</v>
      </c>
      <c r="O7" s="115">
        <f ca="1">_xlfn.IFNA(INDEX('Calculated Fields'!$C:$AE,MATCH(Department_KPIs!M7,'Calculated Fields'!$B$1:$B$47,0),MATCH(Department_KPIs!N7,'Calculated Fields'!$C$2:$AE$2,0)),0)+_xlfn.IFNA(INDEX('Calculated Fields'!$C:$AE,MATCH("Managed_Department",'Calculated Fields'!$B$1:$B$47,0),MATCH(Department_KPIs!N7,'Calculated Fields'!$C$2:$AE$2,0)),0)</f>
        <v>11850</v>
      </c>
      <c r="P7" s="1"/>
      <c r="Q7" s="111" t="s">
        <v>1021</v>
      </c>
      <c r="R7" s="118">
        <f t="array" aca="1" ref="R7" ca="1">INDEX('Calculated Fields'!$C:$CS,MATCH(Department_KPIs!R$2,'Calculated Fields'!$B:$B,0),MATCH($Q$7,'Calculated Fields'!$C$2:$CS$2,0))</f>
        <v>0.42792792792792794</v>
      </c>
      <c r="S7" s="118">
        <f t="array" aca="1" ref="S7" ca="1">INDEX('Calculated Fields'!$C:$CS,MATCH(Department_KPIs!S$2,'Calculated Fields'!$B:$B,0),MATCH($Q$7,'Calculated Fields'!$C$2:$CS$2,0))</f>
        <v>0.29775280898876405</v>
      </c>
      <c r="T7" s="118" t="str">
        <f t="array" aca="1" ref="T7" ca="1">INDEX('Calculated Fields'!$C:$CS,MATCH(Department_KPIs!T$2,'Calculated Fields'!$B:$B,0),MATCH($Q$7,'Calculated Fields'!$C$2:$CS$2,0))</f>
        <v>❌</v>
      </c>
      <c r="U7" s="118" t="str">
        <f t="array" aca="1" ref="U7" ca="1">INDEX('Calculated Fields'!$C:$CS,MATCH(Department_KPIs!U$2,'Calculated Fields'!$B:$B,0),MATCH($Q$7,'Calculated Fields'!$C$2:$CS$2,0))</f>
        <v>❌</v>
      </c>
      <c r="V7" s="118">
        <f t="array" aca="1" ref="V7" ca="1">INDEX('Calculated Fields'!$C:$CS,MATCH(Department_KPIs!V$2,'Calculated Fields'!$B:$B,0),MATCH($Q$7,'Calculated Fields'!$C$2:$CS$2,0))</f>
        <v>0.39067524115755625</v>
      </c>
      <c r="W7" s="1"/>
      <c r="X7" s="107"/>
      <c r="Y7" s="1"/>
      <c r="Z7" s="1"/>
    </row>
    <row r="8" spans="1:26" ht="15.75" customHeight="1">
      <c r="A8" s="111" t="s">
        <v>996</v>
      </c>
      <c r="B8" s="115">
        <f t="array" aca="1" ref="B8" ca="1">INDEX('Calculated Fields'!$C$3:$CQ$83,MATCH(TRIM(Department_KPIs!$B$4),TRIM('Calculated Fields'!$B$3:$B$83),0),MATCH(Department_KPIs!$A8,'Calculated Fields'!$C$2:$CQ$2,0))</f>
        <v>2715</v>
      </c>
      <c r="C8" s="114"/>
      <c r="D8" s="111" t="s">
        <v>998</v>
      </c>
      <c r="E8" s="113">
        <f t="array" aca="1" ref="E8" ca="1">INDEX('Calculated Fields'!$C:$CS,MATCH(Department_KPIs!$E$2,'Calculated Fields'!$B:$B,0),MATCH(Department_KPIs!$D8,'Calculated Fields'!$C$2:$CS$2,0))</f>
        <v>56571.66</v>
      </c>
      <c r="F8" s="113">
        <f t="array" aca="1" ref="F8" ca="1">INDEX('Calculated Fields'!$C:$CS,MATCH(Department_KPIs!F$2,'Calculated Fields'!$B:$B,0),MATCH(Department_KPIs!$D8,'Calculated Fields'!$C$2:$CS$2,0))</f>
        <v>14306.01</v>
      </c>
      <c r="G8" s="113">
        <f t="array" aca="1" ref="G8" ca="1">INDEX('Calculated Fields'!$C:$CS,MATCH(Department_KPIs!G$2,'Calculated Fields'!$B:$B,0),MATCH(Department_KPIs!$D8,'Calculated Fields'!$C$2:$CS$2,0))</f>
        <v>8376.01</v>
      </c>
      <c r="H8" s="113">
        <f t="array" aca="1" ref="H8" ca="1">INDEX('Calculated Fields'!$C:$CS,MATCH(Department_KPIs!H$2,'Calculated Fields'!$B:$B,0),MATCH(Department_KPIs!$D8,'Calculated Fields'!$C$2:$CS$2,0))</f>
        <v>5590</v>
      </c>
      <c r="I8" s="113">
        <f t="array" aca="1" ref="I8" ca="1">INDEX('Calculated Fields'!$C:$CS,MATCH(Department_KPIs!I$2,'Calculated Fields'!$B:$B,0),MATCH(Department_KPIs!$D8,'Calculated Fields'!$C$2:$CS$2,0))</f>
        <v>0</v>
      </c>
      <c r="J8" s="113">
        <f t="array" aca="1" ref="J8" ca="1">INDEX('Calculated Fields'!$C:$CS,MATCH(Department_KPIs!J$2,'Calculated Fields'!$B:$B,0),MATCH(Department_KPIs!$D8,'Calculated Fields'!$C$2:$CS$2,0))</f>
        <v>84843.68</v>
      </c>
      <c r="K8" s="113">
        <f t="array" aca="1" ref="K8" ca="1">INDEX('Calculated Fields'!$C:$CS,MATCH(Department_KPIs!K$2,'Calculated Fields'!$B:$B,0),MATCH(Department_KPIs!$D8,'Calculated Fields'!$C$2:$CS$2,0))</f>
        <v>70877.67</v>
      </c>
      <c r="L8" s="114"/>
      <c r="M8" s="111" t="s">
        <v>92</v>
      </c>
      <c r="N8" s="111" t="s">
        <v>994</v>
      </c>
      <c r="O8" s="115">
        <f ca="1">_xlfn.IFNA(INDEX('Calculated Fields'!$C:$AE,MATCH(Department_KPIs!M8,'Calculated Fields'!$B$1:$B$47,0),MATCH(Department_KPIs!N8,'Calculated Fields'!$C$2:$AE$2,0)),0)+_xlfn.IFNA(INDEX('Calculated Fields'!$C:$AE,MATCH("Managed_Department",'Calculated Fields'!$B$1:$B$47,0),MATCH(Department_KPIs!N8,'Calculated Fields'!$C$2:$AE$2,0)),0)</f>
        <v>7293</v>
      </c>
      <c r="P8" s="1"/>
      <c r="Q8" s="111" t="s">
        <v>1035</v>
      </c>
      <c r="R8" s="113">
        <f t="array" aca="1" ref="R8" ca="1">INDEX('Calculated Fields'!$C:$CS,MATCH(Department_KPIs!R$2,'Calculated Fields'!$B:$B,0),MATCH(Department_KPIs!$D45,'Calculated Fields'!$C$2:$CS$2,0))</f>
        <v>59</v>
      </c>
      <c r="S8" s="113">
        <f t="array" aca="1" ref="S8" ca="1">INDEX('Calculated Fields'!$C:$CS,MATCH(Department_KPIs!S$2,'Calculated Fields'!$B:$B,0),MATCH(Department_KPIs!$D45,'Calculated Fields'!$C$2:$CS$2,0))</f>
        <v>87.222797927461144</v>
      </c>
      <c r="T8" s="113" t="str">
        <f t="array" aca="1" ref="T8" ca="1">INDEX('Calculated Fields'!$C:$CS,MATCH(Department_KPIs!T$2,'Calculated Fields'!$B:$B,0),MATCH(Department_KPIs!$D45,'Calculated Fields'!$C$2:$CS$2,0))</f>
        <v>❌</v>
      </c>
      <c r="U8" s="113" t="str">
        <f t="array" aca="1" ref="U8" ca="1">INDEX('Calculated Fields'!$C:$CS,MATCH(Department_KPIs!U$2,'Calculated Fields'!$B:$B,0),MATCH(Department_KPIs!$D45,'Calculated Fields'!$C$2:$CS$2,0))</f>
        <v>❌</v>
      </c>
      <c r="V8" s="116">
        <f ca="1">(R4+S4)/V9</f>
        <v>65.210946408209807</v>
      </c>
      <c r="W8" s="1"/>
      <c r="X8" s="107"/>
      <c r="Y8" s="1"/>
      <c r="Z8" s="1"/>
    </row>
    <row r="9" spans="1:26" ht="15.75" customHeight="1">
      <c r="A9" s="111" t="s">
        <v>997</v>
      </c>
      <c r="B9" s="115">
        <f t="array" aca="1" ref="B9" ca="1">INDEX('Calculated Fields'!$C$3:$CQ$83,MATCH(TRIM(Department_KPIs!$B$4),TRIM('Calculated Fields'!$B$3:$B$83),0),MATCH(Department_KPIs!$A9,'Calculated Fields'!$C$2:$CQ$2,0))</f>
        <v>0</v>
      </c>
      <c r="C9" s="114"/>
      <c r="D9" s="111" t="s">
        <v>999</v>
      </c>
      <c r="E9" s="113">
        <f t="array" aca="1" ref="E9" ca="1">INDEX('Calculated Fields'!$C:$CS,MATCH(Department_KPIs!$E$2,'Calculated Fields'!$B:$B,0),MATCH(Department_KPIs!$D9,'Calculated Fields'!$C$2:$CS$2,0))</f>
        <v>69126.66</v>
      </c>
      <c r="F9" s="113">
        <f t="array" aca="1" ref="F9" ca="1">INDEX('Calculated Fields'!$C:$CS,MATCH(Department_KPIs!F$2,'Calculated Fields'!$B:$B,0),MATCH(Department_KPIs!$D9,'Calculated Fields'!$C$2:$CS$2,0))</f>
        <v>14306.01</v>
      </c>
      <c r="G9" s="113">
        <f t="array" aca="1" ref="G9" ca="1">INDEX('Calculated Fields'!$C:$CS,MATCH(Department_KPIs!G$2,'Calculated Fields'!$B:$B,0),MATCH(Department_KPIs!$D9,'Calculated Fields'!$C$2:$CS$2,0))</f>
        <v>8376.01</v>
      </c>
      <c r="H9" s="113">
        <f t="array" aca="1" ref="H9" ca="1">INDEX('Calculated Fields'!$C:$CS,MATCH(Department_KPIs!H$2,'Calculated Fields'!$B:$B,0),MATCH(Department_KPIs!$D9,'Calculated Fields'!$C$2:$CS$2,0))</f>
        <v>5590</v>
      </c>
      <c r="I9" s="113">
        <f t="array" aca="1" ref="I9" ca="1">INDEX('Calculated Fields'!$C:$CS,MATCH(Department_KPIs!I$2,'Calculated Fields'!$B:$B,0),MATCH(Department_KPIs!$D9,'Calculated Fields'!$C$2:$CS$2,0))</f>
        <v>0</v>
      </c>
      <c r="J9" s="113">
        <f t="array" aca="1" ref="J9" ca="1">INDEX('Calculated Fields'!$C:$CS,MATCH(Department_KPIs!J$2,'Calculated Fields'!$B:$B,0),MATCH(Department_KPIs!$D9,'Calculated Fields'!$C$2:$CS$2,0))</f>
        <v>97398.68</v>
      </c>
      <c r="K9" s="113">
        <f t="array" aca="1" ref="K9" ca="1">INDEX('Calculated Fields'!$C:$CS,MATCH(Department_KPIs!K$2,'Calculated Fields'!$B:$B,0),MATCH(Department_KPIs!$D9,'Calculated Fields'!$C$2:$CS$2,0))</f>
        <v>83432.67</v>
      </c>
      <c r="L9" s="114"/>
      <c r="M9" s="111" t="s">
        <v>96</v>
      </c>
      <c r="N9" s="111" t="s">
        <v>994</v>
      </c>
      <c r="O9" s="115">
        <f ca="1">_xlfn.IFNA(INDEX('Calculated Fields'!$C:$AE,MATCH(Department_KPIs!M9,'Calculated Fields'!$B$1:$B$47,0),MATCH(Department_KPIs!N9,'Calculated Fields'!$C$2:$AE$2,0)),0)+_xlfn.IFNA(INDEX('Calculated Fields'!$C:$AE,MATCH("Managed_Department",'Calculated Fields'!$B$1:$B$47,0),MATCH(Department_KPIs!N9,'Calculated Fields'!$C$2:$AE$2,0)),0)</f>
        <v>6180</v>
      </c>
      <c r="P9" s="1"/>
      <c r="Q9" s="111" t="s">
        <v>1033</v>
      </c>
      <c r="R9" s="120">
        <f t="array" aca="1" ref="R9" ca="1">INDEX('Calculated Fields'!$C:$CS,MATCH(Department_KPIs!R$2,'Calculated Fields'!$B:$B,0),MATCH(Department_KPIs!$D46,'Calculated Fields'!$C$2:$CS$2,0))</f>
        <v>684</v>
      </c>
      <c r="S9" s="120">
        <f t="array" aca="1" ref="S9" ca="1">INDEX('Calculated Fields'!$C:$CS,MATCH(Department_KPIs!S$2,'Calculated Fields'!$B:$B,0),MATCH(Department_KPIs!$D46,'Calculated Fields'!$C$2:$CS$2,0))</f>
        <v>193</v>
      </c>
      <c r="T9" s="120" t="str">
        <f t="array" aca="1" ref="T9" ca="1">INDEX('Calculated Fields'!$C:$CS,MATCH(Department_KPIs!T$2,'Calculated Fields'!$B:$B,0),MATCH(Department_KPIs!$D46,'Calculated Fields'!$C$2:$CS$2,0))</f>
        <v>❌</v>
      </c>
      <c r="U9" s="120" t="str">
        <f t="array" aca="1" ref="U9" ca="1">INDEX('Calculated Fields'!$C:$CS,MATCH(Department_KPIs!U$2,'Calculated Fields'!$B:$B,0),MATCH(Department_KPIs!$D46,'Calculated Fields'!$C$2:$CS$2,0))</f>
        <v>❌</v>
      </c>
      <c r="V9" s="121">
        <f ca="1">SUM(R9:S9)</f>
        <v>877</v>
      </c>
      <c r="W9" s="1"/>
      <c r="X9" s="107"/>
      <c r="Y9" s="1"/>
      <c r="Z9" s="1"/>
    </row>
    <row r="10" spans="1:26" ht="15.75" customHeight="1">
      <c r="A10" s="111" t="s">
        <v>998</v>
      </c>
      <c r="B10" s="115">
        <f t="array" aca="1" ref="B10" ca="1">INDEX('Calculated Fields'!$C$3:$CQ$83,MATCH(TRIM(Department_KPIs!$B$4),TRIM('Calculated Fields'!$B$3:$B$83),0),MATCH(Department_KPIs!$A10,'Calculated Fields'!$C$2:$CQ$2,0))</f>
        <v>2715</v>
      </c>
      <c r="C10" s="114"/>
      <c r="D10" s="111" t="s">
        <v>1000</v>
      </c>
      <c r="E10" s="113">
        <f t="array" aca="1" ref="E10" ca="1">INDEX('Calculated Fields'!$C:$CS,MATCH(Department_KPIs!$E$2,'Calculated Fields'!$B:$B,0),MATCH(Department_KPIs!$D10,'Calculated Fields'!$C$2:$CS$2,0))</f>
        <v>3400</v>
      </c>
      <c r="F10" s="113">
        <f t="array" aca="1" ref="F10" ca="1">INDEX('Calculated Fields'!$C:$CS,MATCH(Department_KPIs!F$2,'Calculated Fields'!$B:$B,0),MATCH(Department_KPIs!$D10,'Calculated Fields'!$C$2:$CS$2,0))</f>
        <v>0</v>
      </c>
      <c r="G10" s="113">
        <f t="array" aca="1" ref="G10" ca="1">INDEX('Calculated Fields'!$C:$CS,MATCH(Department_KPIs!G$2,'Calculated Fields'!$B:$B,0),MATCH(Department_KPIs!$D10,'Calculated Fields'!$C$2:$CS$2,0))</f>
        <v>0</v>
      </c>
      <c r="H10" s="113">
        <f t="array" aca="1" ref="H10" ca="1">INDEX('Calculated Fields'!$C:$CS,MATCH(Department_KPIs!H$2,'Calculated Fields'!$B:$B,0),MATCH(Department_KPIs!$D10,'Calculated Fields'!$C$2:$CS$2,0))</f>
        <v>0</v>
      </c>
      <c r="I10" s="113">
        <f t="array" aca="1" ref="I10" ca="1">INDEX('Calculated Fields'!$C:$CS,MATCH(Department_KPIs!I$2,'Calculated Fields'!$B:$B,0),MATCH(Department_KPIs!$D10,'Calculated Fields'!$C$2:$CS$2,0))</f>
        <v>0</v>
      </c>
      <c r="J10" s="113">
        <f t="array" aca="1" ref="J10" ca="1">INDEX('Calculated Fields'!$C:$CS,MATCH(Department_KPIs!J$2,'Calculated Fields'!$B:$B,0),MATCH(Department_KPIs!$D10,'Calculated Fields'!$C$2:$CS$2,0))</f>
        <v>3400</v>
      </c>
      <c r="K10" s="113">
        <f t="array" aca="1" ref="K10" ca="1">INDEX('Calculated Fields'!$C:$CS,MATCH(Department_KPIs!K$2,'Calculated Fields'!$B:$B,0),MATCH(Department_KPIs!$D10,'Calculated Fields'!$C$2:$CS$2,0))</f>
        <v>3400</v>
      </c>
      <c r="L10" s="114"/>
      <c r="M10" s="111" t="s">
        <v>94</v>
      </c>
      <c r="N10" s="111" t="s">
        <v>994</v>
      </c>
      <c r="O10" s="115">
        <f ca="1">_xlfn.IFNA(INDEX('Calculated Fields'!$C:$AE,MATCH(Department_KPIs!M10,'Calculated Fields'!$B$1:$B$47,0),MATCH(Department_KPIs!N10,'Calculated Fields'!$C$2:$AE$2,0)),0)+_xlfn.IFNA(INDEX('Calculated Fields'!$C:$AE,MATCH("Managed_Department",'Calculated Fields'!$B$1:$B$47,0),MATCH(Department_KPIs!N10,'Calculated Fields'!$C$2:$AE$2,0)),0)</f>
        <v>11395</v>
      </c>
      <c r="P10" s="1"/>
      <c r="Q10" s="111" t="s">
        <v>1042</v>
      </c>
      <c r="R10" s="122" t="str">
        <f t="array" aca="1" ref="R10" ca="1">INDEX('Calculated Fields'!$C:$CS,MATCH(Department_KPIs!R$2,'Calculated Fields'!$B:$B,0),MATCH(Department_KPIs!$D54,'Calculated Fields'!$C$2:$CS$2,0))</f>
        <v>❌</v>
      </c>
      <c r="S10" s="122" t="str">
        <f t="array" aca="1" ref="S10" ca="1">INDEX('Calculated Fields'!$C:$CS,MATCH(Department_KPIs!S$2,'Calculated Fields'!$B:$B,0),MATCH(Department_KPIs!$D54,'Calculated Fields'!$C$2:$CS$2,0))</f>
        <v>❌</v>
      </c>
      <c r="T10" s="122" t="str">
        <f t="array" aca="1" ref="T10" ca="1">INDEX('Calculated Fields'!$C:$CS,MATCH(Department_KPIs!T$2,'Calculated Fields'!$B:$B,0),MATCH(Department_KPIs!$D54,'Calculated Fields'!$C$2:$CS$2,0))</f>
        <v>❌</v>
      </c>
      <c r="U10" s="122" t="str">
        <f t="array" aca="1" ref="U10" ca="1">INDEX('Calculated Fields'!$C:$CS,MATCH(Department_KPIs!U$2,'Calculated Fields'!$B:$B,0),MATCH(Department_KPIs!$D54,'Calculated Fields'!$C$2:$CS$2,0))</f>
        <v>❌</v>
      </c>
      <c r="V10" s="119">
        <f t="array" aca="1" ref="V10" ca="1">INDEX('Calculated Fields'!$C:$CS,MATCH(Department_KPIs!V$2,'Calculated Fields'!$B:$B,0),MATCH(Department_KPIs!$Q10,'Calculated Fields'!$C$2:$CS$2,0))</f>
        <v>0.23592085235920851</v>
      </c>
      <c r="W10" s="1"/>
      <c r="X10" s="107"/>
      <c r="Y10" s="1"/>
      <c r="Z10" s="1"/>
    </row>
    <row r="11" spans="1:26" ht="15.75" customHeight="1">
      <c r="A11" s="111" t="s">
        <v>999</v>
      </c>
      <c r="B11" s="115">
        <f t="array" aca="1" ref="B11" ca="1">INDEX('Calculated Fields'!$C$3:$CQ$83,MATCH(TRIM(Department_KPIs!$B$4),TRIM('Calculated Fields'!$B$3:$B$83),0),MATCH(Department_KPIs!$A11,'Calculated Fields'!$C$2:$CQ$2,0))</f>
        <v>2715</v>
      </c>
      <c r="C11" s="114"/>
      <c r="D11" s="111" t="s">
        <v>75</v>
      </c>
      <c r="E11" s="113">
        <f t="array" aca="1" ref="E11" ca="1">INDEX('Calculated Fields'!$C:$CS,MATCH(Department_KPIs!$E$2,'Calculated Fields'!$B:$B,0),MATCH(Department_KPIs!$D11,'Calculated Fields'!$C$2:$CS$2,0))</f>
        <v>318</v>
      </c>
      <c r="F11" s="113">
        <f t="array" aca="1" ref="F11" ca="1">INDEX('Calculated Fields'!$C:$CS,MATCH(Department_KPIs!F$2,'Calculated Fields'!$B:$B,0),MATCH(Department_KPIs!$D11,'Calculated Fields'!$C$2:$CS$2,0))</f>
        <v>0</v>
      </c>
      <c r="G11" s="113">
        <f t="array" aca="1" ref="G11" ca="1">INDEX('Calculated Fields'!$C:$CS,MATCH(Department_KPIs!G$2,'Calculated Fields'!$B:$B,0),MATCH(Department_KPIs!$D11,'Calculated Fields'!$C$2:$CS$2,0))</f>
        <v>0</v>
      </c>
      <c r="H11" s="113">
        <f t="array" aca="1" ref="H11" ca="1">INDEX('Calculated Fields'!$C:$CS,MATCH(Department_KPIs!H$2,'Calculated Fields'!$B:$B,0),MATCH(Department_KPIs!$D11,'Calculated Fields'!$C$2:$CS$2,0))</f>
        <v>0</v>
      </c>
      <c r="I11" s="113">
        <f t="array" aca="1" ref="I11" ca="1">INDEX('Calculated Fields'!$C:$CS,MATCH(Department_KPIs!I$2,'Calculated Fields'!$B:$B,0),MATCH(Department_KPIs!$D11,'Calculated Fields'!$C$2:$CS$2,0))</f>
        <v>0</v>
      </c>
      <c r="J11" s="113">
        <f t="array" aca="1" ref="J11" ca="1">INDEX('Calculated Fields'!$C:$CS,MATCH(Department_KPIs!J$2,'Calculated Fields'!$B:$B,0),MATCH(Department_KPIs!$D11,'Calculated Fields'!$C$2:$CS$2,0))</f>
        <v>318</v>
      </c>
      <c r="K11" s="113">
        <f t="array" aca="1" ref="K11" ca="1">INDEX('Calculated Fields'!$C:$CS,MATCH(Department_KPIs!K$2,'Calculated Fields'!$B:$B,0),MATCH(Department_KPIs!$D11,'Calculated Fields'!$C$2:$CS$2,0))</f>
        <v>318</v>
      </c>
      <c r="L11" s="114"/>
      <c r="M11" s="111" t="s">
        <v>101</v>
      </c>
      <c r="N11" s="111" t="s">
        <v>994</v>
      </c>
      <c r="O11" s="115">
        <f ca="1">_xlfn.IFNA(INDEX('Calculated Fields'!$C:$AE,MATCH(Department_KPIs!M11,'Calculated Fields'!$B$1:$B$47,0),MATCH(Department_KPIs!N11,'Calculated Fields'!$C$2:$AE$2,0)),0)+_xlfn.IFNA(INDEX('Calculated Fields'!$C:$AE,MATCH("Managed_Department",'Calculated Fields'!$B$1:$B$47,0),MATCH(Department_KPIs!N11,'Calculated Fields'!$C$2:$AE$2,0)),0)</f>
        <v>6245</v>
      </c>
      <c r="P11" s="1"/>
      <c r="Q11" s="111" t="s">
        <v>1032</v>
      </c>
      <c r="R11" s="120">
        <f t="array" aca="1" ref="R11" ca="1">INDEX('Calculated Fields'!$C:$CS,MATCH(Department_KPIs!R$2,'Calculated Fields'!$B:$B,0),MATCH(Department_KPIs!$D47,'Calculated Fields'!$C$2:$CS$2,0))</f>
        <v>42</v>
      </c>
      <c r="S11" s="120">
        <f t="array" aca="1" ref="S11" ca="1">INDEX('Calculated Fields'!$C:$CS,MATCH(Department_KPIs!S$2,'Calculated Fields'!$B:$B,0),MATCH(Department_KPIs!$D47,'Calculated Fields'!$C$2:$CS$2,0))</f>
        <v>0</v>
      </c>
      <c r="T11" s="120" t="str">
        <f t="array" aca="1" ref="T11" ca="1">INDEX('Calculated Fields'!$C:$CS,MATCH(Department_KPIs!T$2,'Calculated Fields'!$B:$B,0),MATCH(Department_KPIs!$D47,'Calculated Fields'!$C$2:$CS$2,0))</f>
        <v>❌</v>
      </c>
      <c r="U11" s="120" t="str">
        <f t="array" aca="1" ref="U11" ca="1">INDEX('Calculated Fields'!$C:$CS,MATCH(Department_KPIs!U$2,'Calculated Fields'!$B:$B,0),MATCH(Department_KPIs!$D47,'Calculated Fields'!$C$2:$CS$2,0))</f>
        <v>❌</v>
      </c>
      <c r="V11" s="117">
        <f ca="1">R11+S11</f>
        <v>42</v>
      </c>
      <c r="W11" s="1"/>
      <c r="X11" s="107"/>
      <c r="Y11" s="1"/>
      <c r="Z11" s="1"/>
    </row>
    <row r="12" spans="1:26" ht="15.75" customHeight="1">
      <c r="A12" s="111" t="s">
        <v>1000</v>
      </c>
      <c r="B12" s="115">
        <f t="array" aca="1" ref="B12" ca="1">INDEX('Calculated Fields'!$C$3:$CQ$83,MATCH(TRIM(Department_KPIs!$B$4),TRIM('Calculated Fields'!$B$3:$B$83),0),MATCH(Department_KPIs!$A12,'Calculated Fields'!$C$2:$CQ$2,0))</f>
        <v>0</v>
      </c>
      <c r="C12" s="114"/>
      <c r="D12" s="111" t="s">
        <v>1074</v>
      </c>
      <c r="E12" s="118">
        <f t="array" aca="1" ref="E12" ca="1">INDEX('Calculated Fields'!$C:$CS,MATCH(Department_KPIs!$E$2,'Calculated Fields'!$B:$B,0),MATCH(Department_KPIs!$D12,'Calculated Fields'!$C$2:$CS$2,0))</f>
        <v>9.3529411764705889E-2</v>
      </c>
      <c r="F12" s="118">
        <f t="array" aca="1" ref="F12" ca="1">INDEX('Calculated Fields'!$C:$CS,MATCH(Department_KPIs!F$2,'Calculated Fields'!$B:$B,0),MATCH(Department_KPIs!$D12,'Calculated Fields'!$C$2:$CS$2,0))</f>
        <v>0</v>
      </c>
      <c r="G12" s="118">
        <f t="array" aca="1" ref="G12" ca="1">INDEX('Calculated Fields'!$C:$CS,MATCH(Department_KPIs!G$2,'Calculated Fields'!$B:$B,0),MATCH(Department_KPIs!$D12,'Calculated Fields'!$C$2:$CS$2,0))</f>
        <v>0</v>
      </c>
      <c r="H12" s="118">
        <f t="array" aca="1" ref="H12" ca="1">INDEX('Calculated Fields'!$C:$CS,MATCH(Department_KPIs!H$2,'Calculated Fields'!$B:$B,0),MATCH(Department_KPIs!$D12,'Calculated Fields'!$C$2:$CS$2,0))</f>
        <v>0</v>
      </c>
      <c r="I12" s="118">
        <f t="array" aca="1" ref="I12" ca="1">INDEX('Calculated Fields'!$C:$CS,MATCH(Department_KPIs!I$2,'Calculated Fields'!$B:$B,0),MATCH(Department_KPIs!$D12,'Calculated Fields'!$C$2:$CS$2,0))</f>
        <v>0</v>
      </c>
      <c r="J12" s="118">
        <f t="array" aca="1" ref="J12" ca="1">INDEX('Calculated Fields'!$C:$CS,MATCH(Department_KPIs!J$2,'Calculated Fields'!$B:$B,0),MATCH(Department_KPIs!$D12,'Calculated Fields'!$C$2:$CS$2,0))</f>
        <v>9.3529411764705889E-2</v>
      </c>
      <c r="K12" s="118">
        <f t="array" aca="1" ref="K12" ca="1">INDEX('Calculated Fields'!$C:$CS,MATCH(Department_KPIs!K$2,'Calculated Fields'!$B:$B,0),MATCH(Department_KPIs!$D12,'Calculated Fields'!$C$2:$CS$2,0))</f>
        <v>9.3529411764705889E-2</v>
      </c>
      <c r="L12" s="57"/>
      <c r="M12" s="111" t="s">
        <v>1075</v>
      </c>
      <c r="N12" s="111" t="s">
        <v>994</v>
      </c>
      <c r="O12" s="115">
        <f ca="1">_xlfn.IFNA(INDEX('Calculated Fields'!$C:$AE,MATCH(Department_KPIs!M12,'Calculated Fields'!$B$1:$B$47,0),MATCH(Department_KPIs!N12,'Calculated Fields'!$C$2:$AE$2,0)),0)+_xlfn.IFNA(INDEX('Calculated Fields'!$C:$AE,MATCH("Managed_Department",'Calculated Fields'!$B$1:$B$47,0),MATCH(Department_KPIs!N12,'Calculated Fields'!$C$2:$AE$2,0)),0)</f>
        <v>5880</v>
      </c>
      <c r="P12" s="1"/>
      <c r="Q12" s="111" t="s">
        <v>1037</v>
      </c>
      <c r="R12" s="120" t="str">
        <f t="array" aca="1" ref="R12" ca="1">INDEX('Calculated Fields'!$C:$CS,MATCH(Department_KPIs!R$2,'Calculated Fields'!$B:$B,0),MATCH(Department_KPIs!$D49,'Calculated Fields'!$C$2:$CS$2,0))</f>
        <v>❌</v>
      </c>
      <c r="S12" s="120" t="str">
        <f t="array" aca="1" ref="S12" ca="1">INDEX('Calculated Fields'!$C:$CS,MATCH(Department_KPIs!S$2,'Calculated Fields'!$B:$B,0),MATCH(Department_KPIs!$D49,'Calculated Fields'!$C$2:$CS$2,0))</f>
        <v>❌</v>
      </c>
      <c r="T12" s="120" t="str">
        <f t="array" aca="1" ref="T12" ca="1">INDEX('Calculated Fields'!$C:$CS,MATCH(Department_KPIs!T$2,'Calculated Fields'!$B:$B,0),MATCH(Department_KPIs!$D49,'Calculated Fields'!$C$2:$CS$2,0))</f>
        <v>❌</v>
      </c>
      <c r="U12" s="120" t="str">
        <f t="array" aca="1" ref="U12" ca="1">INDEX('Calculated Fields'!$C:$CS,MATCH(Department_KPIs!U$2,'Calculated Fields'!$B:$B,0),MATCH(Department_KPIs!$D49,'Calculated Fields'!$C$2:$CS$2,0))</f>
        <v>❌</v>
      </c>
      <c r="V12" s="48">
        <f>'Gate Statistics'!O4</f>
        <v>657</v>
      </c>
      <c r="W12" s="1"/>
      <c r="X12" s="1"/>
      <c r="Y12" s="1"/>
      <c r="Z12" s="1"/>
    </row>
    <row r="13" spans="1:26" ht="15.75" customHeight="1">
      <c r="A13" s="111" t="s">
        <v>75</v>
      </c>
      <c r="B13" s="115">
        <f t="array" aca="1" ref="B13" ca="1">INDEX('Calculated Fields'!$C$3:$CQ$83,MATCH(TRIM(Department_KPIs!$B$4),TRIM('Calculated Fields'!$B$3:$B$83),0),MATCH(Department_KPIs!$A13,'Calculated Fields'!$C$2:$CQ$2,0))</f>
        <v>0</v>
      </c>
      <c r="C13" s="114"/>
      <c r="D13" s="111" t="s">
        <v>1002</v>
      </c>
      <c r="E13" s="113">
        <f t="array" aca="1" ref="E13" ca="1">INDEX('Calculated Fields'!$C:$CS,MATCH(Department_KPIs!$E$2,'Calculated Fields'!$B:$B,0),MATCH(Department_KPIs!$D13,'Calculated Fields'!$C$2:$CS$2,0))</f>
        <v>500</v>
      </c>
      <c r="F13" s="113">
        <f t="array" aca="1" ref="F13" ca="1">INDEX('Calculated Fields'!$C:$CS,MATCH(Department_KPIs!F$2,'Calculated Fields'!$B:$B,0),MATCH(Department_KPIs!$D13,'Calculated Fields'!$C$2:$CS$2,0))</f>
        <v>300</v>
      </c>
      <c r="G13" s="113">
        <f t="array" aca="1" ref="G13" ca="1">INDEX('Calculated Fields'!$C:$CS,MATCH(Department_KPIs!G$2,'Calculated Fields'!$B:$B,0),MATCH(Department_KPIs!$D13,'Calculated Fields'!$C$2:$CS$2,0))</f>
        <v>0</v>
      </c>
      <c r="H13" s="113">
        <f t="array" aca="1" ref="H13" ca="1">INDEX('Calculated Fields'!$C:$CS,MATCH(Department_KPIs!H$2,'Calculated Fields'!$B:$B,0),MATCH(Department_KPIs!$D13,'Calculated Fields'!$C$2:$CS$2,0))</f>
        <v>0</v>
      </c>
      <c r="I13" s="113">
        <f t="array" aca="1" ref="I13" ca="1">INDEX('Calculated Fields'!$C:$CS,MATCH(Department_KPIs!I$2,'Calculated Fields'!$B:$B,0),MATCH(Department_KPIs!$D13,'Calculated Fields'!$C$2:$CS$2,0))</f>
        <v>0</v>
      </c>
      <c r="J13" s="113">
        <f t="array" aca="1" ref="J13" ca="1">INDEX('Calculated Fields'!$C:$CS,MATCH(Department_KPIs!J$2,'Calculated Fields'!$B:$B,0),MATCH(Department_KPIs!$D13,'Calculated Fields'!$C$2:$CS$2,0))</f>
        <v>800</v>
      </c>
      <c r="K13" s="113">
        <f t="array" aca="1" ref="K13" ca="1">INDEX('Calculated Fields'!$C:$CS,MATCH(Department_KPIs!K$2,'Calculated Fields'!$B:$B,0),MATCH(Department_KPIs!$D13,'Calculated Fields'!$C$2:$CS$2,0))</f>
        <v>800</v>
      </c>
      <c r="L13" s="114"/>
      <c r="M13" s="111" t="s">
        <v>1076</v>
      </c>
      <c r="N13" s="111" t="s">
        <v>1077</v>
      </c>
      <c r="O13" s="115">
        <f>IFERROR(SUBTOTAL(9,#REF!),0)</f>
        <v>0</v>
      </c>
      <c r="P13" s="1"/>
      <c r="Q13" s="111" t="s">
        <v>1038</v>
      </c>
      <c r="R13" s="120">
        <f t="array" aca="1" ref="R13" ca="1">INDEX('Calculated Fields'!$C:$CS,MATCH(Department_KPIs!R$2,'Calculated Fields'!$B:$B,0),MATCH(Department_KPIs!$D50,'Calculated Fields'!$C$2:$CS$2,0))</f>
        <v>185</v>
      </c>
      <c r="S13" s="120">
        <f t="array" aca="1" ref="S13" ca="1">INDEX('Calculated Fields'!$C:$CS,MATCH(Department_KPIs!S$2,'Calculated Fields'!$B:$B,0),MATCH(Department_KPIs!$D50,'Calculated Fields'!$C$2:$CS$2,0))</f>
        <v>34</v>
      </c>
      <c r="T13" s="120" t="str">
        <f t="array" aca="1" ref="T13" ca="1">INDEX('Calculated Fields'!$C:$CS,MATCH(Department_KPIs!T$2,'Calculated Fields'!$B:$B,0),MATCH(Department_KPIs!$D50,'Calculated Fields'!$C$2:$CS$2,0))</f>
        <v>❌</v>
      </c>
      <c r="U13" s="120" t="str">
        <f t="array" aca="1" ref="U13" ca="1">INDEX('Calculated Fields'!$C:$CS,MATCH(Department_KPIs!U$2,'Calculated Fields'!$B:$B,0),MATCH(Department_KPIs!$D50,'Calculated Fields'!$C$2:$CS$2,0))</f>
        <v>❌</v>
      </c>
      <c r="V13" s="117">
        <f ca="1">R13+S13</f>
        <v>219</v>
      </c>
      <c r="W13" s="1"/>
      <c r="X13" s="1"/>
      <c r="Y13" s="1"/>
      <c r="Z13" s="1"/>
    </row>
    <row r="14" spans="1:26" ht="15.75" customHeight="1">
      <c r="A14" s="111" t="s">
        <v>1074</v>
      </c>
      <c r="B14" s="123">
        <f t="array" aca="1" ref="B14" ca="1">INDEX('Calculated Fields'!$C$3:$CQ$83,MATCH(TRIM(Department_KPIs!$B$4),TRIM('Calculated Fields'!$B$3:$B$83),0),MATCH(Department_KPIs!$A14,'Calculated Fields'!$C$2:$CQ$2,0))</f>
        <v>0</v>
      </c>
      <c r="C14" s="114"/>
      <c r="D14" s="111" t="s">
        <v>1003</v>
      </c>
      <c r="E14" s="124">
        <f t="array" aca="1" ref="E14" ca="1">INDEX('Calculated Fields'!$C:$CS,MATCH(Department_KPIs!$E$2,'Calculated Fields'!$B:$B,0),MATCH(Department_KPIs!$D14,'Calculated Fields'!$C$2:$CS$2,0))</f>
        <v>8.8383476815069584E-3</v>
      </c>
      <c r="F14" s="124">
        <f t="array" aca="1" ref="F14" ca="1">INDEX('Calculated Fields'!$C:$CS,MATCH(Department_KPIs!F$2,'Calculated Fields'!$B:$B,0),MATCH(Department_KPIs!$D14,'Calculated Fields'!$C$2:$CS$2,0))</f>
        <v>2.0970207626025705E-2</v>
      </c>
      <c r="G14" s="124">
        <f t="array" aca="1" ref="G14" ca="1">INDEX('Calculated Fields'!$C:$CS,MATCH(Department_KPIs!G$2,'Calculated Fields'!$B:$B,0),MATCH(Department_KPIs!$D14,'Calculated Fields'!$C$2:$CS$2,0))</f>
        <v>0</v>
      </c>
      <c r="H14" s="124">
        <f t="array" aca="1" ref="H14" ca="1">INDEX('Calculated Fields'!$C:$CS,MATCH(Department_KPIs!H$2,'Calculated Fields'!$B:$B,0),MATCH(Department_KPIs!$D14,'Calculated Fields'!$C$2:$CS$2,0))</f>
        <v>0</v>
      </c>
      <c r="I14" s="124">
        <f t="array" aca="1" ref="I14" ca="1">INDEX('Calculated Fields'!$C:$CS,MATCH(Department_KPIs!I$2,'Calculated Fields'!$B:$B,0),MATCH(Department_KPIs!$D14,'Calculated Fields'!$C$2:$CS$2,0))</f>
        <v>0</v>
      </c>
      <c r="J14" s="124">
        <f t="array" aca="1" ref="J14" ca="1">INDEX('Calculated Fields'!$C:$CS,MATCH(Department_KPIs!J$2,'Calculated Fields'!$B:$B,0),MATCH(Department_KPIs!$D14,'Calculated Fields'!$C$2:$CS$2,0))</f>
        <v>9.4291053853392502E-3</v>
      </c>
      <c r="K14" s="124">
        <f t="array" aca="1" ref="K14" ca="1">INDEX('Calculated Fields'!$C:$CS,MATCH(Department_KPIs!K$2,'Calculated Fields'!$B:$B,0),MATCH(Department_KPIs!$D14,'Calculated Fields'!$C$2:$CS$2,0))</f>
        <v>1.1287052748771228E-2</v>
      </c>
      <c r="L14" s="79"/>
      <c r="M14" s="111" t="s">
        <v>1048</v>
      </c>
      <c r="N14" s="111" t="s">
        <v>1048</v>
      </c>
      <c r="O14" s="120">
        <f t="array" aca="1" ref="O14" ca="1">INDEX('Calculated Fields'!$C:$CS,MATCH(Department_KPIs!O$2,'Calculated Fields'!$B:$B,0),MATCH(Department_KPIs!$M14,'Calculated Fields'!$C$2:$CS$2,0))</f>
        <v>21</v>
      </c>
      <c r="P14" s="1"/>
      <c r="Q14" s="111" t="s">
        <v>1040</v>
      </c>
      <c r="R14" s="120" t="str">
        <f t="array" aca="1" ref="R14" ca="1">INDEX('Calculated Fields'!$C:$CS,MATCH(Department_KPIs!R$2,'Calculated Fields'!$B:$B,0),MATCH(Department_KPIs!$D52,'Calculated Fields'!$C$2:$CS$2,0))</f>
        <v>❌</v>
      </c>
      <c r="S14" s="120" t="str">
        <f t="array" aca="1" ref="S14" ca="1">INDEX('Calculated Fields'!$C:$CS,MATCH(Department_KPIs!S$2,'Calculated Fields'!$B:$B,0),MATCH(Department_KPIs!$D52,'Calculated Fields'!$C$2:$CS$2,0))</f>
        <v>❌</v>
      </c>
      <c r="T14" s="120" t="str">
        <f t="array" aca="1" ref="T14" ca="1">INDEX('Calculated Fields'!$C:$CS,MATCH(Department_KPIs!T$2,'Calculated Fields'!$B:$B,0),MATCH(Department_KPIs!$D52,'Calculated Fields'!$C$2:$CS$2,0))</f>
        <v>❌</v>
      </c>
      <c r="U14" s="120" t="str">
        <f t="array" aca="1" ref="U14" ca="1">INDEX('Calculated Fields'!$C:$CS,MATCH(Department_KPIs!U$2,'Calculated Fields'!$B:$B,0),MATCH(Department_KPIs!$D52,'Calculated Fields'!$C$2:$CS$2,0))</f>
        <v>❌</v>
      </c>
      <c r="V14" s="48">
        <f>'Gate Statistics'!R4</f>
        <v>108</v>
      </c>
      <c r="W14" s="1"/>
      <c r="X14" s="1"/>
      <c r="Y14" s="1"/>
      <c r="Z14" s="1"/>
    </row>
    <row r="15" spans="1:26" ht="15.75" customHeight="1">
      <c r="A15" s="111" t="s">
        <v>1002</v>
      </c>
      <c r="B15" s="115">
        <f t="array" aca="1" ref="B15" ca="1">INDEX('Calculated Fields'!$C$3:$CQ$83,MATCH(TRIM(Department_KPIs!$B$4),TRIM('Calculated Fields'!$B$3:$B$83),0),MATCH(Department_KPIs!$A15,'Calculated Fields'!$C$2:$CQ$2,0))</f>
        <v>0</v>
      </c>
      <c r="C15" s="114"/>
      <c r="D15" s="111" t="s">
        <v>80</v>
      </c>
      <c r="E15" s="113">
        <f t="array" aca="1" ref="E15" ca="1">INDEX('Calculated Fields'!$C:$CS,MATCH(Department_KPIs!$E$2,'Calculated Fields'!$B:$B,0),MATCH(Department_KPIs!$D15,'Calculated Fields'!$C$2:$CS$2,0))</f>
        <v>46</v>
      </c>
      <c r="F15" s="113">
        <f t="array" aca="1" ref="F15" ca="1">INDEX('Calculated Fields'!$C:$CS,MATCH(Department_KPIs!F$2,'Calculated Fields'!$B:$B,0),MATCH(Department_KPIs!$D15,'Calculated Fields'!$C$2:$CS$2,0))</f>
        <v>150</v>
      </c>
      <c r="G15" s="113">
        <f t="array" aca="1" ref="G15" ca="1">INDEX('Calculated Fields'!$C:$CS,MATCH(Department_KPIs!G$2,'Calculated Fields'!$B:$B,0),MATCH(Department_KPIs!$D15,'Calculated Fields'!$C$2:$CS$2,0))</f>
        <v>8</v>
      </c>
      <c r="H15" s="113">
        <f t="array" aca="1" ref="H15" ca="1">INDEX('Calculated Fields'!$C:$CS,MATCH(Department_KPIs!H$2,'Calculated Fields'!$B:$B,0),MATCH(Department_KPIs!$D15,'Calculated Fields'!$C$2:$CS$2,0))</f>
        <v>0</v>
      </c>
      <c r="I15" s="113">
        <f t="array" aca="1" ref="I15" ca="1">INDEX('Calculated Fields'!$C:$CS,MATCH(Department_KPIs!I$2,'Calculated Fields'!$B:$B,0),MATCH(Department_KPIs!$D15,'Calculated Fields'!$C$2:$CS$2,0))</f>
        <v>0</v>
      </c>
      <c r="J15" s="113">
        <f t="array" aca="1" ref="J15" ca="1">INDEX('Calculated Fields'!$C:$CS,MATCH(Department_KPIs!J$2,'Calculated Fields'!$B:$B,0),MATCH(Department_KPIs!$D15,'Calculated Fields'!$C$2:$CS$2,0))</f>
        <v>204</v>
      </c>
      <c r="K15" s="113">
        <f t="array" aca="1" ref="K15" ca="1">INDEX('Calculated Fields'!$C:$CS,MATCH(Department_KPIs!K$2,'Calculated Fields'!$B:$B,0),MATCH(Department_KPIs!$D15,'Calculated Fields'!$C$2:$CS$2,0))</f>
        <v>196</v>
      </c>
      <c r="L15" s="114"/>
      <c r="M15" s="1"/>
      <c r="N15" s="1"/>
      <c r="O15" s="1"/>
      <c r="P15" s="1"/>
      <c r="Q15" s="111" t="s">
        <v>1039</v>
      </c>
      <c r="R15" s="120" t="str">
        <f t="array" aca="1" ref="R15" ca="1">INDEX('Calculated Fields'!$C:$CS,MATCH(Department_KPIs!R$2,'Calculated Fields'!$B:$B,0),MATCH(Department_KPIs!$D51,'Calculated Fields'!$C$2:$CS$2,0))</f>
        <v>❌</v>
      </c>
      <c r="S15" s="120" t="str">
        <f t="array" aca="1" ref="S15" ca="1">INDEX('Calculated Fields'!$C:$CS,MATCH(Department_KPIs!S$2,'Calculated Fields'!$B:$B,0),MATCH(Department_KPIs!$D51,'Calculated Fields'!$C$2:$CS$2,0))</f>
        <v>❌</v>
      </c>
      <c r="T15" s="120" t="str">
        <f t="array" aca="1" ref="T15" ca="1">INDEX('Calculated Fields'!$C:$CS,MATCH(Department_KPIs!T$2,'Calculated Fields'!$B:$B,0),MATCH(Department_KPIs!$D51,'Calculated Fields'!$C$2:$CS$2,0))</f>
        <v>❌</v>
      </c>
      <c r="U15" s="120" t="str">
        <f t="array" aca="1" ref="U15" ca="1">INDEX('Calculated Fields'!$C:$CS,MATCH(Department_KPIs!U$2,'Calculated Fields'!$B:$B,0),MATCH(Department_KPIs!$D51,'Calculated Fields'!$C$2:$CS$2,0))</f>
        <v>❌</v>
      </c>
      <c r="V15" s="48">
        <f>'Gate Statistics'!Q4</f>
        <v>155</v>
      </c>
      <c r="W15" s="1"/>
      <c r="X15" s="1"/>
      <c r="Y15" s="1"/>
      <c r="Z15" s="1"/>
    </row>
    <row r="16" spans="1:26" ht="15.75" customHeight="1">
      <c r="A16" s="111" t="s">
        <v>1003</v>
      </c>
      <c r="B16" s="123">
        <f t="array" aca="1" ref="B16" ca="1">INDEX('Calculated Fields'!$C$3:$CQ$83,MATCH(TRIM(Department_KPIs!$B$4),TRIM('Calculated Fields'!$B$3:$B$83),0),MATCH(Department_KPIs!$A16,'Calculated Fields'!$C$2:$CQ$2,0))</f>
        <v>0</v>
      </c>
      <c r="C16" s="79"/>
      <c r="D16" s="111" t="s">
        <v>70</v>
      </c>
      <c r="E16" s="113">
        <f t="array" aca="1" ref="E16" ca="1">INDEX('Calculated Fields'!$C:$CS,MATCH(Department_KPIs!$E$2,'Calculated Fields'!$B:$B,0),MATCH(Department_KPIs!$D16,'Calculated Fields'!$C$2:$CS$2,0))</f>
        <v>1791</v>
      </c>
      <c r="F16" s="113">
        <f t="array" aca="1" ref="F16" ca="1">INDEX('Calculated Fields'!$C:$CS,MATCH(Department_KPIs!F$2,'Calculated Fields'!$B:$B,0),MATCH(Department_KPIs!$D16,'Calculated Fields'!$C$2:$CS$2,0))</f>
        <v>177</v>
      </c>
      <c r="G16" s="113">
        <f t="array" aca="1" ref="G16" ca="1">INDEX('Calculated Fields'!$C:$CS,MATCH(Department_KPIs!G$2,'Calculated Fields'!$B:$B,0),MATCH(Department_KPIs!$D16,'Calculated Fields'!$C$2:$CS$2,0))</f>
        <v>4</v>
      </c>
      <c r="H16" s="113">
        <f t="array" aca="1" ref="H16" ca="1">INDEX('Calculated Fields'!$C:$CS,MATCH(Department_KPIs!H$2,'Calculated Fields'!$B:$B,0),MATCH(Department_KPIs!$D16,'Calculated Fields'!$C$2:$CS$2,0))</f>
        <v>0</v>
      </c>
      <c r="I16" s="113">
        <f t="array" aca="1" ref="I16" ca="1">INDEX('Calculated Fields'!$C:$CS,MATCH(Department_KPIs!I$2,'Calculated Fields'!$B:$B,0),MATCH(Department_KPIs!$D16,'Calculated Fields'!$C$2:$CS$2,0))</f>
        <v>0</v>
      </c>
      <c r="J16" s="113">
        <f t="array" aca="1" ref="J16" ca="1">INDEX('Calculated Fields'!$C:$CS,MATCH(Department_KPIs!J$2,'Calculated Fields'!$B:$B,0),MATCH(Department_KPIs!$D16,'Calculated Fields'!$C$2:$CS$2,0))</f>
        <v>1972</v>
      </c>
      <c r="K16" s="113">
        <f t="array" aca="1" ref="K16" ca="1">INDEX('Calculated Fields'!$C:$CS,MATCH(Department_KPIs!K$2,'Calculated Fields'!$B:$B,0),MATCH(Department_KPIs!$D16,'Calculated Fields'!$C$2:$CS$2,0))</f>
        <v>1968</v>
      </c>
      <c r="L16" s="114"/>
      <c r="M16" s="1"/>
      <c r="N16" s="1"/>
      <c r="O16" s="1"/>
      <c r="P16" s="1"/>
      <c r="Q16" s="111" t="s">
        <v>1043</v>
      </c>
      <c r="R16" s="120">
        <f t="array" aca="1" ref="R16" ca="1">INDEX('Calculated Fields'!$C:$CS,MATCH(Department_KPIs!R$2,'Calculated Fields'!$B:$B,0),MATCH(Department_KPIs!$D55,'Calculated Fields'!$C$2:$CS$2,0))</f>
        <v>553</v>
      </c>
      <c r="S16" s="120">
        <f t="array" aca="1" ref="S16" ca="1">INDEX('Calculated Fields'!$C:$CS,MATCH(Department_KPIs!S$2,'Calculated Fields'!$B:$B,0),MATCH(Department_KPIs!$D55,'Calculated Fields'!$C$2:$CS$2,0))</f>
        <v>77</v>
      </c>
      <c r="T16" s="120" t="str">
        <f t="array" aca="1" ref="T16" ca="1">INDEX('Calculated Fields'!$C:$CS,MATCH(Department_KPIs!T$2,'Calculated Fields'!$B:$B,0),MATCH(Department_KPIs!$D55,'Calculated Fields'!$C$2:$CS$2,0))</f>
        <v>❌</v>
      </c>
      <c r="U16" s="120" t="str">
        <f t="array" aca="1" ref="U16" ca="1">INDEX('Calculated Fields'!$C:$CS,MATCH(Department_KPIs!U$2,'Calculated Fields'!$B:$B,0),MATCH(Department_KPIs!$D55,'Calculated Fields'!$C$2:$CS$2,0))</f>
        <v>❌</v>
      </c>
      <c r="V16" s="117">
        <f t="shared" ref="V16:V18" ca="1" si="1">R16+S16</f>
        <v>630</v>
      </c>
      <c r="W16" s="1"/>
      <c r="X16" s="1"/>
      <c r="Y16" s="1"/>
      <c r="Z16" s="1"/>
    </row>
    <row r="17" spans="1:26" ht="15.75" customHeight="1">
      <c r="A17" s="111" t="s">
        <v>80</v>
      </c>
      <c r="B17" s="115">
        <f t="array" aca="1" ref="B17" ca="1">INDEX('Calculated Fields'!$C$3:$CQ$83,MATCH(TRIM(Department_KPIs!$B$4),TRIM('Calculated Fields'!$B$3:$B$83),0),MATCH(Department_KPIs!$A17,'Calculated Fields'!$C$2:$CQ$2,0))</f>
        <v>0</v>
      </c>
      <c r="C17" s="114"/>
      <c r="D17" s="111" t="s">
        <v>69</v>
      </c>
      <c r="E17" s="113">
        <f t="array" aca="1" ref="E17" ca="1">INDEX('Calculated Fields'!$C:$CS,MATCH(Department_KPIs!$E$2,'Calculated Fields'!$B:$B,0),MATCH(Department_KPIs!$D17,'Calculated Fields'!$C$2:$CS$2,0))</f>
        <v>6355</v>
      </c>
      <c r="F17" s="113">
        <f t="array" aca="1" ref="F17" ca="1">INDEX('Calculated Fields'!$C:$CS,MATCH(Department_KPIs!F$2,'Calculated Fields'!$B:$B,0),MATCH(Department_KPIs!$D17,'Calculated Fields'!$C$2:$CS$2,0))</f>
        <v>1305</v>
      </c>
      <c r="G17" s="113">
        <f t="array" aca="1" ref="G17" ca="1">INDEX('Calculated Fields'!$C:$CS,MATCH(Department_KPIs!G$2,'Calculated Fields'!$B:$B,0),MATCH(Department_KPIs!$D17,'Calculated Fields'!$C$2:$CS$2,0))</f>
        <v>3355</v>
      </c>
      <c r="H17" s="113">
        <f t="array" aca="1" ref="H17" ca="1">INDEX('Calculated Fields'!$C:$CS,MATCH(Department_KPIs!H$2,'Calculated Fields'!$B:$B,0),MATCH(Department_KPIs!$D17,'Calculated Fields'!$C$2:$CS$2,0))</f>
        <v>290</v>
      </c>
      <c r="I17" s="113">
        <f t="array" aca="1" ref="I17" ca="1">INDEX('Calculated Fields'!$C:$CS,MATCH(Department_KPIs!I$2,'Calculated Fields'!$B:$B,0),MATCH(Department_KPIs!$D17,'Calculated Fields'!$C$2:$CS$2,0))</f>
        <v>0</v>
      </c>
      <c r="J17" s="113">
        <f t="array" aca="1" ref="J17" ca="1">INDEX('Calculated Fields'!$C:$CS,MATCH(Department_KPIs!J$2,'Calculated Fields'!$B:$B,0),MATCH(Department_KPIs!$D17,'Calculated Fields'!$C$2:$CS$2,0))</f>
        <v>11305</v>
      </c>
      <c r="K17" s="113">
        <f t="array" aca="1" ref="K17" ca="1">INDEX('Calculated Fields'!$C:$CS,MATCH(Department_KPIs!K$2,'Calculated Fields'!$B:$B,0),MATCH(Department_KPIs!$D17,'Calculated Fields'!$C$2:$CS$2,0))</f>
        <v>7660</v>
      </c>
      <c r="L17" s="114"/>
      <c r="M17" s="1"/>
      <c r="N17" s="1"/>
      <c r="O17" s="1"/>
      <c r="P17" s="1"/>
      <c r="Q17" s="111" t="s">
        <v>1044</v>
      </c>
      <c r="R17" s="120">
        <f t="array" aca="1" ref="R17" ca="1">INDEX('Calculated Fields'!$C:$CS,MATCH(Department_KPIs!R$2,'Calculated Fields'!$B:$B,0),MATCH(Department_KPIs!$D56,'Calculated Fields'!$C$2:$CS$2,0))</f>
        <v>137</v>
      </c>
      <c r="S17" s="120">
        <f t="array" aca="1" ref="S17" ca="1">INDEX('Calculated Fields'!$C:$CS,MATCH(Department_KPIs!S$2,'Calculated Fields'!$B:$B,0),MATCH(Department_KPIs!$D56,'Calculated Fields'!$C$2:$CS$2,0))</f>
        <v>108</v>
      </c>
      <c r="T17" s="120" t="str">
        <f t="array" aca="1" ref="T17" ca="1">INDEX('Calculated Fields'!$C:$CS,MATCH(Department_KPIs!T$2,'Calculated Fields'!$B:$B,0),MATCH(Department_KPIs!$D56,'Calculated Fields'!$C$2:$CS$2,0))</f>
        <v>❌</v>
      </c>
      <c r="U17" s="120" t="str">
        <f t="array" aca="1" ref="U17" ca="1">INDEX('Calculated Fields'!$C:$CS,MATCH(Department_KPIs!U$2,'Calculated Fields'!$B:$B,0),MATCH(Department_KPIs!$D56,'Calculated Fields'!$C$2:$CS$2,0))</f>
        <v>❌</v>
      </c>
      <c r="V17" s="117">
        <f t="shared" ca="1" si="1"/>
        <v>245</v>
      </c>
      <c r="W17" s="1"/>
      <c r="X17" s="1"/>
      <c r="Y17" s="1"/>
      <c r="Z17" s="1"/>
    </row>
    <row r="18" spans="1:26" ht="15.75" customHeight="1">
      <c r="A18" s="111" t="s">
        <v>84</v>
      </c>
      <c r="B18" s="115">
        <f t="array" aca="1" ref="B18" ca="1">INDEX('Calculated Fields'!$C$3:$CQ$83,MATCH(TRIM(Department_KPIs!$B$4),TRIM('Calculated Fields'!$B$3:$B$83),0),MATCH(Department_KPIs!$A18,'Calculated Fields'!$C$2:$CQ$2,0))</f>
        <v>122</v>
      </c>
      <c r="C18" s="79"/>
      <c r="D18" s="111" t="s">
        <v>82</v>
      </c>
      <c r="E18" s="113">
        <f t="array" aca="1" ref="E18" ca="1">INDEX('Calculated Fields'!$C:$CS,MATCH(Department_KPIs!$E$2,'Calculated Fields'!$B:$B,0),MATCH(Department_KPIs!$D18,'Calculated Fields'!$C$2:$CS$2,0))</f>
        <v>1669</v>
      </c>
      <c r="F18" s="113">
        <f t="array" aca="1" ref="F18" ca="1">INDEX('Calculated Fields'!$C:$CS,MATCH(Department_KPIs!F$2,'Calculated Fields'!$B:$B,0),MATCH(Department_KPIs!$D18,'Calculated Fields'!$C$2:$CS$2,0))</f>
        <v>0</v>
      </c>
      <c r="G18" s="113">
        <f t="array" aca="1" ref="G18" ca="1">INDEX('Calculated Fields'!$C:$CS,MATCH(Department_KPIs!G$2,'Calculated Fields'!$B:$B,0),MATCH(Department_KPIs!$D18,'Calculated Fields'!$C$2:$CS$2,0))</f>
        <v>-30</v>
      </c>
      <c r="H18" s="113">
        <f t="array" aca="1" ref="H18" ca="1">INDEX('Calculated Fields'!$C:$CS,MATCH(Department_KPIs!H$2,'Calculated Fields'!$B:$B,0),MATCH(Department_KPIs!$D18,'Calculated Fields'!$C$2:$CS$2,0))</f>
        <v>0</v>
      </c>
      <c r="I18" s="113">
        <f t="array" aca="1" ref="I18" ca="1">INDEX('Calculated Fields'!$C:$CS,MATCH(Department_KPIs!I$2,'Calculated Fields'!$B:$B,0),MATCH(Department_KPIs!$D18,'Calculated Fields'!$C$2:$CS$2,0))</f>
        <v>0</v>
      </c>
      <c r="J18" s="113">
        <f t="array" aca="1" ref="J18" ca="1">INDEX('Calculated Fields'!$C:$CS,MATCH(Department_KPIs!J$2,'Calculated Fields'!$B:$B,0),MATCH(Department_KPIs!$D18,'Calculated Fields'!$C$2:$CS$2,0))</f>
        <v>1639</v>
      </c>
      <c r="K18" s="113">
        <f t="array" aca="1" ref="K18" ca="1">INDEX('Calculated Fields'!$C:$CS,MATCH(Department_KPIs!K$2,'Calculated Fields'!$B:$B,0),MATCH(Department_KPIs!$D18,'Calculated Fields'!$C$2:$CS$2,0))</f>
        <v>1669</v>
      </c>
      <c r="L18" s="114"/>
      <c r="M18" s="1"/>
      <c r="N18" s="1"/>
      <c r="O18" s="1"/>
      <c r="P18" s="1"/>
      <c r="Q18" s="111" t="s">
        <v>1046</v>
      </c>
      <c r="R18" s="120">
        <f t="array" aca="1" ref="R18" ca="1">INDEX('Calculated Fields'!$C:$CS,MATCH(Department_KPIs!R$2,'Calculated Fields'!$B:$B,0),MATCH(Department_KPIs!$D58,'Calculated Fields'!$C$2:$CS$2,0))</f>
        <v>-233</v>
      </c>
      <c r="S18" s="120">
        <f t="array" aca="1" ref="S18" ca="1">INDEX('Calculated Fields'!$C:$CS,MATCH(Department_KPIs!S$2,'Calculated Fields'!$B:$B,0),MATCH(Department_KPIs!$D58,'Calculated Fields'!$C$2:$CS$2,0))</f>
        <v>-26</v>
      </c>
      <c r="T18" s="120" t="str">
        <f t="array" aca="1" ref="T18" ca="1">INDEX('Calculated Fields'!$C:$CS,MATCH(Department_KPIs!T$2,'Calculated Fields'!$B:$B,0),MATCH(Department_KPIs!$D58,'Calculated Fields'!$C$2:$CS$2,0))</f>
        <v>❌</v>
      </c>
      <c r="U18" s="120" t="str">
        <f t="array" aca="1" ref="U18" ca="1">INDEX('Calculated Fields'!$C:$CS,MATCH(Department_KPIs!U$2,'Calculated Fields'!$B:$B,0),MATCH(Department_KPIs!$D58,'Calculated Fields'!$C$2:$CS$2,0))</f>
        <v>❌</v>
      </c>
      <c r="V18" s="117">
        <f t="shared" ca="1" si="1"/>
        <v>-259</v>
      </c>
      <c r="W18" s="1"/>
      <c r="X18" s="1"/>
      <c r="Y18" s="1"/>
      <c r="Z18" s="1"/>
    </row>
    <row r="19" spans="1:26" ht="15.75" customHeight="1">
      <c r="A19" s="111" t="s">
        <v>69</v>
      </c>
      <c r="B19" s="115">
        <f t="array" aca="1" ref="B19" ca="1">INDEX('Calculated Fields'!$C$3:$CQ$83,MATCH(TRIM(Department_KPIs!$B$4),TRIM('Calculated Fields'!$B$3:$B$83),0),MATCH(Department_KPIs!$A19,'Calculated Fields'!$C$2:$CQ$2,0))</f>
        <v>300</v>
      </c>
      <c r="C19" s="114"/>
      <c r="D19" s="111" t="s">
        <v>1004</v>
      </c>
      <c r="E19" s="113">
        <f t="array" aca="1" ref="E19" ca="1">INDEX('Calculated Fields'!$C:$CS,MATCH(Department_KPIs!$E$2,'Calculated Fields'!$B:$B,0),MATCH(Department_KPIs!$D19,'Calculated Fields'!$C$2:$CS$2,0))</f>
        <v>5094</v>
      </c>
      <c r="F19" s="113">
        <f t="array" aca="1" ref="F19" ca="1">INDEX('Calculated Fields'!$C:$CS,MATCH(Department_KPIs!F$2,'Calculated Fields'!$B:$B,0),MATCH(Department_KPIs!$D19,'Calculated Fields'!$C$2:$CS$2,0))</f>
        <v>896</v>
      </c>
      <c r="G19" s="113">
        <f t="array" aca="1" ref="G19" ca="1">INDEX('Calculated Fields'!$C:$CS,MATCH(Department_KPIs!G$2,'Calculated Fields'!$B:$B,0),MATCH(Department_KPIs!$D19,'Calculated Fields'!$C$2:$CS$2,0))</f>
        <v>658</v>
      </c>
      <c r="H19" s="113">
        <f t="array" aca="1" ref="H19" ca="1">INDEX('Calculated Fields'!$C:$CS,MATCH(Department_KPIs!H$2,'Calculated Fields'!$B:$B,0),MATCH(Department_KPIs!$D19,'Calculated Fields'!$C$2:$CS$2,0))</f>
        <v>25</v>
      </c>
      <c r="I19" s="113">
        <f t="array" aca="1" ref="I19" ca="1">INDEX('Calculated Fields'!$C:$CS,MATCH(Department_KPIs!I$2,'Calculated Fields'!$B:$B,0),MATCH(Department_KPIs!$D19,'Calculated Fields'!$C$2:$CS$2,0))</f>
        <v>0</v>
      </c>
      <c r="J19" s="113">
        <f t="array" aca="1" ref="J19" ca="1">INDEX('Calculated Fields'!$C:$CS,MATCH(Department_KPIs!J$2,'Calculated Fields'!$B:$B,0),MATCH(Department_KPIs!$D19,'Calculated Fields'!$C$2:$CS$2,0))</f>
        <v>6673</v>
      </c>
      <c r="K19" s="113">
        <f t="array" aca="1" ref="K19" ca="1">INDEX('Calculated Fields'!$C:$CS,MATCH(Department_KPIs!K$2,'Calculated Fields'!$B:$B,0),MATCH(Department_KPIs!$D19,'Calculated Fields'!$C$2:$CS$2,0))</f>
        <v>5990</v>
      </c>
      <c r="L19" s="114"/>
      <c r="M19" s="1"/>
      <c r="N19" s="1"/>
      <c r="O19" s="1"/>
      <c r="P19" s="1"/>
      <c r="Q19" s="111" t="s">
        <v>82</v>
      </c>
      <c r="R19" s="113">
        <f t="array" aca="1" ref="R19" ca="1">INDEX('Calculated Fields'!$C:$CS,MATCH(Department_KPIs!R$2,'Calculated Fields'!$B:$B,0),MATCH(Department_KPIs!$D18,'Calculated Fields'!$C$2:$CS$2,0))</f>
        <v>1669</v>
      </c>
      <c r="S19" s="113">
        <f t="array" aca="1" ref="S19" ca="1">INDEX('Calculated Fields'!$C:$CS,MATCH(Department_KPIs!S$2,'Calculated Fields'!$B:$B,0),MATCH(Department_KPIs!$D18,'Calculated Fields'!$C$2:$CS$2,0))</f>
        <v>0</v>
      </c>
      <c r="T19" s="113">
        <f t="array" aca="1" ref="T19" ca="1">INDEX('Calculated Fields'!$C:$CS,MATCH(Department_KPIs!T$2,'Calculated Fields'!$B:$B,0),MATCH(Department_KPIs!$D18,'Calculated Fields'!$C$2:$CS$2,0))</f>
        <v>-30</v>
      </c>
      <c r="U19" s="113">
        <f t="array" aca="1" ref="U19" ca="1">INDEX('Calculated Fields'!$C:$CS,MATCH(Department_KPIs!U$2,'Calculated Fields'!$B:$B,0),MATCH(Department_KPIs!$D18,'Calculated Fields'!$C$2:$CS$2,0))</f>
        <v>0</v>
      </c>
      <c r="V19" s="113">
        <f t="array" aca="1" ref="V19" ca="1">INDEX('Calculated Fields'!$C:$CS,MATCH(Department_KPIs!V$2,'Calculated Fields'!$B:$B,0),MATCH(Department_KPIs!$D18,'Calculated Fields'!$C$2:$CS$2,0))</f>
        <v>1639</v>
      </c>
      <c r="W19" s="1"/>
      <c r="X19" s="1"/>
      <c r="Y19" s="1"/>
      <c r="Z19" s="1"/>
    </row>
    <row r="20" spans="1:26" ht="15.75" customHeight="1">
      <c r="A20" s="111" t="s">
        <v>82</v>
      </c>
      <c r="B20" s="115">
        <f t="array" aca="1" ref="B20" ca="1">INDEX('Calculated Fields'!$C$3:$CQ$83,MATCH(TRIM(Department_KPIs!$B$4),TRIM('Calculated Fields'!$B$3:$B$83),0),MATCH(Department_KPIs!$A20,'Calculated Fields'!$C$2:$CQ$2,0))</f>
        <v>0</v>
      </c>
      <c r="C20" s="114"/>
      <c r="D20" s="111" t="s">
        <v>72</v>
      </c>
      <c r="E20" s="120">
        <f t="array" aca="1" ref="E20" ca="1">INDEX('Calculated Fields'!$C:$CS,MATCH(Department_KPIs!$E$2,'Calculated Fields'!$B:$B,0),MATCH(Department_KPIs!$D20,'Calculated Fields'!$C$2:$CS$2,0))</f>
        <v>188</v>
      </c>
      <c r="F20" s="120">
        <f t="array" aca="1" ref="F20" ca="1">INDEX('Calculated Fields'!$C:$CS,MATCH(Department_KPIs!F$2,'Calculated Fields'!$B:$B,0),MATCH(Department_KPIs!$D20,'Calculated Fields'!$C$2:$CS$2,0))</f>
        <v>53</v>
      </c>
      <c r="G20" s="120">
        <f t="array" aca="1" ref="G20" ca="1">INDEX('Calculated Fields'!$C:$CS,MATCH(Department_KPIs!G$2,'Calculated Fields'!$B:$B,0),MATCH(Department_KPIs!$D20,'Calculated Fields'!$C$2:$CS$2,0))</f>
        <v>112</v>
      </c>
      <c r="H20" s="120">
        <f t="array" aca="1" ref="H20" ca="1">INDEX('Calculated Fields'!$C:$CS,MATCH(Department_KPIs!H$2,'Calculated Fields'!$B:$B,0),MATCH(Department_KPIs!$D20,'Calculated Fields'!$C$2:$CS$2,0))</f>
        <v>30</v>
      </c>
      <c r="I20" s="120">
        <f t="array" aca="1" ref="I20" ca="1">INDEX('Calculated Fields'!$C:$CS,MATCH(Department_KPIs!I$2,'Calculated Fields'!$B:$B,0),MATCH(Department_KPIs!$D20,'Calculated Fields'!$C$2:$CS$2,0))</f>
        <v>0</v>
      </c>
      <c r="J20" s="120">
        <f t="array" aca="1" ref="J20" ca="1">INDEX('Calculated Fields'!$C:$CS,MATCH(Department_KPIs!J$2,'Calculated Fields'!$B:$B,0),MATCH(Department_KPIs!$D20,'Calculated Fields'!$C$2:$CS$2,0))</f>
        <v>383</v>
      </c>
      <c r="K20" s="120">
        <f t="array" aca="1" ref="K20" ca="1">INDEX('Calculated Fields'!$C:$CS,MATCH(Department_KPIs!K$2,'Calculated Fields'!$B:$B,0),MATCH(Department_KPIs!$D20,'Calculated Fields'!$C$2:$CS$2,0))</f>
        <v>241</v>
      </c>
      <c r="L20" s="125"/>
      <c r="M20" s="1"/>
      <c r="N20" s="1"/>
      <c r="O20" s="1"/>
      <c r="P20" s="1"/>
      <c r="Q20" s="111" t="s">
        <v>1004</v>
      </c>
      <c r="R20" s="113">
        <f t="array" aca="1" ref="R20" ca="1">INDEX('Calculated Fields'!$C:$CS,MATCH(Department_KPIs!R$2,'Calculated Fields'!$B:$B,0),MATCH(Department_KPIs!$D19,'Calculated Fields'!$C$2:$CS$2,0))</f>
        <v>5094</v>
      </c>
      <c r="S20" s="113">
        <f t="array" aca="1" ref="S20" ca="1">INDEX('Calculated Fields'!$C:$CS,MATCH(Department_KPIs!S$2,'Calculated Fields'!$B:$B,0),MATCH(Department_KPIs!$D19,'Calculated Fields'!$C$2:$CS$2,0))</f>
        <v>896</v>
      </c>
      <c r="T20" s="113">
        <f t="array" aca="1" ref="T20" ca="1">INDEX('Calculated Fields'!$C:$CS,MATCH(Department_KPIs!T$2,'Calculated Fields'!$B:$B,0),MATCH(Department_KPIs!$D19,'Calculated Fields'!$C$2:$CS$2,0))</f>
        <v>658</v>
      </c>
      <c r="U20" s="113">
        <f t="array" aca="1" ref="U20" ca="1">INDEX('Calculated Fields'!$C:$CS,MATCH(Department_KPIs!U$2,'Calculated Fields'!$B:$B,0),MATCH(Department_KPIs!$D19,'Calculated Fields'!$C$2:$CS$2,0))</f>
        <v>25</v>
      </c>
      <c r="V20" s="113">
        <f t="array" aca="1" ref="V20" ca="1">INDEX('Calculated Fields'!$C:$CS,MATCH(Department_KPIs!V$2,'Calculated Fields'!$B:$B,0),MATCH(Department_KPIs!$D19,'Calculated Fields'!$C$2:$CS$2,0))</f>
        <v>6673</v>
      </c>
      <c r="W20" s="1"/>
      <c r="X20" s="1"/>
      <c r="Y20" s="1"/>
      <c r="Z20" s="1"/>
    </row>
    <row r="21" spans="1:26" ht="15.75" customHeight="1">
      <c r="A21" s="111" t="s">
        <v>1004</v>
      </c>
      <c r="B21" s="115">
        <f t="array" aca="1" ref="B21" ca="1">INDEX('Calculated Fields'!$C$3:$CQ$83,MATCH(TRIM(Department_KPIs!$B$4),TRIM('Calculated Fields'!$B$3:$B$83),0),MATCH(Department_KPIs!$A21,'Calculated Fields'!$C$2:$CQ$2,0))</f>
        <v>170</v>
      </c>
      <c r="C21" s="114"/>
      <c r="D21" s="111" t="s">
        <v>77</v>
      </c>
      <c r="E21" s="120">
        <f t="array" aca="1" ref="E21" ca="1">INDEX('Calculated Fields'!$C:$CS,MATCH(Department_KPIs!$E$2,'Calculated Fields'!$B:$B,0),MATCH(Department_KPIs!$D21,'Calculated Fields'!$C$2:$CS$2,0))</f>
        <v>2</v>
      </c>
      <c r="F21" s="120">
        <f t="array" aca="1" ref="F21" ca="1">INDEX('Calculated Fields'!$C:$CS,MATCH(Department_KPIs!F$2,'Calculated Fields'!$B:$B,0),MATCH(Department_KPIs!$D21,'Calculated Fields'!$C$2:$CS$2,0))</f>
        <v>0</v>
      </c>
      <c r="G21" s="120">
        <f t="array" aca="1" ref="G21" ca="1">INDEX('Calculated Fields'!$C:$CS,MATCH(Department_KPIs!G$2,'Calculated Fields'!$B:$B,0),MATCH(Department_KPIs!$D21,'Calculated Fields'!$C$2:$CS$2,0))</f>
        <v>0</v>
      </c>
      <c r="H21" s="120">
        <f t="array" aca="1" ref="H21" ca="1">INDEX('Calculated Fields'!$C:$CS,MATCH(Department_KPIs!H$2,'Calculated Fields'!$B:$B,0),MATCH(Department_KPIs!$D21,'Calculated Fields'!$C$2:$CS$2,0))</f>
        <v>0</v>
      </c>
      <c r="I21" s="120">
        <f t="array" aca="1" ref="I21" ca="1">INDEX('Calculated Fields'!$C:$CS,MATCH(Department_KPIs!I$2,'Calculated Fields'!$B:$B,0),MATCH(Department_KPIs!$D21,'Calculated Fields'!$C$2:$CS$2,0))</f>
        <v>0</v>
      </c>
      <c r="J21" s="120">
        <f t="array" aca="1" ref="J21" ca="1">INDEX('Calculated Fields'!$C:$CS,MATCH(Department_KPIs!J$2,'Calculated Fields'!$B:$B,0),MATCH(Department_KPIs!$D21,'Calculated Fields'!$C$2:$CS$2,0))</f>
        <v>2</v>
      </c>
      <c r="K21" s="120">
        <f t="array" aca="1" ref="K21" ca="1">INDEX('Calculated Fields'!$C:$CS,MATCH(Department_KPIs!K$2,'Calculated Fields'!$B:$B,0),MATCH(Department_KPIs!$D21,'Calculated Fields'!$C$2:$CS$2,0))</f>
        <v>2</v>
      </c>
      <c r="L21" s="1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1" t="s">
        <v>104</v>
      </c>
      <c r="B22" s="117">
        <f t="array" aca="1" ref="B22" ca="1">INDEX('Calculated Fields'!$C$3:$CQ$83,MATCH(TRIM(Department_KPIs!$B$4),TRIM('Calculated Fields'!$B$3:$B$83),0),MATCH(Department_KPIs!$A22,'Calculated Fields'!$C$2:$CQ$2,0))</f>
        <v>-1</v>
      </c>
      <c r="C22" s="114"/>
      <c r="D22" s="111" t="s">
        <v>104</v>
      </c>
      <c r="E22" s="120">
        <f t="array" aca="1" ref="E22" ca="1">INDEX('Calculated Fields'!$C:$CS,MATCH(Department_KPIs!$E$2,'Calculated Fields'!$B:$B,0),MATCH(Department_KPIs!$D22,'Calculated Fields'!$C$2:$CS$2,0))</f>
        <v>-31</v>
      </c>
      <c r="F22" s="120">
        <f t="array" aca="1" ref="F22" ca="1">INDEX('Calculated Fields'!$C:$CS,MATCH(Department_KPIs!F$2,'Calculated Fields'!$B:$B,0),MATCH(Department_KPIs!$D22,'Calculated Fields'!$C$2:$CS$2,0))</f>
        <v>-8</v>
      </c>
      <c r="G22" s="120">
        <f t="array" aca="1" ref="G22" ca="1">INDEX('Calculated Fields'!$C:$CS,MATCH(Department_KPIs!G$2,'Calculated Fields'!$B:$B,0),MATCH(Department_KPIs!$D22,'Calculated Fields'!$C$2:$CS$2,0))</f>
        <v>-12</v>
      </c>
      <c r="H22" s="120">
        <f t="array" aca="1" ref="H22" ca="1">INDEX('Calculated Fields'!$C:$CS,MATCH(Department_KPIs!H$2,'Calculated Fields'!$B:$B,0),MATCH(Department_KPIs!$D22,'Calculated Fields'!$C$2:$CS$2,0))</f>
        <v>-7</v>
      </c>
      <c r="I22" s="120">
        <f t="array" aca="1" ref="I22" ca="1">INDEX('Calculated Fields'!$C:$CS,MATCH(Department_KPIs!I$2,'Calculated Fields'!$B:$B,0),MATCH(Department_KPIs!$D22,'Calculated Fields'!$C$2:$CS$2,0))</f>
        <v>0</v>
      </c>
      <c r="J22" s="120">
        <f t="array" aca="1" ref="J22" ca="1">INDEX('Calculated Fields'!$C:$CS,MATCH(Department_KPIs!J$2,'Calculated Fields'!$B:$B,0),MATCH(Department_KPIs!$D22,'Calculated Fields'!$C$2:$CS$2,0))</f>
        <v>58</v>
      </c>
      <c r="K22" s="120">
        <f t="array" aca="1" ref="K22" ca="1">INDEX('Calculated Fields'!$C:$CS,MATCH(Department_KPIs!K$2,'Calculated Fields'!$B:$B,0),MATCH(Department_KPIs!$D22,'Calculated Fields'!$C$2:$CS$2,0))</f>
        <v>-39</v>
      </c>
      <c r="L22" s="12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11" t="s">
        <v>1006</v>
      </c>
      <c r="B23" s="123">
        <f t="array" aca="1" ref="B23" ca="1">INDEX('Calculated Fields'!$C$3:$CQ$83,MATCH(TRIM(Department_KPIs!$B$4),TRIM('Calculated Fields'!$B$3:$B$83),0),MATCH(Department_KPIs!$A23,'Calculated Fields'!$C$2:$CQ$2,0))</f>
        <v>7.1428571428571425E-2</v>
      </c>
      <c r="C23" s="114"/>
      <c r="D23" s="111" t="s">
        <v>1005</v>
      </c>
      <c r="E23" s="113">
        <f t="array" aca="1" ref="E23" ca="1">INDEX('Calculated Fields'!$C:$CS,MATCH(Department_KPIs!$E$2,'Calculated Fields'!$B:$B,0),MATCH(Department_KPIs!$D23,'Calculated Fields'!$C$2:$CS$2,0))</f>
        <v>-7404</v>
      </c>
      <c r="F23" s="113">
        <f t="array" aca="1" ref="F23" ca="1">INDEX('Calculated Fields'!$C:$CS,MATCH(Department_KPIs!F$2,'Calculated Fields'!$B:$B,0),MATCH(Department_KPIs!$D23,'Calculated Fields'!$C$2:$CS$2,0))</f>
        <v>-1285</v>
      </c>
      <c r="G23" s="113">
        <f t="array" aca="1" ref="G23" ca="1">INDEX('Calculated Fields'!$C:$CS,MATCH(Department_KPIs!G$2,'Calculated Fields'!$B:$B,0),MATCH(Department_KPIs!$D23,'Calculated Fields'!$C$2:$CS$2,0))</f>
        <v>-2515</v>
      </c>
      <c r="H23" s="113">
        <f t="array" aca="1" ref="H23" ca="1">INDEX('Calculated Fields'!$C:$CS,MATCH(Department_KPIs!H$2,'Calculated Fields'!$B:$B,0),MATCH(Department_KPIs!$D23,'Calculated Fields'!$C$2:$CS$2,0))</f>
        <v>-1470</v>
      </c>
      <c r="I23" s="113">
        <f t="array" aca="1" ref="I23" ca="1">INDEX('Calculated Fields'!$C:$CS,MATCH(Department_KPIs!I$2,'Calculated Fields'!$B:$B,0),MATCH(Department_KPIs!$D23,'Calculated Fields'!$C$2:$CS$2,0))</f>
        <v>0</v>
      </c>
      <c r="J23" s="113">
        <f t="array" aca="1" ref="J23" ca="1">INDEX('Calculated Fields'!$C:$CS,MATCH(Department_KPIs!J$2,'Calculated Fields'!$B:$B,0),MATCH(Department_KPIs!$D23,'Calculated Fields'!$C$2:$CS$2,0))</f>
        <v>-12674</v>
      </c>
      <c r="K23" s="113">
        <f t="array" aca="1" ref="K23" ca="1">INDEX('Calculated Fields'!$C:$CS,MATCH(Department_KPIs!K$2,'Calculated Fields'!$B:$B,0),MATCH(Department_KPIs!$D23,'Calculated Fields'!$C$2:$CS$2,0))</f>
        <v>-8689</v>
      </c>
      <c r="L23" s="12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1" t="s">
        <v>1007</v>
      </c>
      <c r="B24" s="117">
        <f t="array" aca="1" ref="B24" ca="1">INDEX('Calculated Fields'!$C$3:$CQ$83,MATCH(TRIM(Department_KPIs!$B$4),TRIM('Calculated Fields'!$B$3:$B$83),0),MATCH(Department_KPIs!$A24,'Calculated Fields'!$C$2:$CQ$2,0))</f>
        <v>10</v>
      </c>
      <c r="C24" s="125"/>
      <c r="D24" s="111" t="s">
        <v>1006</v>
      </c>
      <c r="E24" s="124">
        <f t="array" aca="1" ref="E24" ca="1">INDEX('Calculated Fields'!$C:$CS,MATCH(Department_KPIs!$E$2,'Calculated Fields'!$B:$B,0),MATCH(Department_KPIs!$D24,'Calculated Fields'!$C$2:$CS$2,0))</f>
        <v>0.21052631578947367</v>
      </c>
      <c r="F24" s="124">
        <f t="array" aca="1" ref="F24" ca="1">INDEX('Calculated Fields'!$C:$CS,MATCH(Department_KPIs!F$2,'Calculated Fields'!$B:$B,0),MATCH(Department_KPIs!$D24,'Calculated Fields'!$C$2:$CS$2,0))</f>
        <v>0.16981132075471697</v>
      </c>
      <c r="G24" s="124">
        <f t="array" aca="1" ref="G24" ca="1">INDEX('Calculated Fields'!$C:$CS,MATCH(Department_KPIs!G$2,'Calculated Fields'!$B:$B,0),MATCH(Department_KPIs!$D24,'Calculated Fields'!$C$2:$CS$2,0))</f>
        <v>0.10714285714285714</v>
      </c>
      <c r="H24" s="124">
        <f t="array" aca="1" ref="H24" ca="1">INDEX('Calculated Fields'!$C:$CS,MATCH(Department_KPIs!H$2,'Calculated Fields'!$B:$B,0),MATCH(Department_KPIs!$D24,'Calculated Fields'!$C$2:$CS$2,0))</f>
        <v>0.26666666666666666</v>
      </c>
      <c r="I24" s="124">
        <f t="array" aca="1" ref="I24" ca="1">INDEX('Calculated Fields'!$C:$CS,MATCH(Department_KPIs!I$2,'Calculated Fields'!$B:$B,0),MATCH(Department_KPIs!$D24,'Calculated Fields'!$C$2:$CS$2,0))</f>
        <v>0</v>
      </c>
      <c r="J24" s="124">
        <f t="array" aca="1" ref="J24" ca="1">INDEX('Calculated Fields'!$C:$CS,MATCH(Department_KPIs!J$2,'Calculated Fields'!$B:$B,0),MATCH(Department_KPIs!$D24,'Calculated Fields'!$C$2:$CS$2,0))</f>
        <v>0.17922077922077922</v>
      </c>
      <c r="K24" s="124">
        <f t="array" aca="1" ref="K24" ca="1">INDEX('Calculated Fields'!$C:$CS,MATCH(Department_KPIs!K$2,'Calculated Fields'!$B:$B,0),MATCH(Department_KPIs!$D24,'Calculated Fields'!$C$2:$CS$2,0))</f>
        <v>0.20164609053497942</v>
      </c>
      <c r="L24" s="12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11" t="s">
        <v>1034</v>
      </c>
      <c r="B25" s="127">
        <f t="array" aca="1" ref="B25" ca="1">INDEX('Calculated Fields'!$C$3:$CQ$83,MATCH(TRIM(Department_KPIs!$B$4),TRIM('Calculated Fields'!$B$3:$B$83),0),MATCH(Department_KPIs!$A25,'Calculated Fields'!$C$2:$CQ$2,0))</f>
        <v>8.4</v>
      </c>
      <c r="C25" s="79"/>
      <c r="D25" s="111" t="s">
        <v>1010</v>
      </c>
      <c r="E25" s="124">
        <f t="array" aca="1" ref="E25" ca="1">INDEX('Calculated Fields'!$C:$CS,MATCH(Department_KPIs!$E$2,'Calculated Fields'!$B:$B,0),MATCH(Department_KPIs!$D25,'Calculated Fields'!$C$2:$CS$2,0))</f>
        <v>0.20744680851063829</v>
      </c>
      <c r="F25" s="124">
        <f t="array" aca="1" ref="F25" ca="1">INDEX('Calculated Fields'!$C:$CS,MATCH(Department_KPIs!F$2,'Calculated Fields'!$B:$B,0),MATCH(Department_KPIs!$D25,'Calculated Fields'!$C$2:$CS$2,0))</f>
        <v>0.16981132075471697</v>
      </c>
      <c r="G25" s="124">
        <f t="array" aca="1" ref="G25" ca="1">INDEX('Calculated Fields'!$C:$CS,MATCH(Department_KPIs!G$2,'Calculated Fields'!$B:$B,0),MATCH(Department_KPIs!$D25,'Calculated Fields'!$C$2:$CS$2,0))</f>
        <v>0.10714285714285714</v>
      </c>
      <c r="H25" s="124">
        <f t="array" aca="1" ref="H25" ca="1">INDEX('Calculated Fields'!$C:$CS,MATCH(Department_KPIs!H$2,'Calculated Fields'!$B:$B,0),MATCH(Department_KPIs!$D25,'Calculated Fields'!$C$2:$CS$2,0))</f>
        <v>0.26666666666666666</v>
      </c>
      <c r="I25" s="124">
        <f t="array" aca="1" ref="I25" ca="1">INDEX('Calculated Fields'!$C:$CS,MATCH(Department_KPIs!I$2,'Calculated Fields'!$B:$B,0),MATCH(Department_KPIs!$D25,'Calculated Fields'!$C$2:$CS$2,0))</f>
        <v>0</v>
      </c>
      <c r="J25" s="124">
        <f t="array" aca="1" ref="J25" ca="1">INDEX('Calculated Fields'!$C:$CS,MATCH(Department_KPIs!J$2,'Calculated Fields'!$B:$B,0),MATCH(Department_KPIs!$D25,'Calculated Fields'!$C$2:$CS$2,0))</f>
        <v>0.17754569190600522</v>
      </c>
      <c r="K25" s="124">
        <f t="array" aca="1" ref="K25" ca="1">INDEX('Calculated Fields'!$C:$CS,MATCH(Department_KPIs!K$2,'Calculated Fields'!$B:$B,0),MATCH(Department_KPIs!$D25,'Calculated Fields'!$C$2:$CS$2,0))</f>
        <v>0.19917012448132779</v>
      </c>
      <c r="L25" s="1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11" t="s">
        <v>1078</v>
      </c>
      <c r="B26" s="128">
        <f t="array" aca="1" ref="B26" ca="1">INDEX('Calculated Fields'!$C$3:$CQ$83,MATCH(TRIM(Department_KPIs!$B$4),TRIM('Calculated Fields'!$B$3:$B$83),0),MATCH(Department_KPIs!$A26,'Calculated Fields'!$C$2:$CQ$2,0))</f>
        <v>0.22580645161290322</v>
      </c>
      <c r="C26" s="125"/>
      <c r="D26" s="111" t="s">
        <v>1012</v>
      </c>
      <c r="E26" s="124">
        <f t="array" aca="1" ref="E26" ca="1">INDEX('Calculated Fields'!$C:$CS,MATCH(Department_KPIs!$E$2,'Calculated Fields'!$B:$B,0),MATCH(Department_KPIs!$D26,'Calculated Fields'!$C$2:$CS$2,0))</f>
        <v>0.5</v>
      </c>
      <c r="F26" s="124">
        <f t="array" aca="1" ref="F26" ca="1">INDEX('Calculated Fields'!$C:$CS,MATCH(Department_KPIs!F$2,'Calculated Fields'!$B:$B,0),MATCH(Department_KPIs!$D26,'Calculated Fields'!$C$2:$CS$2,0))</f>
        <v>0</v>
      </c>
      <c r="G26" s="124">
        <f t="array" aca="1" ref="G26" ca="1">INDEX('Calculated Fields'!$C:$CS,MATCH(Department_KPIs!G$2,'Calculated Fields'!$B:$B,0),MATCH(Department_KPIs!$D26,'Calculated Fields'!$C$2:$CS$2,0))</f>
        <v>0</v>
      </c>
      <c r="H26" s="124">
        <f t="array" aca="1" ref="H26" ca="1">INDEX('Calculated Fields'!$C:$CS,MATCH(Department_KPIs!H$2,'Calculated Fields'!$B:$B,0),MATCH(Department_KPIs!$D26,'Calculated Fields'!$C$2:$CS$2,0))</f>
        <v>0</v>
      </c>
      <c r="I26" s="124">
        <f t="array" aca="1" ref="I26" ca="1">INDEX('Calculated Fields'!$C:$CS,MATCH(Department_KPIs!I$2,'Calculated Fields'!$B:$B,0),MATCH(Department_KPIs!$D26,'Calculated Fields'!$C$2:$CS$2,0))</f>
        <v>0</v>
      </c>
      <c r="J26" s="124">
        <f t="array" aca="1" ref="J26" ca="1">INDEX('Calculated Fields'!$C:$CS,MATCH(Department_KPIs!J$2,'Calculated Fields'!$B:$B,0),MATCH(Department_KPIs!$D26,'Calculated Fields'!$C$2:$CS$2,0))</f>
        <v>0.5</v>
      </c>
      <c r="K26" s="124">
        <f t="array" aca="1" ref="K26" ca="1">INDEX('Calculated Fields'!$C:$CS,MATCH(Department_KPIs!K$2,'Calculated Fields'!$B:$B,0),MATCH(Department_KPIs!$D26,'Calculated Fields'!$C$2:$CS$2,0))</f>
        <v>0.5</v>
      </c>
      <c r="L26" s="1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111" t="s">
        <v>1017</v>
      </c>
      <c r="B27" s="128">
        <f t="array" aca="1" ref="B27" ca="1">INDEX('Calculated Fields'!$C$3:$CQ$83,MATCH(TRIM(Department_KPIs!$B$4),TRIM('Calculated Fields'!$B$3:$B$83),0),MATCH(Department_KPIs!$A27,'Calculated Fields'!$C$2:$CQ$2,0))</f>
        <v>0.33333333333333331</v>
      </c>
      <c r="C27" s="129"/>
      <c r="D27" s="111" t="s">
        <v>1007</v>
      </c>
      <c r="E27" s="120">
        <f t="array" aca="1" ref="E27" ca="1">INDEX('Calculated Fields'!$C:$CS,MATCH(Department_KPIs!$E$2,'Calculated Fields'!$B:$B,0),MATCH(Department_KPIs!$D27,'Calculated Fields'!$C$2:$CS$2,0))</f>
        <v>134</v>
      </c>
      <c r="F27" s="120">
        <f t="array" aca="1" ref="F27" ca="1">INDEX('Calculated Fields'!$C:$CS,MATCH(Department_KPIs!F$2,'Calculated Fields'!$B:$B,0),MATCH(Department_KPIs!$D27,'Calculated Fields'!$C$2:$CS$2,0))</f>
        <v>38</v>
      </c>
      <c r="G27" s="120">
        <f t="array" aca="1" ref="G27" ca="1">INDEX('Calculated Fields'!$C:$CS,MATCH(Department_KPIs!G$2,'Calculated Fields'!$B:$B,0),MATCH(Department_KPIs!$D27,'Calculated Fields'!$C$2:$CS$2,0))</f>
        <v>112</v>
      </c>
      <c r="H27" s="120">
        <f t="array" aca="1" ref="H27" ca="1">INDEX('Calculated Fields'!$C:$CS,MATCH(Department_KPIs!H$2,'Calculated Fields'!$B:$B,0),MATCH(Department_KPIs!$D27,'Calculated Fields'!$C$2:$CS$2,0))</f>
        <v>25</v>
      </c>
      <c r="I27" s="120">
        <f t="array" aca="1" ref="I27" ca="1">INDEX('Calculated Fields'!$C:$CS,MATCH(Department_KPIs!I$2,'Calculated Fields'!$B:$B,0),MATCH(Department_KPIs!$D27,'Calculated Fields'!$C$2:$CS$2,0))</f>
        <v>0</v>
      </c>
      <c r="J27" s="120">
        <f t="array" aca="1" ref="J27" ca="1">INDEX('Calculated Fields'!$C:$CS,MATCH(Department_KPIs!J$2,'Calculated Fields'!$B:$B,0),MATCH(Department_KPIs!$D27,'Calculated Fields'!$C$2:$CS$2,0))</f>
        <v>172</v>
      </c>
      <c r="K27" s="120">
        <f t="array" aca="1" ref="K27" ca="1">INDEX('Calculated Fields'!$C:$CS,MATCH(Department_KPIs!K$2,'Calculated Fields'!$B:$B,0),MATCH(Department_KPIs!$D27,'Calculated Fields'!$C$2:$CS$2,0))</f>
        <v>172</v>
      </c>
      <c r="L27" s="1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11" t="s">
        <v>1018</v>
      </c>
      <c r="B28" s="128">
        <f t="array" aca="1" ref="B28" ca="1">INDEX('Calculated Fields'!$C$3:$CQ$83,MATCH(TRIM(Department_KPIs!$B$4),TRIM('Calculated Fields'!$B$3:$B$83),0),MATCH(Department_KPIs!$A28,'Calculated Fields'!$C$2:$CQ$2,0))</f>
        <v>0.17142857142857143</v>
      </c>
      <c r="C28" s="57"/>
      <c r="D28" s="111" t="s">
        <v>1034</v>
      </c>
      <c r="E28" s="130">
        <f t="array" aca="1" ref="E28" ca="1">INDEX('Calculated Fields'!$C:$CS,MATCH(Department_KPIs!$E$2,'Calculated Fields'!$B:$B,0),MATCH(Department_KPIs!$D28,'Calculated Fields'!$C$2:$CS$2,0))</f>
        <v>5.1044776119402986</v>
      </c>
      <c r="F28" s="130">
        <f t="array" aca="1" ref="F28" ca="1">INDEX('Calculated Fields'!$C:$CS,MATCH(Department_KPIs!F$2,'Calculated Fields'!$B:$B,0),MATCH(Department_KPIs!$D28,'Calculated Fields'!$C$2:$CS$2,0))</f>
        <v>5.0789473684210522</v>
      </c>
      <c r="G28" s="130" t="str">
        <f t="array" aca="1" ref="G28" ca="1">INDEX('Calculated Fields'!$C:$CS,MATCH(Department_KPIs!G$2,'Calculated Fields'!$B:$B,0),MATCH(Department_KPIs!$D28,'Calculated Fields'!$C$2:$CS$2,0))</f>
        <v>❌</v>
      </c>
      <c r="H28" s="130" t="str">
        <f t="array" aca="1" ref="H28" ca="1">INDEX('Calculated Fields'!$C:$CS,MATCH(Department_KPIs!H$2,'Calculated Fields'!$B:$B,0),MATCH(Department_KPIs!$D28,'Calculated Fields'!$C$2:$CS$2,0))</f>
        <v>❌</v>
      </c>
      <c r="I28" s="130" t="str">
        <f t="array" aca="1" ref="I28" ca="1">INDEX('Calculated Fields'!$C:$CS,MATCH(Department_KPIs!I$2,'Calculated Fields'!$B:$B,0),MATCH(Department_KPIs!$D28,'Calculated Fields'!$C$2:$CS$2,0))</f>
        <v>❌</v>
      </c>
      <c r="J28" s="130">
        <f t="array" aca="1" ref="J28" ca="1">INDEX('Calculated Fields'!$C:$CS,MATCH(Department_KPIs!J$2,'Calculated Fields'!$B:$B,0),MATCH(Department_KPIs!$D28,'Calculated Fields'!$C$2:$CS$2,0))</f>
        <v>5.0988372093023253</v>
      </c>
      <c r="K28" s="130">
        <f t="array" aca="1" ref="K28" ca="1">INDEX('Calculated Fields'!$C:$CS,MATCH(Department_KPIs!K$2,'Calculated Fields'!$B:$B,0),MATCH(Department_KPIs!$D28,'Calculated Fields'!$C$2:$CS$2,0))</f>
        <v>5.0988372093023253</v>
      </c>
      <c r="L28" s="1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11" t="s">
        <v>1019</v>
      </c>
      <c r="B29" s="128">
        <f t="array" aca="1" ref="B29" ca="1">INDEX('Calculated Fields'!$C$3:$CQ$83,MATCH(TRIM(Department_KPIs!$B$4),TRIM('Calculated Fields'!$B$3:$B$83),0),MATCH(Department_KPIs!$A29,'Calculated Fields'!$C$2:$CQ$2,0))</f>
        <v>0</v>
      </c>
      <c r="C29" s="57"/>
      <c r="D29" s="111" t="s">
        <v>1014</v>
      </c>
      <c r="E29" s="113">
        <f t="array" aca="1" ref="E29" ca="1">INDEX('Calculated Fields'!$C:$CS,MATCH(Department_KPIs!$E$2,'Calculated Fields'!$B:$B,0),MATCH(Department_KPIs!$D29,'Calculated Fields'!$C$2:$CS$2,0))</f>
        <v>47569.33</v>
      </c>
      <c r="F29" s="113">
        <f t="array" aca="1" ref="F29" ca="1">INDEX('Calculated Fields'!$C:$CS,MATCH(Department_KPIs!F$2,'Calculated Fields'!$B:$B,0),MATCH(Department_KPIs!$D29,'Calculated Fields'!$C$2:$CS$2,0))</f>
        <v>16825</v>
      </c>
      <c r="G29" s="113">
        <f t="array" aca="1" ref="G29" ca="1">INDEX('Calculated Fields'!$C:$CS,MATCH(Department_KPIs!G$2,'Calculated Fields'!$B:$B,0),MATCH(Department_KPIs!$D29,'Calculated Fields'!$C$2:$CS$2,0))</f>
        <v>7303.99</v>
      </c>
      <c r="H29" s="113">
        <f t="array" aca="1" ref="H29" ca="1">INDEX('Calculated Fields'!$C:$CS,MATCH(Department_KPIs!H$2,'Calculated Fields'!$B:$B,0),MATCH(Department_KPIs!$D29,'Calculated Fields'!$C$2:$CS$2,0))</f>
        <v>5030</v>
      </c>
      <c r="I29" s="113">
        <v>225</v>
      </c>
      <c r="J29" s="113">
        <f t="array" aca="1" ref="J29" ca="1">INDEX('Calculated Fields'!$C:$CS,MATCH(Department_KPIs!J$2,'Calculated Fields'!$B:$B,0),MATCH(Department_KPIs!$D29,'Calculated Fields'!$C$2:$CS$2,0))</f>
        <v>77868.320000000007</v>
      </c>
      <c r="K29" s="113">
        <f t="array" aca="1" ref="K29" ca="1">INDEX('Calculated Fields'!$C:$CS,MATCH(Department_KPIs!K$2,'Calculated Fields'!$B:$B,0),MATCH(Department_KPIs!$D29,'Calculated Fields'!$C$2:$CS$2,0))</f>
        <v>64394.33</v>
      </c>
      <c r="L29" s="12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11" t="s">
        <v>1020</v>
      </c>
      <c r="B30" s="128">
        <f t="array" aca="1" ref="B30" ca="1">INDEX('Calculated Fields'!$C$3:$CQ$83,MATCH(TRIM(Department_KPIs!$B$4),TRIM('Calculated Fields'!$B$3:$B$83),0),MATCH(Department_KPIs!$A30,'Calculated Fields'!$C$2:$CQ$2,0))</f>
        <v>0</v>
      </c>
      <c r="C30" s="57"/>
      <c r="D30" s="111" t="s">
        <v>1015</v>
      </c>
      <c r="E30" s="113">
        <f t="array" aca="1" ref="E30" ca="1">INDEX('Calculated Fields'!$C:$CS,MATCH(Department_KPIs!$E$2,'Calculated Fields'!$B:$B,0),MATCH(Department_KPIs!$D30,'Calculated Fields'!$C$2:$CS$2,0))</f>
        <v>0</v>
      </c>
      <c r="F30" s="113">
        <f t="array" aca="1" ref="F30" ca="1">INDEX('Calculated Fields'!$C:$CS,MATCH(Department_KPIs!F$2,'Calculated Fields'!$B:$B,0),MATCH(Department_KPIs!$D30,'Calculated Fields'!$C$2:$CS$2,0))</f>
        <v>0</v>
      </c>
      <c r="G30" s="113">
        <f t="array" aca="1" ref="G30" ca="1">INDEX('Calculated Fields'!$C:$CS,MATCH(Department_KPIs!G$2,'Calculated Fields'!$B:$B,0),MATCH(Department_KPIs!$D30,'Calculated Fields'!$C$2:$CS$2,0))</f>
        <v>0</v>
      </c>
      <c r="H30" s="113">
        <f t="array" aca="1" ref="H30" ca="1">INDEX('Calculated Fields'!$C:$CS,MATCH(Department_KPIs!H$2,'Calculated Fields'!$B:$B,0),MATCH(Department_KPIs!$D30,'Calculated Fields'!$C$2:$CS$2,0))</f>
        <v>0</v>
      </c>
      <c r="I30" s="113">
        <f t="array" aca="1" ref="I30" ca="1">INDEX('Calculated Fields'!$C:$CS,MATCH(Department_KPIs!I$2,'Calculated Fields'!$B:$B,0),MATCH(Department_KPIs!$D30,'Calculated Fields'!$C$2:$CS$2,0))</f>
        <v>0</v>
      </c>
      <c r="J30" s="113">
        <f t="array" aca="1" ref="J30" ca="1">INDEX('Calculated Fields'!$C:$CS,MATCH(Department_KPIs!J$2,'Calculated Fields'!$B:$B,0),MATCH(Department_KPIs!$D30,'Calculated Fields'!$C$2:$CS$2,0))</f>
        <v>0</v>
      </c>
      <c r="K30" s="113">
        <f t="array" aca="1" ref="K30" ca="1">INDEX('Calculated Fields'!$C:$CS,MATCH(Department_KPIs!K$2,'Calculated Fields'!$B:$B,0),MATCH(Department_KPIs!$D30,'Calculated Fields'!$C$2:$CS$2,0))</f>
        <v>0</v>
      </c>
      <c r="L30" s="12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11" t="s">
        <v>1021</v>
      </c>
      <c r="B31" s="128">
        <f t="array" aca="1" ref="B31" ca="1">INDEX('Calculated Fields'!$C$3:$CQ$83,MATCH(TRIM(Department_KPIs!$B$4),TRIM('Calculated Fields'!$B$3:$B$83),0),MATCH(Department_KPIs!$A31,'Calculated Fields'!$C$2:$CQ$2,0))</f>
        <v>0.37840000000000001</v>
      </c>
      <c r="C31" s="57"/>
      <c r="D31" s="111" t="s">
        <v>1016</v>
      </c>
      <c r="E31" s="87">
        <f t="array" aca="1" ref="E31" ca="1">INDEX('Calculated Fields'!$C:$CS,MATCH(Department_KPIs!$E$2,'Calculated Fields'!$B:$B,0),MATCH(Department_KPIs!$D31,'Calculated Fields'!$C$2:$CS$2,0))</f>
        <v>0.17101710171017101</v>
      </c>
      <c r="F31" s="87">
        <f t="array" aca="1" ref="F31" ca="1">INDEX('Calculated Fields'!$C:$CS,MATCH(Department_KPIs!F$2,'Calculated Fields'!$B:$B,0),MATCH(Department_KPIs!$D31,'Calculated Fields'!$C$2:$CS$2,0))</f>
        <v>0.15963855421686746</v>
      </c>
      <c r="G31" s="87" t="str">
        <f t="array" aca="1" ref="G31" ca="1">INDEX('Calculated Fields'!$C:$CS,MATCH(Department_KPIs!G$2,'Calculated Fields'!$B:$B,0),MATCH(Department_KPIs!$D31,'Calculated Fields'!$C$2:$CS$2,0))</f>
        <v>❌</v>
      </c>
      <c r="H31" s="87" t="str">
        <f t="array" aca="1" ref="H31" ca="1">INDEX('Calculated Fields'!$C:$CS,MATCH(Department_KPIs!H$2,'Calculated Fields'!$B:$B,0),MATCH(Department_KPIs!$D31,'Calculated Fields'!$C$2:$CS$2,0))</f>
        <v>❌</v>
      </c>
      <c r="I31" s="87" t="str">
        <f t="array" aca="1" ref="I31" ca="1">INDEX('Calculated Fields'!$C:$CS,MATCH(Department_KPIs!I$2,'Calculated Fields'!$B:$B,0),MATCH(Department_KPIs!$D31,'Calculated Fields'!$C$2:$CS$2,0))</f>
        <v>❌</v>
      </c>
      <c r="J31" s="87">
        <f t="array" aca="1" ref="J31" ca="1">INDEX('Calculated Fields'!$C:$CS,MATCH(Department_KPIs!J$2,'Calculated Fields'!$B:$B,0),MATCH(Department_KPIs!$D31,'Calculated Fields'!$C$2:$CS$2,0))</f>
        <v>0.16839916839916841</v>
      </c>
      <c r="K31" s="87">
        <f t="array" aca="1" ref="K31" ca="1">INDEX('Calculated Fields'!$C:$CS,MATCH(Department_KPIs!K$2,'Calculated Fields'!$B:$B,0),MATCH(Department_KPIs!$D31,'Calculated Fields'!$C$2:$CS$2,0))</f>
        <v>0.16839916839916841</v>
      </c>
      <c r="L31" s="12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11" t="s">
        <v>1027</v>
      </c>
      <c r="B32" s="96">
        <f t="array" aca="1" ref="B32" ca="1">INDEX('Calculated Fields'!$C$3:$CQ$83,MATCH(TRIM(Department_KPIs!$B$4),TRIM('Calculated Fields'!$B$3:$B$83),0),MATCH(Department_KPIs!$A32,'Calculated Fields'!$C$2:$CQ$2,0))</f>
        <v>1</v>
      </c>
      <c r="C32" s="57"/>
      <c r="D32" s="111" t="s">
        <v>1021</v>
      </c>
      <c r="E32" s="87">
        <f t="array" aca="1" ref="E32" ca="1">INDEX('Calculated Fields'!$C:$CS,MATCH(Department_KPIs!$E$2,'Calculated Fields'!$B:$B,0),MATCH(Department_KPIs!$D32,'Calculated Fields'!$C$2:$CS$2,0))</f>
        <v>0.42792792792792794</v>
      </c>
      <c r="F32" s="87">
        <f t="array" aca="1" ref="F32" ca="1">INDEX('Calculated Fields'!$C:$CS,MATCH(Department_KPIs!F$2,'Calculated Fields'!$B:$B,0),MATCH(Department_KPIs!$D32,'Calculated Fields'!$C$2:$CS$2,0))</f>
        <v>0.29775280898876405</v>
      </c>
      <c r="G32" s="87" t="str">
        <f t="array" aca="1" ref="G32" ca="1">INDEX('Calculated Fields'!$C:$CS,MATCH(Department_KPIs!G$2,'Calculated Fields'!$B:$B,0),MATCH(Department_KPIs!$D32,'Calculated Fields'!$C$2:$CS$2,0))</f>
        <v>❌</v>
      </c>
      <c r="H32" s="87" t="str">
        <f t="array" aca="1" ref="H32" ca="1">INDEX('Calculated Fields'!$C:$CS,MATCH(Department_KPIs!H$2,'Calculated Fields'!$B:$B,0),MATCH(Department_KPIs!$D32,'Calculated Fields'!$C$2:$CS$2,0))</f>
        <v>❌</v>
      </c>
      <c r="I32" s="87" t="str">
        <f t="array" aca="1" ref="I32" ca="1">INDEX('Calculated Fields'!$C:$CS,MATCH(Department_KPIs!I$2,'Calculated Fields'!$B:$B,0),MATCH(Department_KPIs!$D32,'Calculated Fields'!$C$2:$CS$2,0))</f>
        <v>❌</v>
      </c>
      <c r="J32" s="87">
        <f t="array" aca="1" ref="J32" ca="1">INDEX('Calculated Fields'!$C:$CS,MATCH(Department_KPIs!J$2,'Calculated Fields'!$B:$B,0),MATCH(Department_KPIs!$D32,'Calculated Fields'!$C$2:$CS$2,0))</f>
        <v>0.39067524115755625</v>
      </c>
      <c r="K32" s="87">
        <f t="array" aca="1" ref="K32" ca="1">INDEX('Calculated Fields'!$C:$CS,MATCH(Department_KPIs!K$2,'Calculated Fields'!$B:$B,0),MATCH(Department_KPIs!$D32,'Calculated Fields'!$C$2:$CS$2,0))</f>
        <v>0.39067524115755625</v>
      </c>
      <c r="L32" s="12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11" t="s">
        <v>1028</v>
      </c>
      <c r="B33" s="96">
        <f t="array" aca="1" ref="B33" ca="1">INDEX('Calculated Fields'!$C$3:$CQ$83,MATCH(TRIM(Department_KPIs!$B$4),TRIM('Calculated Fields'!$B$3:$B$83),0),MATCH(Department_KPIs!$A33,'Calculated Fields'!$C$2:$CQ$2,0))</f>
        <v>6</v>
      </c>
      <c r="C33" s="125"/>
      <c r="D33" s="111" t="s">
        <v>1017</v>
      </c>
      <c r="E33" s="87">
        <f t="array" aca="1" ref="E33" ca="1">INDEX('Calculated Fields'!$C:$CS,MATCH(Department_KPIs!$E$2,'Calculated Fields'!$B:$B,0),MATCH(Department_KPIs!$D33,'Calculated Fields'!$C$2:$CS$2,0))</f>
        <v>0.19318181818181818</v>
      </c>
      <c r="F33" s="87">
        <f t="array" aca="1" ref="F33" ca="1">INDEX('Calculated Fields'!$C:$CS,MATCH(Department_KPIs!F$2,'Calculated Fields'!$B:$B,0),MATCH(Department_KPIs!$D33,'Calculated Fields'!$C$2:$CS$2,0))</f>
        <v>0.1875</v>
      </c>
      <c r="G33" s="87" t="str">
        <f t="array" aca="1" ref="G33" ca="1">INDEX('Calculated Fields'!$C:$CS,MATCH(Department_KPIs!G$2,'Calculated Fields'!$B:$B,0),MATCH(Department_KPIs!$D33,'Calculated Fields'!$C$2:$CS$2,0))</f>
        <v>❌</v>
      </c>
      <c r="H33" s="87" t="str">
        <f t="array" aca="1" ref="H33" ca="1">INDEX('Calculated Fields'!$C:$CS,MATCH(Department_KPIs!H$2,'Calculated Fields'!$B:$B,0),MATCH(Department_KPIs!$D33,'Calculated Fields'!$C$2:$CS$2,0))</f>
        <v>❌</v>
      </c>
      <c r="I33" s="87" t="str">
        <f t="array" aca="1" ref="I33" ca="1">INDEX('Calculated Fields'!$C:$CS,MATCH(Department_KPIs!I$2,'Calculated Fields'!$B:$B,0),MATCH(Department_KPIs!$D33,'Calculated Fields'!$C$2:$CS$2,0))</f>
        <v>❌</v>
      </c>
      <c r="J33" s="87">
        <f t="array" aca="1" ref="J33" ca="1">INDEX('Calculated Fields'!$C:$CS,MATCH(Department_KPIs!J$2,'Calculated Fields'!$B:$B,0),MATCH(Department_KPIs!$D33,'Calculated Fields'!$C$2:$CS$2,0))</f>
        <v>0.19230769230769232</v>
      </c>
      <c r="K33" s="87">
        <f t="array" aca="1" ref="K33" ca="1">INDEX('Calculated Fields'!$C:$CS,MATCH(Department_KPIs!K$2,'Calculated Fields'!$B:$B,0),MATCH(Department_KPIs!$D33,'Calculated Fields'!$C$2:$CS$2,0))</f>
        <v>0.19230769230769232</v>
      </c>
      <c r="L33" s="12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11" t="s">
        <v>1029</v>
      </c>
      <c r="B34" s="96">
        <f t="array" aca="1" ref="B34" ca="1">INDEX('Calculated Fields'!$C$3:$CQ$83,MATCH(TRIM(Department_KPIs!$B$4),TRIM('Calculated Fields'!$B$3:$B$83),0),MATCH(Department_KPIs!$A34,'Calculated Fields'!$C$2:$CQ$2,0))</f>
        <v>0</v>
      </c>
      <c r="C34" s="125"/>
      <c r="D34" s="111" t="s">
        <v>1018</v>
      </c>
      <c r="E34" s="87">
        <f t="array" aca="1" ref="E34" ca="1">INDEX('Calculated Fields'!$C:$CS,MATCH(Department_KPIs!$E$2,'Calculated Fields'!$B:$B,0),MATCH(Department_KPIs!$D34,'Calculated Fields'!$C$2:$CS$2,0))</f>
        <v>0.11931818181818182</v>
      </c>
      <c r="F34" s="87">
        <f t="array" aca="1" ref="F34" ca="1">INDEX('Calculated Fields'!$C:$CS,MATCH(Department_KPIs!F$2,'Calculated Fields'!$B:$B,0),MATCH(Department_KPIs!$D34,'Calculated Fields'!$C$2:$CS$2,0))</f>
        <v>0.12582781456953643</v>
      </c>
      <c r="G34" s="87" t="str">
        <f t="array" aca="1" ref="G34" ca="1">INDEX('Calculated Fields'!$C:$CS,MATCH(Department_KPIs!G$2,'Calculated Fields'!$B:$B,0),MATCH(Department_KPIs!$D34,'Calculated Fields'!$C$2:$CS$2,0))</f>
        <v>❌</v>
      </c>
      <c r="H34" s="87" t="str">
        <f t="array" aca="1" ref="H34" ca="1">INDEX('Calculated Fields'!$C:$CS,MATCH(Department_KPIs!H$2,'Calculated Fields'!$B:$B,0),MATCH(Department_KPIs!$D34,'Calculated Fields'!$C$2:$CS$2,0))</f>
        <v>❌</v>
      </c>
      <c r="I34" s="87" t="str">
        <f t="array" aca="1" ref="I34" ca="1">INDEX('Calculated Fields'!$C:$CS,MATCH(Department_KPIs!I$2,'Calculated Fields'!$B:$B,0),MATCH(Department_KPIs!$D34,'Calculated Fields'!$C$2:$CS$2,0))</f>
        <v>❌</v>
      </c>
      <c r="J34" s="87">
        <f t="array" aca="1" ref="J34" ca="1">INDEX('Calculated Fields'!$C:$CS,MATCH(Department_KPIs!J$2,'Calculated Fields'!$B:$B,0),MATCH(Department_KPIs!$D34,'Calculated Fields'!$C$2:$CS$2,0))</f>
        <v>0.12127236580516898</v>
      </c>
      <c r="K34" s="87">
        <f t="array" aca="1" ref="K34" ca="1">INDEX('Calculated Fields'!$C:$CS,MATCH(Department_KPIs!K$2,'Calculated Fields'!$B:$B,0),MATCH(Department_KPIs!$D34,'Calculated Fields'!$C$2:$CS$2,0))</f>
        <v>0.12127236580516898</v>
      </c>
      <c r="L34" s="12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11" t="s">
        <v>1030</v>
      </c>
      <c r="B35" s="96">
        <f t="array" aca="1" ref="B35" ca="1">INDEX('Calculated Fields'!$C$3:$CQ$83,MATCH(TRIM(Department_KPIs!$B$4),TRIM('Calculated Fields'!$B$3:$B$83),0),MATCH(Department_KPIs!$A35,'Calculated Fields'!$C$2:$CQ$2,0))</f>
        <v>0</v>
      </c>
      <c r="C35" s="125"/>
      <c r="D35" s="111" t="s">
        <v>1019</v>
      </c>
      <c r="E35" s="87">
        <f t="array" aca="1" ref="E35" ca="1">INDEX('Calculated Fields'!$C:$CS,MATCH(Department_KPIs!$E$2,'Calculated Fields'!$B:$B,0),MATCH(Department_KPIs!$D35,'Calculated Fields'!$C$2:$CS$2,0))</f>
        <v>0.23809523809523808</v>
      </c>
      <c r="F35" s="87">
        <f t="array" aca="1" ref="F35" ca="1">INDEX('Calculated Fields'!$C:$CS,MATCH(Department_KPIs!F$2,'Calculated Fields'!$B:$B,0),MATCH(Department_KPIs!$D35,'Calculated Fields'!$C$2:$CS$2,0))</f>
        <v>0.2</v>
      </c>
      <c r="G35" s="87" t="str">
        <f t="array" aca="1" ref="G35" ca="1">INDEX('Calculated Fields'!$C:$CS,MATCH(Department_KPIs!G$2,'Calculated Fields'!$B:$B,0),MATCH(Department_KPIs!$D35,'Calculated Fields'!$C$2:$CS$2,0))</f>
        <v>❌</v>
      </c>
      <c r="H35" s="87" t="str">
        <f t="array" aca="1" ref="H35" ca="1">INDEX('Calculated Fields'!$C:$CS,MATCH(Department_KPIs!H$2,'Calculated Fields'!$B:$B,0),MATCH(Department_KPIs!$D35,'Calculated Fields'!$C$2:$CS$2,0))</f>
        <v>❌</v>
      </c>
      <c r="I35" s="87" t="str">
        <f t="array" aca="1" ref="I35" ca="1">INDEX('Calculated Fields'!$C:$CS,MATCH(Department_KPIs!I$2,'Calculated Fields'!$B:$B,0),MATCH(Department_KPIs!$D35,'Calculated Fields'!$C$2:$CS$2,0))</f>
        <v>❌</v>
      </c>
      <c r="J35" s="87">
        <f t="array" aca="1" ref="J35" ca="1">INDEX('Calculated Fields'!$C:$CS,MATCH(Department_KPIs!J$2,'Calculated Fields'!$B:$B,0),MATCH(Department_KPIs!$D35,'Calculated Fields'!$C$2:$CS$2,0))</f>
        <v>0.2289156626506024</v>
      </c>
      <c r="K35" s="87">
        <f t="array" aca="1" ref="K35" ca="1">INDEX('Calculated Fields'!$C:$CS,MATCH(Department_KPIs!K$2,'Calculated Fields'!$B:$B,0),MATCH(Department_KPIs!$D35,'Calculated Fields'!$C$2:$CS$2,0))</f>
        <v>0.2289156626506024</v>
      </c>
      <c r="L35" s="12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11" t="s">
        <v>1022</v>
      </c>
      <c r="B36" s="96">
        <f t="array" aca="1" ref="B36" ca="1">INDEX('Calculated Fields'!$C$3:$CQ$83,MATCH(TRIM(Department_KPIs!$B$4),TRIM('Calculated Fields'!$B$3:$B$83),0),MATCH(Department_KPIs!$A36,'Calculated Fields'!$C$2:$CQ$2,0))</f>
        <v>3</v>
      </c>
      <c r="C36" s="125"/>
      <c r="D36" s="111" t="s">
        <v>1020</v>
      </c>
      <c r="E36" s="87">
        <f t="array" aca="1" ref="E36" ca="1">INDEX('Calculated Fields'!$C:$CS,MATCH(Department_KPIs!$E$2,'Calculated Fields'!$B:$B,0),MATCH(Department_KPIs!$D36,'Calculated Fields'!$C$2:$CS$2,0))</f>
        <v>0.31818181818181818</v>
      </c>
      <c r="F36" s="87">
        <f t="array" aca="1" ref="F36" ca="1">INDEX('Calculated Fields'!$C:$CS,MATCH(Department_KPIs!F$2,'Calculated Fields'!$B:$B,0),MATCH(Department_KPIs!$D36,'Calculated Fields'!$C$2:$CS$2,0))</f>
        <v>4.1666666666666664E-2</v>
      </c>
      <c r="G36" s="87" t="str">
        <f t="array" aca="1" ref="G36" ca="1">INDEX('Calculated Fields'!$C:$CS,MATCH(Department_KPIs!G$2,'Calculated Fields'!$B:$B,0),MATCH(Department_KPIs!$D36,'Calculated Fields'!$C$2:$CS$2,0))</f>
        <v>❌</v>
      </c>
      <c r="H36" s="87" t="str">
        <f t="array" aca="1" ref="H36" ca="1">INDEX('Calculated Fields'!$C:$CS,MATCH(Department_KPIs!H$2,'Calculated Fields'!$B:$B,0),MATCH(Department_KPIs!$D36,'Calculated Fields'!$C$2:$CS$2,0))</f>
        <v>❌</v>
      </c>
      <c r="I36" s="87" t="str">
        <f t="array" aca="1" ref="I36" ca="1">INDEX('Calculated Fields'!$C:$CS,MATCH(Department_KPIs!I$2,'Calculated Fields'!$B:$B,0),MATCH(Department_KPIs!$D36,'Calculated Fields'!$C$2:$CS$2,0))</f>
        <v>❌</v>
      </c>
      <c r="J36" s="87">
        <f t="array" aca="1" ref="J36" ca="1">INDEX('Calculated Fields'!$C:$CS,MATCH(Department_KPIs!J$2,'Calculated Fields'!$B:$B,0),MATCH(Department_KPIs!$D36,'Calculated Fields'!$C$2:$CS$2,0))</f>
        <v>0.22058823529411764</v>
      </c>
      <c r="K36" s="87">
        <f t="array" aca="1" ref="K36" ca="1">INDEX('Calculated Fields'!$C:$CS,MATCH(Department_KPIs!K$2,'Calculated Fields'!$B:$B,0),MATCH(Department_KPIs!$D36,'Calculated Fields'!$C$2:$CS$2,0))</f>
        <v>0.22058823529411764</v>
      </c>
      <c r="L36" s="1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11" t="s">
        <v>1023</v>
      </c>
      <c r="B37" s="96">
        <f t="array" aca="1" ref="B37" ca="1">INDEX('Calculated Fields'!$C$3:$CQ$83,MATCH(TRIM(Department_KPIs!$B$4),TRIM('Calculated Fields'!$B$3:$B$83),0),MATCH(Department_KPIs!$A37,'Calculated Fields'!$C$2:$CQ$2,0))</f>
        <v>35</v>
      </c>
      <c r="C37" s="131"/>
      <c r="D37" s="111" t="s">
        <v>1027</v>
      </c>
      <c r="E37" s="132">
        <f t="array" aca="1" ref="E37" ca="1">INDEX('Calculated Fields'!$C:$CS,MATCH(Department_KPIs!$E$2,'Calculated Fields'!$B:$B,0),MATCH(Department_KPIs!$D37,'Calculated Fields'!$C$2:$CS$2,0))</f>
        <v>34</v>
      </c>
      <c r="F37" s="132">
        <f t="array" aca="1" ref="F37" ca="1">INDEX('Calculated Fields'!$C:$CS,MATCH(Department_KPIs!F$2,'Calculated Fields'!$B:$B,0),MATCH(Department_KPIs!$D37,'Calculated Fields'!$C$2:$CS$2,0))</f>
        <v>6</v>
      </c>
      <c r="G37" s="132">
        <f t="array" aca="1" ref="G37" ca="1">INDEX('Calculated Fields'!$C:$CS,MATCH(Department_KPIs!G$2,'Calculated Fields'!$B:$B,0),MATCH(Department_KPIs!$D37,'Calculated Fields'!$C$2:$CS$2,0))</f>
        <v>0</v>
      </c>
      <c r="H37" s="132">
        <f t="array" aca="1" ref="H37" ca="1">INDEX('Calculated Fields'!$C:$CS,MATCH(Department_KPIs!H$2,'Calculated Fields'!$B:$B,0),MATCH(Department_KPIs!$D37,'Calculated Fields'!$C$2:$CS$2,0))</f>
        <v>0</v>
      </c>
      <c r="I37" s="132">
        <f t="array" aca="1" ref="I37" ca="1">INDEX('Calculated Fields'!$C:$CS,MATCH(Department_KPIs!I$2,'Calculated Fields'!$B:$B,0),MATCH(Department_KPIs!$D37,'Calculated Fields'!$C$2:$CS$2,0))</f>
        <v>0</v>
      </c>
      <c r="J37" s="132">
        <f t="array" aca="1" ref="J37" ca="1">INDEX('Calculated Fields'!$C:$CS,MATCH(Department_KPIs!J$2,'Calculated Fields'!$B:$B,0),MATCH(Department_KPIs!$D37,'Calculated Fields'!$C$2:$CS$2,0))</f>
        <v>40</v>
      </c>
      <c r="K37" s="132">
        <f t="array" aca="1" ref="K37" ca="1">INDEX('Calculated Fields'!$C:$CS,MATCH(Department_KPIs!K$2,'Calculated Fields'!$B:$B,0),MATCH(Department_KPIs!$D37,'Calculated Fields'!$C$2:$CS$2,0))</f>
        <v>40</v>
      </c>
      <c r="L37" s="1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11" t="s">
        <v>1024</v>
      </c>
      <c r="B38" s="96">
        <f t="array" aca="1" ref="B38" ca="1">INDEX('Calculated Fields'!$C$3:$CQ$83,MATCH(TRIM(Department_KPIs!$B$4),TRIM('Calculated Fields'!$B$3:$B$83),0),MATCH(Department_KPIs!$A38,'Calculated Fields'!$C$2:$CQ$2,0))</f>
        <v>2</v>
      </c>
      <c r="C38" s="1"/>
      <c r="D38" s="111" t="s">
        <v>1028</v>
      </c>
      <c r="E38" s="132">
        <f t="array" aca="1" ref="E38" ca="1">INDEX('Calculated Fields'!$C:$CS,MATCH(Department_KPIs!$E$2,'Calculated Fields'!$B:$B,0),MATCH(Department_KPIs!$D38,'Calculated Fields'!$C$2:$CS$2,0))</f>
        <v>42</v>
      </c>
      <c r="F38" s="132">
        <f t="array" aca="1" ref="F38" ca="1">INDEX('Calculated Fields'!$C:$CS,MATCH(Department_KPIs!F$2,'Calculated Fields'!$B:$B,0),MATCH(Department_KPIs!$D38,'Calculated Fields'!$C$2:$CS$2,0))</f>
        <v>19</v>
      </c>
      <c r="G38" s="132">
        <f t="array" aca="1" ref="G38" ca="1">INDEX('Calculated Fields'!$C:$CS,MATCH(Department_KPIs!G$2,'Calculated Fields'!$B:$B,0),MATCH(Department_KPIs!$D38,'Calculated Fields'!$C$2:$CS$2,0))</f>
        <v>0</v>
      </c>
      <c r="H38" s="132">
        <f t="array" aca="1" ref="H38" ca="1">INDEX('Calculated Fields'!$C:$CS,MATCH(Department_KPIs!H$2,'Calculated Fields'!$B:$B,0),MATCH(Department_KPIs!$D38,'Calculated Fields'!$C$2:$CS$2,0))</f>
        <v>0</v>
      </c>
      <c r="I38" s="132">
        <f t="array" aca="1" ref="I38" ca="1">INDEX('Calculated Fields'!$C:$CS,MATCH(Department_KPIs!I$2,'Calculated Fields'!$B:$B,0),MATCH(Department_KPIs!$D38,'Calculated Fields'!$C$2:$CS$2,0))</f>
        <v>0</v>
      </c>
      <c r="J38" s="132">
        <f t="array" aca="1" ref="J38" ca="1">INDEX('Calculated Fields'!$C:$CS,MATCH(Department_KPIs!J$2,'Calculated Fields'!$B:$B,0),MATCH(Department_KPIs!$D38,'Calculated Fields'!$C$2:$CS$2,0))</f>
        <v>61</v>
      </c>
      <c r="K38" s="132">
        <f t="array" aca="1" ref="K38" ca="1">INDEX('Calculated Fields'!$C:$CS,MATCH(Department_KPIs!K$2,'Calculated Fields'!$B:$B,0),MATCH(Department_KPIs!$D38,'Calculated Fields'!$C$2:$CS$2,0))</f>
        <v>61</v>
      </c>
      <c r="L38" s="11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11" t="s">
        <v>1025</v>
      </c>
      <c r="B39" s="96">
        <f t="array" aca="1" ref="B39" ca="1">INDEX('Calculated Fields'!$C$3:$CQ$83,MATCH(TRIM(Department_KPIs!$B$4),TRIM('Calculated Fields'!$B$3:$B$83),0),MATCH(Department_KPIs!$A39,'Calculated Fields'!$C$2:$CQ$2,0))</f>
        <v>1</v>
      </c>
      <c r="C39" s="1"/>
      <c r="D39" s="111" t="s">
        <v>1029</v>
      </c>
      <c r="E39" s="132">
        <f t="array" aca="1" ref="E39" ca="1">INDEX('Calculated Fields'!$C:$CS,MATCH(Department_KPIs!$E$2,'Calculated Fields'!$B:$B,0),MATCH(Department_KPIs!$D39,'Calculated Fields'!$C$2:$CS$2,0))</f>
        <v>15</v>
      </c>
      <c r="F39" s="132">
        <f t="array" aca="1" ref="F39" ca="1">INDEX('Calculated Fields'!$C:$CS,MATCH(Department_KPIs!F$2,'Calculated Fields'!$B:$B,0),MATCH(Department_KPIs!$D39,'Calculated Fields'!$C$2:$CS$2,0))</f>
        <v>4</v>
      </c>
      <c r="G39" s="132">
        <f t="array" aca="1" ref="G39" ca="1">INDEX('Calculated Fields'!$C:$CS,MATCH(Department_KPIs!G$2,'Calculated Fields'!$B:$B,0),MATCH(Department_KPIs!$D39,'Calculated Fields'!$C$2:$CS$2,0))</f>
        <v>0</v>
      </c>
      <c r="H39" s="132">
        <f t="array" aca="1" ref="H39" ca="1">INDEX('Calculated Fields'!$C:$CS,MATCH(Department_KPIs!H$2,'Calculated Fields'!$B:$B,0),MATCH(Department_KPIs!$D39,'Calculated Fields'!$C$2:$CS$2,0))</f>
        <v>0</v>
      </c>
      <c r="I39" s="132">
        <f t="array" aca="1" ref="I39" ca="1">INDEX('Calculated Fields'!$C:$CS,MATCH(Department_KPIs!I$2,'Calculated Fields'!$B:$B,0),MATCH(Department_KPIs!$D39,'Calculated Fields'!$C$2:$CS$2,0))</f>
        <v>0</v>
      </c>
      <c r="J39" s="132">
        <f t="array" aca="1" ref="J39" ca="1">INDEX('Calculated Fields'!$C:$CS,MATCH(Department_KPIs!J$2,'Calculated Fields'!$B:$B,0),MATCH(Department_KPIs!$D39,'Calculated Fields'!$C$2:$CS$2,0))</f>
        <v>19</v>
      </c>
      <c r="K39" s="132">
        <f t="array" aca="1" ref="K39" ca="1">INDEX('Calculated Fields'!$C:$CS,MATCH(Department_KPIs!K$2,'Calculated Fields'!$B:$B,0),MATCH(Department_KPIs!$D39,'Calculated Fields'!$C$2:$CS$2,0))</f>
        <v>19</v>
      </c>
      <c r="L39" s="1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11" t="s">
        <v>1035</v>
      </c>
      <c r="B40" s="115">
        <f t="array" aca="1" ref="B40" ca="1">INDEX('Calculated Fields'!$C$3:$CQ$83,MATCH(TRIM(Department_KPIs!$B$4),TRIM('Calculated Fields'!$B$3:$B$83),0),MATCH(Department_KPIs!$A40,'Calculated Fields'!$C$2:$CQ$2,0))</f>
        <v>45.916666666666664</v>
      </c>
      <c r="C40" s="133"/>
      <c r="D40" s="111" t="s">
        <v>1030</v>
      </c>
      <c r="E40" s="132">
        <f t="array" aca="1" ref="E40" ca="1">INDEX('Calculated Fields'!$C:$CS,MATCH(Department_KPIs!$E$2,'Calculated Fields'!$B:$B,0),MATCH(Department_KPIs!$D40,'Calculated Fields'!$C$2:$CS$2,0))</f>
        <v>14</v>
      </c>
      <c r="F40" s="132">
        <f t="array" aca="1" ref="F40" ca="1">INDEX('Calculated Fields'!$C:$CS,MATCH(Department_KPIs!F$2,'Calculated Fields'!$B:$B,0),MATCH(Department_KPIs!$D40,'Calculated Fields'!$C$2:$CS$2,0))</f>
        <v>1</v>
      </c>
      <c r="G40" s="132">
        <f t="array" aca="1" ref="G40" ca="1">INDEX('Calculated Fields'!$C:$CS,MATCH(Department_KPIs!G$2,'Calculated Fields'!$B:$B,0),MATCH(Department_KPIs!$D40,'Calculated Fields'!$C$2:$CS$2,0))</f>
        <v>0</v>
      </c>
      <c r="H40" s="132">
        <f t="array" aca="1" ref="H40" ca="1">INDEX('Calculated Fields'!$C:$CS,MATCH(Department_KPIs!H$2,'Calculated Fields'!$B:$B,0),MATCH(Department_KPIs!$D40,'Calculated Fields'!$C$2:$CS$2,0))</f>
        <v>0</v>
      </c>
      <c r="I40" s="132">
        <f t="array" aca="1" ref="I40" ca="1">INDEX('Calculated Fields'!$C:$CS,MATCH(Department_KPIs!I$2,'Calculated Fields'!$B:$B,0),MATCH(Department_KPIs!$D40,'Calculated Fields'!$C$2:$CS$2,0))</f>
        <v>0</v>
      </c>
      <c r="J40" s="132">
        <f t="array" aca="1" ref="J40" ca="1">INDEX('Calculated Fields'!$C:$CS,MATCH(Department_KPIs!J$2,'Calculated Fields'!$B:$B,0),MATCH(Department_KPIs!$D40,'Calculated Fields'!$C$2:$CS$2,0))</f>
        <v>15</v>
      </c>
      <c r="K40" s="132">
        <f t="array" aca="1" ref="K40" ca="1">INDEX('Calculated Fields'!$C:$CS,MATCH(Department_KPIs!K$2,'Calculated Fields'!$B:$B,0),MATCH(Department_KPIs!$D40,'Calculated Fields'!$C$2:$CS$2,0))</f>
        <v>15</v>
      </c>
      <c r="L40" s="12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11" t="s">
        <v>1033</v>
      </c>
      <c r="B41" s="117">
        <f t="array" aca="1" ref="B41" ca="1">INDEX('Calculated Fields'!$C$3:$CQ$83,MATCH(TRIM(Department_KPIs!$B$4),TRIM('Calculated Fields'!$B$3:$B$83),0),MATCH(Department_KPIs!$A41,'Calculated Fields'!$C$2:$CQ$2,0))</f>
        <v>84</v>
      </c>
      <c r="C41" s="1"/>
      <c r="D41" s="111" t="s">
        <v>1022</v>
      </c>
      <c r="E41" s="132">
        <f t="array" aca="1" ref="E41" ca="1">INDEX('Calculated Fields'!$C:$CS,MATCH(Department_KPIs!$E$2,'Calculated Fields'!$B:$B,0),MATCH(Department_KPIs!$D41,'Calculated Fields'!$C$2:$CS$2,0))</f>
        <v>176</v>
      </c>
      <c r="F41" s="132">
        <f t="array" aca="1" ref="F41" ca="1">INDEX('Calculated Fields'!$C:$CS,MATCH(Department_KPIs!F$2,'Calculated Fields'!$B:$B,0),MATCH(Department_KPIs!$D41,'Calculated Fields'!$C$2:$CS$2,0))</f>
        <v>32</v>
      </c>
      <c r="G41" s="132">
        <f t="array" aca="1" ref="G41" ca="1">INDEX('Calculated Fields'!$C:$CS,MATCH(Department_KPIs!G$2,'Calculated Fields'!$B:$B,0),MATCH(Department_KPIs!$D41,'Calculated Fields'!$C$2:$CS$2,0))</f>
        <v>0</v>
      </c>
      <c r="H41" s="132">
        <f t="array" aca="1" ref="H41" ca="1">INDEX('Calculated Fields'!$C:$CS,MATCH(Department_KPIs!H$2,'Calculated Fields'!$B:$B,0),MATCH(Department_KPIs!$D41,'Calculated Fields'!$C$2:$CS$2,0))</f>
        <v>0</v>
      </c>
      <c r="I41" s="132">
        <f t="array" aca="1" ref="I41" ca="1">INDEX('Calculated Fields'!$C:$CS,MATCH(Department_KPIs!I$2,'Calculated Fields'!$B:$B,0),MATCH(Department_KPIs!$D41,'Calculated Fields'!$C$2:$CS$2,0))</f>
        <v>0</v>
      </c>
      <c r="J41" s="132">
        <f t="array" aca="1" ref="J41" ca="1">INDEX('Calculated Fields'!$C:$CS,MATCH(Department_KPIs!J$2,'Calculated Fields'!$B:$B,0),MATCH(Department_KPIs!$D41,'Calculated Fields'!$C$2:$CS$2,0))</f>
        <v>208</v>
      </c>
      <c r="K41" s="132">
        <f t="array" aca="1" ref="K41" ca="1">INDEX('Calculated Fields'!$C:$CS,MATCH(Department_KPIs!K$2,'Calculated Fields'!$B:$B,0),MATCH(Department_KPIs!$D41,'Calculated Fields'!$C$2:$CS$2,0))</f>
        <v>208</v>
      </c>
      <c r="L41" s="5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11" t="s">
        <v>1032</v>
      </c>
      <c r="B42" s="117">
        <f t="array" aca="1" ref="B42" ca="1">INDEX('Calculated Fields'!$C$3:$CQ$83,MATCH(TRIM(Department_KPIs!$B$4),TRIM('Calculated Fields'!$B$3:$B$83),0),MATCH(Department_KPIs!$A42,'Calculated Fields'!$C$2:$CQ$2,0))</f>
        <v>0</v>
      </c>
      <c r="C42" s="1"/>
      <c r="D42" s="111" t="s">
        <v>1023</v>
      </c>
      <c r="E42" s="132">
        <f t="array" aca="1" ref="E42" ca="1">INDEX('Calculated Fields'!$C:$CS,MATCH(Department_KPIs!$E$2,'Calculated Fields'!$B:$B,0),MATCH(Department_KPIs!$D42,'Calculated Fields'!$C$2:$CS$2,0))</f>
        <v>352</v>
      </c>
      <c r="F42" s="132">
        <f t="array" aca="1" ref="F42" ca="1">INDEX('Calculated Fields'!$C:$CS,MATCH(Department_KPIs!F$2,'Calculated Fields'!$B:$B,0),MATCH(Department_KPIs!$D42,'Calculated Fields'!$C$2:$CS$2,0))</f>
        <v>151</v>
      </c>
      <c r="G42" s="132">
        <f t="array" aca="1" ref="G42" ca="1">INDEX('Calculated Fields'!$C:$CS,MATCH(Department_KPIs!G$2,'Calculated Fields'!$B:$B,0),MATCH(Department_KPIs!$D42,'Calculated Fields'!$C$2:$CS$2,0))</f>
        <v>0</v>
      </c>
      <c r="H42" s="132">
        <f t="array" aca="1" ref="H42" ca="1">INDEX('Calculated Fields'!$C:$CS,MATCH(Department_KPIs!H$2,'Calculated Fields'!$B:$B,0),MATCH(Department_KPIs!$D42,'Calculated Fields'!$C$2:$CS$2,0))</f>
        <v>0</v>
      </c>
      <c r="I42" s="132">
        <f t="array" aca="1" ref="I42" ca="1">INDEX('Calculated Fields'!$C:$CS,MATCH(Department_KPIs!I$2,'Calculated Fields'!$B:$B,0),MATCH(Department_KPIs!$D42,'Calculated Fields'!$C$2:$CS$2,0))</f>
        <v>0</v>
      </c>
      <c r="J42" s="132">
        <f t="array" aca="1" ref="J42" ca="1">INDEX('Calculated Fields'!$C:$CS,MATCH(Department_KPIs!J$2,'Calculated Fields'!$B:$B,0),MATCH(Department_KPIs!$D42,'Calculated Fields'!$C$2:$CS$2,0))</f>
        <v>503</v>
      </c>
      <c r="K42" s="132">
        <f t="array" aca="1" ref="K42" ca="1">INDEX('Calculated Fields'!$C:$CS,MATCH(Department_KPIs!K$2,'Calculated Fields'!$B:$B,0),MATCH(Department_KPIs!$D42,'Calculated Fields'!$C$2:$CS$2,0))</f>
        <v>503</v>
      </c>
      <c r="L42" s="1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11" t="s">
        <v>1041</v>
      </c>
      <c r="B43" s="65">
        <f t="array" aca="1" ref="B43" ca="1">INDEX('Calculated Fields'!$C$3:$CQ$83,MATCH(TRIM(Department_KPIs!$B$4),TRIM('Calculated Fields'!$B$3:$B$83),0),MATCH(Department_KPIs!$A43,'Calculated Fields'!$C$2:$CQ$2,0))</f>
        <v>5.8078703703703702E-2</v>
      </c>
      <c r="C43" s="1"/>
      <c r="D43" s="111" t="s">
        <v>1024</v>
      </c>
      <c r="E43" s="132">
        <f t="array" aca="1" ref="E43" ca="1">INDEX('Calculated Fields'!$C:$CS,MATCH(Department_KPIs!$E$2,'Calculated Fields'!$B:$B,0),MATCH(Department_KPIs!$D43,'Calculated Fields'!$C$2:$CS$2,0))</f>
        <v>63</v>
      </c>
      <c r="F43" s="132">
        <f t="array" aca="1" ref="F43" ca="1">INDEX('Calculated Fields'!$C:$CS,MATCH(Department_KPIs!F$2,'Calculated Fields'!$B:$B,0),MATCH(Department_KPIs!$D43,'Calculated Fields'!$C$2:$CS$2,0))</f>
        <v>20</v>
      </c>
      <c r="G43" s="132">
        <f t="array" aca="1" ref="G43" ca="1">INDEX('Calculated Fields'!$C:$CS,MATCH(Department_KPIs!G$2,'Calculated Fields'!$B:$B,0),MATCH(Department_KPIs!$D43,'Calculated Fields'!$C$2:$CS$2,0))</f>
        <v>0</v>
      </c>
      <c r="H43" s="132">
        <f t="array" aca="1" ref="H43" ca="1">INDEX('Calculated Fields'!$C:$CS,MATCH(Department_KPIs!H$2,'Calculated Fields'!$B:$B,0),MATCH(Department_KPIs!$D43,'Calculated Fields'!$C$2:$CS$2,0))</f>
        <v>0</v>
      </c>
      <c r="I43" s="132">
        <f t="array" aca="1" ref="I43" ca="1">INDEX('Calculated Fields'!$C:$CS,MATCH(Department_KPIs!I$2,'Calculated Fields'!$B:$B,0),MATCH(Department_KPIs!$D43,'Calculated Fields'!$C$2:$CS$2,0))</f>
        <v>0</v>
      </c>
      <c r="J43" s="132">
        <f t="array" aca="1" ref="J43" ca="1">INDEX('Calculated Fields'!$C:$CS,MATCH(Department_KPIs!J$2,'Calculated Fields'!$B:$B,0),MATCH(Department_KPIs!$D43,'Calculated Fields'!$C$2:$CS$2,0))</f>
        <v>83</v>
      </c>
      <c r="K43" s="132">
        <f t="array" aca="1" ref="K43" ca="1">INDEX('Calculated Fields'!$C:$CS,MATCH(Department_KPIs!K$2,'Calculated Fields'!$B:$B,0),MATCH(Department_KPIs!$D43,'Calculated Fields'!$C$2:$CS$2,0))</f>
        <v>83</v>
      </c>
      <c r="L43" s="1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11" t="s">
        <v>1038</v>
      </c>
      <c r="B44" s="117">
        <f t="array" aca="1" ref="B44" ca="1">INDEX('Calculated Fields'!$C$3:$CQ$83,MATCH(TRIM(Department_KPIs!$B$4),TRIM('Calculated Fields'!$B$3:$B$83),0),MATCH(Department_KPIs!$A44,'Calculated Fields'!$C$2:$CQ$2,0))</f>
        <v>28</v>
      </c>
      <c r="C44" s="79"/>
      <c r="D44" s="111" t="s">
        <v>1025</v>
      </c>
      <c r="E44" s="132">
        <f t="array" aca="1" ref="E44" ca="1">INDEX('Calculated Fields'!$C:$CS,MATCH(Department_KPIs!$E$2,'Calculated Fields'!$B:$B,0),MATCH(Department_KPIs!$D44,'Calculated Fields'!$C$2:$CS$2,0))</f>
        <v>44</v>
      </c>
      <c r="F44" s="132">
        <f t="array" aca="1" ref="F44" ca="1">INDEX('Calculated Fields'!$C:$CS,MATCH(Department_KPIs!F$2,'Calculated Fields'!$B:$B,0),MATCH(Department_KPIs!$D44,'Calculated Fields'!$C$2:$CS$2,0))</f>
        <v>24</v>
      </c>
      <c r="G44" s="132">
        <f t="array" aca="1" ref="G44" ca="1">INDEX('Calculated Fields'!$C:$CS,MATCH(Department_KPIs!G$2,'Calculated Fields'!$B:$B,0),MATCH(Department_KPIs!$D44,'Calculated Fields'!$C$2:$CS$2,0))</f>
        <v>0</v>
      </c>
      <c r="H44" s="132">
        <f t="array" aca="1" ref="H44" ca="1">INDEX('Calculated Fields'!$C:$CS,MATCH(Department_KPIs!H$2,'Calculated Fields'!$B:$B,0),MATCH(Department_KPIs!$D44,'Calculated Fields'!$C$2:$CS$2,0))</f>
        <v>0</v>
      </c>
      <c r="I44" s="132">
        <f t="array" aca="1" ref="I44" ca="1">INDEX('Calculated Fields'!$C:$CS,MATCH(Department_KPIs!I$2,'Calculated Fields'!$B:$B,0),MATCH(Department_KPIs!$D44,'Calculated Fields'!$C$2:$CS$2,0))</f>
        <v>0</v>
      </c>
      <c r="J44" s="132">
        <f t="array" aca="1" ref="J44" ca="1">INDEX('Calculated Fields'!$C:$CS,MATCH(Department_KPIs!J$2,'Calculated Fields'!$B:$B,0),MATCH(Department_KPIs!$D44,'Calculated Fields'!$C$2:$CS$2,0))</f>
        <v>68</v>
      </c>
      <c r="K44" s="132">
        <f t="array" aca="1" ref="K44" ca="1">INDEX('Calculated Fields'!$C:$CS,MATCH(Department_KPIs!K$2,'Calculated Fields'!$B:$B,0),MATCH(Department_KPIs!$D44,'Calculated Fields'!$C$2:$CS$2,0))</f>
        <v>68</v>
      </c>
      <c r="L44" s="1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11" t="s">
        <v>1043</v>
      </c>
      <c r="B45" s="117">
        <f t="array" aca="1" ref="B45" ca="1">INDEX('Calculated Fields'!$C$3:$CQ$83,MATCH(TRIM(Department_KPIs!$B$4),TRIM('Calculated Fields'!$B$3:$B$83),0),MATCH(Department_KPIs!$A45,'Calculated Fields'!$C$2:$CQ$2,0))</f>
        <v>25</v>
      </c>
      <c r="C45" s="1"/>
      <c r="D45" s="111" t="s">
        <v>1035</v>
      </c>
      <c r="E45" s="113">
        <f t="array" aca="1" ref="E45" ca="1">INDEX('Calculated Fields'!$C:$CS,MATCH(Department_KPIs!$E$2,'Calculated Fields'!$B:$B,0),MATCH(Department_KPIs!$D45,'Calculated Fields'!$C$2:$CS$2,0))</f>
        <v>59</v>
      </c>
      <c r="F45" s="113">
        <f t="array" aca="1" ref="F45" ca="1">INDEX('Calculated Fields'!$C:$CS,MATCH(Department_KPIs!F$2,'Calculated Fields'!$B:$B,0),MATCH(Department_KPIs!$D45,'Calculated Fields'!$C$2:$CS$2,0))</f>
        <v>87.222797927461144</v>
      </c>
      <c r="G45" s="113" t="str">
        <f t="array" aca="1" ref="G45" ca="1">INDEX('Calculated Fields'!$C:$CS,MATCH(Department_KPIs!G$2,'Calculated Fields'!$B:$B,0),MATCH(Department_KPIs!$D45,'Calculated Fields'!$C$2:$CS$2,0))</f>
        <v>❌</v>
      </c>
      <c r="H45" s="113" t="str">
        <f t="array" aca="1" ref="H45" ca="1">INDEX('Calculated Fields'!$C:$CS,MATCH(Department_KPIs!H$2,'Calculated Fields'!$B:$B,0),MATCH(Department_KPIs!$D45,'Calculated Fields'!$C$2:$CS$2,0))</f>
        <v>❌</v>
      </c>
      <c r="I45" s="113" t="str">
        <f t="array" aca="1" ref="I45" ca="1">INDEX('Calculated Fields'!$C:$CS,MATCH(Department_KPIs!I$2,'Calculated Fields'!$B:$B,0),MATCH(Department_KPIs!$D45,'Calculated Fields'!$C$2:$CS$2,0))</f>
        <v>❌</v>
      </c>
      <c r="J45" s="113">
        <f t="array" aca="1" ref="J45" ca="1">INDEX('Calculated Fields'!$C:$CS,MATCH(Department_KPIs!J$2,'Calculated Fields'!$B:$B,0),MATCH(Department_KPIs!$D45,'Calculated Fields'!$C$2:$CS$2,0))</f>
        <v>65.210946408209807</v>
      </c>
      <c r="K45" s="113">
        <f t="array" aca="1" ref="K45" ca="1">INDEX('Calculated Fields'!$C:$CS,MATCH(Department_KPIs!K$2,'Calculated Fields'!$B:$B,0),MATCH(Department_KPIs!$D45,'Calculated Fields'!$C$2:$CS$2,0))</f>
        <v>65.210946408209807</v>
      </c>
      <c r="L45" s="12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11" t="s">
        <v>1044</v>
      </c>
      <c r="B46" s="117">
        <f t="array" aca="1" ref="B46" ca="1">INDEX('Calculated Fields'!$C$3:$CQ$83,MATCH(TRIM(Department_KPIs!$B$4),TRIM('Calculated Fields'!$B$3:$B$83),0),MATCH(Department_KPIs!$A46,'Calculated Fields'!$C$2:$CQ$2,0))</f>
        <v>40</v>
      </c>
      <c r="C46" s="133"/>
      <c r="D46" s="111" t="s">
        <v>1033</v>
      </c>
      <c r="E46" s="120">
        <f t="array" aca="1" ref="E46" ca="1">INDEX('Calculated Fields'!$C:$CS,MATCH(Department_KPIs!$E$2,'Calculated Fields'!$B:$B,0),MATCH(Department_KPIs!$D46,'Calculated Fields'!$C$2:$CS$2,0))</f>
        <v>684</v>
      </c>
      <c r="F46" s="120">
        <f t="array" aca="1" ref="F46" ca="1">INDEX('Calculated Fields'!$C:$CS,MATCH(Department_KPIs!F$2,'Calculated Fields'!$B:$B,0),MATCH(Department_KPIs!$D46,'Calculated Fields'!$C$2:$CS$2,0))</f>
        <v>193</v>
      </c>
      <c r="G46" s="120" t="str">
        <f t="array" aca="1" ref="G46" ca="1">INDEX('Calculated Fields'!$C:$CS,MATCH(Department_KPIs!G$2,'Calculated Fields'!$B:$B,0),MATCH(Department_KPIs!$D46,'Calculated Fields'!$C$2:$CS$2,0))</f>
        <v>❌</v>
      </c>
      <c r="H46" s="120" t="str">
        <f t="array" aca="1" ref="H46" ca="1">INDEX('Calculated Fields'!$C:$CS,MATCH(Department_KPIs!H$2,'Calculated Fields'!$B:$B,0),MATCH(Department_KPIs!$D46,'Calculated Fields'!$C$2:$CS$2,0))</f>
        <v>❌</v>
      </c>
      <c r="I46" s="120" t="str">
        <f t="array" aca="1" ref="I46" ca="1">INDEX('Calculated Fields'!$C:$CS,MATCH(Department_KPIs!I$2,'Calculated Fields'!$B:$B,0),MATCH(Department_KPIs!$D46,'Calculated Fields'!$C$2:$CS$2,0))</f>
        <v>❌</v>
      </c>
      <c r="J46" s="120">
        <f t="array" aca="1" ref="J46" ca="1">INDEX('Calculated Fields'!$C:$CS,MATCH(Department_KPIs!J$2,'Calculated Fields'!$B:$B,0),MATCH(Department_KPIs!$D46,'Calculated Fields'!$C$2:$CS$2,0))</f>
        <v>877</v>
      </c>
      <c r="K46" s="120">
        <f t="array" aca="1" ref="K46" ca="1">INDEX('Calculated Fields'!$C:$CS,MATCH(Department_KPIs!K$2,'Calculated Fields'!$B:$B,0),MATCH(Department_KPIs!$D46,'Calculated Fields'!$C$2:$CS$2,0))</f>
        <v>877</v>
      </c>
      <c r="L46" s="5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11" t="s">
        <v>1045</v>
      </c>
      <c r="B47" s="123">
        <f t="array" aca="1" ref="B47" ca="1">INDEX('Calculated Fields'!$C$3:$CQ$83,MATCH(TRIM(Department_KPIs!$B$4),TRIM('Calculated Fields'!$B$3:$B$83),0),MATCH(Department_KPIs!$A47,'Calculated Fields'!$C$2:$CQ$2,0))</f>
        <v>-0.36</v>
      </c>
      <c r="C47" s="1"/>
      <c r="D47" s="111" t="s">
        <v>1032</v>
      </c>
      <c r="E47" s="120">
        <f t="array" aca="1" ref="E47" ca="1">INDEX('Calculated Fields'!$C:$CS,MATCH(Department_KPIs!$E$2,'Calculated Fields'!$B:$B,0),MATCH(Department_KPIs!$D47,'Calculated Fields'!$C$2:$CS$2,0))</f>
        <v>42</v>
      </c>
      <c r="F47" s="120">
        <f t="array" aca="1" ref="F47" ca="1">INDEX('Calculated Fields'!$C:$CS,MATCH(Department_KPIs!F$2,'Calculated Fields'!$B:$B,0),MATCH(Department_KPIs!$D47,'Calculated Fields'!$C$2:$CS$2,0))</f>
        <v>0</v>
      </c>
      <c r="G47" s="120" t="str">
        <f t="array" aca="1" ref="G47" ca="1">INDEX('Calculated Fields'!$C:$CS,MATCH(Department_KPIs!G$2,'Calculated Fields'!$B:$B,0),MATCH(Department_KPIs!$D47,'Calculated Fields'!$C$2:$CS$2,0))</f>
        <v>❌</v>
      </c>
      <c r="H47" s="120" t="str">
        <f t="array" aca="1" ref="H47" ca="1">INDEX('Calculated Fields'!$C:$CS,MATCH(Department_KPIs!H$2,'Calculated Fields'!$B:$B,0),MATCH(Department_KPIs!$D47,'Calculated Fields'!$C$2:$CS$2,0))</f>
        <v>❌</v>
      </c>
      <c r="I47" s="120" t="str">
        <f t="array" aca="1" ref="I47" ca="1">INDEX('Calculated Fields'!$C:$CS,MATCH(Department_KPIs!I$2,'Calculated Fields'!$B:$B,0),MATCH(Department_KPIs!$D47,'Calculated Fields'!$C$2:$CS$2,0))</f>
        <v>❌</v>
      </c>
      <c r="J47" s="120">
        <f t="array" aca="1" ref="J47" ca="1">INDEX('Calculated Fields'!$C:$CS,MATCH(Department_KPIs!J$2,'Calculated Fields'!$B:$B,0),MATCH(Department_KPIs!$D47,'Calculated Fields'!$C$2:$CS$2,0))</f>
        <v>42</v>
      </c>
      <c r="K47" s="120">
        <f t="array" aca="1" ref="K47" ca="1">INDEX('Calculated Fields'!$C:$CS,MATCH(Department_KPIs!K$2,'Calculated Fields'!$B:$B,0),MATCH(Department_KPIs!$D47,'Calculated Fields'!$C$2:$CS$2,0))</f>
        <v>42</v>
      </c>
      <c r="L47" s="7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11" t="s">
        <v>1046</v>
      </c>
      <c r="B48" s="117">
        <f t="array" aca="1" ref="B48" ca="1">INDEX('Calculated Fields'!$C$3:$CQ$83,MATCH(TRIM(Department_KPIs!$B$4),TRIM('Calculated Fields'!$B$3:$B$83),0),MATCH(Department_KPIs!$A48,'Calculated Fields'!$C$2:$CQ$2,0))</f>
        <v>-9</v>
      </c>
      <c r="C48" s="1"/>
      <c r="D48" s="111" t="s">
        <v>1036</v>
      </c>
      <c r="E48" s="134" t="str">
        <f t="array" aca="1" ref="E48" ca="1">INDEX('Calculated Fields'!$C:$CS,MATCH(Department_KPIs!$E$2,'Calculated Fields'!$B:$B,0),MATCH(Department_KPIs!$D48,'Calculated Fields'!$C$2:$CS$2,0))</f>
        <v>❌</v>
      </c>
      <c r="F48" s="134" t="str">
        <f t="array" aca="1" ref="F48" ca="1">INDEX('Calculated Fields'!$C:$CS,MATCH(Department_KPIs!F$2,'Calculated Fields'!$B:$B,0),MATCH(Department_KPIs!$D48,'Calculated Fields'!$C$2:$CS$2,0))</f>
        <v>❌</v>
      </c>
      <c r="G48" s="134" t="str">
        <f t="array" aca="1" ref="G48" ca="1">INDEX('Calculated Fields'!$C:$CS,MATCH(Department_KPIs!G$2,'Calculated Fields'!$B:$B,0),MATCH(Department_KPIs!$D48,'Calculated Fields'!$C$2:$CS$2,0))</f>
        <v>❌</v>
      </c>
      <c r="H48" s="134" t="str">
        <f t="array" aca="1" ref="H48" ca="1">INDEX('Calculated Fields'!$C:$CS,MATCH(Department_KPIs!H$2,'Calculated Fields'!$B:$B,0),MATCH(Department_KPIs!$D48,'Calculated Fields'!$C$2:$CS$2,0))</f>
        <v>❌</v>
      </c>
      <c r="I48" s="134" t="str">
        <f t="array" aca="1" ref="I48" ca="1">INDEX('Calculated Fields'!$C:$CS,MATCH(Department_KPIs!I$2,'Calculated Fields'!$B:$B,0),MATCH(Department_KPIs!$D48,'Calculated Fields'!$C$2:$CS$2,0))</f>
        <v>❌</v>
      </c>
      <c r="J48" s="134">
        <f t="array" aca="1" ref="J48" ca="1">INDEX('Calculated Fields'!$C:$CS,MATCH(Department_KPIs!J$2,'Calculated Fields'!$B:$B,0),MATCH(Department_KPIs!$D48,'Calculated Fields'!$C$2:$CS$2,0))</f>
        <v>1.6087962962962963E-3</v>
      </c>
      <c r="K48" s="134" t="str">
        <f t="array" aca="1" ref="K48" ca="1">INDEX('Calculated Fields'!$C:$CS,MATCH(Department_KPIs!K$2,'Calculated Fields'!$B:$B,0),MATCH(Department_KPIs!$D48,'Calculated Fields'!$C$2:$CS$2,0))</f>
        <v>❌</v>
      </c>
      <c r="L48" s="12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11" t="s">
        <v>1047</v>
      </c>
      <c r="B49" s="65">
        <f t="array" aca="1" ref="B49" ca="1">INDEX('Calculated Fields'!$C$3:$CQ$83,MATCH(TRIM(Department_KPIs!$B$4),TRIM('Calculated Fields'!$B$3:$B$83),0),MATCH(Department_KPIs!$A49,'Calculated Fields'!$C$2:$CQ$2,0))</f>
        <v>0.11016203703703703</v>
      </c>
      <c r="C49" s="1"/>
      <c r="D49" s="111" t="s">
        <v>1037</v>
      </c>
      <c r="E49" s="120" t="str">
        <f t="array" aca="1" ref="E49" ca="1">INDEX('Calculated Fields'!$C:$CS,MATCH(Department_KPIs!$E$2,'Calculated Fields'!$B:$B,0),MATCH(Department_KPIs!$D49,'Calculated Fields'!$C$2:$CS$2,0))</f>
        <v>❌</v>
      </c>
      <c r="F49" s="120" t="str">
        <f t="array" aca="1" ref="F49" ca="1">INDEX('Calculated Fields'!$C:$CS,MATCH(Department_KPIs!F$2,'Calculated Fields'!$B:$B,0),MATCH(Department_KPIs!$D49,'Calculated Fields'!$C$2:$CS$2,0))</f>
        <v>❌</v>
      </c>
      <c r="G49" s="120" t="str">
        <f t="array" aca="1" ref="G49" ca="1">INDEX('Calculated Fields'!$C:$CS,MATCH(Department_KPIs!G$2,'Calculated Fields'!$B:$B,0),MATCH(Department_KPIs!$D49,'Calculated Fields'!$C$2:$CS$2,0))</f>
        <v>❌</v>
      </c>
      <c r="H49" s="120" t="str">
        <f t="array" aca="1" ref="H49" ca="1">INDEX('Calculated Fields'!$C:$CS,MATCH(Department_KPIs!H$2,'Calculated Fields'!$B:$B,0),MATCH(Department_KPIs!$D49,'Calculated Fields'!$C$2:$CS$2,0))</f>
        <v>❌</v>
      </c>
      <c r="I49" s="120" t="str">
        <f t="array" aca="1" ref="I49" ca="1">INDEX('Calculated Fields'!$C:$CS,MATCH(Department_KPIs!I$2,'Calculated Fields'!$B:$B,0),MATCH(Department_KPIs!$D49,'Calculated Fields'!$C$2:$CS$2,0))</f>
        <v>❌</v>
      </c>
      <c r="J49" s="120">
        <f t="array" aca="1" ref="J49" ca="1">INDEX('Calculated Fields'!$C:$CS,MATCH(Department_KPIs!J$2,'Calculated Fields'!$B:$B,0),MATCH(Department_KPIs!$D49,'Calculated Fields'!$C$2:$CS$2,0))</f>
        <v>657</v>
      </c>
      <c r="K49" s="120" t="str">
        <f t="array" aca="1" ref="K49" ca="1">INDEX('Calculated Fields'!$C:$CS,MATCH(Department_KPIs!K$2,'Calculated Fields'!$B:$B,0),MATCH(Department_KPIs!$D49,'Calculated Fields'!$C$2:$CS$2,0))</f>
        <v>❌</v>
      </c>
      <c r="L49" s="1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11" t="s">
        <v>1079</v>
      </c>
      <c r="B50" s="135"/>
      <c r="C50" s="79"/>
      <c r="D50" s="111" t="s">
        <v>1038</v>
      </c>
      <c r="E50" s="120">
        <f t="array" aca="1" ref="E50" ca="1">INDEX('Calculated Fields'!$C:$CS,MATCH(Department_KPIs!$E$2,'Calculated Fields'!$B:$B,0),MATCH(Department_KPIs!$D50,'Calculated Fields'!$C$2:$CS$2,0))</f>
        <v>185</v>
      </c>
      <c r="F50" s="120">
        <f t="array" aca="1" ref="F50" ca="1">INDEX('Calculated Fields'!$C:$CS,MATCH(Department_KPIs!F$2,'Calculated Fields'!$B:$B,0),MATCH(Department_KPIs!$D50,'Calculated Fields'!$C$2:$CS$2,0))</f>
        <v>34</v>
      </c>
      <c r="G50" s="120" t="str">
        <f t="array" aca="1" ref="G50" ca="1">INDEX('Calculated Fields'!$C:$CS,MATCH(Department_KPIs!G$2,'Calculated Fields'!$B:$B,0),MATCH(Department_KPIs!$D50,'Calculated Fields'!$C$2:$CS$2,0))</f>
        <v>❌</v>
      </c>
      <c r="H50" s="120" t="str">
        <f t="array" aca="1" ref="H50" ca="1">INDEX('Calculated Fields'!$C:$CS,MATCH(Department_KPIs!H$2,'Calculated Fields'!$B:$B,0),MATCH(Department_KPIs!$D50,'Calculated Fields'!$C$2:$CS$2,0))</f>
        <v>❌</v>
      </c>
      <c r="I50" s="120" t="str">
        <f t="array" aca="1" ref="I50" ca="1">INDEX('Calculated Fields'!$C:$CS,MATCH(Department_KPIs!I$2,'Calculated Fields'!$B:$B,0),MATCH(Department_KPIs!$D50,'Calculated Fields'!$C$2:$CS$2,0))</f>
        <v>❌</v>
      </c>
      <c r="J50" s="120">
        <f t="array" aca="1" ref="J50" ca="1">INDEX('Calculated Fields'!$C:$CS,MATCH(Department_KPIs!J$2,'Calculated Fields'!$B:$B,0),MATCH(Department_KPIs!$D50,'Calculated Fields'!$C$2:$CS$2,0))</f>
        <v>219</v>
      </c>
      <c r="K50" s="120">
        <f t="array" aca="1" ref="K50" ca="1">INDEX('Calculated Fields'!$C:$CS,MATCH(Department_KPIs!K$2,'Calculated Fields'!$B:$B,0),MATCH(Department_KPIs!$D50,'Calculated Fields'!$C$2:$CS$2,0))</f>
        <v>219</v>
      </c>
      <c r="L50" s="7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11" t="s">
        <v>1080</v>
      </c>
      <c r="B51" s="135"/>
      <c r="C51" s="1"/>
      <c r="D51" s="111" t="s">
        <v>1039</v>
      </c>
      <c r="E51" s="120" t="str">
        <f t="array" aca="1" ref="E51" ca="1">INDEX('Calculated Fields'!$C:$CS,MATCH(Department_KPIs!$E$2,'Calculated Fields'!$B:$B,0),MATCH(Department_KPIs!$D51,'Calculated Fields'!$C$2:$CS$2,0))</f>
        <v>❌</v>
      </c>
      <c r="F51" s="120" t="str">
        <f t="array" aca="1" ref="F51" ca="1">INDEX('Calculated Fields'!$C:$CS,MATCH(Department_KPIs!F$2,'Calculated Fields'!$B:$B,0),MATCH(Department_KPIs!$D51,'Calculated Fields'!$C$2:$CS$2,0))</f>
        <v>❌</v>
      </c>
      <c r="G51" s="120" t="str">
        <f t="array" aca="1" ref="G51" ca="1">INDEX('Calculated Fields'!$C:$CS,MATCH(Department_KPIs!G$2,'Calculated Fields'!$B:$B,0),MATCH(Department_KPIs!$D51,'Calculated Fields'!$C$2:$CS$2,0))</f>
        <v>❌</v>
      </c>
      <c r="H51" s="120" t="str">
        <f t="array" aca="1" ref="H51" ca="1">INDEX('Calculated Fields'!$C:$CS,MATCH(Department_KPIs!H$2,'Calculated Fields'!$B:$B,0),MATCH(Department_KPIs!$D51,'Calculated Fields'!$C$2:$CS$2,0))</f>
        <v>❌</v>
      </c>
      <c r="I51" s="120" t="str">
        <f t="array" aca="1" ref="I51" ca="1">INDEX('Calculated Fields'!$C:$CS,MATCH(Department_KPIs!I$2,'Calculated Fields'!$B:$B,0),MATCH(Department_KPIs!$D51,'Calculated Fields'!$C$2:$CS$2,0))</f>
        <v>❌</v>
      </c>
      <c r="J51" s="120">
        <f t="array" aca="1" ref="J51" ca="1">INDEX('Calculated Fields'!$C:$CS,MATCH(Department_KPIs!J$2,'Calculated Fields'!$B:$B,0),MATCH(Department_KPIs!$D51,'Calculated Fields'!$C$2:$CS$2,0))</f>
        <v>155</v>
      </c>
      <c r="K51" s="120" t="str">
        <f t="array" aca="1" ref="K51" ca="1">INDEX('Calculated Fields'!$C:$CS,MATCH(Department_KPIs!K$2,'Calculated Fields'!$B:$B,0),MATCH(Department_KPIs!$D51,'Calculated Fields'!$C$2:$CS$2,0))</f>
        <v>❌</v>
      </c>
      <c r="L51" s="12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36" t="s">
        <v>1008</v>
      </c>
      <c r="B52" s="121">
        <f t="array" aca="1" ref="B52" ca="1">INDEX('Calculated Fields'!$C$3:$CQ$83,MATCH(TRIM(Department_KPIs!$B$4),TRIM('Calculated Fields'!$B$3:$B$83),0),MATCH(Department_KPIs!$A52,'Calculated Fields'!$C$2:$CQ$2,0))</f>
        <v>0</v>
      </c>
      <c r="C52" s="1"/>
      <c r="D52" s="111" t="s">
        <v>1040</v>
      </c>
      <c r="E52" s="120" t="str">
        <f t="array" aca="1" ref="E52" ca="1">INDEX('Calculated Fields'!$C:$CS,MATCH(Department_KPIs!$E$2,'Calculated Fields'!$B:$B,0),MATCH(Department_KPIs!$D52,'Calculated Fields'!$C$2:$CS$2,0))</f>
        <v>❌</v>
      </c>
      <c r="F52" s="120" t="str">
        <f t="array" aca="1" ref="F52" ca="1">INDEX('Calculated Fields'!$C:$CS,MATCH(Department_KPIs!F$2,'Calculated Fields'!$B:$B,0),MATCH(Department_KPIs!$D52,'Calculated Fields'!$C$2:$CS$2,0))</f>
        <v>❌</v>
      </c>
      <c r="G52" s="120" t="str">
        <f t="array" aca="1" ref="G52" ca="1">INDEX('Calculated Fields'!$C:$CS,MATCH(Department_KPIs!G$2,'Calculated Fields'!$B:$B,0),MATCH(Department_KPIs!$D52,'Calculated Fields'!$C$2:$CS$2,0))</f>
        <v>❌</v>
      </c>
      <c r="H52" s="120" t="str">
        <f t="array" aca="1" ref="H52" ca="1">INDEX('Calculated Fields'!$C:$CS,MATCH(Department_KPIs!H$2,'Calculated Fields'!$B:$B,0),MATCH(Department_KPIs!$D52,'Calculated Fields'!$C$2:$CS$2,0))</f>
        <v>❌</v>
      </c>
      <c r="I52" s="120" t="str">
        <f t="array" aca="1" ref="I52" ca="1">INDEX('Calculated Fields'!$C:$CS,MATCH(Department_KPIs!I$2,'Calculated Fields'!$B:$B,0),MATCH(Department_KPIs!$D52,'Calculated Fields'!$C$2:$CS$2,0))</f>
        <v>❌</v>
      </c>
      <c r="J52" s="120">
        <f t="array" aca="1" ref="J52" ca="1">INDEX('Calculated Fields'!$C:$CS,MATCH(Department_KPIs!J$2,'Calculated Fields'!$B:$B,0),MATCH(Department_KPIs!$D52,'Calculated Fields'!$C$2:$CS$2,0))</f>
        <v>108</v>
      </c>
      <c r="K52" s="120" t="str">
        <f t="array" aca="1" ref="K52" ca="1">INDEX('Calculated Fields'!$C:$CS,MATCH(Department_KPIs!K$2,'Calculated Fields'!$B:$B,0),MATCH(Department_KPIs!$D52,'Calculated Fields'!$C$2:$CS$2,0))</f>
        <v>❌</v>
      </c>
      <c r="L52" s="5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11" t="s">
        <v>590</v>
      </c>
      <c r="B53" s="117">
        <f t="array" aca="1" ref="B53" ca="1">INDEX('Calculated Fields'!$C$3:$CQ$83,MATCH(TRIM(Department_KPIs!$B$4),TRIM('Calculated Fields'!$B$3:$B$83),0),MATCH(Department_KPIs!$A53,'Calculated Fields'!$C$2:$CQ$2,0))</f>
        <v>0</v>
      </c>
      <c r="C53" s="1"/>
      <c r="D53" s="111" t="s">
        <v>1041</v>
      </c>
      <c r="E53" s="134">
        <f t="array" aca="1" ref="E53" ca="1">INDEX('Calculated Fields'!$C:$CS,MATCH(Department_KPIs!$E$2,'Calculated Fields'!$B:$B,0),MATCH(Department_KPIs!$D53,'Calculated Fields'!$C$2:$CS$2,0))</f>
        <v>0.38856481481481481</v>
      </c>
      <c r="F53" s="134">
        <f t="array" aca="1" ref="F53" ca="1">INDEX('Calculated Fields'!$C:$CS,MATCH(Department_KPIs!F$2,'Calculated Fields'!$B:$B,0),MATCH(Department_KPIs!$D53,'Calculated Fields'!$C$2:$CS$2,0))</f>
        <v>7.1076388888888883E-2</v>
      </c>
      <c r="G53" s="134" t="str">
        <f t="array" aca="1" ref="G53" ca="1">INDEX('Calculated Fields'!$C:$CS,MATCH(Department_KPIs!G$2,'Calculated Fields'!$B:$B,0),MATCH(Department_KPIs!$D53,'Calculated Fields'!$C$2:$CS$2,0))</f>
        <v>❌</v>
      </c>
      <c r="H53" s="134" t="str">
        <f t="array" aca="1" ref="H53" ca="1">INDEX('Calculated Fields'!$C:$CS,MATCH(Department_KPIs!H$2,'Calculated Fields'!$B:$B,0),MATCH(Department_KPIs!$D53,'Calculated Fields'!$C$2:$CS$2,0))</f>
        <v>❌</v>
      </c>
      <c r="I53" s="134" t="str">
        <f t="array" aca="1" ref="I53" ca="1">INDEX('Calculated Fields'!$C:$CS,MATCH(Department_KPIs!I$2,'Calculated Fields'!$B:$B,0),MATCH(Department_KPIs!$D53,'Calculated Fields'!$C$2:$CS$2,0))</f>
        <v>❌</v>
      </c>
      <c r="J53" s="134">
        <f t="array" aca="1" ref="J53" ca="1">INDEX('Calculated Fields'!$C:$CS,MATCH(Department_KPIs!J$2,'Calculated Fields'!$B:$B,0),MATCH(Department_KPIs!$D53,'Calculated Fields'!$C$2:$CS$2,0))</f>
        <v>0.82665509259259251</v>
      </c>
      <c r="K53" s="134">
        <f t="array" aca="1" ref="K53" ca="1">INDEX('Calculated Fields'!$C:$CS,MATCH(Department_KPIs!K$2,'Calculated Fields'!$B:$B,0),MATCH(Department_KPIs!$D53,'Calculated Fields'!$C$2:$CS$2,0))</f>
        <v>0.4596412037037037</v>
      </c>
      <c r="L53" s="12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11" t="s">
        <v>591</v>
      </c>
      <c r="B54" s="117">
        <f t="array" aca="1" ref="B54" ca="1">INDEX('Calculated Fields'!$C$3:$CQ$83,MATCH(TRIM(Department_KPIs!$B$4),TRIM('Calculated Fields'!$B$3:$B$83),0),MATCH(Department_KPIs!$A54,'Calculated Fields'!$C$2:$CQ$2,0))</f>
        <v>18</v>
      </c>
      <c r="C54" s="129"/>
      <c r="D54" s="111" t="s">
        <v>1042</v>
      </c>
      <c r="E54" s="122" t="str">
        <f t="array" aca="1" ref="E54" ca="1">INDEX('Calculated Fields'!$C:$CS,MATCH(Department_KPIs!$E$2,'Calculated Fields'!$B:$B,0),MATCH(Department_KPIs!$D54,'Calculated Fields'!$C$2:$CS$2,0))</f>
        <v>❌</v>
      </c>
      <c r="F54" s="122" t="str">
        <f t="array" aca="1" ref="F54" ca="1">INDEX('Calculated Fields'!$C:$CS,MATCH(Department_KPIs!F$2,'Calculated Fields'!$B:$B,0),MATCH(Department_KPIs!$D54,'Calculated Fields'!$C$2:$CS$2,0))</f>
        <v>❌</v>
      </c>
      <c r="G54" s="122" t="str">
        <f t="array" aca="1" ref="G54" ca="1">INDEX('Calculated Fields'!$C:$CS,MATCH(Department_KPIs!G$2,'Calculated Fields'!$B:$B,0),MATCH(Department_KPIs!$D54,'Calculated Fields'!$C$2:$CS$2,0))</f>
        <v>❌</v>
      </c>
      <c r="H54" s="122" t="str">
        <f t="array" aca="1" ref="H54" ca="1">INDEX('Calculated Fields'!$C:$CS,MATCH(Department_KPIs!H$2,'Calculated Fields'!$B:$B,0),MATCH(Department_KPIs!$D54,'Calculated Fields'!$C$2:$CS$2,0))</f>
        <v>❌</v>
      </c>
      <c r="I54" s="122" t="str">
        <f t="array" aca="1" ref="I54" ca="1">INDEX('Calculated Fields'!$C:$CS,MATCH(Department_KPIs!I$2,'Calculated Fields'!$B:$B,0),MATCH(Department_KPIs!$D54,'Calculated Fields'!$C$2:$CS$2,0))</f>
        <v>❌</v>
      </c>
      <c r="J54" s="118">
        <f t="array" aca="1" ref="J54" ca="1">INDEX('Calculated Fields'!$C:$CS,MATCH(Department_KPIs!J$2,'Calculated Fields'!$B:$B,0),MATCH(Department_KPIs!$D54,'Calculated Fields'!$C$2:$CS$2,0))</f>
        <v>0.23592085235920851</v>
      </c>
      <c r="K54" s="118" t="str">
        <f t="array" aca="1" ref="K54" ca="1">INDEX('Calculated Fields'!$C:$CS,MATCH(Department_KPIs!K$2,'Calculated Fields'!$B:$B,0),MATCH(Department_KPIs!$D54,'Calculated Fields'!$C$2:$CS$2,0))</f>
        <v>❌</v>
      </c>
      <c r="L54" s="1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11" t="s">
        <v>592</v>
      </c>
      <c r="B55" s="117">
        <f t="array" aca="1" ref="B55" ca="1">INDEX('Calculated Fields'!$C$3:$CQ$83,MATCH(TRIM(Department_KPIs!$B$4),TRIM('Calculated Fields'!$B$3:$B$83),0),MATCH(Department_KPIs!$A55,'Calculated Fields'!$C$2:$CQ$2,0))</f>
        <v>0</v>
      </c>
      <c r="C55" s="1"/>
      <c r="D55" s="111" t="s">
        <v>1043</v>
      </c>
      <c r="E55" s="120">
        <f t="array" aca="1" ref="E55" ca="1">INDEX('Calculated Fields'!$C:$CS,MATCH(Department_KPIs!$E$2,'Calculated Fields'!$B:$B,0),MATCH(Department_KPIs!$D55,'Calculated Fields'!$C$2:$CS$2,0))</f>
        <v>553</v>
      </c>
      <c r="F55" s="120">
        <f t="array" aca="1" ref="F55" ca="1">INDEX('Calculated Fields'!$C:$CS,MATCH(Department_KPIs!F$2,'Calculated Fields'!$B:$B,0),MATCH(Department_KPIs!$D55,'Calculated Fields'!$C$2:$CS$2,0))</f>
        <v>77</v>
      </c>
      <c r="G55" s="120" t="str">
        <f t="array" aca="1" ref="G55" ca="1">INDEX('Calculated Fields'!$C:$CS,MATCH(Department_KPIs!G$2,'Calculated Fields'!$B:$B,0),MATCH(Department_KPIs!$D55,'Calculated Fields'!$C$2:$CS$2,0))</f>
        <v>❌</v>
      </c>
      <c r="H55" s="120" t="str">
        <f t="array" aca="1" ref="H55" ca="1">INDEX('Calculated Fields'!$C:$CS,MATCH(Department_KPIs!H$2,'Calculated Fields'!$B:$B,0),MATCH(Department_KPIs!$D55,'Calculated Fields'!$C$2:$CS$2,0))</f>
        <v>❌</v>
      </c>
      <c r="I55" s="120" t="str">
        <f t="array" aca="1" ref="I55" ca="1">INDEX('Calculated Fields'!$C:$CS,MATCH(Department_KPIs!I$2,'Calculated Fields'!$B:$B,0),MATCH(Department_KPIs!$D55,'Calculated Fields'!$C$2:$CS$2,0))</f>
        <v>❌</v>
      </c>
      <c r="J55" s="120">
        <f t="array" aca="1" ref="J55" ca="1">INDEX('Calculated Fields'!$C:$CS,MATCH(Department_KPIs!J$2,'Calculated Fields'!$B:$B,0),MATCH(Department_KPIs!$D55,'Calculated Fields'!$C$2:$CS$2,0))</f>
        <v>630</v>
      </c>
      <c r="K55" s="120">
        <f t="array" aca="1" ref="K55" ca="1">INDEX('Calculated Fields'!$C:$CS,MATCH(Department_KPIs!K$2,'Calculated Fields'!$B:$B,0),MATCH(Department_KPIs!$D55,'Calculated Fields'!$C$2:$CS$2,0))</f>
        <v>630</v>
      </c>
      <c r="L55" s="1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11" t="s">
        <v>593</v>
      </c>
      <c r="B56" s="123">
        <f t="array" aca="1" ref="B56" ca="1">INDEX('Calculated Fields'!$C$3:$CQ$83,MATCH(TRIM(Department_KPIs!$B$4),TRIM('Calculated Fields'!$B$3:$B$83),0),MATCH(Department_KPIs!$A56,'Calculated Fields'!$C$2:$CQ$2,0))</f>
        <v>0</v>
      </c>
      <c r="C56" s="1"/>
      <c r="D56" s="111" t="s">
        <v>1044</v>
      </c>
      <c r="E56" s="120">
        <f t="array" aca="1" ref="E56" ca="1">INDEX('Calculated Fields'!$C:$CS,MATCH(Department_KPIs!$E$2,'Calculated Fields'!$B:$B,0),MATCH(Department_KPIs!$D56,'Calculated Fields'!$C$2:$CS$2,0))</f>
        <v>137</v>
      </c>
      <c r="F56" s="120">
        <f t="array" aca="1" ref="F56" ca="1">INDEX('Calculated Fields'!$C:$CS,MATCH(Department_KPIs!F$2,'Calculated Fields'!$B:$B,0),MATCH(Department_KPIs!$D56,'Calculated Fields'!$C$2:$CS$2,0))</f>
        <v>108</v>
      </c>
      <c r="G56" s="120" t="str">
        <f t="array" aca="1" ref="G56" ca="1">INDEX('Calculated Fields'!$C:$CS,MATCH(Department_KPIs!G$2,'Calculated Fields'!$B:$B,0),MATCH(Department_KPIs!$D56,'Calculated Fields'!$C$2:$CS$2,0))</f>
        <v>❌</v>
      </c>
      <c r="H56" s="120" t="str">
        <f t="array" aca="1" ref="H56" ca="1">INDEX('Calculated Fields'!$C:$CS,MATCH(Department_KPIs!H$2,'Calculated Fields'!$B:$B,0),MATCH(Department_KPIs!$D56,'Calculated Fields'!$C$2:$CS$2,0))</f>
        <v>❌</v>
      </c>
      <c r="I56" s="120" t="str">
        <f t="array" aca="1" ref="I56" ca="1">INDEX('Calculated Fields'!$C:$CS,MATCH(Department_KPIs!I$2,'Calculated Fields'!$B:$B,0),MATCH(Department_KPIs!$D56,'Calculated Fields'!$C$2:$CS$2,0))</f>
        <v>❌</v>
      </c>
      <c r="J56" s="120">
        <f t="array" aca="1" ref="J56" ca="1">INDEX('Calculated Fields'!$C:$CS,MATCH(Department_KPIs!J$2,'Calculated Fields'!$B:$B,0),MATCH(Department_KPIs!$D56,'Calculated Fields'!$C$2:$CS$2,0))</f>
        <v>245</v>
      </c>
      <c r="K56" s="120">
        <f t="array" aca="1" ref="K56" ca="1">INDEX('Calculated Fields'!$C:$CS,MATCH(Department_KPIs!K$2,'Calculated Fields'!$B:$B,0),MATCH(Department_KPIs!$D56,'Calculated Fields'!$C$2:$CS$2,0))</f>
        <v>245</v>
      </c>
      <c r="L56" s="7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11" t="s">
        <v>1049</v>
      </c>
      <c r="B57" s="95" t="e">
        <f t="array" aca="1" ref="B57" ca="1">_xludf.IFS(B8="","CHECK", B8&lt;=15000,1, B8&lt;=20000,2, B8&lt;=30000,3, B8&lt;=40000,4, B8&gt;40000,5)</f>
        <v>#NAME?</v>
      </c>
      <c r="C57" s="1"/>
      <c r="D57" s="111" t="s">
        <v>1045</v>
      </c>
      <c r="E57" s="122">
        <f t="array" aca="1" ref="E57" ca="1">INDEX('Calculated Fields'!$C:$CS,MATCH(Department_KPIs!$E$2,'Calculated Fields'!$B:$B,0),MATCH(Department_KPIs!$D57,'Calculated Fields'!$C$2:$CS$2,0))</f>
        <v>-0.42133815551537068</v>
      </c>
      <c r="F57" s="122">
        <f t="array" aca="1" ref="F57" ca="1">INDEX('Calculated Fields'!$C:$CS,MATCH(Department_KPIs!F$2,'Calculated Fields'!$B:$B,0),MATCH(Department_KPIs!$D57,'Calculated Fields'!$C$2:$CS$2,0))</f>
        <v>-0.33766233766233766</v>
      </c>
      <c r="G57" s="122" t="str">
        <f t="array" aca="1" ref="G57" ca="1">INDEX('Calculated Fields'!$C:$CS,MATCH(Department_KPIs!G$2,'Calculated Fields'!$B:$B,0),MATCH(Department_KPIs!$D57,'Calculated Fields'!$C$2:$CS$2,0))</f>
        <v>❌</v>
      </c>
      <c r="H57" s="122" t="str">
        <f t="array" aca="1" ref="H57" ca="1">INDEX('Calculated Fields'!$C:$CS,MATCH(Department_KPIs!H$2,'Calculated Fields'!$B:$B,0),MATCH(Department_KPIs!$D57,'Calculated Fields'!$C$2:$CS$2,0))</f>
        <v>❌</v>
      </c>
      <c r="I57" s="122" t="str">
        <f t="array" aca="1" ref="I57" ca="1">INDEX('Calculated Fields'!$C:$CS,MATCH(Department_KPIs!I$2,'Calculated Fields'!$B:$B,0),MATCH(Department_KPIs!$D57,'Calculated Fields'!$C$2:$CS$2,0))</f>
        <v>❌</v>
      </c>
      <c r="J57" s="122">
        <f t="array" aca="1" ref="J57" ca="1">INDEX('Calculated Fields'!$C:$CS,MATCH(Department_KPIs!J$2,'Calculated Fields'!$B:$B,0),MATCH(Department_KPIs!$D57,'Calculated Fields'!$C$2:$CS$2,0))</f>
        <v>-0.41111111111111109</v>
      </c>
      <c r="K57" s="122">
        <f t="array" aca="1" ref="K57" ca="1">INDEX('Calculated Fields'!$C:$CS,MATCH(Department_KPIs!K$2,'Calculated Fields'!$B:$B,0),MATCH(Department_KPIs!$D57,'Calculated Fields'!$C$2:$CS$2,0))</f>
        <v>-0.41111111111111109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11" t="s">
        <v>1050</v>
      </c>
      <c r="B58" s="95" t="e">
        <f t="array" aca="1" ref="B58" ca="1">_xludf.IFS(B56="","CHECK", B56&lt;=60%,1, B56&lt;=70%,2, B56&lt;=80%,3, B56&lt;=90%,4, B56&gt;90%,5)</f>
        <v>#NAME?</v>
      </c>
      <c r="C58" s="1"/>
      <c r="D58" s="111" t="s">
        <v>1046</v>
      </c>
      <c r="E58" s="120">
        <f t="array" aca="1" ref="E58" ca="1">INDEX('Calculated Fields'!$C:$CS,MATCH(Department_KPIs!$E$2,'Calculated Fields'!$B:$B,0),MATCH(Department_KPIs!$D58,'Calculated Fields'!$C$2:$CS$2,0))</f>
        <v>-233</v>
      </c>
      <c r="F58" s="120">
        <f t="array" aca="1" ref="F58" ca="1">INDEX('Calculated Fields'!$C:$CS,MATCH(Department_KPIs!F$2,'Calculated Fields'!$B:$B,0),MATCH(Department_KPIs!$D58,'Calculated Fields'!$C$2:$CS$2,0))</f>
        <v>-26</v>
      </c>
      <c r="G58" s="120" t="str">
        <f t="array" aca="1" ref="G58" ca="1">INDEX('Calculated Fields'!$C:$CS,MATCH(Department_KPIs!G$2,'Calculated Fields'!$B:$B,0),MATCH(Department_KPIs!$D58,'Calculated Fields'!$C$2:$CS$2,0))</f>
        <v>❌</v>
      </c>
      <c r="H58" s="120" t="str">
        <f t="array" aca="1" ref="H58" ca="1">INDEX('Calculated Fields'!$C:$CS,MATCH(Department_KPIs!H$2,'Calculated Fields'!$B:$B,0),MATCH(Department_KPIs!$D58,'Calculated Fields'!$C$2:$CS$2,0))</f>
        <v>❌</v>
      </c>
      <c r="I58" s="120" t="str">
        <f t="array" aca="1" ref="I58" ca="1">INDEX('Calculated Fields'!$C:$CS,MATCH(Department_KPIs!I$2,'Calculated Fields'!$B:$B,0),MATCH(Department_KPIs!$D58,'Calculated Fields'!$C$2:$CS$2,0))</f>
        <v>❌</v>
      </c>
      <c r="J58" s="120">
        <f t="array" aca="1" ref="J58" ca="1">INDEX('Calculated Fields'!$C:$CS,MATCH(Department_KPIs!J$2,'Calculated Fields'!$B:$B,0),MATCH(Department_KPIs!$D58,'Calculated Fields'!$C$2:$CS$2,0))</f>
        <v>-259</v>
      </c>
      <c r="K58" s="120">
        <f t="array" aca="1" ref="K58" ca="1">INDEX('Calculated Fields'!$C:$CS,MATCH(Department_KPIs!K$2,'Calculated Fields'!$B:$B,0),MATCH(Department_KPIs!$D58,'Calculated Fields'!$C$2:$CS$2,0))</f>
        <v>-259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11" t="s">
        <v>1051</v>
      </c>
      <c r="B59" s="95" t="e">
        <f t="array" aca="1" ref="B59" ca="1">_xludf.IFS(B40="","CHECK", B40&lt;=60,1, B40&lt;=70,2, B40&lt;=80,3, B40&lt;=90,4, B40&gt;90,5)</f>
        <v>#NAME?</v>
      </c>
      <c r="C59" s="1"/>
      <c r="D59" s="111" t="s">
        <v>1047</v>
      </c>
      <c r="E59" s="134">
        <f t="array" aca="1" ref="E59" ca="1">INDEX('Calculated Fields'!$C:$CS,MATCH(Department_KPIs!$E$2,'Calculated Fields'!$B:$B,0),MATCH(Department_KPIs!$D59,'Calculated Fields'!$C$2:$CS$2,0))</f>
        <v>0.82738425925925929</v>
      </c>
      <c r="F59" s="134">
        <f t="array" aca="1" ref="F59" ca="1">INDEX('Calculated Fields'!$C:$CS,MATCH(Department_KPIs!F$2,'Calculated Fields'!$B:$B,0),MATCH(Department_KPIs!$D59,'Calculated Fields'!$C$2:$CS$2,0))</f>
        <v>0.25405092592592593</v>
      </c>
      <c r="G59" s="134" t="str">
        <f t="array" aca="1" ref="G59" ca="1">INDEX('Calculated Fields'!$C:$CS,MATCH(Department_KPIs!G$2,'Calculated Fields'!$B:$B,0),MATCH(Department_KPIs!$D59,'Calculated Fields'!$C$2:$CS$2,0))</f>
        <v>❌</v>
      </c>
      <c r="H59" s="134" t="str">
        <f t="array" aca="1" ref="H59" ca="1">INDEX('Calculated Fields'!$C:$CS,MATCH(Department_KPIs!H$2,'Calculated Fields'!$B:$B,0),MATCH(Department_KPIs!$D59,'Calculated Fields'!$C$2:$CS$2,0))</f>
        <v>❌</v>
      </c>
      <c r="I59" s="134" t="str">
        <f t="array" aca="1" ref="I59" ca="1">INDEX('Calculated Fields'!$C:$CS,MATCH(Department_KPIs!I$2,'Calculated Fields'!$B:$B,0),MATCH(Department_KPIs!$D59,'Calculated Fields'!$C$2:$CS$2,0))</f>
        <v>❌</v>
      </c>
      <c r="J59" s="134">
        <f t="array" aca="1" ref="J59" ca="1">INDEX('Calculated Fields'!$C:$CS,MATCH(Department_KPIs!J$2,'Calculated Fields'!$B:$B,0),MATCH(Department_KPIs!$D59,'Calculated Fields'!$C$2:$CS$2,0))</f>
        <v>1.0814351851851853</v>
      </c>
      <c r="K59" s="134">
        <f t="array" aca="1" ref="K59" ca="1">INDEX('Calculated Fields'!$C:$CS,MATCH(Department_KPIs!K$2,'Calculated Fields'!$B:$B,0),MATCH(Department_KPIs!$D59,'Calculated Fields'!$C$2:$CS$2,0))</f>
        <v>1.0814351851851853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11" t="s">
        <v>1052</v>
      </c>
      <c r="B60" s="127" t="e">
        <f ca="1">SUM(B57:B59)/3</f>
        <v>#NAME?</v>
      </c>
      <c r="C60" s="1"/>
      <c r="D60" s="111" t="s">
        <v>1048</v>
      </c>
      <c r="E60" s="120">
        <f t="array" aca="1" ref="E60" ca="1">INDEX('Calculated Fields'!$C:$CS,MATCH(Department_KPIs!$E$2,'Calculated Fields'!$B:$B,0),MATCH(Department_KPIs!$D60,'Calculated Fields'!$C$2:$CS$2,0))</f>
        <v>120</v>
      </c>
      <c r="F60" s="120">
        <f t="array" aca="1" ref="F60" ca="1">INDEX('Calculated Fields'!$C:$CS,MATCH(Department_KPIs!F$2,'Calculated Fields'!$B:$B,0),MATCH(Department_KPIs!$D60,'Calculated Fields'!$C$2:$CS$2,0))</f>
        <v>22</v>
      </c>
      <c r="G60" s="120">
        <f t="array" aca="1" ref="G60" ca="1">INDEX('Calculated Fields'!$C:$CS,MATCH(Department_KPIs!G$2,'Calculated Fields'!$B:$B,0),MATCH(Department_KPIs!$D60,'Calculated Fields'!$C$2:$CS$2,0))</f>
        <v>21</v>
      </c>
      <c r="H60" s="120">
        <f t="array" aca="1" ref="H60" ca="1">INDEX('Calculated Fields'!$C:$CS,MATCH(Department_KPIs!H$2,'Calculated Fields'!$B:$B,0),MATCH(Department_KPIs!$D60,'Calculated Fields'!$C$2:$CS$2,0))</f>
        <v>14</v>
      </c>
      <c r="I60" s="120">
        <f t="array" aca="1" ref="I60" ca="1">INDEX('Calculated Fields'!$C:$CS,MATCH(Department_KPIs!I$2,'Calculated Fields'!$B:$B,0),MATCH(Department_KPIs!$D60,'Calculated Fields'!$C$2:$CS$2,0))</f>
        <v>0</v>
      </c>
      <c r="J60" s="120">
        <f ca="1">INDEX('Calculated Fields'!$C:$CS,MATCH(Department_KPIs!J$2,'Calculated Fields'!$B:$B,0),MATCH(Department_KPIs!$D60,'Calculated Fields'!$C$2:$CS$2,0))</f>
        <v>199</v>
      </c>
      <c r="K60" s="120">
        <f t="array" aca="1" ref="K60" ca="1">INDEX('Calculated Fields'!$C:$CS,MATCH(Department_KPIs!K$2,'Calculated Fields'!$B:$B,0),MATCH(Department_KPIs!$D60,'Calculated Fields'!$C$2:$CS$2,0))</f>
        <v>142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11" t="s">
        <v>124</v>
      </c>
      <c r="B61" s="137" t="e">
        <f t="array" aca="1" ref="B61" ca="1">_xludf.IFS(B60="","CHECK", B60&gt;=5,"A", B60&gt;=4,"B", B60&gt;=3,"C", B60&gt;=2,"D", B60&gt;=1,"E")</f>
        <v>#NAME?</v>
      </c>
      <c r="C61" s="1"/>
      <c r="D61" s="111" t="s">
        <v>1008</v>
      </c>
      <c r="E61" s="120">
        <f t="array" aca="1" ref="E61" ca="1">INDEX('Calculated Fields'!$C:$CS,MATCH(Department_KPIs!$E$2,'Calculated Fields'!$B:$B,0),MATCH(Department_KPIs!$D61,'Calculated Fields'!$C$2:$CS$2,0))</f>
        <v>0</v>
      </c>
      <c r="F61" s="120">
        <f t="array" aca="1" ref="F61" ca="1">INDEX('Calculated Fields'!$C:$CS,MATCH(Department_KPIs!F$2,'Calculated Fields'!$B:$B,0),MATCH(Department_KPIs!$D61,'Calculated Fields'!$C$2:$CS$2,0))</f>
        <v>0</v>
      </c>
      <c r="G61" s="120">
        <f t="array" aca="1" ref="G61" ca="1">INDEX('Calculated Fields'!$C:$CS,MATCH(Department_KPIs!G$2,'Calculated Fields'!$B:$B,0),MATCH(Department_KPIs!$D61,'Calculated Fields'!$C$2:$CS$2,0))</f>
        <v>0</v>
      </c>
      <c r="H61" s="120">
        <f t="array" aca="1" ref="H61" ca="1">INDEX('Calculated Fields'!$C:$CS,MATCH(Department_KPIs!H$2,'Calculated Fields'!$B:$B,0),MATCH(Department_KPIs!$D61,'Calculated Fields'!$C$2:$CS$2,0))</f>
        <v>0</v>
      </c>
      <c r="I61" s="120">
        <f t="array" aca="1" ref="I61" ca="1">INDEX('Calculated Fields'!$C:$CS,MATCH(Department_KPIs!I$2,'Calculated Fields'!$B:$B,0),MATCH(Department_KPIs!$D61,'Calculated Fields'!$C$2:$CS$2,0))</f>
        <v>0</v>
      </c>
      <c r="J61" s="120">
        <f t="array" aca="1" ref="J61" ca="1">INDEX('Calculated Fields'!$C:$CS,MATCH(Department_KPIs!J$2,'Calculated Fields'!$B:$B,0),MATCH(Department_KPIs!$D61,'Calculated Fields'!$C$2:$CS$2,0))</f>
        <v>0</v>
      </c>
      <c r="K61" s="120">
        <f t="array" aca="1" ref="K61" ca="1">INDEX('Calculated Fields'!$C:$CS,MATCH(Department_KPIs!K$2,'Calculated Fields'!$B:$B,0),MATCH(Department_KPIs!$D61,'Calculated Fields'!$C$2:$CS$2,0))</f>
        <v>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11" t="s">
        <v>1081</v>
      </c>
      <c r="E62" s="120">
        <f t="array" aca="1" ref="E62" ca="1">INDEX('Calculated Fields'!$C:$CS,MATCH(Department_KPIs!$E$2,'Calculated Fields'!$B:$B,0),MATCH(Department_KPIs!$D62,'Calculated Fields'!$C$2:$CS$2,0))</f>
        <v>2</v>
      </c>
      <c r="F62" s="120">
        <f t="array" aca="1" ref="F62" ca="1">INDEX('Calculated Fields'!$C:$CS,MATCH(Department_KPIs!F$2,'Calculated Fields'!$B:$B,0),MATCH(Department_KPIs!$D62,'Calculated Fields'!$C$2:$CS$2,0))</f>
        <v>2</v>
      </c>
      <c r="G62" s="120">
        <f t="array" aca="1" ref="G62" ca="1">INDEX('Calculated Fields'!$C:$CS,MATCH(Department_KPIs!G$2,'Calculated Fields'!$B:$B,0),MATCH(Department_KPIs!$D62,'Calculated Fields'!$C$2:$CS$2,0))</f>
        <v>0</v>
      </c>
      <c r="H62" s="120">
        <f t="array" aca="1" ref="H62" ca="1">INDEX('Calculated Fields'!$C:$CS,MATCH(Department_KPIs!H$2,'Calculated Fields'!$B:$B,0),MATCH(Department_KPIs!$D62,'Calculated Fields'!$C$2:$CS$2,0))</f>
        <v>0</v>
      </c>
      <c r="I62" s="120">
        <f t="array" aca="1" ref="I62" ca="1">INDEX('Calculated Fields'!$C:$CS,MATCH(Department_KPIs!I$2,'Calculated Fields'!$B:$B,0),MATCH(Department_KPIs!$D62,'Calculated Fields'!$C$2:$CS$2,0))</f>
        <v>0</v>
      </c>
      <c r="J62" s="120">
        <f t="array" aca="1" ref="J62" ca="1">INDEX('Calculated Fields'!$C:$CS,MATCH(Department_KPIs!J$2,'Calculated Fields'!$B:$B,0),MATCH(Department_KPIs!$D62,'Calculated Fields'!$C$2:$CS$2,0))</f>
        <v>4</v>
      </c>
      <c r="K62" s="120">
        <f t="array" aca="1" ref="K62" ca="1">INDEX('Calculated Fields'!$C:$CS,MATCH(Department_KPIs!K$2,'Calculated Fields'!$B:$B,0),MATCH(Department_KPIs!$D62,'Calculated Fields'!$C$2:$CS$2,0))</f>
        <v>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11" t="s">
        <v>591</v>
      </c>
      <c r="E63" s="120">
        <f t="array" aca="1" ref="E63" ca="1">INDEX('Calculated Fields'!$C:$CS,MATCH(Department_KPIs!$E$2,'Calculated Fields'!$B:$B,0),MATCH(Department_KPIs!$D63,'Calculated Fields'!$C$2:$CS$2,0))</f>
        <v>163</v>
      </c>
      <c r="F63" s="120">
        <f t="array" aca="1" ref="F63" ca="1">INDEX('Calculated Fields'!$C:$CS,MATCH(Department_KPIs!F$2,'Calculated Fields'!$B:$B,0),MATCH(Department_KPIs!$D63,'Calculated Fields'!$C$2:$CS$2,0))</f>
        <v>53</v>
      </c>
      <c r="G63" s="120">
        <f t="array" aca="1" ref="G63" ca="1">INDEX('Calculated Fields'!$C:$CS,MATCH(Department_KPIs!G$2,'Calculated Fields'!$B:$B,0),MATCH(Department_KPIs!$D63,'Calculated Fields'!$C$2:$CS$2,0))</f>
        <v>0</v>
      </c>
      <c r="H63" s="120">
        <f t="array" aca="1" ref="H63" ca="1">INDEX('Calculated Fields'!$C:$CS,MATCH(Department_KPIs!H$2,'Calculated Fields'!$B:$B,0),MATCH(Department_KPIs!$D63,'Calculated Fields'!$C$2:$CS$2,0))</f>
        <v>0</v>
      </c>
      <c r="I63" s="120">
        <f t="array" aca="1" ref="I63" ca="1">INDEX('Calculated Fields'!$C:$CS,MATCH(Department_KPIs!I$2,'Calculated Fields'!$B:$B,0),MATCH(Department_KPIs!$D63,'Calculated Fields'!$C$2:$CS$2,0))</f>
        <v>0</v>
      </c>
      <c r="J63" s="120">
        <f t="array" aca="1" ref="J63" ca="1">INDEX('Calculated Fields'!$C:$CS,MATCH(Department_KPIs!J$2,'Calculated Fields'!$B:$B,0),MATCH(Department_KPIs!$D63,'Calculated Fields'!$C$2:$CS$2,0))</f>
        <v>216</v>
      </c>
      <c r="K63" s="120">
        <f t="array" aca="1" ref="K63" ca="1">INDEX('Calculated Fields'!$C:$CS,MATCH(Department_KPIs!K$2,'Calculated Fields'!$B:$B,0),MATCH(Department_KPIs!$D63,'Calculated Fields'!$C$2:$CS$2,0))</f>
        <v>216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11" t="s">
        <v>592</v>
      </c>
      <c r="E64" s="120">
        <f t="array" aca="1" ref="E64" ca="1">INDEX('Calculated Fields'!$C:$CS,MATCH(Department_KPIs!$E$2,'Calculated Fields'!$B:$B,0),MATCH(Department_KPIs!$D64,'Calculated Fields'!$C$2:$CS$2,0))</f>
        <v>3</v>
      </c>
      <c r="F64" s="120">
        <f t="array" aca="1" ref="F64" ca="1">INDEX('Calculated Fields'!$C:$CS,MATCH(Department_KPIs!F$2,'Calculated Fields'!$B:$B,0),MATCH(Department_KPIs!$D64,'Calculated Fields'!$C$2:$CS$2,0))</f>
        <v>0</v>
      </c>
      <c r="G64" s="120">
        <f t="array" aca="1" ref="G64" ca="1">INDEX('Calculated Fields'!$C:$CS,MATCH(Department_KPIs!G$2,'Calculated Fields'!$B:$B,0),MATCH(Department_KPIs!$D64,'Calculated Fields'!$C$2:$CS$2,0))</f>
        <v>0</v>
      </c>
      <c r="H64" s="120">
        <f t="array" aca="1" ref="H64" ca="1">INDEX('Calculated Fields'!$C:$CS,MATCH(Department_KPIs!H$2,'Calculated Fields'!$B:$B,0),MATCH(Department_KPIs!$D64,'Calculated Fields'!$C$2:$CS$2,0))</f>
        <v>0</v>
      </c>
      <c r="I64" s="120">
        <f t="array" aca="1" ref="I64" ca="1">INDEX('Calculated Fields'!$C:$CS,MATCH(Department_KPIs!I$2,'Calculated Fields'!$B:$B,0),MATCH(Department_KPIs!$D64,'Calculated Fields'!$C$2:$CS$2,0))</f>
        <v>0</v>
      </c>
      <c r="J64" s="120">
        <f t="array" aca="1" ref="J64" ca="1">INDEX('Calculated Fields'!$C:$CS,MATCH(Department_KPIs!J$2,'Calculated Fields'!$B:$B,0),MATCH(Department_KPIs!$D64,'Calculated Fields'!$C$2:$CS$2,0))</f>
        <v>3</v>
      </c>
      <c r="K64" s="120">
        <f t="array" aca="1" ref="K64" ca="1">INDEX('Calculated Fields'!$C:$CS,MATCH(Department_KPIs!K$2,'Calculated Fields'!$B:$B,0),MATCH(Department_KPIs!$D64,'Calculated Fields'!$C$2:$CS$2,0))</f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11" t="s">
        <v>593</v>
      </c>
      <c r="E65" s="122">
        <f t="array" aca="1" ref="E65" ca="1">INDEX('Calculated Fields'!$C:$CS,MATCH(Department_KPIs!$E$2,'Calculated Fields'!$B:$B,0),MATCH(Department_KPIs!$D65,'Calculated Fields'!$C$2:$CS$2,0))</f>
        <v>1.8404907975460124E-2</v>
      </c>
      <c r="F65" s="122">
        <f t="array" aca="1" ref="F65" ca="1">INDEX('Calculated Fields'!$C:$CS,MATCH(Department_KPIs!F$2,'Calculated Fields'!$B:$B,0),MATCH(Department_KPIs!$D65,'Calculated Fields'!$C$2:$CS$2,0))</f>
        <v>0</v>
      </c>
      <c r="G65" s="122">
        <f t="array" aca="1" ref="G65" ca="1">INDEX('Calculated Fields'!$C:$CS,MATCH(Department_KPIs!G$2,'Calculated Fields'!$B:$B,0),MATCH(Department_KPIs!$D65,'Calculated Fields'!$C$2:$CS$2,0))</f>
        <v>0</v>
      </c>
      <c r="H65" s="122">
        <f t="array" aca="1" ref="H65" ca="1">INDEX('Calculated Fields'!$C:$CS,MATCH(Department_KPIs!H$2,'Calculated Fields'!$B:$B,0),MATCH(Department_KPIs!$D65,'Calculated Fields'!$C$2:$CS$2,0))</f>
        <v>0</v>
      </c>
      <c r="I65" s="122">
        <f t="array" aca="1" ref="I65" ca="1">INDEX('Calculated Fields'!$C:$CS,MATCH(Department_KPIs!I$2,'Calculated Fields'!$B:$B,0),MATCH(Department_KPIs!$D65,'Calculated Fields'!$C$2:$CS$2,0))</f>
        <v>0</v>
      </c>
      <c r="J65" s="122">
        <f t="array" aca="1" ref="J65" ca="1">INDEX('Calculated Fields'!$C:$CS,MATCH(Department_KPIs!J$2,'Calculated Fields'!$B:$B,0),MATCH(Department_KPIs!$D65,'Calculated Fields'!$C$2:$CS$2,0))</f>
        <v>1.3888888888888888E-2</v>
      </c>
      <c r="K65" s="122">
        <f t="array" aca="1" ref="K65" ca="1">INDEX('Calculated Fields'!$C:$CS,MATCH(Department_KPIs!K$2,'Calculated Fields'!$B:$B,0),MATCH(Department_KPIs!$D65,'Calculated Fields'!$C$2:$CS$2,0))</f>
        <v>1.3888888888888888E-2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11" t="s">
        <v>1053</v>
      </c>
      <c r="E66" s="120">
        <f t="array" aca="1" ref="E66" ca="1">INDEX('Calculated Fields'!$C:$CS,MATCH(Department_KPIs!$E$2,'Calculated Fields'!$B:$B,0),MATCH(Department_KPIs!$D66,'Calculated Fields'!$C$2:$CS$2,0))</f>
        <v>0</v>
      </c>
      <c r="F66" s="120">
        <f t="array" aca="1" ref="F66" ca="1">INDEX('Calculated Fields'!$C:$CS,MATCH(Department_KPIs!F$2,'Calculated Fields'!$B:$B,0),MATCH(Department_KPIs!$D66,'Calculated Fields'!$C$2:$CS$2,0))</f>
        <v>0</v>
      </c>
      <c r="G66" s="120">
        <f t="array" aca="1" ref="G66" ca="1">INDEX('Calculated Fields'!$C:$CS,MATCH(Department_KPIs!G$2,'Calculated Fields'!$B:$B,0),MATCH(Department_KPIs!$D66,'Calculated Fields'!$C$2:$CS$2,0))</f>
        <v>0</v>
      </c>
      <c r="H66" s="120">
        <f t="array" aca="1" ref="H66" ca="1">INDEX('Calculated Fields'!$C:$CS,MATCH(Department_KPIs!H$2,'Calculated Fields'!$B:$B,0),MATCH(Department_KPIs!$D66,'Calculated Fields'!$C$2:$CS$2,0))</f>
        <v>0</v>
      </c>
      <c r="I66" s="120">
        <f t="array" aca="1" ref="I66" ca="1">INDEX('Calculated Fields'!$C:$CS,MATCH(Department_KPIs!I$2,'Calculated Fields'!$B:$B,0),MATCH(Department_KPIs!$D66,'Calculated Fields'!$C$2:$CS$2,0))</f>
        <v>0</v>
      </c>
      <c r="J66" s="120">
        <f t="array" aca="1" ref="J66" ca="1">INDEX('Calculated Fields'!$C:$CS,MATCH(Department_KPIs!J$2,'Calculated Fields'!$B:$B,0),MATCH(Department_KPIs!$D66,'Calculated Fields'!$C$2:$CS$2,0))</f>
        <v>0</v>
      </c>
      <c r="K66" s="120">
        <f t="array" aca="1" ref="K66" ca="1">INDEX('Calculated Fields'!$C:$CS,MATCH(Department_KPIs!K$2,'Calculated Fields'!$B:$B,0),MATCH(Department_KPIs!$D66,'Calculated Fields'!$C$2:$CS$2,0))</f>
        <v>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11" t="s">
        <v>1054</v>
      </c>
      <c r="E67" s="120">
        <f t="array" aca="1" ref="E67" ca="1">INDEX('Calculated Fields'!$C:$CS,MATCH(Department_KPIs!$E$2,'Calculated Fields'!$B:$B,0),MATCH(Department_KPIs!$D67,'Calculated Fields'!$C$2:$CS$2,0))</f>
        <v>0</v>
      </c>
      <c r="F67" s="120">
        <f t="array" aca="1" ref="F67" ca="1">INDEX('Calculated Fields'!$C:$CS,MATCH(Department_KPIs!F$2,'Calculated Fields'!$B:$B,0),MATCH(Department_KPIs!$D67,'Calculated Fields'!$C$2:$CS$2,0))</f>
        <v>0</v>
      </c>
      <c r="G67" s="120">
        <f t="array" aca="1" ref="G67" ca="1">INDEX('Calculated Fields'!$C:$CS,MATCH(Department_KPIs!G$2,'Calculated Fields'!$B:$B,0),MATCH(Department_KPIs!$D67,'Calculated Fields'!$C$2:$CS$2,0))</f>
        <v>0</v>
      </c>
      <c r="H67" s="120">
        <f t="array" aca="1" ref="H67" ca="1">INDEX('Calculated Fields'!$C:$CS,MATCH(Department_KPIs!H$2,'Calculated Fields'!$B:$B,0),MATCH(Department_KPIs!$D67,'Calculated Fields'!$C$2:$CS$2,0))</f>
        <v>0</v>
      </c>
      <c r="I67" s="120">
        <f t="array" aca="1" ref="I67" ca="1">INDEX('Calculated Fields'!$C:$CS,MATCH(Department_KPIs!I$2,'Calculated Fields'!$B:$B,0),MATCH(Department_KPIs!$D67,'Calculated Fields'!$C$2:$CS$2,0))</f>
        <v>0</v>
      </c>
      <c r="J67" s="120">
        <f t="array" aca="1" ref="J67" ca="1">INDEX('Calculated Fields'!$C:$CS,MATCH(Department_KPIs!J$2,'Calculated Fields'!$B:$B,0),MATCH(Department_KPIs!$D67,'Calculated Fields'!$C$2:$CS$2,0))</f>
        <v>0</v>
      </c>
      <c r="K67" s="120">
        <f t="array" aca="1" ref="K67" ca="1">INDEX('Calculated Fields'!$C:$CS,MATCH(Department_KPIs!K$2,'Calculated Fields'!$B:$B,0),MATCH(Department_KPIs!$D67,'Calculated Fields'!$C$2:$CS$2,0))</f>
        <v>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11" t="s">
        <v>1055</v>
      </c>
      <c r="E68" s="120">
        <f t="array" aca="1" ref="E68" ca="1">INDEX('Calculated Fields'!$C:$CS,MATCH(Department_KPIs!$E$2,'Calculated Fields'!$B:$B,0),MATCH(Department_KPIs!$D68,'Calculated Fields'!$C$2:$CS$2,0))</f>
        <v>0</v>
      </c>
      <c r="F68" s="120">
        <f t="array" aca="1" ref="F68" ca="1">INDEX('Calculated Fields'!$C:$CS,MATCH(Department_KPIs!F$2,'Calculated Fields'!$B:$B,0),MATCH(Department_KPIs!$D68,'Calculated Fields'!$C$2:$CS$2,0))</f>
        <v>0</v>
      </c>
      <c r="G68" s="120">
        <f t="array" aca="1" ref="G68" ca="1">INDEX('Calculated Fields'!$C:$CS,MATCH(Department_KPIs!G$2,'Calculated Fields'!$B:$B,0),MATCH(Department_KPIs!$D68,'Calculated Fields'!$C$2:$CS$2,0))</f>
        <v>0</v>
      </c>
      <c r="H68" s="120">
        <f t="array" aca="1" ref="H68" ca="1">INDEX('Calculated Fields'!$C:$CS,MATCH(Department_KPIs!H$2,'Calculated Fields'!$B:$B,0),MATCH(Department_KPIs!$D68,'Calculated Fields'!$C$2:$CS$2,0))</f>
        <v>0</v>
      </c>
      <c r="I68" s="120">
        <f t="array" aca="1" ref="I68" ca="1">INDEX('Calculated Fields'!$C:$CS,MATCH(Department_KPIs!I$2,'Calculated Fields'!$B:$B,0),MATCH(Department_KPIs!$D68,'Calculated Fields'!$C$2:$CS$2,0))</f>
        <v>0</v>
      </c>
      <c r="J68" s="120">
        <f t="array" aca="1" ref="J68" ca="1">INDEX('Calculated Fields'!$C:$CS,MATCH(Department_KPIs!J$2,'Calculated Fields'!$B:$B,0),MATCH(Department_KPIs!$D68,'Calculated Fields'!$C$2:$CS$2,0))</f>
        <v>0</v>
      </c>
      <c r="K68" s="120">
        <f t="array" aca="1" ref="K68" ca="1">INDEX('Calculated Fields'!$C:$CS,MATCH(Department_KPIs!K$2,'Calculated Fields'!$B:$B,0),MATCH(Department_KPIs!$D68,'Calculated Fields'!$C$2:$CS$2,0))</f>
        <v>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11" t="s">
        <v>1056</v>
      </c>
      <c r="E69" s="120">
        <f t="array" aca="1" ref="E69" ca="1">INDEX('Calculated Fields'!$C:$CS,MATCH(Department_KPIs!$E$2,'Calculated Fields'!$B:$B,0),MATCH(Department_KPIs!$D69,'Calculated Fields'!$C$2:$CS$2,0))</f>
        <v>5</v>
      </c>
      <c r="F69" s="120">
        <f t="array" aca="1" ref="F69" ca="1">INDEX('Calculated Fields'!$C:$CS,MATCH(Department_KPIs!F$2,'Calculated Fields'!$B:$B,0),MATCH(Department_KPIs!$D69,'Calculated Fields'!$C$2:$CS$2,0))</f>
        <v>1</v>
      </c>
      <c r="G69" s="120">
        <f t="array" aca="1" ref="G69" ca="1">INDEX('Calculated Fields'!$C:$CS,MATCH(Department_KPIs!G$2,'Calculated Fields'!$B:$B,0),MATCH(Department_KPIs!$D69,'Calculated Fields'!$C$2:$CS$2,0))</f>
        <v>0</v>
      </c>
      <c r="H69" s="120">
        <f t="array" aca="1" ref="H69" ca="1">INDEX('Calculated Fields'!$C:$CS,MATCH(Department_KPIs!H$2,'Calculated Fields'!$B:$B,0),MATCH(Department_KPIs!$D69,'Calculated Fields'!$C$2:$CS$2,0))</f>
        <v>0</v>
      </c>
      <c r="I69" s="120">
        <f t="array" aca="1" ref="I69" ca="1">INDEX('Calculated Fields'!$C:$CS,MATCH(Department_KPIs!I$2,'Calculated Fields'!$B:$B,0),MATCH(Department_KPIs!$D69,'Calculated Fields'!$C$2:$CS$2,0))</f>
        <v>0</v>
      </c>
      <c r="J69" s="120">
        <f t="array" aca="1" ref="J69" ca="1">INDEX('Calculated Fields'!$C:$CS,MATCH(Department_KPIs!J$2,'Calculated Fields'!$B:$B,0),MATCH(Department_KPIs!$D69,'Calculated Fields'!$C$2:$CS$2,0))</f>
        <v>6</v>
      </c>
      <c r="K69" s="120">
        <f t="array" aca="1" ref="K69" ca="1">INDEX('Calculated Fields'!$C:$CS,MATCH(Department_KPIs!K$2,'Calculated Fields'!$B:$B,0),MATCH(Department_KPIs!$D69,'Calculated Fields'!$C$2:$CS$2,0))</f>
        <v>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11" t="s">
        <v>1057</v>
      </c>
      <c r="E70" s="120">
        <f t="array" aca="1" ref="E70" ca="1">INDEX('Calculated Fields'!$C:$CS,MATCH(Department_KPIs!$E$2,'Calculated Fields'!$B:$B,0),MATCH(Department_KPIs!$D70,'Calculated Fields'!$C$2:$CS$2,0))</f>
        <v>5</v>
      </c>
      <c r="F70" s="120">
        <f t="array" aca="1" ref="F70" ca="1">INDEX('Calculated Fields'!$C:$CS,MATCH(Department_KPIs!F$2,'Calculated Fields'!$B:$B,0),MATCH(Department_KPIs!$D70,'Calculated Fields'!$C$2:$CS$2,0))</f>
        <v>4</v>
      </c>
      <c r="G70" s="120">
        <f t="array" aca="1" ref="G70" ca="1">INDEX('Calculated Fields'!$C:$CS,MATCH(Department_KPIs!G$2,'Calculated Fields'!$B:$B,0),MATCH(Department_KPIs!$D70,'Calculated Fields'!$C$2:$CS$2,0))</f>
        <v>0</v>
      </c>
      <c r="H70" s="120">
        <f t="array" aca="1" ref="H70" ca="1">INDEX('Calculated Fields'!$C:$CS,MATCH(Department_KPIs!H$2,'Calculated Fields'!$B:$B,0),MATCH(Department_KPIs!$D70,'Calculated Fields'!$C$2:$CS$2,0))</f>
        <v>0</v>
      </c>
      <c r="I70" s="120">
        <f t="array" aca="1" ref="I70" ca="1">INDEX('Calculated Fields'!$C:$CS,MATCH(Department_KPIs!I$2,'Calculated Fields'!$B:$B,0),MATCH(Department_KPIs!$D70,'Calculated Fields'!$C$2:$CS$2,0))</f>
        <v>0</v>
      </c>
      <c r="J70" s="120">
        <f t="array" aca="1" ref="J70" ca="1">INDEX('Calculated Fields'!$C:$CS,MATCH(Department_KPIs!J$2,'Calculated Fields'!$B:$B,0),MATCH(Department_KPIs!$D70,'Calculated Fields'!$C$2:$CS$2,0))</f>
        <v>9</v>
      </c>
      <c r="K70" s="120">
        <f t="array" aca="1" ref="K70" ca="1">INDEX('Calculated Fields'!$C:$CS,MATCH(Department_KPIs!K$2,'Calculated Fields'!$B:$B,0),MATCH(Department_KPIs!$D70,'Calculated Fields'!$C$2:$CS$2,0))</f>
        <v>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5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5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5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5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5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5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5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5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5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5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5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5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5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5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5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5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5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5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5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5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5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5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5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5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5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5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5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5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5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5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5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5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5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5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5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5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5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5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5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5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5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5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5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5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5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5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5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5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5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5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5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5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5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5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5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5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5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5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5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5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5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5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5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5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5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5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5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5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5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5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5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5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5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5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5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5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5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5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5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5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5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5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5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5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5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5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5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5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5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5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5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5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5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5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5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5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5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5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5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5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5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5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5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5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5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5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5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5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5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5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5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5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5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5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5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5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5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5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5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5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5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5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5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5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5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5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5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5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5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5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5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5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5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5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5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5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5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5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5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5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5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5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5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5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5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5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5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5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5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5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5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5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5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5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5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5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5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5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5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5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5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5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5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5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5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5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5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5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5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5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5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5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5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5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5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5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5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5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5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5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5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5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5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5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5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5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5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5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5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5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5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5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5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5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5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5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5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5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5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5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5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5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5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5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5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5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5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5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5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5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5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5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5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5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5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5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5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5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5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5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5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5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5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5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5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5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5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5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5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5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5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5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5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5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5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5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5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5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5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5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5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5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5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5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5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5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5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5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5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5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5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5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5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5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5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5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5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5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5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5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5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5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5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5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5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5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5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5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5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5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5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5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5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5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5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5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5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5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5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5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5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5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5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5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5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5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5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5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5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5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5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5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5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5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5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5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5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5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5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5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5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5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5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5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5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5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5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5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5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5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5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5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5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5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5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5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5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5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5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5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5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5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5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5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5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5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5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5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5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5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5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5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5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5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5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5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5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5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5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5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5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5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5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5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5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5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5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5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5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5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5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5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5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5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5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5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5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5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5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5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5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5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5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5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5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5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5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5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5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5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5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5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5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5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5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5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5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5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5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5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5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5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5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5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5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5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5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5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5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5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5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5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5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5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5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5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5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5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5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5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5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5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5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5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5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5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5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5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5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5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5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5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5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5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5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5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5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5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5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5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5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5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5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5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5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5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5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5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5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5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5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5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5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5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5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5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5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5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5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5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5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5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5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5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5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5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5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5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5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5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5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5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5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5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5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5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5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5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5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5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5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5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5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5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5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5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5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5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5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5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5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5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5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5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5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5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5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5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5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5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5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5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5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5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5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5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5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5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5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5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5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5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5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5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5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5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5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5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5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5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5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5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5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5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5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5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5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5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5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5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5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5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5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5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5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5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5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5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5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5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5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5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5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5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5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5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5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5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5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5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5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5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5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5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5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5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5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5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5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5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5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5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5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5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5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5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5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5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5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5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5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5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5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5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5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5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5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5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5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5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5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5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5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5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5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5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5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5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5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5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5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5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5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5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5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5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5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5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5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5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5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5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5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5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5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5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5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5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5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5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5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5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5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5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5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5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5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5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5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5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5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5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5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5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5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5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5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5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5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5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5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5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5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5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5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5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5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5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5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5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5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5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5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5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5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5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5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5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5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5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5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5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5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5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5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5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5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5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5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5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5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5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5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5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5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5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5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5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5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5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5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5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5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5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5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5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5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5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5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5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5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5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5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5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5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5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5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5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5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5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5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5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5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5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5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5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5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5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5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5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5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5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5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5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5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5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5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5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5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5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5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5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5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5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5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5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5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5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5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5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5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5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5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5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5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5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5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5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5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5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5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5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5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5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5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5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5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5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5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5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5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5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5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5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5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5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5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5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5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5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5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5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5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5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5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5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5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5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5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5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5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5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5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5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5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5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5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5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5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5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5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5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5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5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5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5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5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5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5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5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5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5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5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5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5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5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5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5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5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5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5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5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5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5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5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5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5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5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5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5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5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5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5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5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5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5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5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5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5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5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5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5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5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5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5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5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5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5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5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5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5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5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5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5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5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5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5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5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5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5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5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5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5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5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5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5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5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5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5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5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5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5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5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5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5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5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5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5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5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5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5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5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5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5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5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5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5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5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5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5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5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5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5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5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5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5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5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5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5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5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5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5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5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5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5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5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5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5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5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5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5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5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5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5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5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5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5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5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5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5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5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5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5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5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5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5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5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5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5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5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5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5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5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5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5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5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5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5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5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5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5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5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5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5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5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5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5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5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5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5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5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5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5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5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5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5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5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5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5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5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5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5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5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5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5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5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5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5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5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5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5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5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5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5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5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5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5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5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1"/>
      <c r="C1000" s="1"/>
      <c r="L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B1"/>
    <mergeCell ref="D1:E1"/>
    <mergeCell ref="M1:O1"/>
    <mergeCell ref="Q1:R1"/>
  </mergeCells>
  <dataValidations count="3">
    <dataValidation type="list" allowBlank="1" showErrorMessage="1" sqref="B2" xr:uid="{00000000-0002-0000-0C00-000000000000}">
      <formula1>"USA_Department_Agents,INDIA_Department_Agents,DIGITAL_Department_Agents,MANAGED_Department_Agents,OTHER_Department_Agents"</formula1>
    </dataValidation>
    <dataValidation type="list" allowBlank="1" showErrorMessage="1" sqref="R2 E2" xr:uid="{00000000-0002-0000-0C00-000001000000}">
      <formula1>#REF!</formula1>
    </dataValidation>
    <dataValidation type="list" allowBlank="1" showErrorMessage="1" sqref="B4" xr:uid="{9B982721-5910-4015-9118-160A573ABBBE}">
      <formula1>INDIRECT($B$2)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outlinePr summaryBelow="0" summaryRight="0"/>
  </sheetPr>
  <dimension ref="A1:AH1007"/>
  <sheetViews>
    <sheetView workbookViewId="0"/>
  </sheetViews>
  <sheetFormatPr defaultColWidth="12.6640625" defaultRowHeight="15.75" customHeight="1"/>
  <cols>
    <col min="1" max="1" width="20.21875" customWidth="1"/>
    <col min="2" max="2" width="24.5546875" customWidth="1"/>
    <col min="3" max="4" width="17.88671875" customWidth="1"/>
    <col min="5" max="5" width="16.109375" customWidth="1"/>
    <col min="6" max="15" width="14.6640625" customWidth="1"/>
  </cols>
  <sheetData>
    <row r="1" spans="1:34" ht="15.75" customHeight="1">
      <c r="A1" s="1"/>
      <c r="B1" s="138" t="s">
        <v>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>
      <c r="A3" s="184" t="s">
        <v>1063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>
      <c r="A5" s="181" t="str">
        <f>IF(B1="OTHER_Department_Agents","Other",LEFT(B1,FIND("_",B1)-1)&amp;" "&amp;"Agent")</f>
        <v>USA Agent</v>
      </c>
      <c r="B5" s="182" t="str" cm="1">
        <f t="array" ref="B5:K5">TRANSPOSE(_xlfn._xlws.SORT(_xlfn.UNIQUE(_xlfn._xlws.FILTER('Sales  Returns'!$C$1:$C$19968,'Sales  Returns'!$S$1:$S$19968=A5))))</f>
        <v>Abigail Adams</v>
      </c>
      <c r="C5" s="182" t="str">
        <v>Alexander Robinson</v>
      </c>
      <c r="D5" s="182" t="str">
        <v>Christopher Moore</v>
      </c>
      <c r="E5" s="182" t="str">
        <v>Hannah Gonzalez</v>
      </c>
      <c r="F5" s="182" t="str">
        <v>James Smith</v>
      </c>
      <c r="G5" s="182" t="str">
        <v>Jessica Miller</v>
      </c>
      <c r="H5" s="182" t="str">
        <v>Michael Brown</v>
      </c>
      <c r="I5" s="182" t="str">
        <v>Robert Thomas</v>
      </c>
      <c r="J5" s="182" t="str">
        <v>Sarah Davis</v>
      </c>
      <c r="K5" s="182" t="str">
        <v>Stephanie Scott</v>
      </c>
      <c r="L5" s="176"/>
      <c r="M5" s="176"/>
      <c r="N5" s="176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"/>
      <c r="AB5" s="1"/>
      <c r="AC5" s="1"/>
      <c r="AD5" s="1"/>
      <c r="AE5" s="1"/>
      <c r="AF5" s="1"/>
      <c r="AG5" s="1"/>
      <c r="AH5" s="1"/>
    </row>
    <row r="6" spans="1:34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>
      <c r="A7" s="177" t="s">
        <v>994</v>
      </c>
      <c r="B7" s="178">
        <f ca="1">_xlfn.IFNA(INDEX('Calculated Fields'!$C:$DG,MATCH(Agent_wise!B$5,'Calculated Fields'!$B:$B,0),MATCH(Agent_wise!$A7,'Calculated Fields'!$C$2:$DG$2,0)),"")</f>
        <v>5972</v>
      </c>
      <c r="C7" s="178">
        <f ca="1">_xlfn.IFNA(INDEX('Calculated Fields'!$C:$DG,MATCH(Agent_wise!C$5,'Calculated Fields'!$B:$B,0),MATCH(Agent_wise!$A7,'Calculated Fields'!$C$2:$DG$2,0)),"")</f>
        <v>7443</v>
      </c>
      <c r="D7" s="178">
        <f ca="1">_xlfn.IFNA(INDEX('Calculated Fields'!$C:$DG,MATCH(Agent_wise!D$5,'Calculated Fields'!$B:$B,0),MATCH(Agent_wise!$A7,'Calculated Fields'!$C$2:$DG$2,0)),"")</f>
        <v>6264</v>
      </c>
      <c r="E7" s="178">
        <f ca="1">_xlfn.IFNA(INDEX('Calculated Fields'!$C:$DG,MATCH(Agent_wise!E$5,'Calculated Fields'!$B:$B,0),MATCH(Agent_wise!$A7,'Calculated Fields'!$C$2:$DG$2,0)),"")</f>
        <v>357</v>
      </c>
      <c r="F7" s="178">
        <f ca="1">_xlfn.IFNA(INDEX('Calculated Fields'!$C:$DG,MATCH(Agent_wise!F$5,'Calculated Fields'!$B:$B,0),MATCH(Agent_wise!$A7,'Calculated Fields'!$C$2:$DG$2,0)),"")</f>
        <v>4644</v>
      </c>
      <c r="G7" s="178">
        <f ca="1">_xlfn.IFNA(INDEX('Calculated Fields'!$C:$DG,MATCH(Agent_wise!G$5,'Calculated Fields'!$B:$B,0),MATCH(Agent_wise!$A7,'Calculated Fields'!$C$2:$DG$2,0)),"")</f>
        <v>377</v>
      </c>
      <c r="H7" s="178">
        <f ca="1">_xlfn.IFNA(INDEX('Calculated Fields'!$C:$DG,MATCH(Agent_wise!H$5,'Calculated Fields'!$B:$B,0),MATCH(Agent_wise!$A7,'Calculated Fields'!$C$2:$DG$2,0)),"")</f>
        <v>5415</v>
      </c>
      <c r="I7" s="178">
        <f ca="1">_xlfn.IFNA(INDEX('Calculated Fields'!$C:$DG,MATCH(Agent_wise!I$5,'Calculated Fields'!$B:$B,0),MATCH(Agent_wise!$A7,'Calculated Fields'!$C$2:$DG$2,0)),"")</f>
        <v>2188</v>
      </c>
      <c r="J7" s="178">
        <f ca="1">_xlfn.IFNA(INDEX('Calculated Fields'!$C:$DG,MATCH(Agent_wise!J$5,'Calculated Fields'!$B:$B,0),MATCH(Agent_wise!$A7,'Calculated Fields'!$C$2:$DG$2,0)),"")</f>
        <v>1714</v>
      </c>
      <c r="K7" s="178">
        <f ca="1">_xlfn.IFNA(INDEX('Calculated Fields'!$C:$DG,MATCH(Agent_wise!K$5,'Calculated Fields'!$B:$B,0),MATCH(Agent_wise!$A7,'Calculated Fields'!$C$2:$DG$2,0)),"")</f>
        <v>5982</v>
      </c>
      <c r="L7" s="179" t="str">
        <f ca="1">_xlfn.IFNA(INDEX('Calculated Fields'!$C:$DG,MATCH(Agent_wise!L$5,'Calculated Fields'!$B:$B,0),MATCH(Agent_wise!$A7,'Calculated Fields'!$C$2:$DG$2,0)),"")</f>
        <v/>
      </c>
      <c r="M7" s="179" t="str">
        <f ca="1">_xlfn.IFNA(INDEX('Calculated Fields'!$C:$DG,MATCH(Agent_wise!M$5,'Calculated Fields'!$B:$B,0),MATCH(Agent_wise!$A7,'Calculated Fields'!$C$2:$DG$2,0)),"")</f>
        <v/>
      </c>
      <c r="N7" s="179" t="str">
        <f ca="1">_xlfn.IFNA(INDEX('Calculated Fields'!$C:$DG,MATCH(Agent_wise!N$5,'Calculated Fields'!$B:$B,0),MATCH(Agent_wise!$A7,'Calculated Fields'!$C$2:$DG$2,0)),"")</f>
        <v/>
      </c>
      <c r="O7" s="179" t="str">
        <f ca="1">_xlfn.IFNA(INDEX('Calculated Fields'!$C:$DG,MATCH(Agent_wise!O$5,'Calculated Fields'!$B:$B,0),MATCH(Agent_wise!$A7,'Calculated Fields'!$C$2:$DG$2,0)),"")</f>
        <v/>
      </c>
      <c r="P7" s="179" t="str">
        <f ca="1">_xlfn.IFNA(INDEX('Calculated Fields'!$C:$DG,MATCH(Agent_wise!P$5,'Calculated Fields'!$B:$B,0),MATCH(Agent_wise!$A7,'Calculated Fields'!$C$2:$DG$2,0)),"")</f>
        <v/>
      </c>
      <c r="Q7" s="179" t="str">
        <f ca="1">_xlfn.IFNA(INDEX('Calculated Fields'!$C:$DG,MATCH(Agent_wise!Q$5,'Calculated Fields'!$B:$B,0),MATCH(Agent_wise!$A7,'Calculated Fields'!$C$2:$DG$2,0)),"")</f>
        <v/>
      </c>
      <c r="R7" s="179" t="str">
        <f ca="1">_xlfn.IFNA(INDEX('Calculated Fields'!$C:$DG,MATCH(Agent_wise!R$5,'Calculated Fields'!$B:$B,0),MATCH(Agent_wise!$A7,'Calculated Fields'!$C$2:$DG$2,0)),"")</f>
        <v/>
      </c>
      <c r="S7" s="179" t="str">
        <f ca="1">_xlfn.IFNA(INDEX('Calculated Fields'!$C:$DG,MATCH(Agent_wise!S$5,'Calculated Fields'!$B:$B,0),MATCH(Agent_wise!$A7,'Calculated Fields'!$C$2:$DG$2,0)),"")</f>
        <v/>
      </c>
      <c r="T7" s="179" t="str">
        <f ca="1">_xlfn.IFNA(INDEX('Calculated Fields'!$C:$DG,MATCH(Agent_wise!T$5,'Calculated Fields'!$B:$B,0),MATCH(Agent_wise!$A7,'Calculated Fields'!$C$2:$DG$2,0)),"")</f>
        <v/>
      </c>
      <c r="U7" s="179" t="str">
        <f ca="1">_xlfn.IFNA(INDEX('Calculated Fields'!$C:$DG,MATCH(Agent_wise!U$5,'Calculated Fields'!$B:$B,0),MATCH(Agent_wise!$A7,'Calculated Fields'!$C$2:$DG$2,0)),"")</f>
        <v/>
      </c>
      <c r="V7" s="179" t="str">
        <f ca="1">_xlfn.IFNA(INDEX('Calculated Fields'!$C:$DG,MATCH(Agent_wise!V$5,'Calculated Fields'!$B:$B,0),MATCH(Agent_wise!$A7,'Calculated Fields'!$C$2:$DG$2,0)),"")</f>
        <v/>
      </c>
      <c r="W7" s="179" t="str">
        <f ca="1">_xlfn.IFNA(INDEX('Calculated Fields'!$C:$DG,MATCH(Agent_wise!W$5,'Calculated Fields'!$B:$B,0),MATCH(Agent_wise!$A7,'Calculated Fields'!$C$2:$DG$2,0)),"")</f>
        <v/>
      </c>
      <c r="X7" s="179" t="str">
        <f ca="1">_xlfn.IFNA(INDEX('Calculated Fields'!$C:$DG,MATCH(Agent_wise!X$5,'Calculated Fields'!$B:$B,0),MATCH(Agent_wise!$A7,'Calculated Fields'!$C$2:$DG$2,0)),"")</f>
        <v/>
      </c>
      <c r="Y7" s="179" t="str">
        <f ca="1">_xlfn.IFNA(INDEX('Calculated Fields'!$C:$DG,MATCH(Agent_wise!Y$5,'Calculated Fields'!$B:$B,0),MATCH(Agent_wise!$A7,'Calculated Fields'!$C$2:$DG$2,0)),"")</f>
        <v/>
      </c>
      <c r="Z7" s="179" t="str">
        <f ca="1">_xlfn.IFNA(INDEX('Calculated Fields'!$C:$DG,MATCH(Agent_wise!Z$5,'Calculated Fields'!$B:$B,0),MATCH(Agent_wise!$A7,'Calculated Fields'!$C$2:$DG$2,0)),"")</f>
        <v/>
      </c>
      <c r="AA7" s="1"/>
      <c r="AB7" s="1"/>
      <c r="AC7" s="1"/>
      <c r="AD7" s="1"/>
      <c r="AE7" s="1"/>
      <c r="AF7" s="1"/>
      <c r="AG7" s="1"/>
      <c r="AH7" s="1"/>
    </row>
    <row r="8" spans="1:34" ht="15.75" customHeight="1">
      <c r="A8" s="177" t="s">
        <v>995</v>
      </c>
      <c r="B8" s="178">
        <f ca="1">_xlfn.IFNA(INDEX('Calculated Fields'!$C:$DG,MATCH(Agent_wise!B$5,'Calculated Fields'!$B:$B,0),MATCH(Agent_wise!$A8,'Calculated Fields'!$C$2:$DG$2,0)),"")</f>
        <v>9598</v>
      </c>
      <c r="C8" s="178">
        <f ca="1">_xlfn.IFNA(INDEX('Calculated Fields'!$C:$DG,MATCH(Agent_wise!C$5,'Calculated Fields'!$B:$B,0),MATCH(Agent_wise!$A8,'Calculated Fields'!$C$2:$DG$2,0)),"")</f>
        <v>5102</v>
      </c>
      <c r="D8" s="178">
        <f ca="1">_xlfn.IFNA(INDEX('Calculated Fields'!$C:$DG,MATCH(Agent_wise!D$5,'Calculated Fields'!$B:$B,0),MATCH(Agent_wise!$A8,'Calculated Fields'!$C$2:$DG$2,0)),"")</f>
        <v>8380</v>
      </c>
      <c r="E8" s="178">
        <f ca="1">_xlfn.IFNA(INDEX('Calculated Fields'!$C:$DG,MATCH(Agent_wise!E$5,'Calculated Fields'!$B:$B,0),MATCH(Agent_wise!$A8,'Calculated Fields'!$C$2:$DG$2,0)),"")</f>
        <v>-135</v>
      </c>
      <c r="F8" s="178">
        <f ca="1">_xlfn.IFNA(INDEX('Calculated Fields'!$C:$DG,MATCH(Agent_wise!F$5,'Calculated Fields'!$B:$B,0),MATCH(Agent_wise!$A8,'Calculated Fields'!$C$2:$DG$2,0)),"")</f>
        <v>6637.11</v>
      </c>
      <c r="G8" s="178">
        <f ca="1">_xlfn.IFNA(INDEX('Calculated Fields'!$C:$DG,MATCH(Agent_wise!G$5,'Calculated Fields'!$B:$B,0),MATCH(Agent_wise!$A8,'Calculated Fields'!$C$2:$DG$2,0)),"")</f>
        <v>7415</v>
      </c>
      <c r="H8" s="178">
        <f ca="1">_xlfn.IFNA(INDEX('Calculated Fields'!$C:$DG,MATCH(Agent_wise!H$5,'Calculated Fields'!$B:$B,0),MATCH(Agent_wise!$A8,'Calculated Fields'!$C$2:$DG$2,0)),"")</f>
        <v>4212</v>
      </c>
      <c r="I8" s="178">
        <f ca="1">_xlfn.IFNA(INDEX('Calculated Fields'!$C:$DG,MATCH(Agent_wise!I$5,'Calculated Fields'!$B:$B,0),MATCH(Agent_wise!$A8,'Calculated Fields'!$C$2:$DG$2,0)),"")</f>
        <v>14802.550000000001</v>
      </c>
      <c r="J8" s="178">
        <f ca="1">_xlfn.IFNA(INDEX('Calculated Fields'!$C:$DG,MATCH(Agent_wise!J$5,'Calculated Fields'!$B:$B,0),MATCH(Agent_wise!$A8,'Calculated Fields'!$C$2:$DG$2,0)),"")</f>
        <v>9825</v>
      </c>
      <c r="K8" s="178">
        <f ca="1">_xlfn.IFNA(INDEX('Calculated Fields'!$C:$DG,MATCH(Agent_wise!K$5,'Calculated Fields'!$B:$B,0),MATCH(Agent_wise!$A8,'Calculated Fields'!$C$2:$DG$2,0)),"")</f>
        <v>6690</v>
      </c>
      <c r="L8" s="179" t="str">
        <f ca="1">_xlfn.IFNA(INDEX('Calculated Fields'!$C:$DG,MATCH(Agent_wise!L$5,'Calculated Fields'!$B:$B,0),MATCH(Agent_wise!$A8,'Calculated Fields'!$C$2:$DG$2,0)),"")</f>
        <v/>
      </c>
      <c r="M8" s="179" t="str">
        <f ca="1">_xlfn.IFNA(INDEX('Calculated Fields'!$C:$DG,MATCH(Agent_wise!M$5,'Calculated Fields'!$B:$B,0),MATCH(Agent_wise!$A8,'Calculated Fields'!$C$2:$DG$2,0)),"")</f>
        <v/>
      </c>
      <c r="N8" s="179" t="str">
        <f ca="1">_xlfn.IFNA(INDEX('Calculated Fields'!$C:$DG,MATCH(Agent_wise!N$5,'Calculated Fields'!$B:$B,0),MATCH(Agent_wise!$A8,'Calculated Fields'!$C$2:$DG$2,0)),"")</f>
        <v/>
      </c>
      <c r="O8" s="179" t="str">
        <f ca="1">_xlfn.IFNA(INDEX('Calculated Fields'!$C:$DG,MATCH(Agent_wise!O$5,'Calculated Fields'!$B:$B,0),MATCH(Agent_wise!$A8,'Calculated Fields'!$C$2:$DG$2,0)),"")</f>
        <v/>
      </c>
      <c r="P8" s="179" t="str">
        <f ca="1">_xlfn.IFNA(INDEX('Calculated Fields'!$C:$DG,MATCH(Agent_wise!P$5,'Calculated Fields'!$B:$B,0),MATCH(Agent_wise!$A8,'Calculated Fields'!$C$2:$DG$2,0)),"")</f>
        <v/>
      </c>
      <c r="Q8" s="179" t="str">
        <f ca="1">_xlfn.IFNA(INDEX('Calculated Fields'!$C:$DG,MATCH(Agent_wise!Q$5,'Calculated Fields'!$B:$B,0),MATCH(Agent_wise!$A8,'Calculated Fields'!$C$2:$DG$2,0)),"")</f>
        <v/>
      </c>
      <c r="R8" s="179" t="str">
        <f ca="1">_xlfn.IFNA(INDEX('Calculated Fields'!$C:$DG,MATCH(Agent_wise!R$5,'Calculated Fields'!$B:$B,0),MATCH(Agent_wise!$A8,'Calculated Fields'!$C$2:$DG$2,0)),"")</f>
        <v/>
      </c>
      <c r="S8" s="179" t="str">
        <f ca="1">_xlfn.IFNA(INDEX('Calculated Fields'!$C:$DG,MATCH(Agent_wise!S$5,'Calculated Fields'!$B:$B,0),MATCH(Agent_wise!$A8,'Calculated Fields'!$C$2:$DG$2,0)),"")</f>
        <v/>
      </c>
      <c r="T8" s="179" t="str">
        <f ca="1">_xlfn.IFNA(INDEX('Calculated Fields'!$C:$DG,MATCH(Agent_wise!T$5,'Calculated Fields'!$B:$B,0),MATCH(Agent_wise!$A8,'Calculated Fields'!$C$2:$DG$2,0)),"")</f>
        <v/>
      </c>
      <c r="U8" s="179" t="str">
        <f ca="1">_xlfn.IFNA(INDEX('Calculated Fields'!$C:$DG,MATCH(Agent_wise!U$5,'Calculated Fields'!$B:$B,0),MATCH(Agent_wise!$A8,'Calculated Fields'!$C$2:$DG$2,0)),"")</f>
        <v/>
      </c>
      <c r="V8" s="179" t="str">
        <f ca="1">_xlfn.IFNA(INDEX('Calculated Fields'!$C:$DG,MATCH(Agent_wise!V$5,'Calculated Fields'!$B:$B,0),MATCH(Agent_wise!$A8,'Calculated Fields'!$C$2:$DG$2,0)),"")</f>
        <v/>
      </c>
      <c r="W8" s="179" t="str">
        <f ca="1">_xlfn.IFNA(INDEX('Calculated Fields'!$C:$DG,MATCH(Agent_wise!W$5,'Calculated Fields'!$B:$B,0),MATCH(Agent_wise!$A8,'Calculated Fields'!$C$2:$DG$2,0)),"")</f>
        <v/>
      </c>
      <c r="X8" s="179" t="str">
        <f ca="1">_xlfn.IFNA(INDEX('Calculated Fields'!$C:$DG,MATCH(Agent_wise!X$5,'Calculated Fields'!$B:$B,0),MATCH(Agent_wise!$A8,'Calculated Fields'!$C$2:$DG$2,0)),"")</f>
        <v/>
      </c>
      <c r="Y8" s="179" t="str">
        <f ca="1">_xlfn.IFNA(INDEX('Calculated Fields'!$C:$DG,MATCH(Agent_wise!Y$5,'Calculated Fields'!$B:$B,0),MATCH(Agent_wise!$A8,'Calculated Fields'!$C$2:$DG$2,0)),"")</f>
        <v/>
      </c>
      <c r="Z8" s="179" t="str">
        <f ca="1">_xlfn.IFNA(INDEX('Calculated Fields'!$C:$DG,MATCH(Agent_wise!Z$5,'Calculated Fields'!$B:$B,0),MATCH(Agent_wise!$A8,'Calculated Fields'!$C$2:$DG$2,0)),"")</f>
        <v/>
      </c>
      <c r="AA8" s="1"/>
      <c r="AB8" s="1"/>
      <c r="AC8" s="1"/>
      <c r="AD8" s="1"/>
      <c r="AE8" s="1"/>
      <c r="AF8" s="1"/>
      <c r="AG8" s="1"/>
      <c r="AH8" s="1"/>
    </row>
    <row r="9" spans="1:34" ht="15.75" customHeight="1">
      <c r="A9" s="177" t="s">
        <v>996</v>
      </c>
      <c r="B9" s="178">
        <f ca="1">_xlfn.IFNA(INDEX('Calculated Fields'!$C:$DG,MATCH(Agent_wise!B$5,'Calculated Fields'!$B:$B,0),MATCH(Agent_wise!$A9,'Calculated Fields'!$C$2:$DG$2,0)),"")</f>
        <v>9598</v>
      </c>
      <c r="C9" s="178">
        <f ca="1">_xlfn.IFNA(INDEX('Calculated Fields'!$C:$DG,MATCH(Agent_wise!C$5,'Calculated Fields'!$B:$B,0),MATCH(Agent_wise!$A9,'Calculated Fields'!$C$2:$DG$2,0)),"")</f>
        <v>5202</v>
      </c>
      <c r="D9" s="178">
        <f ca="1">_xlfn.IFNA(INDEX('Calculated Fields'!$C:$DG,MATCH(Agent_wise!D$5,'Calculated Fields'!$B:$B,0),MATCH(Agent_wise!$A9,'Calculated Fields'!$C$2:$DG$2,0)),"")</f>
        <v>5980</v>
      </c>
      <c r="E9" s="178">
        <f ca="1">_xlfn.IFNA(INDEX('Calculated Fields'!$C:$DG,MATCH(Agent_wise!E$5,'Calculated Fields'!$B:$B,0),MATCH(Agent_wise!$A9,'Calculated Fields'!$C$2:$DG$2,0)),"")</f>
        <v>-135</v>
      </c>
      <c r="F9" s="178">
        <f ca="1">_xlfn.IFNA(INDEX('Calculated Fields'!$C:$DG,MATCH(Agent_wise!F$5,'Calculated Fields'!$B:$B,0),MATCH(Agent_wise!$A9,'Calculated Fields'!$C$2:$DG$2,0)),"")</f>
        <v>6837.11</v>
      </c>
      <c r="G9" s="178">
        <f ca="1">_xlfn.IFNA(INDEX('Calculated Fields'!$C:$DG,MATCH(Agent_wise!G$5,'Calculated Fields'!$B:$B,0),MATCH(Agent_wise!$A9,'Calculated Fields'!$C$2:$DG$2,0)),"")</f>
        <v>6483</v>
      </c>
      <c r="H9" s="178">
        <f ca="1">_xlfn.IFNA(INDEX('Calculated Fields'!$C:$DG,MATCH(Agent_wise!H$5,'Calculated Fields'!$B:$B,0),MATCH(Agent_wise!$A9,'Calculated Fields'!$C$2:$DG$2,0)),"")</f>
        <v>4212</v>
      </c>
      <c r="I9" s="178">
        <f ca="1">_xlfn.IFNA(INDEX('Calculated Fields'!$C:$DG,MATCH(Agent_wise!I$5,'Calculated Fields'!$B:$B,0),MATCH(Agent_wise!$A9,'Calculated Fields'!$C$2:$DG$2,0)),"")</f>
        <v>15002.550000000001</v>
      </c>
      <c r="J9" s="178">
        <f ca="1">_xlfn.IFNA(INDEX('Calculated Fields'!$C:$DG,MATCH(Agent_wise!J$5,'Calculated Fields'!$B:$B,0),MATCH(Agent_wise!$A9,'Calculated Fields'!$C$2:$DG$2,0)),"")</f>
        <v>9731</v>
      </c>
      <c r="K9" s="178">
        <f ca="1">_xlfn.IFNA(INDEX('Calculated Fields'!$C:$DG,MATCH(Agent_wise!K$5,'Calculated Fields'!$B:$B,0),MATCH(Agent_wise!$A9,'Calculated Fields'!$C$2:$DG$2,0)),"")</f>
        <v>7080</v>
      </c>
      <c r="L9" s="179" t="str">
        <f ca="1">_xlfn.IFNA(INDEX('Calculated Fields'!$C:$DG,MATCH(Agent_wise!L$5,'Calculated Fields'!$B:$B,0),MATCH(Agent_wise!$A9,'Calculated Fields'!$C$2:$DG$2,0)),"")</f>
        <v/>
      </c>
      <c r="M9" s="179" t="str">
        <f ca="1">_xlfn.IFNA(INDEX('Calculated Fields'!$C:$DG,MATCH(Agent_wise!M$5,'Calculated Fields'!$B:$B,0),MATCH(Agent_wise!$A9,'Calculated Fields'!$C$2:$DG$2,0)),"")</f>
        <v/>
      </c>
      <c r="N9" s="179" t="str">
        <f ca="1">_xlfn.IFNA(INDEX('Calculated Fields'!$C:$DG,MATCH(Agent_wise!N$5,'Calculated Fields'!$B:$B,0),MATCH(Agent_wise!$A9,'Calculated Fields'!$C$2:$DG$2,0)),"")</f>
        <v/>
      </c>
      <c r="O9" s="179" t="str">
        <f ca="1">_xlfn.IFNA(INDEX('Calculated Fields'!$C:$DG,MATCH(Agent_wise!O$5,'Calculated Fields'!$B:$B,0),MATCH(Agent_wise!$A9,'Calculated Fields'!$C$2:$DG$2,0)),"")</f>
        <v/>
      </c>
      <c r="P9" s="179" t="str">
        <f ca="1">_xlfn.IFNA(INDEX('Calculated Fields'!$C:$DG,MATCH(Agent_wise!P$5,'Calculated Fields'!$B:$B,0),MATCH(Agent_wise!$A9,'Calculated Fields'!$C$2:$DG$2,0)),"")</f>
        <v/>
      </c>
      <c r="Q9" s="179" t="str">
        <f ca="1">_xlfn.IFNA(INDEX('Calculated Fields'!$C:$DG,MATCH(Agent_wise!Q$5,'Calculated Fields'!$B:$B,0),MATCH(Agent_wise!$A9,'Calculated Fields'!$C$2:$DG$2,0)),"")</f>
        <v/>
      </c>
      <c r="R9" s="179" t="str">
        <f ca="1">_xlfn.IFNA(INDEX('Calculated Fields'!$C:$DG,MATCH(Agent_wise!R$5,'Calculated Fields'!$B:$B,0),MATCH(Agent_wise!$A9,'Calculated Fields'!$C$2:$DG$2,0)),"")</f>
        <v/>
      </c>
      <c r="S9" s="179" t="str">
        <f ca="1">_xlfn.IFNA(INDEX('Calculated Fields'!$C:$DG,MATCH(Agent_wise!S$5,'Calculated Fields'!$B:$B,0),MATCH(Agent_wise!$A9,'Calculated Fields'!$C$2:$DG$2,0)),"")</f>
        <v/>
      </c>
      <c r="T9" s="179" t="str">
        <f ca="1">_xlfn.IFNA(INDEX('Calculated Fields'!$C:$DG,MATCH(Agent_wise!T$5,'Calculated Fields'!$B:$B,0),MATCH(Agent_wise!$A9,'Calculated Fields'!$C$2:$DG$2,0)),"")</f>
        <v/>
      </c>
      <c r="U9" s="179" t="str">
        <f ca="1">_xlfn.IFNA(INDEX('Calculated Fields'!$C:$DG,MATCH(Agent_wise!U$5,'Calculated Fields'!$B:$B,0),MATCH(Agent_wise!$A9,'Calculated Fields'!$C$2:$DG$2,0)),"")</f>
        <v/>
      </c>
      <c r="V9" s="179" t="str">
        <f ca="1">_xlfn.IFNA(INDEX('Calculated Fields'!$C:$DG,MATCH(Agent_wise!V$5,'Calculated Fields'!$B:$B,0),MATCH(Agent_wise!$A9,'Calculated Fields'!$C$2:$DG$2,0)),"")</f>
        <v/>
      </c>
      <c r="W9" s="179" t="str">
        <f ca="1">_xlfn.IFNA(INDEX('Calculated Fields'!$C:$DG,MATCH(Agent_wise!W$5,'Calculated Fields'!$B:$B,0),MATCH(Agent_wise!$A9,'Calculated Fields'!$C$2:$DG$2,0)),"")</f>
        <v/>
      </c>
      <c r="X9" s="179" t="str">
        <f ca="1">_xlfn.IFNA(INDEX('Calculated Fields'!$C:$DG,MATCH(Agent_wise!X$5,'Calculated Fields'!$B:$B,0),MATCH(Agent_wise!$A9,'Calculated Fields'!$C$2:$DG$2,0)),"")</f>
        <v/>
      </c>
      <c r="Y9" s="179" t="str">
        <f ca="1">_xlfn.IFNA(INDEX('Calculated Fields'!$C:$DG,MATCH(Agent_wise!Y$5,'Calculated Fields'!$B:$B,0),MATCH(Agent_wise!$A9,'Calculated Fields'!$C$2:$DG$2,0)),"")</f>
        <v/>
      </c>
      <c r="Z9" s="179" t="str">
        <f ca="1">_xlfn.IFNA(INDEX('Calculated Fields'!$C:$DG,MATCH(Agent_wise!Z$5,'Calculated Fields'!$B:$B,0),MATCH(Agent_wise!$A9,'Calculated Fields'!$C$2:$DG$2,0)),"")</f>
        <v/>
      </c>
      <c r="AA9" s="1"/>
      <c r="AB9" s="1"/>
      <c r="AC9" s="1"/>
      <c r="AD9" s="1"/>
      <c r="AE9" s="1"/>
      <c r="AF9" s="1"/>
      <c r="AG9" s="1"/>
      <c r="AH9" s="1"/>
    </row>
    <row r="10" spans="1:34" ht="15.75" customHeight="1">
      <c r="A10" s="177" t="s">
        <v>997</v>
      </c>
      <c r="B10" s="178">
        <f ca="1">_xlfn.IFNA(INDEX('Calculated Fields'!$C:$DG,MATCH(Agent_wise!B$5,'Calculated Fields'!$B:$B,0),MATCH(Agent_wise!$A10,'Calculated Fields'!$C$2:$DG$2,0)),"")</f>
        <v>2448</v>
      </c>
      <c r="C10" s="178">
        <f ca="1">_xlfn.IFNA(INDEX('Calculated Fields'!$C:$DG,MATCH(Agent_wise!C$5,'Calculated Fields'!$B:$B,0),MATCH(Agent_wise!$A10,'Calculated Fields'!$C$2:$DG$2,0)),"")</f>
        <v>0</v>
      </c>
      <c r="D10" s="178">
        <f ca="1">_xlfn.IFNA(INDEX('Calculated Fields'!$C:$DG,MATCH(Agent_wise!D$5,'Calculated Fields'!$B:$B,0),MATCH(Agent_wise!$A10,'Calculated Fields'!$C$2:$DG$2,0)),"")</f>
        <v>602</v>
      </c>
      <c r="E10" s="178">
        <f ca="1">_xlfn.IFNA(INDEX('Calculated Fields'!$C:$DG,MATCH(Agent_wise!E$5,'Calculated Fields'!$B:$B,0),MATCH(Agent_wise!$A10,'Calculated Fields'!$C$2:$DG$2,0)),"")</f>
        <v>740</v>
      </c>
      <c r="F10" s="178">
        <f ca="1">_xlfn.IFNA(INDEX('Calculated Fields'!$C:$DG,MATCH(Agent_wise!F$5,'Calculated Fields'!$B:$B,0),MATCH(Agent_wise!$A10,'Calculated Fields'!$C$2:$DG$2,0)),"")</f>
        <v>6670</v>
      </c>
      <c r="G10" s="178">
        <f ca="1">_xlfn.IFNA(INDEX('Calculated Fields'!$C:$DG,MATCH(Agent_wise!G$5,'Calculated Fields'!$B:$B,0),MATCH(Agent_wise!$A10,'Calculated Fields'!$C$2:$DG$2,0)),"")</f>
        <v>440</v>
      </c>
      <c r="H10" s="178">
        <f ca="1">_xlfn.IFNA(INDEX('Calculated Fields'!$C:$DG,MATCH(Agent_wise!H$5,'Calculated Fields'!$B:$B,0),MATCH(Agent_wise!$A10,'Calculated Fields'!$C$2:$DG$2,0)),"")</f>
        <v>350</v>
      </c>
      <c r="I10" s="178">
        <f ca="1">_xlfn.IFNA(INDEX('Calculated Fields'!$C:$DG,MATCH(Agent_wise!I$5,'Calculated Fields'!$B:$B,0),MATCH(Agent_wise!$A10,'Calculated Fields'!$C$2:$DG$2,0)),"")</f>
        <v>125</v>
      </c>
      <c r="J10" s="178">
        <f ca="1">_xlfn.IFNA(INDEX('Calculated Fields'!$C:$DG,MATCH(Agent_wise!J$5,'Calculated Fields'!$B:$B,0),MATCH(Agent_wise!$A10,'Calculated Fields'!$C$2:$DG$2,0)),"")</f>
        <v>980</v>
      </c>
      <c r="K10" s="178">
        <f ca="1">_xlfn.IFNA(INDEX('Calculated Fields'!$C:$DG,MATCH(Agent_wise!K$5,'Calculated Fields'!$B:$B,0),MATCH(Agent_wise!$A10,'Calculated Fields'!$C$2:$DG$2,0)),"")</f>
        <v>200</v>
      </c>
      <c r="L10" s="179" t="str">
        <f ca="1">_xlfn.IFNA(INDEX('Calculated Fields'!$C:$DG,MATCH(Agent_wise!L$5,'Calculated Fields'!$B:$B,0),MATCH(Agent_wise!$A10,'Calculated Fields'!$C$2:$DG$2,0)),"")</f>
        <v/>
      </c>
      <c r="M10" s="179" t="str">
        <f ca="1">_xlfn.IFNA(INDEX('Calculated Fields'!$C:$DG,MATCH(Agent_wise!M$5,'Calculated Fields'!$B:$B,0),MATCH(Agent_wise!$A10,'Calculated Fields'!$C$2:$DG$2,0)),"")</f>
        <v/>
      </c>
      <c r="N10" s="179" t="str">
        <f ca="1">_xlfn.IFNA(INDEX('Calculated Fields'!$C:$DG,MATCH(Agent_wise!N$5,'Calculated Fields'!$B:$B,0),MATCH(Agent_wise!$A10,'Calculated Fields'!$C$2:$DG$2,0)),"")</f>
        <v/>
      </c>
      <c r="O10" s="179" t="str">
        <f ca="1">_xlfn.IFNA(INDEX('Calculated Fields'!$C:$DG,MATCH(Agent_wise!O$5,'Calculated Fields'!$B:$B,0),MATCH(Agent_wise!$A10,'Calculated Fields'!$C$2:$DG$2,0)),"")</f>
        <v/>
      </c>
      <c r="P10" s="179" t="str">
        <f ca="1">_xlfn.IFNA(INDEX('Calculated Fields'!$C:$DG,MATCH(Agent_wise!P$5,'Calculated Fields'!$B:$B,0),MATCH(Agent_wise!$A10,'Calculated Fields'!$C$2:$DG$2,0)),"")</f>
        <v/>
      </c>
      <c r="Q10" s="179" t="str">
        <f ca="1">_xlfn.IFNA(INDEX('Calculated Fields'!$C:$DG,MATCH(Agent_wise!Q$5,'Calculated Fields'!$B:$B,0),MATCH(Agent_wise!$A10,'Calculated Fields'!$C$2:$DG$2,0)),"")</f>
        <v/>
      </c>
      <c r="R10" s="179" t="str">
        <f ca="1">_xlfn.IFNA(INDEX('Calculated Fields'!$C:$DG,MATCH(Agent_wise!R$5,'Calculated Fields'!$B:$B,0),MATCH(Agent_wise!$A10,'Calculated Fields'!$C$2:$DG$2,0)),"")</f>
        <v/>
      </c>
      <c r="S10" s="179" t="str">
        <f ca="1">_xlfn.IFNA(INDEX('Calculated Fields'!$C:$DG,MATCH(Agent_wise!S$5,'Calculated Fields'!$B:$B,0),MATCH(Agent_wise!$A10,'Calculated Fields'!$C$2:$DG$2,0)),"")</f>
        <v/>
      </c>
      <c r="T10" s="179" t="str">
        <f ca="1">_xlfn.IFNA(INDEX('Calculated Fields'!$C:$DG,MATCH(Agent_wise!T$5,'Calculated Fields'!$B:$B,0),MATCH(Agent_wise!$A10,'Calculated Fields'!$C$2:$DG$2,0)),"")</f>
        <v/>
      </c>
      <c r="U10" s="179" t="str">
        <f ca="1">_xlfn.IFNA(INDEX('Calculated Fields'!$C:$DG,MATCH(Agent_wise!U$5,'Calculated Fields'!$B:$B,0),MATCH(Agent_wise!$A10,'Calculated Fields'!$C$2:$DG$2,0)),"")</f>
        <v/>
      </c>
      <c r="V10" s="179" t="str">
        <f ca="1">_xlfn.IFNA(INDEX('Calculated Fields'!$C:$DG,MATCH(Agent_wise!V$5,'Calculated Fields'!$B:$B,0),MATCH(Agent_wise!$A10,'Calculated Fields'!$C$2:$DG$2,0)),"")</f>
        <v/>
      </c>
      <c r="W10" s="179" t="str">
        <f ca="1">_xlfn.IFNA(INDEX('Calculated Fields'!$C:$DG,MATCH(Agent_wise!W$5,'Calculated Fields'!$B:$B,0),MATCH(Agent_wise!$A10,'Calculated Fields'!$C$2:$DG$2,0)),"")</f>
        <v/>
      </c>
      <c r="X10" s="179" t="str">
        <f ca="1">_xlfn.IFNA(INDEX('Calculated Fields'!$C:$DG,MATCH(Agent_wise!X$5,'Calculated Fields'!$B:$B,0),MATCH(Agent_wise!$A10,'Calculated Fields'!$C$2:$DG$2,0)),"")</f>
        <v/>
      </c>
      <c r="Y10" s="179" t="str">
        <f ca="1">_xlfn.IFNA(INDEX('Calculated Fields'!$C:$DG,MATCH(Agent_wise!Y$5,'Calculated Fields'!$B:$B,0),MATCH(Agent_wise!$A10,'Calculated Fields'!$C$2:$DG$2,0)),"")</f>
        <v/>
      </c>
      <c r="Z10" s="179" t="str">
        <f ca="1">_xlfn.IFNA(INDEX('Calculated Fields'!$C:$DG,MATCH(Agent_wise!Z$5,'Calculated Fields'!$B:$B,0),MATCH(Agent_wise!$A10,'Calculated Fields'!$C$2:$DG$2,0)),"")</f>
        <v/>
      </c>
      <c r="AA10" s="1"/>
      <c r="AB10" s="1"/>
      <c r="AC10" s="1"/>
      <c r="AD10" s="1"/>
      <c r="AE10" s="1"/>
      <c r="AF10" s="1"/>
      <c r="AG10" s="1"/>
      <c r="AH10" s="1"/>
    </row>
    <row r="11" spans="1:34" ht="15.75" customHeight="1">
      <c r="A11" s="177" t="s">
        <v>998</v>
      </c>
      <c r="B11" s="178">
        <f ca="1">_xlfn.IFNA(INDEX('Calculated Fields'!$C:$DG,MATCH(Agent_wise!B$5,'Calculated Fields'!$B:$B,0),MATCH(Agent_wise!$A11,'Calculated Fields'!$C$2:$DG$2,0)),"")</f>
        <v>7150</v>
      </c>
      <c r="C11" s="178">
        <f ca="1">_xlfn.IFNA(INDEX('Calculated Fields'!$C:$DG,MATCH(Agent_wise!C$5,'Calculated Fields'!$B:$B,0),MATCH(Agent_wise!$A11,'Calculated Fields'!$C$2:$DG$2,0)),"")</f>
        <v>5102</v>
      </c>
      <c r="D11" s="178">
        <f ca="1">_xlfn.IFNA(INDEX('Calculated Fields'!$C:$DG,MATCH(Agent_wise!D$5,'Calculated Fields'!$B:$B,0),MATCH(Agent_wise!$A11,'Calculated Fields'!$C$2:$DG$2,0)),"")</f>
        <v>5078</v>
      </c>
      <c r="E11" s="178">
        <f ca="1">_xlfn.IFNA(INDEX('Calculated Fields'!$C:$DG,MATCH(Agent_wise!E$5,'Calculated Fields'!$B:$B,0),MATCH(Agent_wise!$A11,'Calculated Fields'!$C$2:$DG$2,0)),"")</f>
        <v>-875</v>
      </c>
      <c r="F11" s="178">
        <f ca="1">_xlfn.IFNA(INDEX('Calculated Fields'!$C:$DG,MATCH(Agent_wise!F$5,'Calculated Fields'!$B:$B,0),MATCH(Agent_wise!$A11,'Calculated Fields'!$C$2:$DG$2,0)),"")</f>
        <v>-32.890000000000327</v>
      </c>
      <c r="G11" s="178">
        <f ca="1">_xlfn.IFNA(INDEX('Calculated Fields'!$C:$DG,MATCH(Agent_wise!G$5,'Calculated Fields'!$B:$B,0),MATCH(Agent_wise!$A11,'Calculated Fields'!$C$2:$DG$2,0)),"")</f>
        <v>5875</v>
      </c>
      <c r="H11" s="178">
        <f ca="1">_xlfn.IFNA(INDEX('Calculated Fields'!$C:$DG,MATCH(Agent_wise!H$5,'Calculated Fields'!$B:$B,0),MATCH(Agent_wise!$A11,'Calculated Fields'!$C$2:$DG$2,0)),"")</f>
        <v>3862</v>
      </c>
      <c r="I11" s="178">
        <f ca="1">_xlfn.IFNA(INDEX('Calculated Fields'!$C:$DG,MATCH(Agent_wise!I$5,'Calculated Fields'!$B:$B,0),MATCH(Agent_wise!$A11,'Calculated Fields'!$C$2:$DG$2,0)),"")</f>
        <v>14677.550000000001</v>
      </c>
      <c r="J11" s="178">
        <f ca="1">_xlfn.IFNA(INDEX('Calculated Fields'!$C:$DG,MATCH(Agent_wise!J$5,'Calculated Fields'!$B:$B,0),MATCH(Agent_wise!$A11,'Calculated Fields'!$C$2:$DG$2,0)),"")</f>
        <v>8845</v>
      </c>
      <c r="K11" s="178">
        <f ca="1">_xlfn.IFNA(INDEX('Calculated Fields'!$C:$DG,MATCH(Agent_wise!K$5,'Calculated Fields'!$B:$B,0),MATCH(Agent_wise!$A11,'Calculated Fields'!$C$2:$DG$2,0)),"")</f>
        <v>6890</v>
      </c>
      <c r="L11" s="179" t="str">
        <f ca="1">_xlfn.IFNA(INDEX('Calculated Fields'!$C:$DG,MATCH(Agent_wise!L$5,'Calculated Fields'!$B:$B,0),MATCH(Agent_wise!$A11,'Calculated Fields'!$C$2:$DG$2,0)),"")</f>
        <v/>
      </c>
      <c r="M11" s="179" t="str">
        <f ca="1">_xlfn.IFNA(INDEX('Calculated Fields'!$C:$DG,MATCH(Agent_wise!M$5,'Calculated Fields'!$B:$B,0),MATCH(Agent_wise!$A11,'Calculated Fields'!$C$2:$DG$2,0)),"")</f>
        <v/>
      </c>
      <c r="N11" s="179" t="str">
        <f ca="1">_xlfn.IFNA(INDEX('Calculated Fields'!$C:$DG,MATCH(Agent_wise!N$5,'Calculated Fields'!$B:$B,0),MATCH(Agent_wise!$A11,'Calculated Fields'!$C$2:$DG$2,0)),"")</f>
        <v/>
      </c>
      <c r="O11" s="179" t="str">
        <f ca="1">_xlfn.IFNA(INDEX('Calculated Fields'!$C:$DG,MATCH(Agent_wise!O$5,'Calculated Fields'!$B:$B,0),MATCH(Agent_wise!$A11,'Calculated Fields'!$C$2:$DG$2,0)),"")</f>
        <v/>
      </c>
      <c r="P11" s="179" t="str">
        <f ca="1">_xlfn.IFNA(INDEX('Calculated Fields'!$C:$DG,MATCH(Agent_wise!P$5,'Calculated Fields'!$B:$B,0),MATCH(Agent_wise!$A11,'Calculated Fields'!$C$2:$DG$2,0)),"")</f>
        <v/>
      </c>
      <c r="Q11" s="179" t="str">
        <f ca="1">_xlfn.IFNA(INDEX('Calculated Fields'!$C:$DG,MATCH(Agent_wise!Q$5,'Calculated Fields'!$B:$B,0),MATCH(Agent_wise!$A11,'Calculated Fields'!$C$2:$DG$2,0)),"")</f>
        <v/>
      </c>
      <c r="R11" s="179" t="str">
        <f ca="1">_xlfn.IFNA(INDEX('Calculated Fields'!$C:$DG,MATCH(Agent_wise!R$5,'Calculated Fields'!$B:$B,0),MATCH(Agent_wise!$A11,'Calculated Fields'!$C$2:$DG$2,0)),"")</f>
        <v/>
      </c>
      <c r="S11" s="179" t="str">
        <f ca="1">_xlfn.IFNA(INDEX('Calculated Fields'!$C:$DG,MATCH(Agent_wise!S$5,'Calculated Fields'!$B:$B,0),MATCH(Agent_wise!$A11,'Calculated Fields'!$C$2:$DG$2,0)),"")</f>
        <v/>
      </c>
      <c r="T11" s="179" t="str">
        <f ca="1">_xlfn.IFNA(INDEX('Calculated Fields'!$C:$DG,MATCH(Agent_wise!T$5,'Calculated Fields'!$B:$B,0),MATCH(Agent_wise!$A11,'Calculated Fields'!$C$2:$DG$2,0)),"")</f>
        <v/>
      </c>
      <c r="U11" s="179" t="str">
        <f ca="1">_xlfn.IFNA(INDEX('Calculated Fields'!$C:$DG,MATCH(Agent_wise!U$5,'Calculated Fields'!$B:$B,0),MATCH(Agent_wise!$A11,'Calculated Fields'!$C$2:$DG$2,0)),"")</f>
        <v/>
      </c>
      <c r="V11" s="179" t="str">
        <f ca="1">_xlfn.IFNA(INDEX('Calculated Fields'!$C:$DG,MATCH(Agent_wise!V$5,'Calculated Fields'!$B:$B,0),MATCH(Agent_wise!$A11,'Calculated Fields'!$C$2:$DG$2,0)),"")</f>
        <v/>
      </c>
      <c r="W11" s="179" t="str">
        <f ca="1">_xlfn.IFNA(INDEX('Calculated Fields'!$C:$DG,MATCH(Agent_wise!W$5,'Calculated Fields'!$B:$B,0),MATCH(Agent_wise!$A11,'Calculated Fields'!$C$2:$DG$2,0)),"")</f>
        <v/>
      </c>
      <c r="X11" s="179" t="str">
        <f ca="1">_xlfn.IFNA(INDEX('Calculated Fields'!$C:$DG,MATCH(Agent_wise!X$5,'Calculated Fields'!$B:$B,0),MATCH(Agent_wise!$A11,'Calculated Fields'!$C$2:$DG$2,0)),"")</f>
        <v/>
      </c>
      <c r="Y11" s="179" t="str">
        <f ca="1">_xlfn.IFNA(INDEX('Calculated Fields'!$C:$DG,MATCH(Agent_wise!Y$5,'Calculated Fields'!$B:$B,0),MATCH(Agent_wise!$A11,'Calculated Fields'!$C$2:$DG$2,0)),"")</f>
        <v/>
      </c>
      <c r="Z11" s="179" t="str">
        <f ca="1">_xlfn.IFNA(INDEX('Calculated Fields'!$C:$DG,MATCH(Agent_wise!Z$5,'Calculated Fields'!$B:$B,0),MATCH(Agent_wise!$A11,'Calculated Fields'!$C$2:$DG$2,0)),"")</f>
        <v/>
      </c>
      <c r="AA11" s="1"/>
      <c r="AB11" s="1"/>
      <c r="AC11" s="1"/>
      <c r="AD11" s="1"/>
      <c r="AE11" s="1"/>
      <c r="AF11" s="1"/>
      <c r="AG11" s="1"/>
      <c r="AH11" s="1"/>
    </row>
    <row r="12" spans="1:34" ht="15.75" customHeight="1">
      <c r="A12" s="177" t="s">
        <v>999</v>
      </c>
      <c r="B12" s="178">
        <f ca="1">_xlfn.IFNA(INDEX('Calculated Fields'!$C:$DG,MATCH(Agent_wise!B$5,'Calculated Fields'!$B:$B,0),MATCH(Agent_wise!$A12,'Calculated Fields'!$C$2:$DG$2,0)),"")</f>
        <v>9598</v>
      </c>
      <c r="C12" s="178">
        <f ca="1">_xlfn.IFNA(INDEX('Calculated Fields'!$C:$DG,MATCH(Agent_wise!C$5,'Calculated Fields'!$B:$B,0),MATCH(Agent_wise!$A12,'Calculated Fields'!$C$2:$DG$2,0)),"")</f>
        <v>5102</v>
      </c>
      <c r="D12" s="178">
        <f ca="1">_xlfn.IFNA(INDEX('Calculated Fields'!$C:$DG,MATCH(Agent_wise!D$5,'Calculated Fields'!$B:$B,0),MATCH(Agent_wise!$A12,'Calculated Fields'!$C$2:$DG$2,0)),"")</f>
        <v>5680</v>
      </c>
      <c r="E12" s="178">
        <f ca="1">_xlfn.IFNA(INDEX('Calculated Fields'!$C:$DG,MATCH(Agent_wise!E$5,'Calculated Fields'!$B:$B,0),MATCH(Agent_wise!$A12,'Calculated Fields'!$C$2:$DG$2,0)),"")</f>
        <v>-135</v>
      </c>
      <c r="F12" s="178">
        <f ca="1">_xlfn.IFNA(INDEX('Calculated Fields'!$C:$DG,MATCH(Agent_wise!F$5,'Calculated Fields'!$B:$B,0),MATCH(Agent_wise!$A12,'Calculated Fields'!$C$2:$DG$2,0)),"")</f>
        <v>6637.11</v>
      </c>
      <c r="G12" s="178">
        <f ca="1">_xlfn.IFNA(INDEX('Calculated Fields'!$C:$DG,MATCH(Agent_wise!G$5,'Calculated Fields'!$B:$B,0),MATCH(Agent_wise!$A12,'Calculated Fields'!$C$2:$DG$2,0)),"")</f>
        <v>6315</v>
      </c>
      <c r="H12" s="178">
        <f ca="1">_xlfn.IFNA(INDEX('Calculated Fields'!$C:$DG,MATCH(Agent_wise!H$5,'Calculated Fields'!$B:$B,0),MATCH(Agent_wise!$A12,'Calculated Fields'!$C$2:$DG$2,0)),"")</f>
        <v>4212</v>
      </c>
      <c r="I12" s="178">
        <f ca="1">_xlfn.IFNA(INDEX('Calculated Fields'!$C:$DG,MATCH(Agent_wise!I$5,'Calculated Fields'!$B:$B,0),MATCH(Agent_wise!$A12,'Calculated Fields'!$C$2:$DG$2,0)),"")</f>
        <v>14802.550000000001</v>
      </c>
      <c r="J12" s="178">
        <f ca="1">_xlfn.IFNA(INDEX('Calculated Fields'!$C:$DG,MATCH(Agent_wise!J$5,'Calculated Fields'!$B:$B,0),MATCH(Agent_wise!$A12,'Calculated Fields'!$C$2:$DG$2,0)),"")</f>
        <v>9825</v>
      </c>
      <c r="K12" s="178">
        <f ca="1">_xlfn.IFNA(INDEX('Calculated Fields'!$C:$DG,MATCH(Agent_wise!K$5,'Calculated Fields'!$B:$B,0),MATCH(Agent_wise!$A12,'Calculated Fields'!$C$2:$DG$2,0)),"")</f>
        <v>7090</v>
      </c>
      <c r="L12" s="179" t="str">
        <f ca="1">_xlfn.IFNA(INDEX('Calculated Fields'!$C:$DG,MATCH(Agent_wise!L$5,'Calculated Fields'!$B:$B,0),MATCH(Agent_wise!$A12,'Calculated Fields'!$C$2:$DG$2,0)),"")</f>
        <v/>
      </c>
      <c r="M12" s="179" t="str">
        <f ca="1">_xlfn.IFNA(INDEX('Calculated Fields'!$C:$DG,MATCH(Agent_wise!M$5,'Calculated Fields'!$B:$B,0),MATCH(Agent_wise!$A12,'Calculated Fields'!$C$2:$DG$2,0)),"")</f>
        <v/>
      </c>
      <c r="N12" s="179" t="str">
        <f ca="1">_xlfn.IFNA(INDEX('Calculated Fields'!$C:$DG,MATCH(Agent_wise!N$5,'Calculated Fields'!$B:$B,0),MATCH(Agent_wise!$A12,'Calculated Fields'!$C$2:$DG$2,0)),"")</f>
        <v/>
      </c>
      <c r="O12" s="179" t="str">
        <f ca="1">_xlfn.IFNA(INDEX('Calculated Fields'!$C:$DG,MATCH(Agent_wise!O$5,'Calculated Fields'!$B:$B,0),MATCH(Agent_wise!$A12,'Calculated Fields'!$C$2:$DG$2,0)),"")</f>
        <v/>
      </c>
      <c r="P12" s="179" t="str">
        <f ca="1">_xlfn.IFNA(INDEX('Calculated Fields'!$C:$DG,MATCH(Agent_wise!P$5,'Calculated Fields'!$B:$B,0),MATCH(Agent_wise!$A12,'Calculated Fields'!$C$2:$DG$2,0)),"")</f>
        <v/>
      </c>
      <c r="Q12" s="179" t="str">
        <f ca="1">_xlfn.IFNA(INDEX('Calculated Fields'!$C:$DG,MATCH(Agent_wise!Q$5,'Calculated Fields'!$B:$B,0),MATCH(Agent_wise!$A12,'Calculated Fields'!$C$2:$DG$2,0)),"")</f>
        <v/>
      </c>
      <c r="R12" s="179" t="str">
        <f ca="1">_xlfn.IFNA(INDEX('Calculated Fields'!$C:$DG,MATCH(Agent_wise!R$5,'Calculated Fields'!$B:$B,0),MATCH(Agent_wise!$A12,'Calculated Fields'!$C$2:$DG$2,0)),"")</f>
        <v/>
      </c>
      <c r="S12" s="179" t="str">
        <f ca="1">_xlfn.IFNA(INDEX('Calculated Fields'!$C:$DG,MATCH(Agent_wise!S$5,'Calculated Fields'!$B:$B,0),MATCH(Agent_wise!$A12,'Calculated Fields'!$C$2:$DG$2,0)),"")</f>
        <v/>
      </c>
      <c r="T12" s="179" t="str">
        <f ca="1">_xlfn.IFNA(INDEX('Calculated Fields'!$C:$DG,MATCH(Agent_wise!T$5,'Calculated Fields'!$B:$B,0),MATCH(Agent_wise!$A12,'Calculated Fields'!$C$2:$DG$2,0)),"")</f>
        <v/>
      </c>
      <c r="U12" s="179" t="str">
        <f ca="1">_xlfn.IFNA(INDEX('Calculated Fields'!$C:$DG,MATCH(Agent_wise!U$5,'Calculated Fields'!$B:$B,0),MATCH(Agent_wise!$A12,'Calculated Fields'!$C$2:$DG$2,0)),"")</f>
        <v/>
      </c>
      <c r="V12" s="179" t="str">
        <f ca="1">_xlfn.IFNA(INDEX('Calculated Fields'!$C:$DG,MATCH(Agent_wise!V$5,'Calculated Fields'!$B:$B,0),MATCH(Agent_wise!$A12,'Calculated Fields'!$C$2:$DG$2,0)),"")</f>
        <v/>
      </c>
      <c r="W12" s="179" t="str">
        <f ca="1">_xlfn.IFNA(INDEX('Calculated Fields'!$C:$DG,MATCH(Agent_wise!W$5,'Calculated Fields'!$B:$B,0),MATCH(Agent_wise!$A12,'Calculated Fields'!$C$2:$DG$2,0)),"")</f>
        <v/>
      </c>
      <c r="X12" s="179" t="str">
        <f ca="1">_xlfn.IFNA(INDEX('Calculated Fields'!$C:$DG,MATCH(Agent_wise!X$5,'Calculated Fields'!$B:$B,0),MATCH(Agent_wise!$A12,'Calculated Fields'!$C$2:$DG$2,0)),"")</f>
        <v/>
      </c>
      <c r="Y12" s="179" t="str">
        <f ca="1">_xlfn.IFNA(INDEX('Calculated Fields'!$C:$DG,MATCH(Agent_wise!Y$5,'Calculated Fields'!$B:$B,0),MATCH(Agent_wise!$A12,'Calculated Fields'!$C$2:$DG$2,0)),"")</f>
        <v/>
      </c>
      <c r="Z12" s="179" t="str">
        <f ca="1">_xlfn.IFNA(INDEX('Calculated Fields'!$C:$DG,MATCH(Agent_wise!Z$5,'Calculated Fields'!$B:$B,0),MATCH(Agent_wise!$A12,'Calculated Fields'!$C$2:$DG$2,0)),"")</f>
        <v/>
      </c>
      <c r="AA12" s="1"/>
      <c r="AB12" s="1"/>
      <c r="AC12" s="1"/>
      <c r="AD12" s="1"/>
      <c r="AE12" s="1"/>
      <c r="AF12" s="1"/>
      <c r="AG12" s="1"/>
      <c r="AH12" s="1"/>
    </row>
    <row r="13" spans="1:34" ht="15.75" customHeight="1">
      <c r="A13" s="177" t="s">
        <v>1000</v>
      </c>
      <c r="B13" s="178">
        <f ca="1">_xlfn.IFNA(INDEX('Calculated Fields'!$C:$DG,MATCH(Agent_wise!B$5,'Calculated Fields'!$B:$B,0),MATCH(Agent_wise!$A13,'Calculated Fields'!$C$2:$DG$2,0)),"")</f>
        <v>0</v>
      </c>
      <c r="C13" s="178">
        <f ca="1">_xlfn.IFNA(INDEX('Calculated Fields'!$C:$DG,MATCH(Agent_wise!C$5,'Calculated Fields'!$B:$B,0),MATCH(Agent_wise!$A13,'Calculated Fields'!$C$2:$DG$2,0)),"")</f>
        <v>0</v>
      </c>
      <c r="D13" s="178">
        <f ca="1">_xlfn.IFNA(INDEX('Calculated Fields'!$C:$DG,MATCH(Agent_wise!D$5,'Calculated Fields'!$B:$B,0),MATCH(Agent_wise!$A13,'Calculated Fields'!$C$2:$DG$2,0)),"")</f>
        <v>2700</v>
      </c>
      <c r="E13" s="178">
        <f ca="1">_xlfn.IFNA(INDEX('Calculated Fields'!$C:$DG,MATCH(Agent_wise!E$5,'Calculated Fields'!$B:$B,0),MATCH(Agent_wise!$A13,'Calculated Fields'!$C$2:$DG$2,0)),"")</f>
        <v>0</v>
      </c>
      <c r="F13" s="178">
        <f ca="1">_xlfn.IFNA(INDEX('Calculated Fields'!$C:$DG,MATCH(Agent_wise!F$5,'Calculated Fields'!$B:$B,0),MATCH(Agent_wise!$A13,'Calculated Fields'!$C$2:$DG$2,0)),"")</f>
        <v>0</v>
      </c>
      <c r="G13" s="178">
        <f ca="1">_xlfn.IFNA(INDEX('Calculated Fields'!$C:$DG,MATCH(Agent_wise!G$5,'Calculated Fields'!$B:$B,0),MATCH(Agent_wise!$A13,'Calculated Fields'!$C$2:$DG$2,0)),"")</f>
        <v>1100</v>
      </c>
      <c r="H13" s="178">
        <f ca="1">_xlfn.IFNA(INDEX('Calculated Fields'!$C:$DG,MATCH(Agent_wise!H$5,'Calculated Fields'!$B:$B,0),MATCH(Agent_wise!$A13,'Calculated Fields'!$C$2:$DG$2,0)),"")</f>
        <v>0</v>
      </c>
      <c r="I13" s="178">
        <f ca="1">_xlfn.IFNA(INDEX('Calculated Fields'!$C:$DG,MATCH(Agent_wise!I$5,'Calculated Fields'!$B:$B,0),MATCH(Agent_wise!$A13,'Calculated Fields'!$C$2:$DG$2,0)),"")</f>
        <v>0</v>
      </c>
      <c r="J13" s="178">
        <f ca="1">_xlfn.IFNA(INDEX('Calculated Fields'!$C:$DG,MATCH(Agent_wise!J$5,'Calculated Fields'!$B:$B,0),MATCH(Agent_wise!$A13,'Calculated Fields'!$C$2:$DG$2,0)),"")</f>
        <v>0</v>
      </c>
      <c r="K13" s="178">
        <f ca="1">_xlfn.IFNA(INDEX('Calculated Fields'!$C:$DG,MATCH(Agent_wise!K$5,'Calculated Fields'!$B:$B,0),MATCH(Agent_wise!$A13,'Calculated Fields'!$C$2:$DG$2,0)),"")</f>
        <v>-400</v>
      </c>
      <c r="L13" s="179" t="str">
        <f ca="1">_xlfn.IFNA(INDEX('Calculated Fields'!$C:$DG,MATCH(Agent_wise!L$5,'Calculated Fields'!$B:$B,0),MATCH(Agent_wise!$A13,'Calculated Fields'!$C$2:$DG$2,0)),"")</f>
        <v/>
      </c>
      <c r="M13" s="179" t="str">
        <f ca="1">_xlfn.IFNA(INDEX('Calculated Fields'!$C:$DG,MATCH(Agent_wise!M$5,'Calculated Fields'!$B:$B,0),MATCH(Agent_wise!$A13,'Calculated Fields'!$C$2:$DG$2,0)),"")</f>
        <v/>
      </c>
      <c r="N13" s="179" t="str">
        <f ca="1">_xlfn.IFNA(INDEX('Calculated Fields'!$C:$DG,MATCH(Agent_wise!N$5,'Calculated Fields'!$B:$B,0),MATCH(Agent_wise!$A13,'Calculated Fields'!$C$2:$DG$2,0)),"")</f>
        <v/>
      </c>
      <c r="O13" s="179" t="str">
        <f ca="1">_xlfn.IFNA(INDEX('Calculated Fields'!$C:$DG,MATCH(Agent_wise!O$5,'Calculated Fields'!$B:$B,0),MATCH(Agent_wise!$A13,'Calculated Fields'!$C$2:$DG$2,0)),"")</f>
        <v/>
      </c>
      <c r="P13" s="179" t="str">
        <f ca="1">_xlfn.IFNA(INDEX('Calculated Fields'!$C:$DG,MATCH(Agent_wise!P$5,'Calculated Fields'!$B:$B,0),MATCH(Agent_wise!$A13,'Calculated Fields'!$C$2:$DG$2,0)),"")</f>
        <v/>
      </c>
      <c r="Q13" s="179" t="str">
        <f ca="1">_xlfn.IFNA(INDEX('Calculated Fields'!$C:$DG,MATCH(Agent_wise!Q$5,'Calculated Fields'!$B:$B,0),MATCH(Agent_wise!$A13,'Calculated Fields'!$C$2:$DG$2,0)),"")</f>
        <v/>
      </c>
      <c r="R13" s="179" t="str">
        <f ca="1">_xlfn.IFNA(INDEX('Calculated Fields'!$C:$DG,MATCH(Agent_wise!R$5,'Calculated Fields'!$B:$B,0),MATCH(Agent_wise!$A13,'Calculated Fields'!$C$2:$DG$2,0)),"")</f>
        <v/>
      </c>
      <c r="S13" s="179" t="str">
        <f ca="1">_xlfn.IFNA(INDEX('Calculated Fields'!$C:$DG,MATCH(Agent_wise!S$5,'Calculated Fields'!$B:$B,0),MATCH(Agent_wise!$A13,'Calculated Fields'!$C$2:$DG$2,0)),"")</f>
        <v/>
      </c>
      <c r="T13" s="179" t="str">
        <f ca="1">_xlfn.IFNA(INDEX('Calculated Fields'!$C:$DG,MATCH(Agent_wise!T$5,'Calculated Fields'!$B:$B,0),MATCH(Agent_wise!$A13,'Calculated Fields'!$C$2:$DG$2,0)),"")</f>
        <v/>
      </c>
      <c r="U13" s="179" t="str">
        <f ca="1">_xlfn.IFNA(INDEX('Calculated Fields'!$C:$DG,MATCH(Agent_wise!U$5,'Calculated Fields'!$B:$B,0),MATCH(Agent_wise!$A13,'Calculated Fields'!$C$2:$DG$2,0)),"")</f>
        <v/>
      </c>
      <c r="V13" s="179" t="str">
        <f ca="1">_xlfn.IFNA(INDEX('Calculated Fields'!$C:$DG,MATCH(Agent_wise!V$5,'Calculated Fields'!$B:$B,0),MATCH(Agent_wise!$A13,'Calculated Fields'!$C$2:$DG$2,0)),"")</f>
        <v/>
      </c>
      <c r="W13" s="179" t="str">
        <f ca="1">_xlfn.IFNA(INDEX('Calculated Fields'!$C:$DG,MATCH(Agent_wise!W$5,'Calculated Fields'!$B:$B,0),MATCH(Agent_wise!$A13,'Calculated Fields'!$C$2:$DG$2,0)),"")</f>
        <v/>
      </c>
      <c r="X13" s="179" t="str">
        <f ca="1">_xlfn.IFNA(INDEX('Calculated Fields'!$C:$DG,MATCH(Agent_wise!X$5,'Calculated Fields'!$B:$B,0),MATCH(Agent_wise!$A13,'Calculated Fields'!$C$2:$DG$2,0)),"")</f>
        <v/>
      </c>
      <c r="Y13" s="179" t="str">
        <f ca="1">_xlfn.IFNA(INDEX('Calculated Fields'!$C:$DG,MATCH(Agent_wise!Y$5,'Calculated Fields'!$B:$B,0),MATCH(Agent_wise!$A13,'Calculated Fields'!$C$2:$DG$2,0)),"")</f>
        <v/>
      </c>
      <c r="Z13" s="179" t="str">
        <f ca="1">_xlfn.IFNA(INDEX('Calculated Fields'!$C:$DG,MATCH(Agent_wise!Z$5,'Calculated Fields'!$B:$B,0),MATCH(Agent_wise!$A13,'Calculated Fields'!$C$2:$DG$2,0)),"")</f>
        <v/>
      </c>
      <c r="AA13" s="1"/>
      <c r="AB13" s="1"/>
      <c r="AC13" s="1"/>
      <c r="AD13" s="1"/>
      <c r="AE13" s="1"/>
      <c r="AF13" s="1"/>
      <c r="AG13" s="1"/>
      <c r="AH13" s="1"/>
    </row>
    <row r="14" spans="1:34" ht="15.75" customHeight="1">
      <c r="A14" s="177" t="s">
        <v>75</v>
      </c>
      <c r="B14" s="178">
        <f ca="1">_xlfn.IFNA(INDEX('Calculated Fields'!$C:$DG,MATCH(Agent_wise!B$5,'Calculated Fields'!$B:$B,0),MATCH(Agent_wise!$A14,'Calculated Fields'!$C$2:$DG$2,0)),"")</f>
        <v>0</v>
      </c>
      <c r="C14" s="178">
        <f ca="1">_xlfn.IFNA(INDEX('Calculated Fields'!$C:$DG,MATCH(Agent_wise!C$5,'Calculated Fields'!$B:$B,0),MATCH(Agent_wise!$A14,'Calculated Fields'!$C$2:$DG$2,0)),"")</f>
        <v>0</v>
      </c>
      <c r="D14" s="178">
        <f ca="1">_xlfn.IFNA(INDEX('Calculated Fields'!$C:$DG,MATCH(Agent_wise!D$5,'Calculated Fields'!$B:$B,0),MATCH(Agent_wise!$A14,'Calculated Fields'!$C$2:$DG$2,0)),"")</f>
        <v>300</v>
      </c>
      <c r="E14" s="178">
        <f ca="1">_xlfn.IFNA(INDEX('Calculated Fields'!$C:$DG,MATCH(Agent_wise!E$5,'Calculated Fields'!$B:$B,0),MATCH(Agent_wise!$A14,'Calculated Fields'!$C$2:$DG$2,0)),"")</f>
        <v>0</v>
      </c>
      <c r="F14" s="178">
        <f ca="1">_xlfn.IFNA(INDEX('Calculated Fields'!$C:$DG,MATCH(Agent_wise!F$5,'Calculated Fields'!$B:$B,0),MATCH(Agent_wise!$A14,'Calculated Fields'!$C$2:$DG$2,0)),"")</f>
        <v>0</v>
      </c>
      <c r="G14" s="178">
        <f ca="1">_xlfn.IFNA(INDEX('Calculated Fields'!$C:$DG,MATCH(Agent_wise!G$5,'Calculated Fields'!$B:$B,0),MATCH(Agent_wise!$A14,'Calculated Fields'!$C$2:$DG$2,0)),"")</f>
        <v>168</v>
      </c>
      <c r="H14" s="178">
        <f ca="1">_xlfn.IFNA(INDEX('Calculated Fields'!$C:$DG,MATCH(Agent_wise!H$5,'Calculated Fields'!$B:$B,0),MATCH(Agent_wise!$A14,'Calculated Fields'!$C$2:$DG$2,0)),"")</f>
        <v>0</v>
      </c>
      <c r="I14" s="178">
        <f ca="1">_xlfn.IFNA(INDEX('Calculated Fields'!$C:$DG,MATCH(Agent_wise!I$5,'Calculated Fields'!$B:$B,0),MATCH(Agent_wise!$A14,'Calculated Fields'!$C$2:$DG$2,0)),"")</f>
        <v>0</v>
      </c>
      <c r="J14" s="178">
        <f ca="1">_xlfn.IFNA(INDEX('Calculated Fields'!$C:$DG,MATCH(Agent_wise!J$5,'Calculated Fields'!$B:$B,0),MATCH(Agent_wise!$A14,'Calculated Fields'!$C$2:$DG$2,0)),"")</f>
        <v>0</v>
      </c>
      <c r="K14" s="178">
        <f ca="1">_xlfn.IFNA(INDEX('Calculated Fields'!$C:$DG,MATCH(Agent_wise!K$5,'Calculated Fields'!$B:$B,0),MATCH(Agent_wise!$A14,'Calculated Fields'!$C$2:$DG$2,0)),"")</f>
        <v>-150</v>
      </c>
      <c r="L14" s="179" t="str">
        <f ca="1">_xlfn.IFNA(INDEX('Calculated Fields'!$C:$DG,MATCH(Agent_wise!L$5,'Calculated Fields'!$B:$B,0),MATCH(Agent_wise!$A14,'Calculated Fields'!$C$2:$DG$2,0)),"")</f>
        <v/>
      </c>
      <c r="M14" s="179" t="str">
        <f ca="1">_xlfn.IFNA(INDEX('Calculated Fields'!$C:$DG,MATCH(Agent_wise!M$5,'Calculated Fields'!$B:$B,0),MATCH(Agent_wise!$A14,'Calculated Fields'!$C$2:$DG$2,0)),"")</f>
        <v/>
      </c>
      <c r="N14" s="179" t="str">
        <f ca="1">_xlfn.IFNA(INDEX('Calculated Fields'!$C:$DG,MATCH(Agent_wise!N$5,'Calculated Fields'!$B:$B,0),MATCH(Agent_wise!$A14,'Calculated Fields'!$C$2:$DG$2,0)),"")</f>
        <v/>
      </c>
      <c r="O14" s="179" t="str">
        <f ca="1">_xlfn.IFNA(INDEX('Calculated Fields'!$C:$DG,MATCH(Agent_wise!O$5,'Calculated Fields'!$B:$B,0),MATCH(Agent_wise!$A14,'Calculated Fields'!$C$2:$DG$2,0)),"")</f>
        <v/>
      </c>
      <c r="P14" s="179" t="str">
        <f ca="1">_xlfn.IFNA(INDEX('Calculated Fields'!$C:$DG,MATCH(Agent_wise!P$5,'Calculated Fields'!$B:$B,0),MATCH(Agent_wise!$A14,'Calculated Fields'!$C$2:$DG$2,0)),"")</f>
        <v/>
      </c>
      <c r="Q14" s="179" t="str">
        <f ca="1">_xlfn.IFNA(INDEX('Calculated Fields'!$C:$DG,MATCH(Agent_wise!Q$5,'Calculated Fields'!$B:$B,0),MATCH(Agent_wise!$A14,'Calculated Fields'!$C$2:$DG$2,0)),"")</f>
        <v/>
      </c>
      <c r="R14" s="179" t="str">
        <f ca="1">_xlfn.IFNA(INDEX('Calculated Fields'!$C:$DG,MATCH(Agent_wise!R$5,'Calculated Fields'!$B:$B,0),MATCH(Agent_wise!$A14,'Calculated Fields'!$C$2:$DG$2,0)),"")</f>
        <v/>
      </c>
      <c r="S14" s="179" t="str">
        <f ca="1">_xlfn.IFNA(INDEX('Calculated Fields'!$C:$DG,MATCH(Agent_wise!S$5,'Calculated Fields'!$B:$B,0),MATCH(Agent_wise!$A14,'Calculated Fields'!$C$2:$DG$2,0)),"")</f>
        <v/>
      </c>
      <c r="T14" s="179" t="str">
        <f ca="1">_xlfn.IFNA(INDEX('Calculated Fields'!$C:$DG,MATCH(Agent_wise!T$5,'Calculated Fields'!$B:$B,0),MATCH(Agent_wise!$A14,'Calculated Fields'!$C$2:$DG$2,0)),"")</f>
        <v/>
      </c>
      <c r="U14" s="179" t="str">
        <f ca="1">_xlfn.IFNA(INDEX('Calculated Fields'!$C:$DG,MATCH(Agent_wise!U$5,'Calculated Fields'!$B:$B,0),MATCH(Agent_wise!$A14,'Calculated Fields'!$C$2:$DG$2,0)),"")</f>
        <v/>
      </c>
      <c r="V14" s="179" t="str">
        <f ca="1">_xlfn.IFNA(INDEX('Calculated Fields'!$C:$DG,MATCH(Agent_wise!V$5,'Calculated Fields'!$B:$B,0),MATCH(Agent_wise!$A14,'Calculated Fields'!$C$2:$DG$2,0)),"")</f>
        <v/>
      </c>
      <c r="W14" s="179" t="str">
        <f ca="1">_xlfn.IFNA(INDEX('Calculated Fields'!$C:$DG,MATCH(Agent_wise!W$5,'Calculated Fields'!$B:$B,0),MATCH(Agent_wise!$A14,'Calculated Fields'!$C$2:$DG$2,0)),"")</f>
        <v/>
      </c>
      <c r="X14" s="179" t="str">
        <f ca="1">_xlfn.IFNA(INDEX('Calculated Fields'!$C:$DG,MATCH(Agent_wise!X$5,'Calculated Fields'!$B:$B,0),MATCH(Agent_wise!$A14,'Calculated Fields'!$C$2:$DG$2,0)),"")</f>
        <v/>
      </c>
      <c r="Y14" s="179" t="str">
        <f ca="1">_xlfn.IFNA(INDEX('Calculated Fields'!$C:$DG,MATCH(Agent_wise!Y$5,'Calculated Fields'!$B:$B,0),MATCH(Agent_wise!$A14,'Calculated Fields'!$C$2:$DG$2,0)),"")</f>
        <v/>
      </c>
      <c r="Z14" s="179" t="str">
        <f ca="1">_xlfn.IFNA(INDEX('Calculated Fields'!$C:$DG,MATCH(Agent_wise!Z$5,'Calculated Fields'!$B:$B,0),MATCH(Agent_wise!$A14,'Calculated Fields'!$C$2:$DG$2,0)),"")</f>
        <v/>
      </c>
      <c r="AA14" s="1"/>
      <c r="AB14" s="1"/>
      <c r="AC14" s="1"/>
      <c r="AD14" s="1"/>
      <c r="AE14" s="1"/>
      <c r="AF14" s="1"/>
      <c r="AG14" s="1"/>
      <c r="AH14" s="1"/>
    </row>
    <row r="15" spans="1:34" ht="15.75" customHeight="1">
      <c r="A15" s="177" t="s">
        <v>1074</v>
      </c>
      <c r="B15" s="178">
        <f ca="1">_xlfn.IFNA(INDEX('Calculated Fields'!$C:$DG,MATCH(Agent_wise!B$5,'Calculated Fields'!$B:$B,0),MATCH(Agent_wise!$A15,'Calculated Fields'!$C$2:$DG$2,0)),"")</f>
        <v>0</v>
      </c>
      <c r="C15" s="178">
        <f ca="1">_xlfn.IFNA(INDEX('Calculated Fields'!$C:$DG,MATCH(Agent_wise!C$5,'Calculated Fields'!$B:$B,0),MATCH(Agent_wise!$A15,'Calculated Fields'!$C$2:$DG$2,0)),"")</f>
        <v>0</v>
      </c>
      <c r="D15" s="178">
        <f ca="1">_xlfn.IFNA(INDEX('Calculated Fields'!$C:$DG,MATCH(Agent_wise!D$5,'Calculated Fields'!$B:$B,0),MATCH(Agent_wise!$A15,'Calculated Fields'!$C$2:$DG$2,0)),"")</f>
        <v>0.1111111111111111</v>
      </c>
      <c r="E15" s="178">
        <f ca="1">_xlfn.IFNA(INDEX('Calculated Fields'!$C:$DG,MATCH(Agent_wise!E$5,'Calculated Fields'!$B:$B,0),MATCH(Agent_wise!$A15,'Calculated Fields'!$C$2:$DG$2,0)),"")</f>
        <v>0</v>
      </c>
      <c r="F15" s="178">
        <f ca="1">_xlfn.IFNA(INDEX('Calculated Fields'!$C:$DG,MATCH(Agent_wise!F$5,'Calculated Fields'!$B:$B,0),MATCH(Agent_wise!$A15,'Calculated Fields'!$C$2:$DG$2,0)),"")</f>
        <v>0</v>
      </c>
      <c r="G15" s="178">
        <f ca="1">_xlfn.IFNA(INDEX('Calculated Fields'!$C:$DG,MATCH(Agent_wise!G$5,'Calculated Fields'!$B:$B,0),MATCH(Agent_wise!$A15,'Calculated Fields'!$C$2:$DG$2,0)),"")</f>
        <v>0.15272727272727274</v>
      </c>
      <c r="H15" s="178">
        <f ca="1">_xlfn.IFNA(INDEX('Calculated Fields'!$C:$DG,MATCH(Agent_wise!H$5,'Calculated Fields'!$B:$B,0),MATCH(Agent_wise!$A15,'Calculated Fields'!$C$2:$DG$2,0)),"")</f>
        <v>0</v>
      </c>
      <c r="I15" s="178">
        <f ca="1">_xlfn.IFNA(INDEX('Calculated Fields'!$C:$DG,MATCH(Agent_wise!I$5,'Calculated Fields'!$B:$B,0),MATCH(Agent_wise!$A15,'Calculated Fields'!$C$2:$DG$2,0)),"")</f>
        <v>0</v>
      </c>
      <c r="J15" s="178">
        <f ca="1">_xlfn.IFNA(INDEX('Calculated Fields'!$C:$DG,MATCH(Agent_wise!J$5,'Calculated Fields'!$B:$B,0),MATCH(Agent_wise!$A15,'Calculated Fields'!$C$2:$DG$2,0)),"")</f>
        <v>0</v>
      </c>
      <c r="K15" s="178">
        <f ca="1">_xlfn.IFNA(INDEX('Calculated Fields'!$C:$DG,MATCH(Agent_wise!K$5,'Calculated Fields'!$B:$B,0),MATCH(Agent_wise!$A15,'Calculated Fields'!$C$2:$DG$2,0)),"")</f>
        <v>0.375</v>
      </c>
      <c r="L15" s="179" t="str">
        <f ca="1">_xlfn.IFNA(INDEX('Calculated Fields'!$C:$DG,MATCH(Agent_wise!L$5,'Calculated Fields'!$B:$B,0),MATCH(Agent_wise!$A15,'Calculated Fields'!$C$2:$DG$2,0)),"")</f>
        <v/>
      </c>
      <c r="M15" s="179" t="str">
        <f ca="1">_xlfn.IFNA(INDEX('Calculated Fields'!$C:$DG,MATCH(Agent_wise!M$5,'Calculated Fields'!$B:$B,0),MATCH(Agent_wise!$A15,'Calculated Fields'!$C$2:$DG$2,0)),"")</f>
        <v/>
      </c>
      <c r="N15" s="179" t="str">
        <f ca="1">_xlfn.IFNA(INDEX('Calculated Fields'!$C:$DG,MATCH(Agent_wise!N$5,'Calculated Fields'!$B:$B,0),MATCH(Agent_wise!$A15,'Calculated Fields'!$C$2:$DG$2,0)),"")</f>
        <v/>
      </c>
      <c r="O15" s="179" t="str">
        <f ca="1">_xlfn.IFNA(INDEX('Calculated Fields'!$C:$DG,MATCH(Agent_wise!O$5,'Calculated Fields'!$B:$B,0),MATCH(Agent_wise!$A15,'Calculated Fields'!$C$2:$DG$2,0)),"")</f>
        <v/>
      </c>
      <c r="P15" s="179" t="str">
        <f ca="1">_xlfn.IFNA(INDEX('Calculated Fields'!$C:$DG,MATCH(Agent_wise!P$5,'Calculated Fields'!$B:$B,0),MATCH(Agent_wise!$A15,'Calculated Fields'!$C$2:$DG$2,0)),"")</f>
        <v/>
      </c>
      <c r="Q15" s="179" t="str">
        <f ca="1">_xlfn.IFNA(INDEX('Calculated Fields'!$C:$DG,MATCH(Agent_wise!Q$5,'Calculated Fields'!$B:$B,0),MATCH(Agent_wise!$A15,'Calculated Fields'!$C$2:$DG$2,0)),"")</f>
        <v/>
      </c>
      <c r="R15" s="179" t="str">
        <f ca="1">_xlfn.IFNA(INDEX('Calculated Fields'!$C:$DG,MATCH(Agent_wise!R$5,'Calculated Fields'!$B:$B,0),MATCH(Agent_wise!$A15,'Calculated Fields'!$C$2:$DG$2,0)),"")</f>
        <v/>
      </c>
      <c r="S15" s="179" t="str">
        <f ca="1">_xlfn.IFNA(INDEX('Calculated Fields'!$C:$DG,MATCH(Agent_wise!S$5,'Calculated Fields'!$B:$B,0),MATCH(Agent_wise!$A15,'Calculated Fields'!$C$2:$DG$2,0)),"")</f>
        <v/>
      </c>
      <c r="T15" s="179" t="str">
        <f ca="1">_xlfn.IFNA(INDEX('Calculated Fields'!$C:$DG,MATCH(Agent_wise!T$5,'Calculated Fields'!$B:$B,0),MATCH(Agent_wise!$A15,'Calculated Fields'!$C$2:$DG$2,0)),"")</f>
        <v/>
      </c>
      <c r="U15" s="179" t="str">
        <f ca="1">_xlfn.IFNA(INDEX('Calculated Fields'!$C:$DG,MATCH(Agent_wise!U$5,'Calculated Fields'!$B:$B,0),MATCH(Agent_wise!$A15,'Calculated Fields'!$C$2:$DG$2,0)),"")</f>
        <v/>
      </c>
      <c r="V15" s="179" t="str">
        <f ca="1">_xlfn.IFNA(INDEX('Calculated Fields'!$C:$DG,MATCH(Agent_wise!V$5,'Calculated Fields'!$B:$B,0),MATCH(Agent_wise!$A15,'Calculated Fields'!$C$2:$DG$2,0)),"")</f>
        <v/>
      </c>
      <c r="W15" s="179" t="str">
        <f ca="1">_xlfn.IFNA(INDEX('Calculated Fields'!$C:$DG,MATCH(Agent_wise!W$5,'Calculated Fields'!$B:$B,0),MATCH(Agent_wise!$A15,'Calculated Fields'!$C$2:$DG$2,0)),"")</f>
        <v/>
      </c>
      <c r="X15" s="179" t="str">
        <f ca="1">_xlfn.IFNA(INDEX('Calculated Fields'!$C:$DG,MATCH(Agent_wise!X$5,'Calculated Fields'!$B:$B,0),MATCH(Agent_wise!$A15,'Calculated Fields'!$C$2:$DG$2,0)),"")</f>
        <v/>
      </c>
      <c r="Y15" s="179" t="str">
        <f ca="1">_xlfn.IFNA(INDEX('Calculated Fields'!$C:$DG,MATCH(Agent_wise!Y$5,'Calculated Fields'!$B:$B,0),MATCH(Agent_wise!$A15,'Calculated Fields'!$C$2:$DG$2,0)),"")</f>
        <v/>
      </c>
      <c r="Z15" s="179" t="str">
        <f ca="1">_xlfn.IFNA(INDEX('Calculated Fields'!$C:$DG,MATCH(Agent_wise!Z$5,'Calculated Fields'!$B:$B,0),MATCH(Agent_wise!$A15,'Calculated Fields'!$C$2:$DG$2,0)),"")</f>
        <v/>
      </c>
      <c r="AA15" s="1"/>
      <c r="AB15" s="1"/>
      <c r="AC15" s="1"/>
      <c r="AD15" s="1"/>
      <c r="AE15" s="1"/>
      <c r="AF15" s="1"/>
      <c r="AG15" s="1"/>
      <c r="AH15" s="1"/>
    </row>
    <row r="16" spans="1:34" ht="15.75" customHeight="1">
      <c r="A16" s="177" t="s">
        <v>1002</v>
      </c>
      <c r="B16" s="178">
        <f ca="1">_xlfn.IFNA(INDEX('Calculated Fields'!$C:$DG,MATCH(Agent_wise!B$5,'Calculated Fields'!$B:$B,0),MATCH(Agent_wise!$A16,'Calculated Fields'!$C$2:$DG$2,0)),"")</f>
        <v>0</v>
      </c>
      <c r="C16" s="178">
        <f ca="1">_xlfn.IFNA(INDEX('Calculated Fields'!$C:$DG,MATCH(Agent_wise!C$5,'Calculated Fields'!$B:$B,0),MATCH(Agent_wise!$A16,'Calculated Fields'!$C$2:$DG$2,0)),"")</f>
        <v>100</v>
      </c>
      <c r="D16" s="178">
        <f ca="1">_xlfn.IFNA(INDEX('Calculated Fields'!$C:$DG,MATCH(Agent_wise!D$5,'Calculated Fields'!$B:$B,0),MATCH(Agent_wise!$A16,'Calculated Fields'!$C$2:$DG$2,0)),"")</f>
        <v>0</v>
      </c>
      <c r="E16" s="178">
        <f ca="1">_xlfn.IFNA(INDEX('Calculated Fields'!$C:$DG,MATCH(Agent_wise!E$5,'Calculated Fields'!$B:$B,0),MATCH(Agent_wise!$A16,'Calculated Fields'!$C$2:$DG$2,0)),"")</f>
        <v>0</v>
      </c>
      <c r="F16" s="178">
        <f ca="1">_xlfn.IFNA(INDEX('Calculated Fields'!$C:$DG,MATCH(Agent_wise!F$5,'Calculated Fields'!$B:$B,0),MATCH(Agent_wise!$A16,'Calculated Fields'!$C$2:$DG$2,0)),"")</f>
        <v>200</v>
      </c>
      <c r="G16" s="178">
        <f ca="1">_xlfn.IFNA(INDEX('Calculated Fields'!$C:$DG,MATCH(Agent_wise!G$5,'Calculated Fields'!$B:$B,0),MATCH(Agent_wise!$A16,'Calculated Fields'!$C$2:$DG$2,0)),"")</f>
        <v>0</v>
      </c>
      <c r="H16" s="178">
        <f ca="1">_xlfn.IFNA(INDEX('Calculated Fields'!$C:$DG,MATCH(Agent_wise!H$5,'Calculated Fields'!$B:$B,0),MATCH(Agent_wise!$A16,'Calculated Fields'!$C$2:$DG$2,0)),"")</f>
        <v>0</v>
      </c>
      <c r="I16" s="178">
        <f ca="1">_xlfn.IFNA(INDEX('Calculated Fields'!$C:$DG,MATCH(Agent_wise!I$5,'Calculated Fields'!$B:$B,0),MATCH(Agent_wise!$A16,'Calculated Fields'!$C$2:$DG$2,0)),"")</f>
        <v>200</v>
      </c>
      <c r="J16" s="178">
        <f ca="1">_xlfn.IFNA(INDEX('Calculated Fields'!$C:$DG,MATCH(Agent_wise!J$5,'Calculated Fields'!$B:$B,0),MATCH(Agent_wise!$A16,'Calculated Fields'!$C$2:$DG$2,0)),"")</f>
        <v>0</v>
      </c>
      <c r="K16" s="178">
        <f ca="1">_xlfn.IFNA(INDEX('Calculated Fields'!$C:$DG,MATCH(Agent_wise!K$5,'Calculated Fields'!$B:$B,0),MATCH(Agent_wise!$A16,'Calculated Fields'!$C$2:$DG$2,0)),"")</f>
        <v>0</v>
      </c>
      <c r="L16" s="179" t="str">
        <f ca="1">_xlfn.IFNA(INDEX('Calculated Fields'!$C:$DG,MATCH(Agent_wise!L$5,'Calculated Fields'!$B:$B,0),MATCH(Agent_wise!$A16,'Calculated Fields'!$C$2:$DG$2,0)),"")</f>
        <v/>
      </c>
      <c r="M16" s="179" t="str">
        <f ca="1">_xlfn.IFNA(INDEX('Calculated Fields'!$C:$DG,MATCH(Agent_wise!M$5,'Calculated Fields'!$B:$B,0),MATCH(Agent_wise!$A16,'Calculated Fields'!$C$2:$DG$2,0)),"")</f>
        <v/>
      </c>
      <c r="N16" s="179" t="str">
        <f ca="1">_xlfn.IFNA(INDEX('Calculated Fields'!$C:$DG,MATCH(Agent_wise!N$5,'Calculated Fields'!$B:$B,0),MATCH(Agent_wise!$A16,'Calculated Fields'!$C$2:$DG$2,0)),"")</f>
        <v/>
      </c>
      <c r="O16" s="179" t="str">
        <f ca="1">_xlfn.IFNA(INDEX('Calculated Fields'!$C:$DG,MATCH(Agent_wise!O$5,'Calculated Fields'!$B:$B,0),MATCH(Agent_wise!$A16,'Calculated Fields'!$C$2:$DG$2,0)),"")</f>
        <v/>
      </c>
      <c r="P16" s="179" t="str">
        <f ca="1">_xlfn.IFNA(INDEX('Calculated Fields'!$C:$DG,MATCH(Agent_wise!P$5,'Calculated Fields'!$B:$B,0),MATCH(Agent_wise!$A16,'Calculated Fields'!$C$2:$DG$2,0)),"")</f>
        <v/>
      </c>
      <c r="Q16" s="179" t="str">
        <f ca="1">_xlfn.IFNA(INDEX('Calculated Fields'!$C:$DG,MATCH(Agent_wise!Q$5,'Calculated Fields'!$B:$B,0),MATCH(Agent_wise!$A16,'Calculated Fields'!$C$2:$DG$2,0)),"")</f>
        <v/>
      </c>
      <c r="R16" s="179" t="str">
        <f ca="1">_xlfn.IFNA(INDEX('Calculated Fields'!$C:$DG,MATCH(Agent_wise!R$5,'Calculated Fields'!$B:$B,0),MATCH(Agent_wise!$A16,'Calculated Fields'!$C$2:$DG$2,0)),"")</f>
        <v/>
      </c>
      <c r="S16" s="179" t="str">
        <f ca="1">_xlfn.IFNA(INDEX('Calculated Fields'!$C:$DG,MATCH(Agent_wise!S$5,'Calculated Fields'!$B:$B,0),MATCH(Agent_wise!$A16,'Calculated Fields'!$C$2:$DG$2,0)),"")</f>
        <v/>
      </c>
      <c r="T16" s="179" t="str">
        <f ca="1">_xlfn.IFNA(INDEX('Calculated Fields'!$C:$DG,MATCH(Agent_wise!T$5,'Calculated Fields'!$B:$B,0),MATCH(Agent_wise!$A16,'Calculated Fields'!$C$2:$DG$2,0)),"")</f>
        <v/>
      </c>
      <c r="U16" s="179" t="str">
        <f ca="1">_xlfn.IFNA(INDEX('Calculated Fields'!$C:$DG,MATCH(Agent_wise!U$5,'Calculated Fields'!$B:$B,0),MATCH(Agent_wise!$A16,'Calculated Fields'!$C$2:$DG$2,0)),"")</f>
        <v/>
      </c>
      <c r="V16" s="179" t="str">
        <f ca="1">_xlfn.IFNA(INDEX('Calculated Fields'!$C:$DG,MATCH(Agent_wise!V$5,'Calculated Fields'!$B:$B,0),MATCH(Agent_wise!$A16,'Calculated Fields'!$C$2:$DG$2,0)),"")</f>
        <v/>
      </c>
      <c r="W16" s="179" t="str">
        <f ca="1">_xlfn.IFNA(INDEX('Calculated Fields'!$C:$DG,MATCH(Agent_wise!W$5,'Calculated Fields'!$B:$B,0),MATCH(Agent_wise!$A16,'Calculated Fields'!$C$2:$DG$2,0)),"")</f>
        <v/>
      </c>
      <c r="X16" s="179" t="str">
        <f ca="1">_xlfn.IFNA(INDEX('Calculated Fields'!$C:$DG,MATCH(Agent_wise!X$5,'Calculated Fields'!$B:$B,0),MATCH(Agent_wise!$A16,'Calculated Fields'!$C$2:$DG$2,0)),"")</f>
        <v/>
      </c>
      <c r="Y16" s="179" t="str">
        <f ca="1">_xlfn.IFNA(INDEX('Calculated Fields'!$C:$DG,MATCH(Agent_wise!Y$5,'Calculated Fields'!$B:$B,0),MATCH(Agent_wise!$A16,'Calculated Fields'!$C$2:$DG$2,0)),"")</f>
        <v/>
      </c>
      <c r="Z16" s="179" t="str">
        <f ca="1">_xlfn.IFNA(INDEX('Calculated Fields'!$C:$DG,MATCH(Agent_wise!Z$5,'Calculated Fields'!$B:$B,0),MATCH(Agent_wise!$A16,'Calculated Fields'!$C$2:$DG$2,0)),"")</f>
        <v/>
      </c>
      <c r="AA16" s="1"/>
      <c r="AB16" s="1"/>
      <c r="AC16" s="1"/>
      <c r="AD16" s="1"/>
      <c r="AE16" s="1"/>
      <c r="AF16" s="1"/>
      <c r="AG16" s="1"/>
      <c r="AH16" s="1"/>
    </row>
    <row r="17" spans="1:34" ht="15.75" customHeight="1">
      <c r="A17" s="177" t="s">
        <v>1003</v>
      </c>
      <c r="B17" s="178">
        <f ca="1">_xlfn.IFNA(INDEX('Calculated Fields'!$C:$DG,MATCH(Agent_wise!B$5,'Calculated Fields'!$B:$B,0),MATCH(Agent_wise!$A17,'Calculated Fields'!$C$2:$DG$2,0)),"")</f>
        <v>0</v>
      </c>
      <c r="C17" s="178">
        <f ca="1">_xlfn.IFNA(INDEX('Calculated Fields'!$C:$DG,MATCH(Agent_wise!C$5,'Calculated Fields'!$B:$B,0),MATCH(Agent_wise!$A17,'Calculated Fields'!$C$2:$DG$2,0)),"")</f>
        <v>1.9600156801254411E-2</v>
      </c>
      <c r="D17" s="178">
        <f ca="1">_xlfn.IFNA(INDEX('Calculated Fields'!$C:$DG,MATCH(Agent_wise!D$5,'Calculated Fields'!$B:$B,0),MATCH(Agent_wise!$A17,'Calculated Fields'!$C$2:$DG$2,0)),"")</f>
        <v>0</v>
      </c>
      <c r="E17" s="178">
        <f ca="1">_xlfn.IFNA(INDEX('Calculated Fields'!$C:$DG,MATCH(Agent_wise!E$5,'Calculated Fields'!$B:$B,0),MATCH(Agent_wise!$A17,'Calculated Fields'!$C$2:$DG$2,0)),"")</f>
        <v>0</v>
      </c>
      <c r="F17" s="178">
        <f ca="1">_xlfn.IFNA(INDEX('Calculated Fields'!$C:$DG,MATCH(Agent_wise!F$5,'Calculated Fields'!$B:$B,0),MATCH(Agent_wise!$A17,'Calculated Fields'!$C$2:$DG$2,0)),"")</f>
        <v>-6.0808756460929771</v>
      </c>
      <c r="G17" s="178">
        <f ca="1">_xlfn.IFNA(INDEX('Calculated Fields'!$C:$DG,MATCH(Agent_wise!G$5,'Calculated Fields'!$B:$B,0),MATCH(Agent_wise!$A17,'Calculated Fields'!$C$2:$DG$2,0)),"")</f>
        <v>0</v>
      </c>
      <c r="H17" s="178">
        <f ca="1">_xlfn.IFNA(INDEX('Calculated Fields'!$C:$DG,MATCH(Agent_wise!H$5,'Calculated Fields'!$B:$B,0),MATCH(Agent_wise!$A17,'Calculated Fields'!$C$2:$DG$2,0)),"")</f>
        <v>0</v>
      </c>
      <c r="I17" s="178">
        <f ca="1">_xlfn.IFNA(INDEX('Calculated Fields'!$C:$DG,MATCH(Agent_wise!I$5,'Calculated Fields'!$B:$B,0),MATCH(Agent_wise!$A17,'Calculated Fields'!$C$2:$DG$2,0)),"")</f>
        <v>1.3626252337753915E-2</v>
      </c>
      <c r="J17" s="178">
        <f ca="1">_xlfn.IFNA(INDEX('Calculated Fields'!$C:$DG,MATCH(Agent_wise!J$5,'Calculated Fields'!$B:$B,0),MATCH(Agent_wise!$A17,'Calculated Fields'!$C$2:$DG$2,0)),"")</f>
        <v>0</v>
      </c>
      <c r="K17" s="178">
        <f ca="1">_xlfn.IFNA(INDEX('Calculated Fields'!$C:$DG,MATCH(Agent_wise!K$5,'Calculated Fields'!$B:$B,0),MATCH(Agent_wise!$A17,'Calculated Fields'!$C$2:$DG$2,0)),"")</f>
        <v>0</v>
      </c>
      <c r="L17" s="179" t="str">
        <f ca="1">_xlfn.IFNA(INDEX('Calculated Fields'!$C:$DG,MATCH(Agent_wise!L$5,'Calculated Fields'!$B:$B,0),MATCH(Agent_wise!$A17,'Calculated Fields'!$C$2:$DG$2,0)),"")</f>
        <v/>
      </c>
      <c r="M17" s="179" t="str">
        <f ca="1">_xlfn.IFNA(INDEX('Calculated Fields'!$C:$DG,MATCH(Agent_wise!M$5,'Calculated Fields'!$B:$B,0),MATCH(Agent_wise!$A17,'Calculated Fields'!$C$2:$DG$2,0)),"")</f>
        <v/>
      </c>
      <c r="N17" s="179" t="str">
        <f ca="1">_xlfn.IFNA(INDEX('Calculated Fields'!$C:$DG,MATCH(Agent_wise!N$5,'Calculated Fields'!$B:$B,0),MATCH(Agent_wise!$A17,'Calculated Fields'!$C$2:$DG$2,0)),"")</f>
        <v/>
      </c>
      <c r="O17" s="179" t="str">
        <f ca="1">_xlfn.IFNA(INDEX('Calculated Fields'!$C:$DG,MATCH(Agent_wise!O$5,'Calculated Fields'!$B:$B,0),MATCH(Agent_wise!$A17,'Calculated Fields'!$C$2:$DG$2,0)),"")</f>
        <v/>
      </c>
      <c r="P17" s="179" t="str">
        <f ca="1">_xlfn.IFNA(INDEX('Calculated Fields'!$C:$DG,MATCH(Agent_wise!P$5,'Calculated Fields'!$B:$B,0),MATCH(Agent_wise!$A17,'Calculated Fields'!$C$2:$DG$2,0)),"")</f>
        <v/>
      </c>
      <c r="Q17" s="179" t="str">
        <f ca="1">_xlfn.IFNA(INDEX('Calculated Fields'!$C:$DG,MATCH(Agent_wise!Q$5,'Calculated Fields'!$B:$B,0),MATCH(Agent_wise!$A17,'Calculated Fields'!$C$2:$DG$2,0)),"")</f>
        <v/>
      </c>
      <c r="R17" s="179" t="str">
        <f ca="1">_xlfn.IFNA(INDEX('Calculated Fields'!$C:$DG,MATCH(Agent_wise!R$5,'Calculated Fields'!$B:$B,0),MATCH(Agent_wise!$A17,'Calculated Fields'!$C$2:$DG$2,0)),"")</f>
        <v/>
      </c>
      <c r="S17" s="179" t="str">
        <f ca="1">_xlfn.IFNA(INDEX('Calculated Fields'!$C:$DG,MATCH(Agent_wise!S$5,'Calculated Fields'!$B:$B,0),MATCH(Agent_wise!$A17,'Calculated Fields'!$C$2:$DG$2,0)),"")</f>
        <v/>
      </c>
      <c r="T17" s="179" t="str">
        <f ca="1">_xlfn.IFNA(INDEX('Calculated Fields'!$C:$DG,MATCH(Agent_wise!T$5,'Calculated Fields'!$B:$B,0),MATCH(Agent_wise!$A17,'Calculated Fields'!$C$2:$DG$2,0)),"")</f>
        <v/>
      </c>
      <c r="U17" s="179" t="str">
        <f ca="1">_xlfn.IFNA(INDEX('Calculated Fields'!$C:$DG,MATCH(Agent_wise!U$5,'Calculated Fields'!$B:$B,0),MATCH(Agent_wise!$A17,'Calculated Fields'!$C$2:$DG$2,0)),"")</f>
        <v/>
      </c>
      <c r="V17" s="179" t="str">
        <f ca="1">_xlfn.IFNA(INDEX('Calculated Fields'!$C:$DG,MATCH(Agent_wise!V$5,'Calculated Fields'!$B:$B,0),MATCH(Agent_wise!$A17,'Calculated Fields'!$C$2:$DG$2,0)),"")</f>
        <v/>
      </c>
      <c r="W17" s="179" t="str">
        <f ca="1">_xlfn.IFNA(INDEX('Calculated Fields'!$C:$DG,MATCH(Agent_wise!W$5,'Calculated Fields'!$B:$B,0),MATCH(Agent_wise!$A17,'Calculated Fields'!$C$2:$DG$2,0)),"")</f>
        <v/>
      </c>
      <c r="X17" s="179" t="str">
        <f ca="1">_xlfn.IFNA(INDEX('Calculated Fields'!$C:$DG,MATCH(Agent_wise!X$5,'Calculated Fields'!$B:$B,0),MATCH(Agent_wise!$A17,'Calculated Fields'!$C$2:$DG$2,0)),"")</f>
        <v/>
      </c>
      <c r="Y17" s="179" t="str">
        <f ca="1">_xlfn.IFNA(INDEX('Calculated Fields'!$C:$DG,MATCH(Agent_wise!Y$5,'Calculated Fields'!$B:$B,0),MATCH(Agent_wise!$A17,'Calculated Fields'!$C$2:$DG$2,0)),"")</f>
        <v/>
      </c>
      <c r="Z17" s="179" t="str">
        <f ca="1">_xlfn.IFNA(INDEX('Calculated Fields'!$C:$DG,MATCH(Agent_wise!Z$5,'Calculated Fields'!$B:$B,0),MATCH(Agent_wise!$A17,'Calculated Fields'!$C$2:$DG$2,0)),"")</f>
        <v/>
      </c>
      <c r="AA17" s="1"/>
      <c r="AB17" s="1"/>
      <c r="AC17" s="1"/>
      <c r="AD17" s="1"/>
      <c r="AE17" s="1"/>
      <c r="AF17" s="1"/>
      <c r="AG17" s="1"/>
      <c r="AH17" s="1"/>
    </row>
    <row r="18" spans="1:34" ht="15.75" customHeight="1">
      <c r="A18" s="177" t="s">
        <v>80</v>
      </c>
      <c r="B18" s="178">
        <f ca="1">_xlfn.IFNA(INDEX('Calculated Fields'!$C:$DG,MATCH(Agent_wise!B$5,'Calculated Fields'!$B:$B,0),MATCH(Agent_wise!$A18,'Calculated Fields'!$C$2:$DG$2,0)),"")</f>
        <v>0</v>
      </c>
      <c r="C18" s="178">
        <f ca="1">_xlfn.IFNA(INDEX('Calculated Fields'!$C:$DG,MATCH(Agent_wise!C$5,'Calculated Fields'!$B:$B,0),MATCH(Agent_wise!$A18,'Calculated Fields'!$C$2:$DG$2,0)),"")</f>
        <v>0</v>
      </c>
      <c r="D18" s="178">
        <f ca="1">_xlfn.IFNA(INDEX('Calculated Fields'!$C:$DG,MATCH(Agent_wise!D$5,'Calculated Fields'!$B:$B,0),MATCH(Agent_wise!$A18,'Calculated Fields'!$C$2:$DG$2,0)),"")</f>
        <v>0</v>
      </c>
      <c r="E18" s="178">
        <f ca="1">_xlfn.IFNA(INDEX('Calculated Fields'!$C:$DG,MATCH(Agent_wise!E$5,'Calculated Fields'!$B:$B,0),MATCH(Agent_wise!$A18,'Calculated Fields'!$C$2:$DG$2,0)),"")</f>
        <v>0</v>
      </c>
      <c r="F18" s="178">
        <f ca="1">_xlfn.IFNA(INDEX('Calculated Fields'!$C:$DG,MATCH(Agent_wise!F$5,'Calculated Fields'!$B:$B,0),MATCH(Agent_wise!$A18,'Calculated Fields'!$C$2:$DG$2,0)),"")</f>
        <v>0</v>
      </c>
      <c r="G18" s="178">
        <f ca="1">_xlfn.IFNA(INDEX('Calculated Fields'!$C:$DG,MATCH(Agent_wise!G$5,'Calculated Fields'!$B:$B,0),MATCH(Agent_wise!$A18,'Calculated Fields'!$C$2:$DG$2,0)),"")</f>
        <v>0</v>
      </c>
      <c r="H18" s="178">
        <f ca="1">_xlfn.IFNA(INDEX('Calculated Fields'!$C:$DG,MATCH(Agent_wise!H$5,'Calculated Fields'!$B:$B,0),MATCH(Agent_wise!$A18,'Calculated Fields'!$C$2:$DG$2,0)),"")</f>
        <v>0</v>
      </c>
      <c r="I18" s="178">
        <f ca="1">_xlfn.IFNA(INDEX('Calculated Fields'!$C:$DG,MATCH(Agent_wise!I$5,'Calculated Fields'!$B:$B,0),MATCH(Agent_wise!$A18,'Calculated Fields'!$C$2:$DG$2,0)),"")</f>
        <v>0</v>
      </c>
      <c r="J18" s="178">
        <f ca="1">_xlfn.IFNA(INDEX('Calculated Fields'!$C:$DG,MATCH(Agent_wise!J$5,'Calculated Fields'!$B:$B,0),MATCH(Agent_wise!$A18,'Calculated Fields'!$C$2:$DG$2,0)),"")</f>
        <v>-94</v>
      </c>
      <c r="K18" s="178">
        <f ca="1">_xlfn.IFNA(INDEX('Calculated Fields'!$C:$DG,MATCH(Agent_wise!K$5,'Calculated Fields'!$B:$B,0),MATCH(Agent_wise!$A18,'Calculated Fields'!$C$2:$DG$2,0)),"")</f>
        <v>140</v>
      </c>
      <c r="L18" s="179" t="str">
        <f ca="1">_xlfn.IFNA(INDEX('Calculated Fields'!$C:$DG,MATCH(Agent_wise!L$5,'Calculated Fields'!$B:$B,0),MATCH(Agent_wise!$A18,'Calculated Fields'!$C$2:$DG$2,0)),"")</f>
        <v/>
      </c>
      <c r="M18" s="179" t="str">
        <f ca="1">_xlfn.IFNA(INDEX('Calculated Fields'!$C:$DG,MATCH(Agent_wise!M$5,'Calculated Fields'!$B:$B,0),MATCH(Agent_wise!$A18,'Calculated Fields'!$C$2:$DG$2,0)),"")</f>
        <v/>
      </c>
      <c r="N18" s="179" t="str">
        <f ca="1">_xlfn.IFNA(INDEX('Calculated Fields'!$C:$DG,MATCH(Agent_wise!N$5,'Calculated Fields'!$B:$B,0),MATCH(Agent_wise!$A18,'Calculated Fields'!$C$2:$DG$2,0)),"")</f>
        <v/>
      </c>
      <c r="O18" s="179" t="str">
        <f ca="1">_xlfn.IFNA(INDEX('Calculated Fields'!$C:$DG,MATCH(Agent_wise!O$5,'Calculated Fields'!$B:$B,0),MATCH(Agent_wise!$A18,'Calculated Fields'!$C$2:$DG$2,0)),"")</f>
        <v/>
      </c>
      <c r="P18" s="179" t="str">
        <f ca="1">_xlfn.IFNA(INDEX('Calculated Fields'!$C:$DG,MATCH(Agent_wise!P$5,'Calculated Fields'!$B:$B,0),MATCH(Agent_wise!$A18,'Calculated Fields'!$C$2:$DG$2,0)),"")</f>
        <v/>
      </c>
      <c r="Q18" s="179" t="str">
        <f ca="1">_xlfn.IFNA(INDEX('Calculated Fields'!$C:$DG,MATCH(Agent_wise!Q$5,'Calculated Fields'!$B:$B,0),MATCH(Agent_wise!$A18,'Calculated Fields'!$C$2:$DG$2,0)),"")</f>
        <v/>
      </c>
      <c r="R18" s="179" t="str">
        <f ca="1">_xlfn.IFNA(INDEX('Calculated Fields'!$C:$DG,MATCH(Agent_wise!R$5,'Calculated Fields'!$B:$B,0),MATCH(Agent_wise!$A18,'Calculated Fields'!$C$2:$DG$2,0)),"")</f>
        <v/>
      </c>
      <c r="S18" s="179" t="str">
        <f ca="1">_xlfn.IFNA(INDEX('Calculated Fields'!$C:$DG,MATCH(Agent_wise!S$5,'Calculated Fields'!$B:$B,0),MATCH(Agent_wise!$A18,'Calculated Fields'!$C$2:$DG$2,0)),"")</f>
        <v/>
      </c>
      <c r="T18" s="179" t="str">
        <f ca="1">_xlfn.IFNA(INDEX('Calculated Fields'!$C:$DG,MATCH(Agent_wise!T$5,'Calculated Fields'!$B:$B,0),MATCH(Agent_wise!$A18,'Calculated Fields'!$C$2:$DG$2,0)),"")</f>
        <v/>
      </c>
      <c r="U18" s="179" t="str">
        <f ca="1">_xlfn.IFNA(INDEX('Calculated Fields'!$C:$DG,MATCH(Agent_wise!U$5,'Calculated Fields'!$B:$B,0),MATCH(Agent_wise!$A18,'Calculated Fields'!$C$2:$DG$2,0)),"")</f>
        <v/>
      </c>
      <c r="V18" s="179" t="str">
        <f ca="1">_xlfn.IFNA(INDEX('Calculated Fields'!$C:$DG,MATCH(Agent_wise!V$5,'Calculated Fields'!$B:$B,0),MATCH(Agent_wise!$A18,'Calculated Fields'!$C$2:$DG$2,0)),"")</f>
        <v/>
      </c>
      <c r="W18" s="179" t="str">
        <f ca="1">_xlfn.IFNA(INDEX('Calculated Fields'!$C:$DG,MATCH(Agent_wise!W$5,'Calculated Fields'!$B:$B,0),MATCH(Agent_wise!$A18,'Calculated Fields'!$C$2:$DG$2,0)),"")</f>
        <v/>
      </c>
      <c r="X18" s="179" t="str">
        <f ca="1">_xlfn.IFNA(INDEX('Calculated Fields'!$C:$DG,MATCH(Agent_wise!X$5,'Calculated Fields'!$B:$B,0),MATCH(Agent_wise!$A18,'Calculated Fields'!$C$2:$DG$2,0)),"")</f>
        <v/>
      </c>
      <c r="Y18" s="179" t="str">
        <f ca="1">_xlfn.IFNA(INDEX('Calculated Fields'!$C:$DG,MATCH(Agent_wise!Y$5,'Calculated Fields'!$B:$B,0),MATCH(Agent_wise!$A18,'Calculated Fields'!$C$2:$DG$2,0)),"")</f>
        <v/>
      </c>
      <c r="Z18" s="179" t="str">
        <f ca="1">_xlfn.IFNA(INDEX('Calculated Fields'!$C:$DG,MATCH(Agent_wise!Z$5,'Calculated Fields'!$B:$B,0),MATCH(Agent_wise!$A18,'Calculated Fields'!$C$2:$DG$2,0)),"")</f>
        <v/>
      </c>
      <c r="AA18" s="1"/>
      <c r="AB18" s="1"/>
      <c r="AC18" s="1"/>
      <c r="AD18" s="1"/>
      <c r="AE18" s="1"/>
      <c r="AF18" s="1"/>
      <c r="AG18" s="1"/>
      <c r="AH18" s="1"/>
    </row>
    <row r="19" spans="1:34" ht="15.75" customHeight="1">
      <c r="A19" s="177" t="s">
        <v>84</v>
      </c>
      <c r="B19" s="178">
        <f ca="1">_xlfn.IFNA(INDEX('Calculated Fields'!$C:$DG,MATCH(Agent_wise!B$5,'Calculated Fields'!$B:$B,0),MATCH(Agent_wise!$A19,'Calculated Fields'!$C$2:$DG$2,0)),"")</f>
        <v>434</v>
      </c>
      <c r="C19" s="178">
        <f ca="1">_xlfn.IFNA(INDEX('Calculated Fields'!$C:$DG,MATCH(Agent_wise!C$5,'Calculated Fields'!$B:$B,0),MATCH(Agent_wise!$A19,'Calculated Fields'!$C$2:$DG$2,0)),"")</f>
        <v>250</v>
      </c>
      <c r="D19" s="178">
        <f ca="1">_xlfn.IFNA(INDEX('Calculated Fields'!$C:$DG,MATCH(Agent_wise!D$5,'Calculated Fields'!$B:$B,0),MATCH(Agent_wise!$A19,'Calculated Fields'!$C$2:$DG$2,0)),"")</f>
        <v>285</v>
      </c>
      <c r="E19" s="178">
        <f ca="1">_xlfn.IFNA(INDEX('Calculated Fields'!$C:$DG,MATCH(Agent_wise!E$5,'Calculated Fields'!$B:$B,0),MATCH(Agent_wise!$A19,'Calculated Fields'!$C$2:$DG$2,0)),"")</f>
        <v>-6</v>
      </c>
      <c r="F19" s="178">
        <f ca="1">_xlfn.IFNA(INDEX('Calculated Fields'!$C:$DG,MATCH(Agent_wise!F$5,'Calculated Fields'!$B:$B,0),MATCH(Agent_wise!$A19,'Calculated Fields'!$C$2:$DG$2,0)),"")</f>
        <v>337</v>
      </c>
      <c r="G19" s="178">
        <f ca="1">_xlfn.IFNA(INDEX('Calculated Fields'!$C:$DG,MATCH(Agent_wise!G$5,'Calculated Fields'!$B:$B,0),MATCH(Agent_wise!$A19,'Calculated Fields'!$C$2:$DG$2,0)),"")</f>
        <v>302</v>
      </c>
      <c r="H19" s="178">
        <f ca="1">_xlfn.IFNA(INDEX('Calculated Fields'!$C:$DG,MATCH(Agent_wise!H$5,'Calculated Fields'!$B:$B,0),MATCH(Agent_wise!$A19,'Calculated Fields'!$C$2:$DG$2,0)),"")</f>
        <v>190</v>
      </c>
      <c r="I19" s="178">
        <f ca="1">_xlfn.IFNA(INDEX('Calculated Fields'!$C:$DG,MATCH(Agent_wise!I$5,'Calculated Fields'!$B:$B,0),MATCH(Agent_wise!$A19,'Calculated Fields'!$C$2:$DG$2,0)),"")</f>
        <v>706</v>
      </c>
      <c r="J19" s="178">
        <f ca="1">_xlfn.IFNA(INDEX('Calculated Fields'!$C:$DG,MATCH(Agent_wise!J$5,'Calculated Fields'!$B:$B,0),MATCH(Agent_wise!$A19,'Calculated Fields'!$C$2:$DG$2,0)),"")</f>
        <v>425</v>
      </c>
      <c r="K19" s="178">
        <f ca="1">_xlfn.IFNA(INDEX('Calculated Fields'!$C:$DG,MATCH(Agent_wise!K$5,'Calculated Fields'!$B:$B,0),MATCH(Agent_wise!$A19,'Calculated Fields'!$C$2:$DG$2,0)),"")</f>
        <v>332</v>
      </c>
      <c r="L19" s="179" t="str">
        <f ca="1">_xlfn.IFNA(INDEX('Calculated Fields'!$C:$DG,MATCH(Agent_wise!L$5,'Calculated Fields'!$B:$B,0),MATCH(Agent_wise!$A19,'Calculated Fields'!$C$2:$DG$2,0)),"")</f>
        <v/>
      </c>
      <c r="M19" s="179" t="str">
        <f ca="1">_xlfn.IFNA(INDEX('Calculated Fields'!$C:$DG,MATCH(Agent_wise!M$5,'Calculated Fields'!$B:$B,0),MATCH(Agent_wise!$A19,'Calculated Fields'!$C$2:$DG$2,0)),"")</f>
        <v/>
      </c>
      <c r="N19" s="179" t="str">
        <f ca="1">_xlfn.IFNA(INDEX('Calculated Fields'!$C:$DG,MATCH(Agent_wise!N$5,'Calculated Fields'!$B:$B,0),MATCH(Agent_wise!$A19,'Calculated Fields'!$C$2:$DG$2,0)),"")</f>
        <v/>
      </c>
      <c r="O19" s="179" t="str">
        <f ca="1">_xlfn.IFNA(INDEX('Calculated Fields'!$C:$DG,MATCH(Agent_wise!O$5,'Calculated Fields'!$B:$B,0),MATCH(Agent_wise!$A19,'Calculated Fields'!$C$2:$DG$2,0)),"")</f>
        <v/>
      </c>
      <c r="P19" s="179" t="str">
        <f ca="1">_xlfn.IFNA(INDEX('Calculated Fields'!$C:$DG,MATCH(Agent_wise!P$5,'Calculated Fields'!$B:$B,0),MATCH(Agent_wise!$A19,'Calculated Fields'!$C$2:$DG$2,0)),"")</f>
        <v/>
      </c>
      <c r="Q19" s="179" t="str">
        <f ca="1">_xlfn.IFNA(INDEX('Calculated Fields'!$C:$DG,MATCH(Agent_wise!Q$5,'Calculated Fields'!$B:$B,0),MATCH(Agent_wise!$A19,'Calculated Fields'!$C$2:$DG$2,0)),"")</f>
        <v/>
      </c>
      <c r="R19" s="179" t="str">
        <f ca="1">_xlfn.IFNA(INDEX('Calculated Fields'!$C:$DG,MATCH(Agent_wise!R$5,'Calculated Fields'!$B:$B,0),MATCH(Agent_wise!$A19,'Calculated Fields'!$C$2:$DG$2,0)),"")</f>
        <v/>
      </c>
      <c r="S19" s="179" t="str">
        <f ca="1">_xlfn.IFNA(INDEX('Calculated Fields'!$C:$DG,MATCH(Agent_wise!S$5,'Calculated Fields'!$B:$B,0),MATCH(Agent_wise!$A19,'Calculated Fields'!$C$2:$DG$2,0)),"")</f>
        <v/>
      </c>
      <c r="T19" s="179" t="str">
        <f ca="1">_xlfn.IFNA(INDEX('Calculated Fields'!$C:$DG,MATCH(Agent_wise!T$5,'Calculated Fields'!$B:$B,0),MATCH(Agent_wise!$A19,'Calculated Fields'!$C$2:$DG$2,0)),"")</f>
        <v/>
      </c>
      <c r="U19" s="179" t="str">
        <f ca="1">_xlfn.IFNA(INDEX('Calculated Fields'!$C:$DG,MATCH(Agent_wise!U$5,'Calculated Fields'!$B:$B,0),MATCH(Agent_wise!$A19,'Calculated Fields'!$C$2:$DG$2,0)),"")</f>
        <v/>
      </c>
      <c r="V19" s="179" t="str">
        <f ca="1">_xlfn.IFNA(INDEX('Calculated Fields'!$C:$DG,MATCH(Agent_wise!V$5,'Calculated Fields'!$B:$B,0),MATCH(Agent_wise!$A19,'Calculated Fields'!$C$2:$DG$2,0)),"")</f>
        <v/>
      </c>
      <c r="W19" s="179" t="str">
        <f ca="1">_xlfn.IFNA(INDEX('Calculated Fields'!$C:$DG,MATCH(Agent_wise!W$5,'Calculated Fields'!$B:$B,0),MATCH(Agent_wise!$A19,'Calculated Fields'!$C$2:$DG$2,0)),"")</f>
        <v/>
      </c>
      <c r="X19" s="179" t="str">
        <f ca="1">_xlfn.IFNA(INDEX('Calculated Fields'!$C:$DG,MATCH(Agent_wise!X$5,'Calculated Fields'!$B:$B,0),MATCH(Agent_wise!$A19,'Calculated Fields'!$C$2:$DG$2,0)),"")</f>
        <v/>
      </c>
      <c r="Y19" s="179" t="str">
        <f ca="1">_xlfn.IFNA(INDEX('Calculated Fields'!$C:$DG,MATCH(Agent_wise!Y$5,'Calculated Fields'!$B:$B,0),MATCH(Agent_wise!$A19,'Calculated Fields'!$C$2:$DG$2,0)),"")</f>
        <v/>
      </c>
      <c r="Z19" s="179" t="str">
        <f ca="1">_xlfn.IFNA(INDEX('Calculated Fields'!$C:$DG,MATCH(Agent_wise!Z$5,'Calculated Fields'!$B:$B,0),MATCH(Agent_wise!$A19,'Calculated Fields'!$C$2:$DG$2,0)),"")</f>
        <v/>
      </c>
      <c r="AA19" s="1"/>
      <c r="AB19" s="1"/>
      <c r="AC19" s="1"/>
      <c r="AD19" s="1"/>
      <c r="AE19" s="1"/>
      <c r="AF19" s="1"/>
      <c r="AG19" s="1"/>
      <c r="AH19" s="1"/>
    </row>
    <row r="20" spans="1:34" ht="15.75" customHeight="1">
      <c r="A20" s="177" t="s">
        <v>69</v>
      </c>
      <c r="B20" s="178">
        <f ca="1">_xlfn.IFNA(INDEX('Calculated Fields'!$C:$DG,MATCH(Agent_wise!B$5,'Calculated Fields'!$B:$B,0),MATCH(Agent_wise!$A20,'Calculated Fields'!$C$2:$DG$2,0)),"")</f>
        <v>1075</v>
      </c>
      <c r="C20" s="178">
        <f ca="1">_xlfn.IFNA(INDEX('Calculated Fields'!$C:$DG,MATCH(Agent_wise!C$5,'Calculated Fields'!$B:$B,0),MATCH(Agent_wise!$A20,'Calculated Fields'!$C$2:$DG$2,0)),"")</f>
        <v>646</v>
      </c>
      <c r="D20" s="178">
        <f ca="1">_xlfn.IFNA(INDEX('Calculated Fields'!$C:$DG,MATCH(Agent_wise!D$5,'Calculated Fields'!$B:$B,0),MATCH(Agent_wise!$A20,'Calculated Fields'!$C$2:$DG$2,0)),"")</f>
        <v>435</v>
      </c>
      <c r="E20" s="178">
        <f ca="1">_xlfn.IFNA(INDEX('Calculated Fields'!$C:$DG,MATCH(Agent_wise!E$5,'Calculated Fields'!$B:$B,0),MATCH(Agent_wise!$A20,'Calculated Fields'!$C$2:$DG$2,0)),"")</f>
        <v>-70</v>
      </c>
      <c r="F20" s="178">
        <f ca="1">_xlfn.IFNA(INDEX('Calculated Fields'!$C:$DG,MATCH(Agent_wise!F$5,'Calculated Fields'!$B:$B,0),MATCH(Agent_wise!$A20,'Calculated Fields'!$C$2:$DG$2,0)),"")</f>
        <v>290</v>
      </c>
      <c r="G20" s="178">
        <f ca="1">_xlfn.IFNA(INDEX('Calculated Fields'!$C:$DG,MATCH(Agent_wise!G$5,'Calculated Fields'!$B:$B,0),MATCH(Agent_wise!$A20,'Calculated Fields'!$C$2:$DG$2,0)),"")</f>
        <v>520</v>
      </c>
      <c r="H20" s="178">
        <f ca="1">_xlfn.IFNA(INDEX('Calculated Fields'!$C:$DG,MATCH(Agent_wise!H$5,'Calculated Fields'!$B:$B,0),MATCH(Agent_wise!$A20,'Calculated Fields'!$C$2:$DG$2,0)),"")</f>
        <v>440</v>
      </c>
      <c r="I20" s="178">
        <f ca="1">_xlfn.IFNA(INDEX('Calculated Fields'!$C:$DG,MATCH(Agent_wise!I$5,'Calculated Fields'!$B:$B,0),MATCH(Agent_wise!$A20,'Calculated Fields'!$C$2:$DG$2,0)),"")</f>
        <v>1209</v>
      </c>
      <c r="J20" s="178">
        <f ca="1">_xlfn.IFNA(INDEX('Calculated Fields'!$C:$DG,MATCH(Agent_wise!J$5,'Calculated Fields'!$B:$B,0),MATCH(Agent_wise!$A20,'Calculated Fields'!$C$2:$DG$2,0)),"")</f>
        <v>425</v>
      </c>
      <c r="K20" s="178">
        <f ca="1">_xlfn.IFNA(INDEX('Calculated Fields'!$C:$DG,MATCH(Agent_wise!K$5,'Calculated Fields'!$B:$B,0),MATCH(Agent_wise!$A20,'Calculated Fields'!$C$2:$DG$2,0)),"")</f>
        <v>1385</v>
      </c>
      <c r="L20" s="179" t="str">
        <f ca="1">_xlfn.IFNA(INDEX('Calculated Fields'!$C:$DG,MATCH(Agent_wise!L$5,'Calculated Fields'!$B:$B,0),MATCH(Agent_wise!$A20,'Calculated Fields'!$C$2:$DG$2,0)),"")</f>
        <v/>
      </c>
      <c r="M20" s="179" t="str">
        <f ca="1">_xlfn.IFNA(INDEX('Calculated Fields'!$C:$DG,MATCH(Agent_wise!M$5,'Calculated Fields'!$B:$B,0),MATCH(Agent_wise!$A20,'Calculated Fields'!$C$2:$DG$2,0)),"")</f>
        <v/>
      </c>
      <c r="N20" s="179" t="str">
        <f ca="1">_xlfn.IFNA(INDEX('Calculated Fields'!$C:$DG,MATCH(Agent_wise!N$5,'Calculated Fields'!$B:$B,0),MATCH(Agent_wise!$A20,'Calculated Fields'!$C$2:$DG$2,0)),"")</f>
        <v/>
      </c>
      <c r="O20" s="179" t="str">
        <f ca="1">_xlfn.IFNA(INDEX('Calculated Fields'!$C:$DG,MATCH(Agent_wise!O$5,'Calculated Fields'!$B:$B,0),MATCH(Agent_wise!$A20,'Calculated Fields'!$C$2:$DG$2,0)),"")</f>
        <v/>
      </c>
      <c r="P20" s="179" t="str">
        <f ca="1">_xlfn.IFNA(INDEX('Calculated Fields'!$C:$DG,MATCH(Agent_wise!P$5,'Calculated Fields'!$B:$B,0),MATCH(Agent_wise!$A20,'Calculated Fields'!$C$2:$DG$2,0)),"")</f>
        <v/>
      </c>
      <c r="Q20" s="179" t="str">
        <f ca="1">_xlfn.IFNA(INDEX('Calculated Fields'!$C:$DG,MATCH(Agent_wise!Q$5,'Calculated Fields'!$B:$B,0),MATCH(Agent_wise!$A20,'Calculated Fields'!$C$2:$DG$2,0)),"")</f>
        <v/>
      </c>
      <c r="R20" s="179" t="str">
        <f ca="1">_xlfn.IFNA(INDEX('Calculated Fields'!$C:$DG,MATCH(Agent_wise!R$5,'Calculated Fields'!$B:$B,0),MATCH(Agent_wise!$A20,'Calculated Fields'!$C$2:$DG$2,0)),"")</f>
        <v/>
      </c>
      <c r="S20" s="179" t="str">
        <f ca="1">_xlfn.IFNA(INDEX('Calculated Fields'!$C:$DG,MATCH(Agent_wise!S$5,'Calculated Fields'!$B:$B,0),MATCH(Agent_wise!$A20,'Calculated Fields'!$C$2:$DG$2,0)),"")</f>
        <v/>
      </c>
      <c r="T20" s="179" t="str">
        <f ca="1">_xlfn.IFNA(INDEX('Calculated Fields'!$C:$DG,MATCH(Agent_wise!T$5,'Calculated Fields'!$B:$B,0),MATCH(Agent_wise!$A20,'Calculated Fields'!$C$2:$DG$2,0)),"")</f>
        <v/>
      </c>
      <c r="U20" s="179" t="str">
        <f ca="1">_xlfn.IFNA(INDEX('Calculated Fields'!$C:$DG,MATCH(Agent_wise!U$5,'Calculated Fields'!$B:$B,0),MATCH(Agent_wise!$A20,'Calculated Fields'!$C$2:$DG$2,0)),"")</f>
        <v/>
      </c>
      <c r="V20" s="179" t="str">
        <f ca="1">_xlfn.IFNA(INDEX('Calculated Fields'!$C:$DG,MATCH(Agent_wise!V$5,'Calculated Fields'!$B:$B,0),MATCH(Agent_wise!$A20,'Calculated Fields'!$C$2:$DG$2,0)),"")</f>
        <v/>
      </c>
      <c r="W20" s="179" t="str">
        <f ca="1">_xlfn.IFNA(INDEX('Calculated Fields'!$C:$DG,MATCH(Agent_wise!W$5,'Calculated Fields'!$B:$B,0),MATCH(Agent_wise!$A20,'Calculated Fields'!$C$2:$DG$2,0)),"")</f>
        <v/>
      </c>
      <c r="X20" s="179" t="str">
        <f ca="1">_xlfn.IFNA(INDEX('Calculated Fields'!$C:$DG,MATCH(Agent_wise!X$5,'Calculated Fields'!$B:$B,0),MATCH(Agent_wise!$A20,'Calculated Fields'!$C$2:$DG$2,0)),"")</f>
        <v/>
      </c>
      <c r="Y20" s="179" t="str">
        <f ca="1">_xlfn.IFNA(INDEX('Calculated Fields'!$C:$DG,MATCH(Agent_wise!Y$5,'Calculated Fields'!$B:$B,0),MATCH(Agent_wise!$A20,'Calculated Fields'!$C$2:$DG$2,0)),"")</f>
        <v/>
      </c>
      <c r="Z20" s="179" t="str">
        <f ca="1">_xlfn.IFNA(INDEX('Calculated Fields'!$C:$DG,MATCH(Agent_wise!Z$5,'Calculated Fields'!$B:$B,0),MATCH(Agent_wise!$A20,'Calculated Fields'!$C$2:$DG$2,0)),"")</f>
        <v/>
      </c>
      <c r="AA20" s="1"/>
      <c r="AB20" s="1"/>
      <c r="AC20" s="1"/>
      <c r="AD20" s="1"/>
      <c r="AE20" s="1"/>
      <c r="AF20" s="1"/>
      <c r="AG20" s="1"/>
      <c r="AH20" s="1"/>
    </row>
    <row r="21" spans="1:34" ht="15.75" customHeight="1">
      <c r="A21" s="177" t="s">
        <v>82</v>
      </c>
      <c r="B21" s="178">
        <f ca="1">_xlfn.IFNA(INDEX('Calculated Fields'!$C:$DG,MATCH(Agent_wise!B$5,'Calculated Fields'!$B:$B,0),MATCH(Agent_wise!$A21,'Calculated Fields'!$C$2:$DG$2,0)),"")</f>
        <v>645</v>
      </c>
      <c r="C21" s="178">
        <f ca="1">_xlfn.IFNA(INDEX('Calculated Fields'!$C:$DG,MATCH(Agent_wise!C$5,'Calculated Fields'!$B:$B,0),MATCH(Agent_wise!$A21,'Calculated Fields'!$C$2:$DG$2,0)),"")</f>
        <v>16</v>
      </c>
      <c r="D21" s="178">
        <f ca="1">_xlfn.IFNA(INDEX('Calculated Fields'!$C:$DG,MATCH(Agent_wise!D$5,'Calculated Fields'!$B:$B,0),MATCH(Agent_wise!$A21,'Calculated Fields'!$C$2:$DG$2,0)),"")</f>
        <v>590</v>
      </c>
      <c r="E21" s="178">
        <f ca="1">_xlfn.IFNA(INDEX('Calculated Fields'!$C:$DG,MATCH(Agent_wise!E$5,'Calculated Fields'!$B:$B,0),MATCH(Agent_wise!$A21,'Calculated Fields'!$C$2:$DG$2,0)),"")</f>
        <v>0</v>
      </c>
      <c r="F21" s="178">
        <f ca="1">_xlfn.IFNA(INDEX('Calculated Fields'!$C:$DG,MATCH(Agent_wise!F$5,'Calculated Fields'!$B:$B,0),MATCH(Agent_wise!$A21,'Calculated Fields'!$C$2:$DG$2,0)),"")</f>
        <v>0</v>
      </c>
      <c r="G21" s="178">
        <f ca="1">_xlfn.IFNA(INDEX('Calculated Fields'!$C:$DG,MATCH(Agent_wise!G$5,'Calculated Fields'!$B:$B,0),MATCH(Agent_wise!$A21,'Calculated Fields'!$C$2:$DG$2,0)),"")</f>
        <v>315</v>
      </c>
      <c r="H21" s="178">
        <f ca="1">_xlfn.IFNA(INDEX('Calculated Fields'!$C:$DG,MATCH(Agent_wise!H$5,'Calculated Fields'!$B:$B,0),MATCH(Agent_wise!$A21,'Calculated Fields'!$C$2:$DG$2,0)),"")</f>
        <v>95</v>
      </c>
      <c r="I21" s="178">
        <f ca="1">_xlfn.IFNA(INDEX('Calculated Fields'!$C:$DG,MATCH(Agent_wise!I$5,'Calculated Fields'!$B:$B,0),MATCH(Agent_wise!$A21,'Calculated Fields'!$C$2:$DG$2,0)),"")</f>
        <v>8</v>
      </c>
      <c r="J21" s="178">
        <f ca="1">_xlfn.IFNA(INDEX('Calculated Fields'!$C:$DG,MATCH(Agent_wise!J$5,'Calculated Fields'!$B:$B,0),MATCH(Agent_wise!$A21,'Calculated Fields'!$C$2:$DG$2,0)),"")</f>
        <v>0</v>
      </c>
      <c r="K21" s="178">
        <f ca="1">_xlfn.IFNA(INDEX('Calculated Fields'!$C:$DG,MATCH(Agent_wise!K$5,'Calculated Fields'!$B:$B,0),MATCH(Agent_wise!$A21,'Calculated Fields'!$C$2:$DG$2,0)),"")</f>
        <v>0</v>
      </c>
      <c r="L21" s="179" t="str">
        <f ca="1">_xlfn.IFNA(INDEX('Calculated Fields'!$C:$DG,MATCH(Agent_wise!L$5,'Calculated Fields'!$B:$B,0),MATCH(Agent_wise!$A21,'Calculated Fields'!$C$2:$DG$2,0)),"")</f>
        <v/>
      </c>
      <c r="M21" s="179" t="str">
        <f ca="1">_xlfn.IFNA(INDEX('Calculated Fields'!$C:$DG,MATCH(Agent_wise!M$5,'Calculated Fields'!$B:$B,0),MATCH(Agent_wise!$A21,'Calculated Fields'!$C$2:$DG$2,0)),"")</f>
        <v/>
      </c>
      <c r="N21" s="179" t="str">
        <f ca="1">_xlfn.IFNA(INDEX('Calculated Fields'!$C:$DG,MATCH(Agent_wise!N$5,'Calculated Fields'!$B:$B,0),MATCH(Agent_wise!$A21,'Calculated Fields'!$C$2:$DG$2,0)),"")</f>
        <v/>
      </c>
      <c r="O21" s="179" t="str">
        <f ca="1">_xlfn.IFNA(INDEX('Calculated Fields'!$C:$DG,MATCH(Agent_wise!O$5,'Calculated Fields'!$B:$B,0),MATCH(Agent_wise!$A21,'Calculated Fields'!$C$2:$DG$2,0)),"")</f>
        <v/>
      </c>
      <c r="P21" s="179" t="str">
        <f ca="1">_xlfn.IFNA(INDEX('Calculated Fields'!$C:$DG,MATCH(Agent_wise!P$5,'Calculated Fields'!$B:$B,0),MATCH(Agent_wise!$A21,'Calculated Fields'!$C$2:$DG$2,0)),"")</f>
        <v/>
      </c>
      <c r="Q21" s="179" t="str">
        <f ca="1">_xlfn.IFNA(INDEX('Calculated Fields'!$C:$DG,MATCH(Agent_wise!Q$5,'Calculated Fields'!$B:$B,0),MATCH(Agent_wise!$A21,'Calculated Fields'!$C$2:$DG$2,0)),"")</f>
        <v/>
      </c>
      <c r="R21" s="179" t="str">
        <f ca="1">_xlfn.IFNA(INDEX('Calculated Fields'!$C:$DG,MATCH(Agent_wise!R$5,'Calculated Fields'!$B:$B,0),MATCH(Agent_wise!$A21,'Calculated Fields'!$C$2:$DG$2,0)),"")</f>
        <v/>
      </c>
      <c r="S21" s="179" t="str">
        <f ca="1">_xlfn.IFNA(INDEX('Calculated Fields'!$C:$DG,MATCH(Agent_wise!S$5,'Calculated Fields'!$B:$B,0),MATCH(Agent_wise!$A21,'Calculated Fields'!$C$2:$DG$2,0)),"")</f>
        <v/>
      </c>
      <c r="T21" s="179" t="str">
        <f ca="1">_xlfn.IFNA(INDEX('Calculated Fields'!$C:$DG,MATCH(Agent_wise!T$5,'Calculated Fields'!$B:$B,0),MATCH(Agent_wise!$A21,'Calculated Fields'!$C$2:$DG$2,0)),"")</f>
        <v/>
      </c>
      <c r="U21" s="179" t="str">
        <f ca="1">_xlfn.IFNA(INDEX('Calculated Fields'!$C:$DG,MATCH(Agent_wise!U$5,'Calculated Fields'!$B:$B,0),MATCH(Agent_wise!$A21,'Calculated Fields'!$C$2:$DG$2,0)),"")</f>
        <v/>
      </c>
      <c r="V21" s="179" t="str">
        <f ca="1">_xlfn.IFNA(INDEX('Calculated Fields'!$C:$DG,MATCH(Agent_wise!V$5,'Calculated Fields'!$B:$B,0),MATCH(Agent_wise!$A21,'Calculated Fields'!$C$2:$DG$2,0)),"")</f>
        <v/>
      </c>
      <c r="W21" s="179" t="str">
        <f ca="1">_xlfn.IFNA(INDEX('Calculated Fields'!$C:$DG,MATCH(Agent_wise!W$5,'Calculated Fields'!$B:$B,0),MATCH(Agent_wise!$A21,'Calculated Fields'!$C$2:$DG$2,0)),"")</f>
        <v/>
      </c>
      <c r="X21" s="179" t="str">
        <f ca="1">_xlfn.IFNA(INDEX('Calculated Fields'!$C:$DG,MATCH(Agent_wise!X$5,'Calculated Fields'!$B:$B,0),MATCH(Agent_wise!$A21,'Calculated Fields'!$C$2:$DG$2,0)),"")</f>
        <v/>
      </c>
      <c r="Y21" s="179" t="str">
        <f ca="1">_xlfn.IFNA(INDEX('Calculated Fields'!$C:$DG,MATCH(Agent_wise!Y$5,'Calculated Fields'!$B:$B,0),MATCH(Agent_wise!$A21,'Calculated Fields'!$C$2:$DG$2,0)),"")</f>
        <v/>
      </c>
      <c r="Z21" s="179" t="str">
        <f ca="1">_xlfn.IFNA(INDEX('Calculated Fields'!$C:$DG,MATCH(Agent_wise!Z$5,'Calculated Fields'!$B:$B,0),MATCH(Agent_wise!$A21,'Calculated Fields'!$C$2:$DG$2,0)),"")</f>
        <v/>
      </c>
      <c r="AA21" s="1"/>
      <c r="AB21" s="1"/>
      <c r="AC21" s="1"/>
      <c r="AD21" s="1"/>
      <c r="AE21" s="1"/>
      <c r="AF21" s="1"/>
      <c r="AG21" s="1"/>
      <c r="AH21" s="1"/>
    </row>
    <row r="22" spans="1:34" ht="15.75" customHeight="1">
      <c r="A22" s="177" t="s">
        <v>1004</v>
      </c>
      <c r="B22" s="178">
        <f ca="1">_xlfn.IFNA(INDEX('Calculated Fields'!$C:$DG,MATCH(Agent_wise!B$5,'Calculated Fields'!$B:$B,0),MATCH(Agent_wise!$A22,'Calculated Fields'!$C$2:$DG$2,0)),"")</f>
        <v>935</v>
      </c>
      <c r="C22" s="178">
        <f ca="1">_xlfn.IFNA(INDEX('Calculated Fields'!$C:$DG,MATCH(Agent_wise!C$5,'Calculated Fields'!$B:$B,0),MATCH(Agent_wise!$A22,'Calculated Fields'!$C$2:$DG$2,0)),"")</f>
        <v>400</v>
      </c>
      <c r="D22" s="178">
        <f ca="1">_xlfn.IFNA(INDEX('Calculated Fields'!$C:$DG,MATCH(Agent_wise!D$5,'Calculated Fields'!$B:$B,0),MATCH(Agent_wise!$A22,'Calculated Fields'!$C$2:$DG$2,0)),"")</f>
        <v>50</v>
      </c>
      <c r="E22" s="178">
        <f ca="1">_xlfn.IFNA(INDEX('Calculated Fields'!$C:$DG,MATCH(Agent_wise!E$5,'Calculated Fields'!$B:$B,0),MATCH(Agent_wise!$A22,'Calculated Fields'!$C$2:$DG$2,0)),"")</f>
        <v>0</v>
      </c>
      <c r="F22" s="178">
        <f ca="1">_xlfn.IFNA(INDEX('Calculated Fields'!$C:$DG,MATCH(Agent_wise!F$5,'Calculated Fields'!$B:$B,0),MATCH(Agent_wise!$A22,'Calculated Fields'!$C$2:$DG$2,0)),"")</f>
        <v>523</v>
      </c>
      <c r="G22" s="178">
        <f ca="1">_xlfn.IFNA(INDEX('Calculated Fields'!$C:$DG,MATCH(Agent_wise!G$5,'Calculated Fields'!$B:$B,0),MATCH(Agent_wise!$A22,'Calculated Fields'!$C$2:$DG$2,0)),"")</f>
        <v>380</v>
      </c>
      <c r="H22" s="178">
        <f ca="1">_xlfn.IFNA(INDEX('Calculated Fields'!$C:$DG,MATCH(Agent_wise!H$5,'Calculated Fields'!$B:$B,0),MATCH(Agent_wise!$A22,'Calculated Fields'!$C$2:$DG$2,0)),"")</f>
        <v>335</v>
      </c>
      <c r="I22" s="178">
        <f ca="1">_xlfn.IFNA(INDEX('Calculated Fields'!$C:$DG,MATCH(Agent_wise!I$5,'Calculated Fields'!$B:$B,0),MATCH(Agent_wise!$A22,'Calculated Fields'!$C$2:$DG$2,0)),"")</f>
        <v>305</v>
      </c>
      <c r="J22" s="178">
        <f ca="1">_xlfn.IFNA(INDEX('Calculated Fields'!$C:$DG,MATCH(Agent_wise!J$5,'Calculated Fields'!$B:$B,0),MATCH(Agent_wise!$A22,'Calculated Fields'!$C$2:$DG$2,0)),"")</f>
        <v>839</v>
      </c>
      <c r="K22" s="178">
        <f ca="1">_xlfn.IFNA(INDEX('Calculated Fields'!$C:$DG,MATCH(Agent_wise!K$5,'Calculated Fields'!$B:$B,0),MATCH(Agent_wise!$A22,'Calculated Fields'!$C$2:$DG$2,0)),"")</f>
        <v>1327</v>
      </c>
      <c r="L22" s="179" t="str">
        <f ca="1">_xlfn.IFNA(INDEX('Calculated Fields'!$C:$DG,MATCH(Agent_wise!L$5,'Calculated Fields'!$B:$B,0),MATCH(Agent_wise!$A22,'Calculated Fields'!$C$2:$DG$2,0)),"")</f>
        <v/>
      </c>
      <c r="M22" s="179" t="str">
        <f ca="1">_xlfn.IFNA(INDEX('Calculated Fields'!$C:$DG,MATCH(Agent_wise!M$5,'Calculated Fields'!$B:$B,0),MATCH(Agent_wise!$A22,'Calculated Fields'!$C$2:$DG$2,0)),"")</f>
        <v/>
      </c>
      <c r="N22" s="179" t="str">
        <f ca="1">_xlfn.IFNA(INDEX('Calculated Fields'!$C:$DG,MATCH(Agent_wise!N$5,'Calculated Fields'!$B:$B,0),MATCH(Agent_wise!$A22,'Calculated Fields'!$C$2:$DG$2,0)),"")</f>
        <v/>
      </c>
      <c r="O22" s="179" t="str">
        <f ca="1">_xlfn.IFNA(INDEX('Calculated Fields'!$C:$DG,MATCH(Agent_wise!O$5,'Calculated Fields'!$B:$B,0),MATCH(Agent_wise!$A22,'Calculated Fields'!$C$2:$DG$2,0)),"")</f>
        <v/>
      </c>
      <c r="P22" s="179" t="str">
        <f ca="1">_xlfn.IFNA(INDEX('Calculated Fields'!$C:$DG,MATCH(Agent_wise!P$5,'Calculated Fields'!$B:$B,0),MATCH(Agent_wise!$A22,'Calculated Fields'!$C$2:$DG$2,0)),"")</f>
        <v/>
      </c>
      <c r="Q22" s="179" t="str">
        <f ca="1">_xlfn.IFNA(INDEX('Calculated Fields'!$C:$DG,MATCH(Agent_wise!Q$5,'Calculated Fields'!$B:$B,0),MATCH(Agent_wise!$A22,'Calculated Fields'!$C$2:$DG$2,0)),"")</f>
        <v/>
      </c>
      <c r="R22" s="179" t="str">
        <f ca="1">_xlfn.IFNA(INDEX('Calculated Fields'!$C:$DG,MATCH(Agent_wise!R$5,'Calculated Fields'!$B:$B,0),MATCH(Agent_wise!$A22,'Calculated Fields'!$C$2:$DG$2,0)),"")</f>
        <v/>
      </c>
      <c r="S22" s="179" t="str">
        <f ca="1">_xlfn.IFNA(INDEX('Calculated Fields'!$C:$DG,MATCH(Agent_wise!S$5,'Calculated Fields'!$B:$B,0),MATCH(Agent_wise!$A22,'Calculated Fields'!$C$2:$DG$2,0)),"")</f>
        <v/>
      </c>
      <c r="T22" s="179" t="str">
        <f ca="1">_xlfn.IFNA(INDEX('Calculated Fields'!$C:$DG,MATCH(Agent_wise!T$5,'Calculated Fields'!$B:$B,0),MATCH(Agent_wise!$A22,'Calculated Fields'!$C$2:$DG$2,0)),"")</f>
        <v/>
      </c>
      <c r="U22" s="179" t="str">
        <f ca="1">_xlfn.IFNA(INDEX('Calculated Fields'!$C:$DG,MATCH(Agent_wise!U$5,'Calculated Fields'!$B:$B,0),MATCH(Agent_wise!$A22,'Calculated Fields'!$C$2:$DG$2,0)),"")</f>
        <v/>
      </c>
      <c r="V22" s="179" t="str">
        <f ca="1">_xlfn.IFNA(INDEX('Calculated Fields'!$C:$DG,MATCH(Agent_wise!V$5,'Calculated Fields'!$B:$B,0),MATCH(Agent_wise!$A22,'Calculated Fields'!$C$2:$DG$2,0)),"")</f>
        <v/>
      </c>
      <c r="W22" s="179" t="str">
        <f ca="1">_xlfn.IFNA(INDEX('Calculated Fields'!$C:$DG,MATCH(Agent_wise!W$5,'Calculated Fields'!$B:$B,0),MATCH(Agent_wise!$A22,'Calculated Fields'!$C$2:$DG$2,0)),"")</f>
        <v/>
      </c>
      <c r="X22" s="179" t="str">
        <f ca="1">_xlfn.IFNA(INDEX('Calculated Fields'!$C:$DG,MATCH(Agent_wise!X$5,'Calculated Fields'!$B:$B,0),MATCH(Agent_wise!$A22,'Calculated Fields'!$C$2:$DG$2,0)),"")</f>
        <v/>
      </c>
      <c r="Y22" s="179" t="str">
        <f ca="1">_xlfn.IFNA(INDEX('Calculated Fields'!$C:$DG,MATCH(Agent_wise!Y$5,'Calculated Fields'!$B:$B,0),MATCH(Agent_wise!$A22,'Calculated Fields'!$C$2:$DG$2,0)),"")</f>
        <v/>
      </c>
      <c r="Z22" s="179" t="str">
        <f ca="1">_xlfn.IFNA(INDEX('Calculated Fields'!$C:$DG,MATCH(Agent_wise!Z$5,'Calculated Fields'!$B:$B,0),MATCH(Agent_wise!$A22,'Calculated Fields'!$C$2:$DG$2,0)),"")</f>
        <v/>
      </c>
      <c r="AA22" s="1"/>
      <c r="AB22" s="1"/>
      <c r="AC22" s="1"/>
      <c r="AD22" s="1"/>
      <c r="AE22" s="1"/>
      <c r="AF22" s="1"/>
      <c r="AG22" s="1"/>
      <c r="AH22" s="1"/>
    </row>
    <row r="23" spans="1:34" ht="15.75" customHeight="1">
      <c r="A23" s="177" t="s">
        <v>72</v>
      </c>
      <c r="B23" s="178">
        <f ca="1">_xlfn.IFNA(INDEX('Calculated Fields'!$C:$DG,MATCH(Agent_wise!B$5,'Calculated Fields'!$B:$B,0),MATCH(Agent_wise!$A23,'Calculated Fields'!$C$2:$DG$2,0)),"")</f>
        <v>19</v>
      </c>
      <c r="C23" s="178">
        <f ca="1">_xlfn.IFNA(INDEX('Calculated Fields'!$C:$DG,MATCH(Agent_wise!C$5,'Calculated Fields'!$B:$B,0),MATCH(Agent_wise!$A23,'Calculated Fields'!$C$2:$DG$2,0)),"")</f>
        <v>31</v>
      </c>
      <c r="D23" s="178">
        <f ca="1">_xlfn.IFNA(INDEX('Calculated Fields'!$C:$DG,MATCH(Agent_wise!D$5,'Calculated Fields'!$B:$B,0),MATCH(Agent_wise!$A23,'Calculated Fields'!$C$2:$DG$2,0)),"")</f>
        <v>9</v>
      </c>
      <c r="E23" s="178">
        <f ca="1">_xlfn.IFNA(INDEX('Calculated Fields'!$C:$DG,MATCH(Agent_wise!E$5,'Calculated Fields'!$B:$B,0),MATCH(Agent_wise!$A23,'Calculated Fields'!$C$2:$DG$2,0)),"")</f>
        <v>2</v>
      </c>
      <c r="F23" s="178">
        <f ca="1">_xlfn.IFNA(INDEX('Calculated Fields'!$C:$DG,MATCH(Agent_wise!F$5,'Calculated Fields'!$B:$B,0),MATCH(Agent_wise!$A23,'Calculated Fields'!$C$2:$DG$2,0)),"")</f>
        <v>24</v>
      </c>
      <c r="G23" s="178">
        <f ca="1">_xlfn.IFNA(INDEX('Calculated Fields'!$C:$DG,MATCH(Agent_wise!G$5,'Calculated Fields'!$B:$B,0),MATCH(Agent_wise!$A23,'Calculated Fields'!$C$2:$DG$2,0)),"")</f>
        <v>19</v>
      </c>
      <c r="H23" s="178">
        <f ca="1">_xlfn.IFNA(INDEX('Calculated Fields'!$C:$DG,MATCH(Agent_wise!H$5,'Calculated Fields'!$B:$B,0),MATCH(Agent_wise!$A23,'Calculated Fields'!$C$2:$DG$2,0)),"")</f>
        <v>13</v>
      </c>
      <c r="I23" s="178">
        <f ca="1">_xlfn.IFNA(INDEX('Calculated Fields'!$C:$DG,MATCH(Agent_wise!I$5,'Calculated Fields'!$B:$B,0),MATCH(Agent_wise!$A23,'Calculated Fields'!$C$2:$DG$2,0)),"")</f>
        <v>21</v>
      </c>
      <c r="J23" s="178">
        <f ca="1">_xlfn.IFNA(INDEX('Calculated Fields'!$C:$DG,MATCH(Agent_wise!J$5,'Calculated Fields'!$B:$B,0),MATCH(Agent_wise!$A23,'Calculated Fields'!$C$2:$DG$2,0)),"")</f>
        <v>20</v>
      </c>
      <c r="K23" s="178">
        <f ca="1">_xlfn.IFNA(INDEX('Calculated Fields'!$C:$DG,MATCH(Agent_wise!K$5,'Calculated Fields'!$B:$B,0),MATCH(Agent_wise!$A23,'Calculated Fields'!$C$2:$DG$2,0)),"")</f>
        <v>30</v>
      </c>
      <c r="L23" s="179" t="str">
        <f ca="1">_xlfn.IFNA(INDEX('Calculated Fields'!$C:$DG,MATCH(Agent_wise!L$5,'Calculated Fields'!$B:$B,0),MATCH(Agent_wise!$A23,'Calculated Fields'!$C$2:$DG$2,0)),"")</f>
        <v/>
      </c>
      <c r="M23" s="179" t="str">
        <f ca="1">_xlfn.IFNA(INDEX('Calculated Fields'!$C:$DG,MATCH(Agent_wise!M$5,'Calculated Fields'!$B:$B,0),MATCH(Agent_wise!$A23,'Calculated Fields'!$C$2:$DG$2,0)),"")</f>
        <v/>
      </c>
      <c r="N23" s="179" t="str">
        <f ca="1">_xlfn.IFNA(INDEX('Calculated Fields'!$C:$DG,MATCH(Agent_wise!N$5,'Calculated Fields'!$B:$B,0),MATCH(Agent_wise!$A23,'Calculated Fields'!$C$2:$DG$2,0)),"")</f>
        <v/>
      </c>
      <c r="O23" s="179" t="str">
        <f ca="1">_xlfn.IFNA(INDEX('Calculated Fields'!$C:$DG,MATCH(Agent_wise!O$5,'Calculated Fields'!$B:$B,0),MATCH(Agent_wise!$A23,'Calculated Fields'!$C$2:$DG$2,0)),"")</f>
        <v/>
      </c>
      <c r="P23" s="179" t="str">
        <f ca="1">_xlfn.IFNA(INDEX('Calculated Fields'!$C:$DG,MATCH(Agent_wise!P$5,'Calculated Fields'!$B:$B,0),MATCH(Agent_wise!$A23,'Calculated Fields'!$C$2:$DG$2,0)),"")</f>
        <v/>
      </c>
      <c r="Q23" s="179" t="str">
        <f ca="1">_xlfn.IFNA(INDEX('Calculated Fields'!$C:$DG,MATCH(Agent_wise!Q$5,'Calculated Fields'!$B:$B,0),MATCH(Agent_wise!$A23,'Calculated Fields'!$C$2:$DG$2,0)),"")</f>
        <v/>
      </c>
      <c r="R23" s="179" t="str">
        <f ca="1">_xlfn.IFNA(INDEX('Calculated Fields'!$C:$DG,MATCH(Agent_wise!R$5,'Calculated Fields'!$B:$B,0),MATCH(Agent_wise!$A23,'Calculated Fields'!$C$2:$DG$2,0)),"")</f>
        <v/>
      </c>
      <c r="S23" s="179" t="str">
        <f ca="1">_xlfn.IFNA(INDEX('Calculated Fields'!$C:$DG,MATCH(Agent_wise!S$5,'Calculated Fields'!$B:$B,0),MATCH(Agent_wise!$A23,'Calculated Fields'!$C$2:$DG$2,0)),"")</f>
        <v/>
      </c>
      <c r="T23" s="179" t="str">
        <f ca="1">_xlfn.IFNA(INDEX('Calculated Fields'!$C:$DG,MATCH(Agent_wise!T$5,'Calculated Fields'!$B:$B,0),MATCH(Agent_wise!$A23,'Calculated Fields'!$C$2:$DG$2,0)),"")</f>
        <v/>
      </c>
      <c r="U23" s="179" t="str">
        <f ca="1">_xlfn.IFNA(INDEX('Calculated Fields'!$C:$DG,MATCH(Agent_wise!U$5,'Calculated Fields'!$B:$B,0),MATCH(Agent_wise!$A23,'Calculated Fields'!$C$2:$DG$2,0)),"")</f>
        <v/>
      </c>
      <c r="V23" s="179" t="str">
        <f ca="1">_xlfn.IFNA(INDEX('Calculated Fields'!$C:$DG,MATCH(Agent_wise!V$5,'Calculated Fields'!$B:$B,0),MATCH(Agent_wise!$A23,'Calculated Fields'!$C$2:$DG$2,0)),"")</f>
        <v/>
      </c>
      <c r="W23" s="179" t="str">
        <f ca="1">_xlfn.IFNA(INDEX('Calculated Fields'!$C:$DG,MATCH(Agent_wise!W$5,'Calculated Fields'!$B:$B,0),MATCH(Agent_wise!$A23,'Calculated Fields'!$C$2:$DG$2,0)),"")</f>
        <v/>
      </c>
      <c r="X23" s="179" t="str">
        <f ca="1">_xlfn.IFNA(INDEX('Calculated Fields'!$C:$DG,MATCH(Agent_wise!X$5,'Calculated Fields'!$B:$B,0),MATCH(Agent_wise!$A23,'Calculated Fields'!$C$2:$DG$2,0)),"")</f>
        <v/>
      </c>
      <c r="Y23" s="179" t="str">
        <f ca="1">_xlfn.IFNA(INDEX('Calculated Fields'!$C:$DG,MATCH(Agent_wise!Y$5,'Calculated Fields'!$B:$B,0),MATCH(Agent_wise!$A23,'Calculated Fields'!$C$2:$DG$2,0)),"")</f>
        <v/>
      </c>
      <c r="Z23" s="179" t="str">
        <f ca="1">_xlfn.IFNA(INDEX('Calculated Fields'!$C:$DG,MATCH(Agent_wise!Z$5,'Calculated Fields'!$B:$B,0),MATCH(Agent_wise!$A23,'Calculated Fields'!$C$2:$DG$2,0)),"")</f>
        <v/>
      </c>
      <c r="AA23" s="1"/>
      <c r="AB23" s="1"/>
      <c r="AC23" s="1"/>
      <c r="AD23" s="1"/>
      <c r="AE23" s="1"/>
      <c r="AF23" s="1"/>
      <c r="AG23" s="1"/>
      <c r="AH23" s="1"/>
    </row>
    <row r="24" spans="1:34" ht="15.75" customHeight="1">
      <c r="A24" s="177" t="s">
        <v>77</v>
      </c>
      <c r="B24" s="178">
        <f ca="1">_xlfn.IFNA(INDEX('Calculated Fields'!$C:$DG,MATCH(Agent_wise!B$5,'Calculated Fields'!$B:$B,0),MATCH(Agent_wise!$A24,'Calculated Fields'!$C$2:$DG$2,0)),"")</f>
        <v>0</v>
      </c>
      <c r="C24" s="178">
        <f ca="1">_xlfn.IFNA(INDEX('Calculated Fields'!$C:$DG,MATCH(Agent_wise!C$5,'Calculated Fields'!$B:$B,0),MATCH(Agent_wise!$A24,'Calculated Fields'!$C$2:$DG$2,0)),"")</f>
        <v>0</v>
      </c>
      <c r="D24" s="178">
        <f ca="1">_xlfn.IFNA(INDEX('Calculated Fields'!$C:$DG,MATCH(Agent_wise!D$5,'Calculated Fields'!$B:$B,0),MATCH(Agent_wise!$A24,'Calculated Fields'!$C$2:$DG$2,0)),"")</f>
        <v>1</v>
      </c>
      <c r="E24" s="178">
        <f ca="1">_xlfn.IFNA(INDEX('Calculated Fields'!$C:$DG,MATCH(Agent_wise!E$5,'Calculated Fields'!$B:$B,0),MATCH(Agent_wise!$A24,'Calculated Fields'!$C$2:$DG$2,0)),"")</f>
        <v>0</v>
      </c>
      <c r="F24" s="178">
        <f ca="1">_xlfn.IFNA(INDEX('Calculated Fields'!$C:$DG,MATCH(Agent_wise!F$5,'Calculated Fields'!$B:$B,0),MATCH(Agent_wise!$A24,'Calculated Fields'!$C$2:$DG$2,0)),"")</f>
        <v>0</v>
      </c>
      <c r="G24" s="178">
        <f ca="1">_xlfn.IFNA(INDEX('Calculated Fields'!$C:$DG,MATCH(Agent_wise!G$5,'Calculated Fields'!$B:$B,0),MATCH(Agent_wise!$A24,'Calculated Fields'!$C$2:$DG$2,0)),"")</f>
        <v>1</v>
      </c>
      <c r="H24" s="178">
        <f ca="1">_xlfn.IFNA(INDEX('Calculated Fields'!$C:$DG,MATCH(Agent_wise!H$5,'Calculated Fields'!$B:$B,0),MATCH(Agent_wise!$A24,'Calculated Fields'!$C$2:$DG$2,0)),"")</f>
        <v>0</v>
      </c>
      <c r="I24" s="178">
        <f ca="1">_xlfn.IFNA(INDEX('Calculated Fields'!$C:$DG,MATCH(Agent_wise!I$5,'Calculated Fields'!$B:$B,0),MATCH(Agent_wise!$A24,'Calculated Fields'!$C$2:$DG$2,0)),"")</f>
        <v>0</v>
      </c>
      <c r="J24" s="178">
        <f ca="1">_xlfn.IFNA(INDEX('Calculated Fields'!$C:$DG,MATCH(Agent_wise!J$5,'Calculated Fields'!$B:$B,0),MATCH(Agent_wise!$A24,'Calculated Fields'!$C$2:$DG$2,0)),"")</f>
        <v>0</v>
      </c>
      <c r="K24" s="178">
        <f ca="1">_xlfn.IFNA(INDEX('Calculated Fields'!$C:$DG,MATCH(Agent_wise!K$5,'Calculated Fields'!$B:$B,0),MATCH(Agent_wise!$A24,'Calculated Fields'!$C$2:$DG$2,0)),"")</f>
        <v>0</v>
      </c>
      <c r="L24" s="179" t="str">
        <f ca="1">_xlfn.IFNA(INDEX('Calculated Fields'!$C:$DG,MATCH(Agent_wise!L$5,'Calculated Fields'!$B:$B,0),MATCH(Agent_wise!$A24,'Calculated Fields'!$C$2:$DG$2,0)),"")</f>
        <v/>
      </c>
      <c r="M24" s="179" t="str">
        <f ca="1">_xlfn.IFNA(INDEX('Calculated Fields'!$C:$DG,MATCH(Agent_wise!M$5,'Calculated Fields'!$B:$B,0),MATCH(Agent_wise!$A24,'Calculated Fields'!$C$2:$DG$2,0)),"")</f>
        <v/>
      </c>
      <c r="N24" s="179" t="str">
        <f ca="1">_xlfn.IFNA(INDEX('Calculated Fields'!$C:$DG,MATCH(Agent_wise!N$5,'Calculated Fields'!$B:$B,0),MATCH(Agent_wise!$A24,'Calculated Fields'!$C$2:$DG$2,0)),"")</f>
        <v/>
      </c>
      <c r="O24" s="179" t="str">
        <f ca="1">_xlfn.IFNA(INDEX('Calculated Fields'!$C:$DG,MATCH(Agent_wise!O$5,'Calculated Fields'!$B:$B,0),MATCH(Agent_wise!$A24,'Calculated Fields'!$C$2:$DG$2,0)),"")</f>
        <v/>
      </c>
      <c r="P24" s="179" t="str">
        <f ca="1">_xlfn.IFNA(INDEX('Calculated Fields'!$C:$DG,MATCH(Agent_wise!P$5,'Calculated Fields'!$B:$B,0),MATCH(Agent_wise!$A24,'Calculated Fields'!$C$2:$DG$2,0)),"")</f>
        <v/>
      </c>
      <c r="Q24" s="179" t="str">
        <f ca="1">_xlfn.IFNA(INDEX('Calculated Fields'!$C:$DG,MATCH(Agent_wise!Q$5,'Calculated Fields'!$B:$B,0),MATCH(Agent_wise!$A24,'Calculated Fields'!$C$2:$DG$2,0)),"")</f>
        <v/>
      </c>
      <c r="R24" s="179" t="str">
        <f ca="1">_xlfn.IFNA(INDEX('Calculated Fields'!$C:$DG,MATCH(Agent_wise!R$5,'Calculated Fields'!$B:$B,0),MATCH(Agent_wise!$A24,'Calculated Fields'!$C$2:$DG$2,0)),"")</f>
        <v/>
      </c>
      <c r="S24" s="179" t="str">
        <f ca="1">_xlfn.IFNA(INDEX('Calculated Fields'!$C:$DG,MATCH(Agent_wise!S$5,'Calculated Fields'!$B:$B,0),MATCH(Agent_wise!$A24,'Calculated Fields'!$C$2:$DG$2,0)),"")</f>
        <v/>
      </c>
      <c r="T24" s="179" t="str">
        <f ca="1">_xlfn.IFNA(INDEX('Calculated Fields'!$C:$DG,MATCH(Agent_wise!T$5,'Calculated Fields'!$B:$B,0),MATCH(Agent_wise!$A24,'Calculated Fields'!$C$2:$DG$2,0)),"")</f>
        <v/>
      </c>
      <c r="U24" s="179" t="str">
        <f ca="1">_xlfn.IFNA(INDEX('Calculated Fields'!$C:$DG,MATCH(Agent_wise!U$5,'Calculated Fields'!$B:$B,0),MATCH(Agent_wise!$A24,'Calculated Fields'!$C$2:$DG$2,0)),"")</f>
        <v/>
      </c>
      <c r="V24" s="179" t="str">
        <f ca="1">_xlfn.IFNA(INDEX('Calculated Fields'!$C:$DG,MATCH(Agent_wise!V$5,'Calculated Fields'!$B:$B,0),MATCH(Agent_wise!$A24,'Calculated Fields'!$C$2:$DG$2,0)),"")</f>
        <v/>
      </c>
      <c r="W24" s="179" t="str">
        <f ca="1">_xlfn.IFNA(INDEX('Calculated Fields'!$C:$DG,MATCH(Agent_wise!W$5,'Calculated Fields'!$B:$B,0),MATCH(Agent_wise!$A24,'Calculated Fields'!$C$2:$DG$2,0)),"")</f>
        <v/>
      </c>
      <c r="X24" s="179" t="str">
        <f ca="1">_xlfn.IFNA(INDEX('Calculated Fields'!$C:$DG,MATCH(Agent_wise!X$5,'Calculated Fields'!$B:$B,0),MATCH(Agent_wise!$A24,'Calculated Fields'!$C$2:$DG$2,0)),"")</f>
        <v/>
      </c>
      <c r="Y24" s="179" t="str">
        <f ca="1">_xlfn.IFNA(INDEX('Calculated Fields'!$C:$DG,MATCH(Agent_wise!Y$5,'Calculated Fields'!$B:$B,0),MATCH(Agent_wise!$A24,'Calculated Fields'!$C$2:$DG$2,0)),"")</f>
        <v/>
      </c>
      <c r="Z24" s="179" t="str">
        <f ca="1">_xlfn.IFNA(INDEX('Calculated Fields'!$C:$DG,MATCH(Agent_wise!Z$5,'Calculated Fields'!$B:$B,0),MATCH(Agent_wise!$A24,'Calculated Fields'!$C$2:$DG$2,0)),"")</f>
        <v/>
      </c>
      <c r="AA24" s="1"/>
      <c r="AB24" s="1"/>
      <c r="AC24" s="1"/>
      <c r="AD24" s="1"/>
      <c r="AE24" s="1"/>
      <c r="AF24" s="1"/>
      <c r="AG24" s="1"/>
      <c r="AH24" s="1"/>
    </row>
    <row r="25" spans="1:34" ht="15.75" customHeight="1">
      <c r="A25" s="177" t="s">
        <v>104</v>
      </c>
      <c r="B25" s="178">
        <f ca="1">_xlfn.IFNA(INDEX('Calculated Fields'!$C:$DG,MATCH(Agent_wise!B$5,'Calculated Fields'!$B:$B,0),MATCH(Agent_wise!$A25,'Calculated Fields'!$C$2:$DG$2,0)),"")</f>
        <v>-5</v>
      </c>
      <c r="C25" s="178">
        <f ca="1">_xlfn.IFNA(INDEX('Calculated Fields'!$C:$DG,MATCH(Agent_wise!C$5,'Calculated Fields'!$B:$B,0),MATCH(Agent_wise!$A25,'Calculated Fields'!$C$2:$DG$2,0)),"")</f>
        <v>-2</v>
      </c>
      <c r="D25" s="178">
        <f ca="1">_xlfn.IFNA(INDEX('Calculated Fields'!$C:$DG,MATCH(Agent_wise!D$5,'Calculated Fields'!$B:$B,0),MATCH(Agent_wise!$A25,'Calculated Fields'!$C$2:$DG$2,0)),"")</f>
        <v>-2</v>
      </c>
      <c r="E25" s="178">
        <f ca="1">_xlfn.IFNA(INDEX('Calculated Fields'!$C:$DG,MATCH(Agent_wise!E$5,'Calculated Fields'!$B:$B,0),MATCH(Agent_wise!$A25,'Calculated Fields'!$C$2:$DG$2,0)),"")</f>
        <v>-3</v>
      </c>
      <c r="F25" s="178">
        <f ca="1">_xlfn.IFNA(INDEX('Calculated Fields'!$C:$DG,MATCH(Agent_wise!F$5,'Calculated Fields'!$B:$B,0),MATCH(Agent_wise!$A25,'Calculated Fields'!$C$2:$DG$2,0)),"")</f>
        <v>-6</v>
      </c>
      <c r="G25" s="178">
        <f ca="1">_xlfn.IFNA(INDEX('Calculated Fields'!$C:$DG,MATCH(Agent_wise!G$5,'Calculated Fields'!$B:$B,0),MATCH(Agent_wise!$A25,'Calculated Fields'!$C$2:$DG$2,0)),"")</f>
        <v>-2</v>
      </c>
      <c r="H25" s="178">
        <f ca="1">_xlfn.IFNA(INDEX('Calculated Fields'!$C:$DG,MATCH(Agent_wise!H$5,'Calculated Fields'!$B:$B,0),MATCH(Agent_wise!$A25,'Calculated Fields'!$C$2:$DG$2,0)),"")</f>
        <v>-3</v>
      </c>
      <c r="I25" s="178">
        <f ca="1">_xlfn.IFNA(INDEX('Calculated Fields'!$C:$DG,MATCH(Agent_wise!I$5,'Calculated Fields'!$B:$B,0),MATCH(Agent_wise!$A25,'Calculated Fields'!$C$2:$DG$2,0)),"")</f>
        <v>-3</v>
      </c>
      <c r="J25" s="178">
        <f ca="1">_xlfn.IFNA(INDEX('Calculated Fields'!$C:$DG,MATCH(Agent_wise!J$5,'Calculated Fields'!$B:$B,0),MATCH(Agent_wise!$A25,'Calculated Fields'!$C$2:$DG$2,0)),"")</f>
        <v>-2</v>
      </c>
      <c r="K25" s="178">
        <f ca="1">_xlfn.IFNA(INDEX('Calculated Fields'!$C:$DG,MATCH(Agent_wise!K$5,'Calculated Fields'!$B:$B,0),MATCH(Agent_wise!$A25,'Calculated Fields'!$C$2:$DG$2,0)),"")</f>
        <v>-3</v>
      </c>
      <c r="L25" s="179" t="str">
        <f ca="1">_xlfn.IFNA(INDEX('Calculated Fields'!$C:$DG,MATCH(Agent_wise!L$5,'Calculated Fields'!$B:$B,0),MATCH(Agent_wise!$A25,'Calculated Fields'!$C$2:$DG$2,0)),"")</f>
        <v/>
      </c>
      <c r="M25" s="179" t="str">
        <f ca="1">_xlfn.IFNA(INDEX('Calculated Fields'!$C:$DG,MATCH(Agent_wise!M$5,'Calculated Fields'!$B:$B,0),MATCH(Agent_wise!$A25,'Calculated Fields'!$C$2:$DG$2,0)),"")</f>
        <v/>
      </c>
      <c r="N25" s="179" t="str">
        <f ca="1">_xlfn.IFNA(INDEX('Calculated Fields'!$C:$DG,MATCH(Agent_wise!N$5,'Calculated Fields'!$B:$B,0),MATCH(Agent_wise!$A25,'Calculated Fields'!$C$2:$DG$2,0)),"")</f>
        <v/>
      </c>
      <c r="O25" s="179" t="str">
        <f ca="1">_xlfn.IFNA(INDEX('Calculated Fields'!$C:$DG,MATCH(Agent_wise!O$5,'Calculated Fields'!$B:$B,0),MATCH(Agent_wise!$A25,'Calculated Fields'!$C$2:$DG$2,0)),"")</f>
        <v/>
      </c>
      <c r="P25" s="179" t="str">
        <f ca="1">_xlfn.IFNA(INDEX('Calculated Fields'!$C:$DG,MATCH(Agent_wise!P$5,'Calculated Fields'!$B:$B,0),MATCH(Agent_wise!$A25,'Calculated Fields'!$C$2:$DG$2,0)),"")</f>
        <v/>
      </c>
      <c r="Q25" s="179" t="str">
        <f ca="1">_xlfn.IFNA(INDEX('Calculated Fields'!$C:$DG,MATCH(Agent_wise!Q$5,'Calculated Fields'!$B:$B,0),MATCH(Agent_wise!$A25,'Calculated Fields'!$C$2:$DG$2,0)),"")</f>
        <v/>
      </c>
      <c r="R25" s="179" t="str">
        <f ca="1">_xlfn.IFNA(INDEX('Calculated Fields'!$C:$DG,MATCH(Agent_wise!R$5,'Calculated Fields'!$B:$B,0),MATCH(Agent_wise!$A25,'Calculated Fields'!$C$2:$DG$2,0)),"")</f>
        <v/>
      </c>
      <c r="S25" s="179" t="str">
        <f ca="1">_xlfn.IFNA(INDEX('Calculated Fields'!$C:$DG,MATCH(Agent_wise!S$5,'Calculated Fields'!$B:$B,0),MATCH(Agent_wise!$A25,'Calculated Fields'!$C$2:$DG$2,0)),"")</f>
        <v/>
      </c>
      <c r="T25" s="179" t="str">
        <f ca="1">_xlfn.IFNA(INDEX('Calculated Fields'!$C:$DG,MATCH(Agent_wise!T$5,'Calculated Fields'!$B:$B,0),MATCH(Agent_wise!$A25,'Calculated Fields'!$C$2:$DG$2,0)),"")</f>
        <v/>
      </c>
      <c r="U25" s="179" t="str">
        <f ca="1">_xlfn.IFNA(INDEX('Calculated Fields'!$C:$DG,MATCH(Agent_wise!U$5,'Calculated Fields'!$B:$B,0),MATCH(Agent_wise!$A25,'Calculated Fields'!$C$2:$DG$2,0)),"")</f>
        <v/>
      </c>
      <c r="V25" s="179" t="str">
        <f ca="1">_xlfn.IFNA(INDEX('Calculated Fields'!$C:$DG,MATCH(Agent_wise!V$5,'Calculated Fields'!$B:$B,0),MATCH(Agent_wise!$A25,'Calculated Fields'!$C$2:$DG$2,0)),"")</f>
        <v/>
      </c>
      <c r="W25" s="179" t="str">
        <f ca="1">_xlfn.IFNA(INDEX('Calculated Fields'!$C:$DG,MATCH(Agent_wise!W$5,'Calculated Fields'!$B:$B,0),MATCH(Agent_wise!$A25,'Calculated Fields'!$C$2:$DG$2,0)),"")</f>
        <v/>
      </c>
      <c r="X25" s="179" t="str">
        <f ca="1">_xlfn.IFNA(INDEX('Calculated Fields'!$C:$DG,MATCH(Agent_wise!X$5,'Calculated Fields'!$B:$B,0),MATCH(Agent_wise!$A25,'Calculated Fields'!$C$2:$DG$2,0)),"")</f>
        <v/>
      </c>
      <c r="Y25" s="179" t="str">
        <f ca="1">_xlfn.IFNA(INDEX('Calculated Fields'!$C:$DG,MATCH(Agent_wise!Y$5,'Calculated Fields'!$B:$B,0),MATCH(Agent_wise!$A25,'Calculated Fields'!$C$2:$DG$2,0)),"")</f>
        <v/>
      </c>
      <c r="Z25" s="179" t="str">
        <f ca="1">_xlfn.IFNA(INDEX('Calculated Fields'!$C:$DG,MATCH(Agent_wise!Z$5,'Calculated Fields'!$B:$B,0),MATCH(Agent_wise!$A25,'Calculated Fields'!$C$2:$DG$2,0)),"")</f>
        <v/>
      </c>
      <c r="AA25" s="1"/>
      <c r="AB25" s="1"/>
      <c r="AC25" s="1"/>
      <c r="AD25" s="1"/>
      <c r="AE25" s="1"/>
      <c r="AF25" s="1"/>
      <c r="AG25" s="1"/>
      <c r="AH25" s="1"/>
    </row>
    <row r="26" spans="1:34" ht="15.75" customHeight="1">
      <c r="A26" s="177" t="s">
        <v>1006</v>
      </c>
      <c r="B26" s="178">
        <f ca="1">_xlfn.IFNA(INDEX('Calculated Fields'!$C:$DG,MATCH(Agent_wise!B$5,'Calculated Fields'!$B:$B,0),MATCH(Agent_wise!$A26,'Calculated Fields'!$C$2:$DG$2,0)),"")</f>
        <v>0.31578947368421051</v>
      </c>
      <c r="C26" s="178">
        <f ca="1">_xlfn.IFNA(INDEX('Calculated Fields'!$C:$DG,MATCH(Agent_wise!C$5,'Calculated Fields'!$B:$B,0),MATCH(Agent_wise!$A26,'Calculated Fields'!$C$2:$DG$2,0)),"")</f>
        <v>6.4516129032258063E-2</v>
      </c>
      <c r="D26" s="178">
        <f ca="1">_xlfn.IFNA(INDEX('Calculated Fields'!$C:$DG,MATCH(Agent_wise!D$5,'Calculated Fields'!$B:$B,0),MATCH(Agent_wise!$A26,'Calculated Fields'!$C$2:$DG$2,0)),"")</f>
        <v>0.5</v>
      </c>
      <c r="E26" s="178">
        <f ca="1">_xlfn.IFNA(INDEX('Calculated Fields'!$C:$DG,MATCH(Agent_wise!E$5,'Calculated Fields'!$B:$B,0),MATCH(Agent_wise!$A26,'Calculated Fields'!$C$2:$DG$2,0)),"")</f>
        <v>2.5</v>
      </c>
      <c r="F26" s="178">
        <f ca="1">_xlfn.IFNA(INDEX('Calculated Fields'!$C:$DG,MATCH(Agent_wise!F$5,'Calculated Fields'!$B:$B,0),MATCH(Agent_wise!$A26,'Calculated Fields'!$C$2:$DG$2,0)),"")</f>
        <v>0.29166666666666669</v>
      </c>
      <c r="G26" s="178">
        <f ca="1">_xlfn.IFNA(INDEX('Calculated Fields'!$C:$DG,MATCH(Agent_wise!G$5,'Calculated Fields'!$B:$B,0),MATCH(Agent_wise!$A26,'Calculated Fields'!$C$2:$DG$2,0)),"")</f>
        <v>0.1</v>
      </c>
      <c r="H26" s="178">
        <f ca="1">_xlfn.IFNA(INDEX('Calculated Fields'!$C:$DG,MATCH(Agent_wise!H$5,'Calculated Fields'!$B:$B,0),MATCH(Agent_wise!$A26,'Calculated Fields'!$C$2:$DG$2,0)),"")</f>
        <v>0.23076923076923078</v>
      </c>
      <c r="I26" s="178">
        <f ca="1">_xlfn.IFNA(INDEX('Calculated Fields'!$C:$DG,MATCH(Agent_wise!I$5,'Calculated Fields'!$B:$B,0),MATCH(Agent_wise!$A26,'Calculated Fields'!$C$2:$DG$2,0)),"")</f>
        <v>0.19047619047619047</v>
      </c>
      <c r="J26" s="178">
        <f ca="1">_xlfn.IFNA(INDEX('Calculated Fields'!$C:$DG,MATCH(Agent_wise!J$5,'Calculated Fields'!$B:$B,0),MATCH(Agent_wise!$A26,'Calculated Fields'!$C$2:$DG$2,0)),"")</f>
        <v>0.1</v>
      </c>
      <c r="K26" s="178">
        <f ca="1">_xlfn.IFNA(INDEX('Calculated Fields'!$C:$DG,MATCH(Agent_wise!K$5,'Calculated Fields'!$B:$B,0),MATCH(Agent_wise!$A26,'Calculated Fields'!$C$2:$DG$2,0)),"")</f>
        <v>0.13333333333333333</v>
      </c>
      <c r="L26" s="179" t="str">
        <f ca="1">_xlfn.IFNA(INDEX('Calculated Fields'!$C:$DG,MATCH(Agent_wise!L$5,'Calculated Fields'!$B:$B,0),MATCH(Agent_wise!$A26,'Calculated Fields'!$C$2:$DG$2,0)),"")</f>
        <v/>
      </c>
      <c r="M26" s="179" t="str">
        <f ca="1">_xlfn.IFNA(INDEX('Calculated Fields'!$C:$DG,MATCH(Agent_wise!M$5,'Calculated Fields'!$B:$B,0),MATCH(Agent_wise!$A26,'Calculated Fields'!$C$2:$DG$2,0)),"")</f>
        <v/>
      </c>
      <c r="N26" s="179" t="str">
        <f ca="1">_xlfn.IFNA(INDEX('Calculated Fields'!$C:$DG,MATCH(Agent_wise!N$5,'Calculated Fields'!$B:$B,0),MATCH(Agent_wise!$A26,'Calculated Fields'!$C$2:$DG$2,0)),"")</f>
        <v/>
      </c>
      <c r="O26" s="179" t="str">
        <f ca="1">_xlfn.IFNA(INDEX('Calculated Fields'!$C:$DG,MATCH(Agent_wise!O$5,'Calculated Fields'!$B:$B,0),MATCH(Agent_wise!$A26,'Calculated Fields'!$C$2:$DG$2,0)),"")</f>
        <v/>
      </c>
      <c r="P26" s="179" t="str">
        <f ca="1">_xlfn.IFNA(INDEX('Calculated Fields'!$C:$DG,MATCH(Agent_wise!P$5,'Calculated Fields'!$B:$B,0),MATCH(Agent_wise!$A26,'Calculated Fields'!$C$2:$DG$2,0)),"")</f>
        <v/>
      </c>
      <c r="Q26" s="179" t="str">
        <f ca="1">_xlfn.IFNA(INDEX('Calculated Fields'!$C:$DG,MATCH(Agent_wise!Q$5,'Calculated Fields'!$B:$B,0),MATCH(Agent_wise!$A26,'Calculated Fields'!$C$2:$DG$2,0)),"")</f>
        <v/>
      </c>
      <c r="R26" s="179" t="str">
        <f ca="1">_xlfn.IFNA(INDEX('Calculated Fields'!$C:$DG,MATCH(Agent_wise!R$5,'Calculated Fields'!$B:$B,0),MATCH(Agent_wise!$A26,'Calculated Fields'!$C$2:$DG$2,0)),"")</f>
        <v/>
      </c>
      <c r="S26" s="179" t="str">
        <f ca="1">_xlfn.IFNA(INDEX('Calculated Fields'!$C:$DG,MATCH(Agent_wise!S$5,'Calculated Fields'!$B:$B,0),MATCH(Agent_wise!$A26,'Calculated Fields'!$C$2:$DG$2,0)),"")</f>
        <v/>
      </c>
      <c r="T26" s="179" t="str">
        <f ca="1">_xlfn.IFNA(INDEX('Calculated Fields'!$C:$DG,MATCH(Agent_wise!T$5,'Calculated Fields'!$B:$B,0),MATCH(Agent_wise!$A26,'Calculated Fields'!$C$2:$DG$2,0)),"")</f>
        <v/>
      </c>
      <c r="U26" s="179" t="str">
        <f ca="1">_xlfn.IFNA(INDEX('Calculated Fields'!$C:$DG,MATCH(Agent_wise!U$5,'Calculated Fields'!$B:$B,0),MATCH(Agent_wise!$A26,'Calculated Fields'!$C$2:$DG$2,0)),"")</f>
        <v/>
      </c>
      <c r="V26" s="179" t="str">
        <f ca="1">_xlfn.IFNA(INDEX('Calculated Fields'!$C:$DG,MATCH(Agent_wise!V$5,'Calculated Fields'!$B:$B,0),MATCH(Agent_wise!$A26,'Calculated Fields'!$C$2:$DG$2,0)),"")</f>
        <v/>
      </c>
      <c r="W26" s="179" t="str">
        <f ca="1">_xlfn.IFNA(INDEX('Calculated Fields'!$C:$DG,MATCH(Agent_wise!W$5,'Calculated Fields'!$B:$B,0),MATCH(Agent_wise!$A26,'Calculated Fields'!$C$2:$DG$2,0)),"")</f>
        <v/>
      </c>
      <c r="X26" s="179" t="str">
        <f ca="1">_xlfn.IFNA(INDEX('Calculated Fields'!$C:$DG,MATCH(Agent_wise!X$5,'Calculated Fields'!$B:$B,0),MATCH(Agent_wise!$A26,'Calculated Fields'!$C$2:$DG$2,0)),"")</f>
        <v/>
      </c>
      <c r="Y26" s="179" t="str">
        <f ca="1">_xlfn.IFNA(INDEX('Calculated Fields'!$C:$DG,MATCH(Agent_wise!Y$5,'Calculated Fields'!$B:$B,0),MATCH(Agent_wise!$A26,'Calculated Fields'!$C$2:$DG$2,0)),"")</f>
        <v/>
      </c>
      <c r="Z26" s="179" t="str">
        <f ca="1">_xlfn.IFNA(INDEX('Calculated Fields'!$C:$DG,MATCH(Agent_wise!Z$5,'Calculated Fields'!$B:$B,0),MATCH(Agent_wise!$A26,'Calculated Fields'!$C$2:$DG$2,0)),"")</f>
        <v/>
      </c>
      <c r="AA26" s="1"/>
      <c r="AB26" s="1"/>
      <c r="AC26" s="1"/>
      <c r="AD26" s="1"/>
      <c r="AE26" s="1"/>
      <c r="AF26" s="1"/>
      <c r="AG26" s="1"/>
      <c r="AH26" s="1"/>
    </row>
    <row r="27" spans="1:34" ht="14.4">
      <c r="A27" s="177" t="s">
        <v>1007</v>
      </c>
      <c r="B27" s="178">
        <f ca="1">_xlfn.IFNA(INDEX('Calculated Fields'!$C:$DG,MATCH(Agent_wise!B$5,'Calculated Fields'!$B:$B,0),MATCH(Agent_wise!$A27,'Calculated Fields'!$C$2:$DG$2,0)),"")</f>
        <v>17</v>
      </c>
      <c r="C27" s="178">
        <f ca="1">_xlfn.IFNA(INDEX('Calculated Fields'!$C:$DG,MATCH(Agent_wise!C$5,'Calculated Fields'!$B:$B,0),MATCH(Agent_wise!$A27,'Calculated Fields'!$C$2:$DG$2,0)),"")</f>
        <v>15</v>
      </c>
      <c r="D27" s="178">
        <f ca="1">_xlfn.IFNA(INDEX('Calculated Fields'!$C:$DG,MATCH(Agent_wise!D$5,'Calculated Fields'!$B:$B,0),MATCH(Agent_wise!$A27,'Calculated Fields'!$C$2:$DG$2,0)),"")</f>
        <v>10</v>
      </c>
      <c r="E27" s="178">
        <f ca="1">_xlfn.IFNA(INDEX('Calculated Fields'!$C:$DG,MATCH(Agent_wise!E$5,'Calculated Fields'!$B:$B,0),MATCH(Agent_wise!$A27,'Calculated Fields'!$C$2:$DG$2,0)),"")</f>
        <v>2</v>
      </c>
      <c r="F27" s="178">
        <f ca="1">_xlfn.IFNA(INDEX('Calculated Fields'!$C:$DG,MATCH(Agent_wise!F$5,'Calculated Fields'!$B:$B,0),MATCH(Agent_wise!$A27,'Calculated Fields'!$C$2:$DG$2,0)),"")</f>
        <v>13</v>
      </c>
      <c r="G27" s="178">
        <f ca="1">_xlfn.IFNA(INDEX('Calculated Fields'!$C:$DG,MATCH(Agent_wise!G$5,'Calculated Fields'!$B:$B,0),MATCH(Agent_wise!$A27,'Calculated Fields'!$C$2:$DG$2,0)),"")</f>
        <v>12</v>
      </c>
      <c r="H27" s="178">
        <f ca="1">_xlfn.IFNA(INDEX('Calculated Fields'!$C:$DG,MATCH(Agent_wise!H$5,'Calculated Fields'!$B:$B,0),MATCH(Agent_wise!$A27,'Calculated Fields'!$C$2:$DG$2,0)),"")</f>
        <v>10</v>
      </c>
      <c r="I27" s="178">
        <f ca="1">_xlfn.IFNA(INDEX('Calculated Fields'!$C:$DG,MATCH(Agent_wise!I$5,'Calculated Fields'!$B:$B,0),MATCH(Agent_wise!$A27,'Calculated Fields'!$C$2:$DG$2,0)),"")</f>
        <v>17</v>
      </c>
      <c r="J27" s="178">
        <f ca="1">_xlfn.IFNA(INDEX('Calculated Fields'!$C:$DG,MATCH(Agent_wise!J$5,'Calculated Fields'!$B:$B,0),MATCH(Agent_wise!$A27,'Calculated Fields'!$C$2:$DG$2,0)),"")</f>
        <v>16</v>
      </c>
      <c r="K27" s="178">
        <f ca="1">_xlfn.IFNA(INDEX('Calculated Fields'!$C:$DG,MATCH(Agent_wise!K$5,'Calculated Fields'!$B:$B,0),MATCH(Agent_wise!$A27,'Calculated Fields'!$C$2:$DG$2,0)),"")</f>
        <v>22</v>
      </c>
      <c r="L27" s="179" t="str">
        <f ca="1">_xlfn.IFNA(INDEX('Calculated Fields'!$C:$DG,MATCH(Agent_wise!L$5,'Calculated Fields'!$B:$B,0),MATCH(Agent_wise!$A27,'Calculated Fields'!$C$2:$DG$2,0)),"")</f>
        <v/>
      </c>
      <c r="M27" s="179" t="str">
        <f ca="1">_xlfn.IFNA(INDEX('Calculated Fields'!$C:$DG,MATCH(Agent_wise!M$5,'Calculated Fields'!$B:$B,0),MATCH(Agent_wise!$A27,'Calculated Fields'!$C$2:$DG$2,0)),"")</f>
        <v/>
      </c>
      <c r="N27" s="179" t="str">
        <f ca="1">_xlfn.IFNA(INDEX('Calculated Fields'!$C:$DG,MATCH(Agent_wise!N$5,'Calculated Fields'!$B:$B,0),MATCH(Agent_wise!$A27,'Calculated Fields'!$C$2:$DG$2,0)),"")</f>
        <v/>
      </c>
      <c r="O27" s="179" t="str">
        <f ca="1">_xlfn.IFNA(INDEX('Calculated Fields'!$C:$DG,MATCH(Agent_wise!O$5,'Calculated Fields'!$B:$B,0),MATCH(Agent_wise!$A27,'Calculated Fields'!$C$2:$DG$2,0)),"")</f>
        <v/>
      </c>
      <c r="P27" s="179" t="str">
        <f ca="1">_xlfn.IFNA(INDEX('Calculated Fields'!$C:$DG,MATCH(Agent_wise!P$5,'Calculated Fields'!$B:$B,0),MATCH(Agent_wise!$A27,'Calculated Fields'!$C$2:$DG$2,0)),"")</f>
        <v/>
      </c>
      <c r="Q27" s="179" t="str">
        <f ca="1">_xlfn.IFNA(INDEX('Calculated Fields'!$C:$DG,MATCH(Agent_wise!Q$5,'Calculated Fields'!$B:$B,0),MATCH(Agent_wise!$A27,'Calculated Fields'!$C$2:$DG$2,0)),"")</f>
        <v/>
      </c>
      <c r="R27" s="179" t="str">
        <f ca="1">_xlfn.IFNA(INDEX('Calculated Fields'!$C:$DG,MATCH(Agent_wise!R$5,'Calculated Fields'!$B:$B,0),MATCH(Agent_wise!$A27,'Calculated Fields'!$C$2:$DG$2,0)),"")</f>
        <v/>
      </c>
      <c r="S27" s="179" t="str">
        <f ca="1">_xlfn.IFNA(INDEX('Calculated Fields'!$C:$DG,MATCH(Agent_wise!S$5,'Calculated Fields'!$B:$B,0),MATCH(Agent_wise!$A27,'Calculated Fields'!$C$2:$DG$2,0)),"")</f>
        <v/>
      </c>
      <c r="T27" s="179" t="str">
        <f ca="1">_xlfn.IFNA(INDEX('Calculated Fields'!$C:$DG,MATCH(Agent_wise!T$5,'Calculated Fields'!$B:$B,0),MATCH(Agent_wise!$A27,'Calculated Fields'!$C$2:$DG$2,0)),"")</f>
        <v/>
      </c>
      <c r="U27" s="179" t="str">
        <f ca="1">_xlfn.IFNA(INDEX('Calculated Fields'!$C:$DG,MATCH(Agent_wise!U$5,'Calculated Fields'!$B:$B,0),MATCH(Agent_wise!$A27,'Calculated Fields'!$C$2:$DG$2,0)),"")</f>
        <v/>
      </c>
      <c r="V27" s="179" t="str">
        <f ca="1">_xlfn.IFNA(INDEX('Calculated Fields'!$C:$DG,MATCH(Agent_wise!V$5,'Calculated Fields'!$B:$B,0),MATCH(Agent_wise!$A27,'Calculated Fields'!$C$2:$DG$2,0)),"")</f>
        <v/>
      </c>
      <c r="W27" s="179" t="str">
        <f ca="1">_xlfn.IFNA(INDEX('Calculated Fields'!$C:$DG,MATCH(Agent_wise!W$5,'Calculated Fields'!$B:$B,0),MATCH(Agent_wise!$A27,'Calculated Fields'!$C$2:$DG$2,0)),"")</f>
        <v/>
      </c>
      <c r="X27" s="179" t="str">
        <f ca="1">_xlfn.IFNA(INDEX('Calculated Fields'!$C:$DG,MATCH(Agent_wise!X$5,'Calculated Fields'!$B:$B,0),MATCH(Agent_wise!$A27,'Calculated Fields'!$C$2:$DG$2,0)),"")</f>
        <v/>
      </c>
      <c r="Y27" s="179" t="str">
        <f ca="1">_xlfn.IFNA(INDEX('Calculated Fields'!$C:$DG,MATCH(Agent_wise!Y$5,'Calculated Fields'!$B:$B,0),MATCH(Agent_wise!$A27,'Calculated Fields'!$C$2:$DG$2,0)),"")</f>
        <v/>
      </c>
      <c r="Z27" s="179" t="str">
        <f ca="1">_xlfn.IFNA(INDEX('Calculated Fields'!$C:$DG,MATCH(Agent_wise!Z$5,'Calculated Fields'!$B:$B,0),MATCH(Agent_wise!$A27,'Calculated Fields'!$C$2:$DG$2,0)),"")</f>
        <v/>
      </c>
      <c r="AA27" s="1"/>
      <c r="AB27" s="1"/>
      <c r="AC27" s="1"/>
      <c r="AD27" s="1"/>
      <c r="AE27" s="1"/>
      <c r="AF27" s="1"/>
      <c r="AG27" s="1"/>
      <c r="AH27" s="1"/>
    </row>
    <row r="28" spans="1:34" ht="14.4">
      <c r="A28" s="177" t="s">
        <v>1034</v>
      </c>
      <c r="B28" s="178">
        <f ca="1">_xlfn.IFNA(INDEX('Calculated Fields'!$C:$DG,MATCH(Agent_wise!B$5,'Calculated Fields'!$B:$B,0),MATCH(Agent_wise!$A28,'Calculated Fields'!$C$2:$DG$2,0)),"")</f>
        <v>2.8235294117647061</v>
      </c>
      <c r="C28" s="178">
        <f ca="1">_xlfn.IFNA(INDEX('Calculated Fields'!$C:$DG,MATCH(Agent_wise!C$5,'Calculated Fields'!$B:$B,0),MATCH(Agent_wise!$A28,'Calculated Fields'!$C$2:$DG$2,0)),"")</f>
        <v>3.8</v>
      </c>
      <c r="D28" s="178">
        <f ca="1">_xlfn.IFNA(INDEX('Calculated Fields'!$C:$DG,MATCH(Agent_wise!D$5,'Calculated Fields'!$B:$B,0),MATCH(Agent_wise!$A28,'Calculated Fields'!$C$2:$DG$2,0)),"")</f>
        <v>18.3</v>
      </c>
      <c r="E28" s="178">
        <f ca="1">_xlfn.IFNA(INDEX('Calculated Fields'!$C:$DG,MATCH(Agent_wise!E$5,'Calculated Fields'!$B:$B,0),MATCH(Agent_wise!$A28,'Calculated Fields'!$C$2:$DG$2,0)),"")</f>
        <v>17.5</v>
      </c>
      <c r="F28" s="178">
        <f ca="1">_xlfn.IFNA(INDEX('Calculated Fields'!$C:$DG,MATCH(Agent_wise!F$5,'Calculated Fields'!$B:$B,0),MATCH(Agent_wise!$A28,'Calculated Fields'!$C$2:$DG$2,0)),"")</f>
        <v>6.1538461538461542</v>
      </c>
      <c r="G28" s="178">
        <f ca="1">_xlfn.IFNA(INDEX('Calculated Fields'!$C:$DG,MATCH(Agent_wise!G$5,'Calculated Fields'!$B:$B,0),MATCH(Agent_wise!$A28,'Calculated Fields'!$C$2:$DG$2,0)),"")</f>
        <v>1.1666666666666667</v>
      </c>
      <c r="H28" s="178">
        <f ca="1">_xlfn.IFNA(INDEX('Calculated Fields'!$C:$DG,MATCH(Agent_wise!H$5,'Calculated Fields'!$B:$B,0),MATCH(Agent_wise!$A28,'Calculated Fields'!$C$2:$DG$2,0)),"")</f>
        <v>6.6</v>
      </c>
      <c r="I28" s="178">
        <f ca="1">_xlfn.IFNA(INDEX('Calculated Fields'!$C:$DG,MATCH(Agent_wise!I$5,'Calculated Fields'!$B:$B,0),MATCH(Agent_wise!$A28,'Calculated Fields'!$C$2:$DG$2,0)),"")</f>
        <v>7.2941176470588234</v>
      </c>
      <c r="J28" s="178">
        <f ca="1">_xlfn.IFNA(INDEX('Calculated Fields'!$C:$DG,MATCH(Agent_wise!J$5,'Calculated Fields'!$B:$B,0),MATCH(Agent_wise!$A28,'Calculated Fields'!$C$2:$DG$2,0)),"")</f>
        <v>0.875</v>
      </c>
      <c r="K28" s="178">
        <f ca="1">_xlfn.IFNA(INDEX('Calculated Fields'!$C:$DG,MATCH(Agent_wise!K$5,'Calculated Fields'!$B:$B,0),MATCH(Agent_wise!$A28,'Calculated Fields'!$C$2:$DG$2,0)),"")</f>
        <v>2.6363636363636362</v>
      </c>
      <c r="L28" s="179" t="str">
        <f ca="1">_xlfn.IFNA(INDEX('Calculated Fields'!$C:$DG,MATCH(Agent_wise!L$5,'Calculated Fields'!$B:$B,0),MATCH(Agent_wise!$A28,'Calculated Fields'!$C$2:$DG$2,0)),"")</f>
        <v/>
      </c>
      <c r="M28" s="179" t="str">
        <f ca="1">_xlfn.IFNA(INDEX('Calculated Fields'!$C:$DG,MATCH(Agent_wise!M$5,'Calculated Fields'!$B:$B,0),MATCH(Agent_wise!$A28,'Calculated Fields'!$C$2:$DG$2,0)),"")</f>
        <v/>
      </c>
      <c r="N28" s="179" t="str">
        <f ca="1">_xlfn.IFNA(INDEX('Calculated Fields'!$C:$DG,MATCH(Agent_wise!N$5,'Calculated Fields'!$B:$B,0),MATCH(Agent_wise!$A28,'Calculated Fields'!$C$2:$DG$2,0)),"")</f>
        <v/>
      </c>
      <c r="O28" s="179" t="str">
        <f ca="1">_xlfn.IFNA(INDEX('Calculated Fields'!$C:$DG,MATCH(Agent_wise!O$5,'Calculated Fields'!$B:$B,0),MATCH(Agent_wise!$A28,'Calculated Fields'!$C$2:$DG$2,0)),"")</f>
        <v/>
      </c>
      <c r="P28" s="179" t="str">
        <f ca="1">_xlfn.IFNA(INDEX('Calculated Fields'!$C:$DG,MATCH(Agent_wise!P$5,'Calculated Fields'!$B:$B,0),MATCH(Agent_wise!$A28,'Calculated Fields'!$C$2:$DG$2,0)),"")</f>
        <v/>
      </c>
      <c r="Q28" s="179" t="str">
        <f ca="1">_xlfn.IFNA(INDEX('Calculated Fields'!$C:$DG,MATCH(Agent_wise!Q$5,'Calculated Fields'!$B:$B,0),MATCH(Agent_wise!$A28,'Calculated Fields'!$C$2:$DG$2,0)),"")</f>
        <v/>
      </c>
      <c r="R28" s="179" t="str">
        <f ca="1">_xlfn.IFNA(INDEX('Calculated Fields'!$C:$DG,MATCH(Agent_wise!R$5,'Calculated Fields'!$B:$B,0),MATCH(Agent_wise!$A28,'Calculated Fields'!$C$2:$DG$2,0)),"")</f>
        <v/>
      </c>
      <c r="S28" s="179" t="str">
        <f ca="1">_xlfn.IFNA(INDEX('Calculated Fields'!$C:$DG,MATCH(Agent_wise!S$5,'Calculated Fields'!$B:$B,0),MATCH(Agent_wise!$A28,'Calculated Fields'!$C$2:$DG$2,0)),"")</f>
        <v/>
      </c>
      <c r="T28" s="179" t="str">
        <f ca="1">_xlfn.IFNA(INDEX('Calculated Fields'!$C:$DG,MATCH(Agent_wise!T$5,'Calculated Fields'!$B:$B,0),MATCH(Agent_wise!$A28,'Calculated Fields'!$C$2:$DG$2,0)),"")</f>
        <v/>
      </c>
      <c r="U28" s="179" t="str">
        <f ca="1">_xlfn.IFNA(INDEX('Calculated Fields'!$C:$DG,MATCH(Agent_wise!U$5,'Calculated Fields'!$B:$B,0),MATCH(Agent_wise!$A28,'Calculated Fields'!$C$2:$DG$2,0)),"")</f>
        <v/>
      </c>
      <c r="V28" s="179" t="str">
        <f ca="1">_xlfn.IFNA(INDEX('Calculated Fields'!$C:$DG,MATCH(Agent_wise!V$5,'Calculated Fields'!$B:$B,0),MATCH(Agent_wise!$A28,'Calculated Fields'!$C$2:$DG$2,0)),"")</f>
        <v/>
      </c>
      <c r="W28" s="179" t="str">
        <f ca="1">_xlfn.IFNA(INDEX('Calculated Fields'!$C:$DG,MATCH(Agent_wise!W$5,'Calculated Fields'!$B:$B,0),MATCH(Agent_wise!$A28,'Calculated Fields'!$C$2:$DG$2,0)),"")</f>
        <v/>
      </c>
      <c r="X28" s="179" t="str">
        <f ca="1">_xlfn.IFNA(INDEX('Calculated Fields'!$C:$DG,MATCH(Agent_wise!X$5,'Calculated Fields'!$B:$B,0),MATCH(Agent_wise!$A28,'Calculated Fields'!$C$2:$DG$2,0)),"")</f>
        <v/>
      </c>
      <c r="Y28" s="179" t="str">
        <f ca="1">_xlfn.IFNA(INDEX('Calculated Fields'!$C:$DG,MATCH(Agent_wise!Y$5,'Calculated Fields'!$B:$B,0),MATCH(Agent_wise!$A28,'Calculated Fields'!$C$2:$DG$2,0)),"")</f>
        <v/>
      </c>
      <c r="Z28" s="179" t="str">
        <f ca="1">_xlfn.IFNA(INDEX('Calculated Fields'!$C:$DG,MATCH(Agent_wise!Z$5,'Calculated Fields'!$B:$B,0),MATCH(Agent_wise!$A28,'Calculated Fields'!$C$2:$DG$2,0)),"")</f>
        <v/>
      </c>
      <c r="AA28" s="1"/>
      <c r="AB28" s="1"/>
      <c r="AC28" s="1"/>
      <c r="AD28" s="1"/>
      <c r="AE28" s="1"/>
      <c r="AF28" s="1"/>
      <c r="AG28" s="1"/>
      <c r="AH28" s="1"/>
    </row>
    <row r="29" spans="1:34" ht="14.4">
      <c r="A29" s="177" t="s">
        <v>1078</v>
      </c>
      <c r="B29" s="178">
        <f ca="1">_xlfn.IFNA(INDEX('Calculated Fields'!$C:$DG,MATCH(Agent_wise!B$5,'Calculated Fields'!$B:$B,0),MATCH(Agent_wise!$A29,'Calculated Fields'!$C$2:$DG$2,0)),"")</f>
        <v>0.12582781456953643</v>
      </c>
      <c r="C29" s="178">
        <f ca="1">_xlfn.IFNA(INDEX('Calculated Fields'!$C:$DG,MATCH(Agent_wise!C$5,'Calculated Fields'!$B:$B,0),MATCH(Agent_wise!$A29,'Calculated Fields'!$C$2:$DG$2,0)),"")</f>
        <v>0.10877192982456141</v>
      </c>
      <c r="D29" s="178">
        <f ca="1">_xlfn.IFNA(INDEX('Calculated Fields'!$C:$DG,MATCH(Agent_wise!D$5,'Calculated Fields'!$B:$B,0),MATCH(Agent_wise!$A29,'Calculated Fields'!$C$2:$DG$2,0)),"")</f>
        <v>6.097560975609756E-2</v>
      </c>
      <c r="E29" s="178">
        <f ca="1">_xlfn.IFNA(INDEX('Calculated Fields'!$C:$DG,MATCH(Agent_wise!E$5,'Calculated Fields'!$B:$B,0),MATCH(Agent_wise!$A29,'Calculated Fields'!$C$2:$DG$2,0)),"")</f>
        <v>1.5873015873015872E-2</v>
      </c>
      <c r="F29" s="178">
        <f ca="1">_xlfn.IFNA(INDEX('Calculated Fields'!$C:$DG,MATCH(Agent_wise!F$5,'Calculated Fields'!$B:$B,0),MATCH(Agent_wise!$A29,'Calculated Fields'!$C$2:$DG$2,0)),"")</f>
        <v>0.82758620689655171</v>
      </c>
      <c r="G29" s="178">
        <f ca="1">_xlfn.IFNA(INDEX('Calculated Fields'!$C:$DG,MATCH(Agent_wise!G$5,'Calculated Fields'!$B:$B,0),MATCH(Agent_wise!$A29,'Calculated Fields'!$C$2:$DG$2,0)),"")</f>
        <v>0</v>
      </c>
      <c r="H29" s="178">
        <f ca="1">_xlfn.IFNA(INDEX('Calculated Fields'!$C:$DG,MATCH(Agent_wise!H$5,'Calculated Fields'!$B:$B,0),MATCH(Agent_wise!$A29,'Calculated Fields'!$C$2:$DG$2,0)),"")</f>
        <v>8.9041095890410954E-2</v>
      </c>
      <c r="I29" s="178">
        <f ca="1">_xlfn.IFNA(INDEX('Calculated Fields'!$C:$DG,MATCH(Agent_wise!I$5,'Calculated Fields'!$B:$B,0),MATCH(Agent_wise!$A29,'Calculated Fields'!$C$2:$DG$2,0)),"")</f>
        <v>0.17073170731707318</v>
      </c>
      <c r="J29" s="178">
        <f ca="1">_xlfn.IFNA(INDEX('Calculated Fields'!$C:$DG,MATCH(Agent_wise!J$5,'Calculated Fields'!$B:$B,0),MATCH(Agent_wise!$A29,'Calculated Fields'!$C$2:$DG$2,0)),"")</f>
        <v>2.5</v>
      </c>
      <c r="K29" s="178">
        <f ca="1">_xlfn.IFNA(INDEX('Calculated Fields'!$C:$DG,MATCH(Agent_wise!K$5,'Calculated Fields'!$B:$B,0),MATCH(Agent_wise!$A29,'Calculated Fields'!$C$2:$DG$2,0)),"")</f>
        <v>0.379746835443038</v>
      </c>
      <c r="L29" s="179" t="str">
        <f ca="1">_xlfn.IFNA(INDEX('Calculated Fields'!$C:$DG,MATCH(Agent_wise!L$5,'Calculated Fields'!$B:$B,0),MATCH(Agent_wise!$A29,'Calculated Fields'!$C$2:$DG$2,0)),"")</f>
        <v/>
      </c>
      <c r="M29" s="179" t="str">
        <f ca="1">_xlfn.IFNA(INDEX('Calculated Fields'!$C:$DG,MATCH(Agent_wise!M$5,'Calculated Fields'!$B:$B,0),MATCH(Agent_wise!$A29,'Calculated Fields'!$C$2:$DG$2,0)),"")</f>
        <v/>
      </c>
      <c r="N29" s="179" t="str">
        <f ca="1">_xlfn.IFNA(INDEX('Calculated Fields'!$C:$DG,MATCH(Agent_wise!N$5,'Calculated Fields'!$B:$B,0),MATCH(Agent_wise!$A29,'Calculated Fields'!$C$2:$DG$2,0)),"")</f>
        <v/>
      </c>
      <c r="O29" s="179" t="str">
        <f ca="1">_xlfn.IFNA(INDEX('Calculated Fields'!$C:$DG,MATCH(Agent_wise!O$5,'Calculated Fields'!$B:$B,0),MATCH(Agent_wise!$A29,'Calculated Fields'!$C$2:$DG$2,0)),"")</f>
        <v/>
      </c>
      <c r="P29" s="179" t="str">
        <f ca="1">_xlfn.IFNA(INDEX('Calculated Fields'!$C:$DG,MATCH(Agent_wise!P$5,'Calculated Fields'!$B:$B,0),MATCH(Agent_wise!$A29,'Calculated Fields'!$C$2:$DG$2,0)),"")</f>
        <v/>
      </c>
      <c r="Q29" s="179" t="str">
        <f ca="1">_xlfn.IFNA(INDEX('Calculated Fields'!$C:$DG,MATCH(Agent_wise!Q$5,'Calculated Fields'!$B:$B,0),MATCH(Agent_wise!$A29,'Calculated Fields'!$C$2:$DG$2,0)),"")</f>
        <v/>
      </c>
      <c r="R29" s="179" t="str">
        <f ca="1">_xlfn.IFNA(INDEX('Calculated Fields'!$C:$DG,MATCH(Agent_wise!R$5,'Calculated Fields'!$B:$B,0),MATCH(Agent_wise!$A29,'Calculated Fields'!$C$2:$DG$2,0)),"")</f>
        <v/>
      </c>
      <c r="S29" s="179" t="str">
        <f ca="1">_xlfn.IFNA(INDEX('Calculated Fields'!$C:$DG,MATCH(Agent_wise!S$5,'Calculated Fields'!$B:$B,0),MATCH(Agent_wise!$A29,'Calculated Fields'!$C$2:$DG$2,0)),"")</f>
        <v/>
      </c>
      <c r="T29" s="179" t="str">
        <f ca="1">_xlfn.IFNA(INDEX('Calculated Fields'!$C:$DG,MATCH(Agent_wise!T$5,'Calculated Fields'!$B:$B,0),MATCH(Agent_wise!$A29,'Calculated Fields'!$C$2:$DG$2,0)),"")</f>
        <v/>
      </c>
      <c r="U29" s="179" t="str">
        <f ca="1">_xlfn.IFNA(INDEX('Calculated Fields'!$C:$DG,MATCH(Agent_wise!U$5,'Calculated Fields'!$B:$B,0),MATCH(Agent_wise!$A29,'Calculated Fields'!$C$2:$DG$2,0)),"")</f>
        <v/>
      </c>
      <c r="V29" s="179" t="str">
        <f ca="1">_xlfn.IFNA(INDEX('Calculated Fields'!$C:$DG,MATCH(Agent_wise!V$5,'Calculated Fields'!$B:$B,0),MATCH(Agent_wise!$A29,'Calculated Fields'!$C$2:$DG$2,0)),"")</f>
        <v/>
      </c>
      <c r="W29" s="179" t="str">
        <f ca="1">_xlfn.IFNA(INDEX('Calculated Fields'!$C:$DG,MATCH(Agent_wise!W$5,'Calculated Fields'!$B:$B,0),MATCH(Agent_wise!$A29,'Calculated Fields'!$C$2:$DG$2,0)),"")</f>
        <v/>
      </c>
      <c r="X29" s="179" t="str">
        <f ca="1">_xlfn.IFNA(INDEX('Calculated Fields'!$C:$DG,MATCH(Agent_wise!X$5,'Calculated Fields'!$B:$B,0),MATCH(Agent_wise!$A29,'Calculated Fields'!$C$2:$DG$2,0)),"")</f>
        <v/>
      </c>
      <c r="Y29" s="179" t="str">
        <f ca="1">_xlfn.IFNA(INDEX('Calculated Fields'!$C:$DG,MATCH(Agent_wise!Y$5,'Calculated Fields'!$B:$B,0),MATCH(Agent_wise!$A29,'Calculated Fields'!$C$2:$DG$2,0)),"")</f>
        <v/>
      </c>
      <c r="Z29" s="179" t="str">
        <f ca="1">_xlfn.IFNA(INDEX('Calculated Fields'!$C:$DG,MATCH(Agent_wise!Z$5,'Calculated Fields'!$B:$B,0),MATCH(Agent_wise!$A29,'Calculated Fields'!$C$2:$DG$2,0)),"")</f>
        <v/>
      </c>
      <c r="AA29" s="1"/>
      <c r="AB29" s="1"/>
      <c r="AC29" s="1"/>
      <c r="AD29" s="1"/>
      <c r="AE29" s="1"/>
      <c r="AF29" s="1"/>
      <c r="AG29" s="1"/>
      <c r="AH29" s="1"/>
    </row>
    <row r="30" spans="1:34" ht="14.4">
      <c r="A30" s="177" t="s">
        <v>1021</v>
      </c>
      <c r="B30" s="178">
        <f ca="1">_xlfn.IFNA(INDEX('Calculated Fields'!$C:$DG,MATCH(Agent_wise!B$5,'Calculated Fields'!$B:$B,0),MATCH(Agent_wise!$A30,'Calculated Fields'!$C$2:$DG$2,0)),"")</f>
        <v>0.33929999999999999</v>
      </c>
      <c r="C30" s="178">
        <f ca="1">_xlfn.IFNA(INDEX('Calculated Fields'!$C:$DG,MATCH(Agent_wise!C$5,'Calculated Fields'!$B:$B,0),MATCH(Agent_wise!$A30,'Calculated Fields'!$C$2:$DG$2,0)),"")</f>
        <v>0.36470000000000002</v>
      </c>
      <c r="D30" s="178">
        <f ca="1">_xlfn.IFNA(INDEX('Calculated Fields'!$C:$DG,MATCH(Agent_wise!D$5,'Calculated Fields'!$B:$B,0),MATCH(Agent_wise!$A30,'Calculated Fields'!$C$2:$DG$2,0)),"")</f>
        <v>0.16389999999999999</v>
      </c>
      <c r="E30" s="178">
        <f ca="1">_xlfn.IFNA(INDEX('Calculated Fields'!$C:$DG,MATCH(Agent_wise!E$5,'Calculated Fields'!$B:$B,0),MATCH(Agent_wise!$A30,'Calculated Fields'!$C$2:$DG$2,0)),"")</f>
        <v>3.6400000000000002E-2</v>
      </c>
      <c r="F30" s="178">
        <f ca="1">_xlfn.IFNA(INDEX('Calculated Fields'!$C:$DG,MATCH(Agent_wise!F$5,'Calculated Fields'!$B:$B,0),MATCH(Agent_wise!$A30,'Calculated Fields'!$C$2:$DG$2,0)),"")</f>
        <v>1.7142999999999999</v>
      </c>
      <c r="G30" s="178">
        <f ca="1">_xlfn.IFNA(INDEX('Calculated Fields'!$C:$DG,MATCH(Agent_wise!G$5,'Calculated Fields'!$B:$B,0),MATCH(Agent_wise!$A30,'Calculated Fields'!$C$2:$DG$2,0)),"")</f>
        <v>0</v>
      </c>
      <c r="H30" s="178">
        <f ca="1">_xlfn.IFNA(INDEX('Calculated Fields'!$C:$DG,MATCH(Agent_wise!H$5,'Calculated Fields'!$B:$B,0),MATCH(Agent_wise!$A30,'Calculated Fields'!$C$2:$DG$2,0)),"")</f>
        <v>0.22409999999999999</v>
      </c>
      <c r="I30" s="178">
        <f ca="1">_xlfn.IFNA(INDEX('Calculated Fields'!$C:$DG,MATCH(Agent_wise!I$5,'Calculated Fields'!$B:$B,0),MATCH(Agent_wise!$A30,'Calculated Fields'!$C$2:$DG$2,0)),"")</f>
        <v>0.33329999999999999</v>
      </c>
      <c r="J30" s="178">
        <f ca="1">_xlfn.IFNA(INDEX('Calculated Fields'!$C:$DG,MATCH(Agent_wise!J$5,'Calculated Fields'!$B:$B,0),MATCH(Agent_wise!$A30,'Calculated Fields'!$C$2:$DG$2,0)),"")</f>
        <v>5</v>
      </c>
      <c r="K30" s="178">
        <f ca="1">_xlfn.IFNA(INDEX('Calculated Fields'!$C:$DG,MATCH(Agent_wise!K$5,'Calculated Fields'!$B:$B,0),MATCH(Agent_wise!$A30,'Calculated Fields'!$C$2:$DG$2,0)),"")</f>
        <v>0.625</v>
      </c>
      <c r="L30" s="179" t="str">
        <f ca="1">_xlfn.IFNA(INDEX('Calculated Fields'!$C:$DG,MATCH(Agent_wise!L$5,'Calculated Fields'!$B:$B,0),MATCH(Agent_wise!$A30,'Calculated Fields'!$C$2:$DG$2,0)),"")</f>
        <v/>
      </c>
      <c r="M30" s="179" t="str">
        <f ca="1">_xlfn.IFNA(INDEX('Calculated Fields'!$C:$DG,MATCH(Agent_wise!M$5,'Calculated Fields'!$B:$B,0),MATCH(Agent_wise!$A30,'Calculated Fields'!$C$2:$DG$2,0)),"")</f>
        <v/>
      </c>
      <c r="N30" s="179" t="str">
        <f ca="1">_xlfn.IFNA(INDEX('Calculated Fields'!$C:$DG,MATCH(Agent_wise!N$5,'Calculated Fields'!$B:$B,0),MATCH(Agent_wise!$A30,'Calculated Fields'!$C$2:$DG$2,0)),"")</f>
        <v/>
      </c>
      <c r="O30" s="179" t="str">
        <f ca="1">_xlfn.IFNA(INDEX('Calculated Fields'!$C:$DG,MATCH(Agent_wise!O$5,'Calculated Fields'!$B:$B,0),MATCH(Agent_wise!$A30,'Calculated Fields'!$C$2:$DG$2,0)),"")</f>
        <v/>
      </c>
      <c r="P30" s="179" t="str">
        <f ca="1">_xlfn.IFNA(INDEX('Calculated Fields'!$C:$DG,MATCH(Agent_wise!P$5,'Calculated Fields'!$B:$B,0),MATCH(Agent_wise!$A30,'Calculated Fields'!$C$2:$DG$2,0)),"")</f>
        <v/>
      </c>
      <c r="Q30" s="179" t="str">
        <f ca="1">_xlfn.IFNA(INDEX('Calculated Fields'!$C:$DG,MATCH(Agent_wise!Q$5,'Calculated Fields'!$B:$B,0),MATCH(Agent_wise!$A30,'Calculated Fields'!$C$2:$DG$2,0)),"")</f>
        <v/>
      </c>
      <c r="R30" s="179" t="str">
        <f ca="1">_xlfn.IFNA(INDEX('Calculated Fields'!$C:$DG,MATCH(Agent_wise!R$5,'Calculated Fields'!$B:$B,0),MATCH(Agent_wise!$A30,'Calculated Fields'!$C$2:$DG$2,0)),"")</f>
        <v/>
      </c>
      <c r="S30" s="179" t="str">
        <f ca="1">_xlfn.IFNA(INDEX('Calculated Fields'!$C:$DG,MATCH(Agent_wise!S$5,'Calculated Fields'!$B:$B,0),MATCH(Agent_wise!$A30,'Calculated Fields'!$C$2:$DG$2,0)),"")</f>
        <v/>
      </c>
      <c r="T30" s="179" t="str">
        <f ca="1">_xlfn.IFNA(INDEX('Calculated Fields'!$C:$DG,MATCH(Agent_wise!T$5,'Calculated Fields'!$B:$B,0),MATCH(Agent_wise!$A30,'Calculated Fields'!$C$2:$DG$2,0)),"")</f>
        <v/>
      </c>
      <c r="U30" s="179" t="str">
        <f ca="1">_xlfn.IFNA(INDEX('Calculated Fields'!$C:$DG,MATCH(Agent_wise!U$5,'Calculated Fields'!$B:$B,0),MATCH(Agent_wise!$A30,'Calculated Fields'!$C$2:$DG$2,0)),"")</f>
        <v/>
      </c>
      <c r="V30" s="179" t="str">
        <f ca="1">_xlfn.IFNA(INDEX('Calculated Fields'!$C:$DG,MATCH(Agent_wise!V$5,'Calculated Fields'!$B:$B,0),MATCH(Agent_wise!$A30,'Calculated Fields'!$C$2:$DG$2,0)),"")</f>
        <v/>
      </c>
      <c r="W30" s="179" t="str">
        <f ca="1">_xlfn.IFNA(INDEX('Calculated Fields'!$C:$DG,MATCH(Agent_wise!W$5,'Calculated Fields'!$B:$B,0),MATCH(Agent_wise!$A30,'Calculated Fields'!$C$2:$DG$2,0)),"")</f>
        <v/>
      </c>
      <c r="X30" s="179" t="str">
        <f ca="1">_xlfn.IFNA(INDEX('Calculated Fields'!$C:$DG,MATCH(Agent_wise!X$5,'Calculated Fields'!$B:$B,0),MATCH(Agent_wise!$A30,'Calculated Fields'!$C$2:$DG$2,0)),"")</f>
        <v/>
      </c>
      <c r="Y30" s="179" t="str">
        <f ca="1">_xlfn.IFNA(INDEX('Calculated Fields'!$C:$DG,MATCH(Agent_wise!Y$5,'Calculated Fields'!$B:$B,0),MATCH(Agent_wise!$A30,'Calculated Fields'!$C$2:$DG$2,0)),"")</f>
        <v/>
      </c>
      <c r="Z30" s="179" t="str">
        <f ca="1">_xlfn.IFNA(INDEX('Calculated Fields'!$C:$DG,MATCH(Agent_wise!Z$5,'Calculated Fields'!$B:$B,0),MATCH(Agent_wise!$A30,'Calculated Fields'!$C$2:$DG$2,0)),"")</f>
        <v/>
      </c>
      <c r="AA30" s="1"/>
      <c r="AB30" s="1"/>
      <c r="AC30" s="1"/>
      <c r="AD30" s="1"/>
      <c r="AE30" s="1"/>
      <c r="AF30" s="1"/>
      <c r="AG30" s="1"/>
      <c r="AH30" s="1"/>
    </row>
    <row r="31" spans="1:34" ht="14.4">
      <c r="A31" s="177" t="s">
        <v>1017</v>
      </c>
      <c r="B31" s="178">
        <f ca="1">_xlfn.IFNA(INDEX('Calculated Fields'!$C:$DG,MATCH(Agent_wise!B$5,'Calculated Fields'!$B:$B,0),MATCH(Agent_wise!$A31,'Calculated Fields'!$C$2:$DG$2,0)),"")</f>
        <v>0.1</v>
      </c>
      <c r="C31" s="178">
        <f ca="1">_xlfn.IFNA(INDEX('Calculated Fields'!$C:$DG,MATCH(Agent_wise!C$5,'Calculated Fields'!$B:$B,0),MATCH(Agent_wise!$A31,'Calculated Fields'!$C$2:$DG$2,0)),"")</f>
        <v>4.1666666666666664E-2</v>
      </c>
      <c r="D31" s="178">
        <f ca="1">_xlfn.IFNA(INDEX('Calculated Fields'!$C:$DG,MATCH(Agent_wise!D$5,'Calculated Fields'!$B:$B,0),MATCH(Agent_wise!$A31,'Calculated Fields'!$C$2:$DG$2,0)),"")</f>
        <v>0.14285714285714285</v>
      </c>
      <c r="E31" s="178">
        <f ca="1">_xlfn.IFNA(INDEX('Calculated Fields'!$C:$DG,MATCH(Agent_wise!E$5,'Calculated Fields'!$B:$B,0),MATCH(Agent_wise!$A31,'Calculated Fields'!$C$2:$DG$2,0)),"")</f>
        <v>9.0909090909090912E-2</v>
      </c>
      <c r="F31" s="178">
        <f ca="1">_xlfn.IFNA(INDEX('Calculated Fields'!$C:$DG,MATCH(Agent_wise!F$5,'Calculated Fields'!$B:$B,0),MATCH(Agent_wise!$A31,'Calculated Fields'!$C$2:$DG$2,0)),"")</f>
        <v>1.25</v>
      </c>
      <c r="G31" s="178">
        <f ca="1">_xlfn.IFNA(INDEX('Calculated Fields'!$C:$DG,MATCH(Agent_wise!G$5,'Calculated Fields'!$B:$B,0),MATCH(Agent_wise!$A31,'Calculated Fields'!$C$2:$DG$2,0)),"")</f>
        <v>0</v>
      </c>
      <c r="H31" s="178">
        <f ca="1">_xlfn.IFNA(INDEX('Calculated Fields'!$C:$DG,MATCH(Agent_wise!H$5,'Calculated Fields'!$B:$B,0),MATCH(Agent_wise!$A31,'Calculated Fields'!$C$2:$DG$2,0)),"")</f>
        <v>8.6956521739130432E-2</v>
      </c>
      <c r="I31" s="178">
        <f ca="1">_xlfn.IFNA(INDEX('Calculated Fields'!$C:$DG,MATCH(Agent_wise!I$5,'Calculated Fields'!$B:$B,0),MATCH(Agent_wise!$A31,'Calculated Fields'!$C$2:$DG$2,0)),"")</f>
        <v>0.21739130434782608</v>
      </c>
      <c r="J31" s="178">
        <f ca="1">_xlfn.IFNA(INDEX('Calculated Fields'!$C:$DG,MATCH(Agent_wise!J$5,'Calculated Fields'!$B:$B,0),MATCH(Agent_wise!$A31,'Calculated Fields'!$C$2:$DG$2,0)),"")</f>
        <v>0</v>
      </c>
      <c r="K31" s="178">
        <f ca="1">_xlfn.IFNA(INDEX('Calculated Fields'!$C:$DG,MATCH(Agent_wise!K$5,'Calculated Fields'!$B:$B,0),MATCH(Agent_wise!$A31,'Calculated Fields'!$C$2:$DG$2,0)),"")</f>
        <v>0.3</v>
      </c>
      <c r="L31" s="179" t="str">
        <f ca="1">_xlfn.IFNA(INDEX('Calculated Fields'!$C:$DG,MATCH(Agent_wise!L$5,'Calculated Fields'!$B:$B,0),MATCH(Agent_wise!$A31,'Calculated Fields'!$C$2:$DG$2,0)),"")</f>
        <v/>
      </c>
      <c r="M31" s="179" t="str">
        <f ca="1">_xlfn.IFNA(INDEX('Calculated Fields'!$C:$DG,MATCH(Agent_wise!M$5,'Calculated Fields'!$B:$B,0),MATCH(Agent_wise!$A31,'Calculated Fields'!$C$2:$DG$2,0)),"")</f>
        <v/>
      </c>
      <c r="N31" s="179" t="str">
        <f ca="1">_xlfn.IFNA(INDEX('Calculated Fields'!$C:$DG,MATCH(Agent_wise!N$5,'Calculated Fields'!$B:$B,0),MATCH(Agent_wise!$A31,'Calculated Fields'!$C$2:$DG$2,0)),"")</f>
        <v/>
      </c>
      <c r="O31" s="179" t="str">
        <f ca="1">_xlfn.IFNA(INDEX('Calculated Fields'!$C:$DG,MATCH(Agent_wise!O$5,'Calculated Fields'!$B:$B,0),MATCH(Agent_wise!$A31,'Calculated Fields'!$C$2:$DG$2,0)),"")</f>
        <v/>
      </c>
      <c r="P31" s="179" t="str">
        <f ca="1">_xlfn.IFNA(INDEX('Calculated Fields'!$C:$DG,MATCH(Agent_wise!P$5,'Calculated Fields'!$B:$B,0),MATCH(Agent_wise!$A31,'Calculated Fields'!$C$2:$DG$2,0)),"")</f>
        <v/>
      </c>
      <c r="Q31" s="179" t="str">
        <f ca="1">_xlfn.IFNA(INDEX('Calculated Fields'!$C:$DG,MATCH(Agent_wise!Q$5,'Calculated Fields'!$B:$B,0),MATCH(Agent_wise!$A31,'Calculated Fields'!$C$2:$DG$2,0)),"")</f>
        <v/>
      </c>
      <c r="R31" s="179" t="str">
        <f ca="1">_xlfn.IFNA(INDEX('Calculated Fields'!$C:$DG,MATCH(Agent_wise!R$5,'Calculated Fields'!$B:$B,0),MATCH(Agent_wise!$A31,'Calculated Fields'!$C$2:$DG$2,0)),"")</f>
        <v/>
      </c>
      <c r="S31" s="179" t="str">
        <f ca="1">_xlfn.IFNA(INDEX('Calculated Fields'!$C:$DG,MATCH(Agent_wise!S$5,'Calculated Fields'!$B:$B,0),MATCH(Agent_wise!$A31,'Calculated Fields'!$C$2:$DG$2,0)),"")</f>
        <v/>
      </c>
      <c r="T31" s="179" t="str">
        <f ca="1">_xlfn.IFNA(INDEX('Calculated Fields'!$C:$DG,MATCH(Agent_wise!T$5,'Calculated Fields'!$B:$B,0),MATCH(Agent_wise!$A31,'Calculated Fields'!$C$2:$DG$2,0)),"")</f>
        <v/>
      </c>
      <c r="U31" s="179" t="str">
        <f ca="1">_xlfn.IFNA(INDEX('Calculated Fields'!$C:$DG,MATCH(Agent_wise!U$5,'Calculated Fields'!$B:$B,0),MATCH(Agent_wise!$A31,'Calculated Fields'!$C$2:$DG$2,0)),"")</f>
        <v/>
      </c>
      <c r="V31" s="179" t="str">
        <f ca="1">_xlfn.IFNA(INDEX('Calculated Fields'!$C:$DG,MATCH(Agent_wise!V$5,'Calculated Fields'!$B:$B,0),MATCH(Agent_wise!$A31,'Calculated Fields'!$C$2:$DG$2,0)),"")</f>
        <v/>
      </c>
      <c r="W31" s="179" t="str">
        <f ca="1">_xlfn.IFNA(INDEX('Calculated Fields'!$C:$DG,MATCH(Agent_wise!W$5,'Calculated Fields'!$B:$B,0),MATCH(Agent_wise!$A31,'Calculated Fields'!$C$2:$DG$2,0)),"")</f>
        <v/>
      </c>
      <c r="X31" s="179" t="str">
        <f ca="1">_xlfn.IFNA(INDEX('Calculated Fields'!$C:$DG,MATCH(Agent_wise!X$5,'Calculated Fields'!$B:$B,0),MATCH(Agent_wise!$A31,'Calculated Fields'!$C$2:$DG$2,0)),"")</f>
        <v/>
      </c>
      <c r="Y31" s="179" t="str">
        <f ca="1">_xlfn.IFNA(INDEX('Calculated Fields'!$C:$DG,MATCH(Agent_wise!Y$5,'Calculated Fields'!$B:$B,0),MATCH(Agent_wise!$A31,'Calculated Fields'!$C$2:$DG$2,0)),"")</f>
        <v/>
      </c>
      <c r="Z31" s="179" t="str">
        <f ca="1">_xlfn.IFNA(INDEX('Calculated Fields'!$C:$DG,MATCH(Agent_wise!Z$5,'Calculated Fields'!$B:$B,0),MATCH(Agent_wise!$A31,'Calculated Fields'!$C$2:$DG$2,0)),"")</f>
        <v/>
      </c>
      <c r="AA31" s="1"/>
      <c r="AB31" s="1"/>
      <c r="AC31" s="1"/>
      <c r="AD31" s="1"/>
      <c r="AE31" s="1"/>
      <c r="AF31" s="1"/>
      <c r="AG31" s="1"/>
      <c r="AH31" s="1"/>
    </row>
    <row r="32" spans="1:34" ht="14.4">
      <c r="A32" s="177" t="s">
        <v>1018</v>
      </c>
      <c r="B32" s="178">
        <f ca="1">_xlfn.IFNA(INDEX('Calculated Fields'!$C:$DG,MATCH(Agent_wise!B$5,'Calculated Fields'!$B:$B,0),MATCH(Agent_wise!$A32,'Calculated Fields'!$C$2:$DG$2,0)),"")</f>
        <v>0.10526315789473684</v>
      </c>
      <c r="C32" s="178">
        <f ca="1">_xlfn.IFNA(INDEX('Calculated Fields'!$C:$DG,MATCH(Agent_wise!C$5,'Calculated Fields'!$B:$B,0),MATCH(Agent_wise!$A32,'Calculated Fields'!$C$2:$DG$2,0)),"")</f>
        <v>0.11267605633802817</v>
      </c>
      <c r="D32" s="178">
        <f ca="1">_xlfn.IFNA(INDEX('Calculated Fields'!$C:$DG,MATCH(Agent_wise!D$5,'Calculated Fields'!$B:$B,0),MATCH(Agent_wise!$A32,'Calculated Fields'!$C$2:$DG$2,0)),"")</f>
        <v>4.2857142857142858E-2</v>
      </c>
      <c r="E32" s="178">
        <f ca="1">_xlfn.IFNA(INDEX('Calculated Fields'!$C:$DG,MATCH(Agent_wise!E$5,'Calculated Fields'!$B:$B,0),MATCH(Agent_wise!$A32,'Calculated Fields'!$C$2:$DG$2,0)),"")</f>
        <v>0</v>
      </c>
      <c r="F32" s="178">
        <f ca="1">_xlfn.IFNA(INDEX('Calculated Fields'!$C:$DG,MATCH(Agent_wise!F$5,'Calculated Fields'!$B:$B,0),MATCH(Agent_wise!$A32,'Calculated Fields'!$C$2:$DG$2,0)),"")</f>
        <v>1</v>
      </c>
      <c r="G32" s="178">
        <f ca="1">_xlfn.IFNA(INDEX('Calculated Fields'!$C:$DG,MATCH(Agent_wise!G$5,'Calculated Fields'!$B:$B,0),MATCH(Agent_wise!$A32,'Calculated Fields'!$C$2:$DG$2,0)),"")</f>
        <v>0</v>
      </c>
      <c r="H32" s="178">
        <f ca="1">_xlfn.IFNA(INDEX('Calculated Fields'!$C:$DG,MATCH(Agent_wise!H$5,'Calculated Fields'!$B:$B,0),MATCH(Agent_wise!$A32,'Calculated Fields'!$C$2:$DG$2,0)),"")</f>
        <v>7.8431372549019607E-2</v>
      </c>
      <c r="I32" s="178">
        <f ca="1">_xlfn.IFNA(INDEX('Calculated Fields'!$C:$DG,MATCH(Agent_wise!I$5,'Calculated Fields'!$B:$B,0),MATCH(Agent_wise!$A32,'Calculated Fields'!$C$2:$DG$2,0)),"")</f>
        <v>0.13333333333333333</v>
      </c>
      <c r="J32" s="178">
        <f ca="1">_xlfn.IFNA(INDEX('Calculated Fields'!$C:$DG,MATCH(Agent_wise!J$5,'Calculated Fields'!$B:$B,0),MATCH(Agent_wise!$A32,'Calculated Fields'!$C$2:$DG$2,0)),"")</f>
        <v>1.6666666666666667</v>
      </c>
      <c r="K32" s="178">
        <f ca="1">_xlfn.IFNA(INDEX('Calculated Fields'!$C:$DG,MATCH(Agent_wise!K$5,'Calculated Fields'!$B:$B,0),MATCH(Agent_wise!$A32,'Calculated Fields'!$C$2:$DG$2,0)),"")</f>
        <v>0.32</v>
      </c>
      <c r="L32" s="179" t="str">
        <f ca="1">_xlfn.IFNA(INDEX('Calculated Fields'!$C:$DG,MATCH(Agent_wise!L$5,'Calculated Fields'!$B:$B,0),MATCH(Agent_wise!$A32,'Calculated Fields'!$C$2:$DG$2,0)),"")</f>
        <v/>
      </c>
      <c r="M32" s="179" t="str">
        <f ca="1">_xlfn.IFNA(INDEX('Calculated Fields'!$C:$DG,MATCH(Agent_wise!M$5,'Calculated Fields'!$B:$B,0),MATCH(Agent_wise!$A32,'Calculated Fields'!$C$2:$DG$2,0)),"")</f>
        <v/>
      </c>
      <c r="N32" s="179" t="str">
        <f ca="1">_xlfn.IFNA(INDEX('Calculated Fields'!$C:$DG,MATCH(Agent_wise!N$5,'Calculated Fields'!$B:$B,0),MATCH(Agent_wise!$A32,'Calculated Fields'!$C$2:$DG$2,0)),"")</f>
        <v/>
      </c>
      <c r="O32" s="179" t="str">
        <f ca="1">_xlfn.IFNA(INDEX('Calculated Fields'!$C:$DG,MATCH(Agent_wise!O$5,'Calculated Fields'!$B:$B,0),MATCH(Agent_wise!$A32,'Calculated Fields'!$C$2:$DG$2,0)),"")</f>
        <v/>
      </c>
      <c r="P32" s="179" t="str">
        <f ca="1">_xlfn.IFNA(INDEX('Calculated Fields'!$C:$DG,MATCH(Agent_wise!P$5,'Calculated Fields'!$B:$B,0),MATCH(Agent_wise!$A32,'Calculated Fields'!$C$2:$DG$2,0)),"")</f>
        <v/>
      </c>
      <c r="Q32" s="179" t="str">
        <f ca="1">_xlfn.IFNA(INDEX('Calculated Fields'!$C:$DG,MATCH(Agent_wise!Q$5,'Calculated Fields'!$B:$B,0),MATCH(Agent_wise!$A32,'Calculated Fields'!$C$2:$DG$2,0)),"")</f>
        <v/>
      </c>
      <c r="R32" s="179" t="str">
        <f ca="1">_xlfn.IFNA(INDEX('Calculated Fields'!$C:$DG,MATCH(Agent_wise!R$5,'Calculated Fields'!$B:$B,0),MATCH(Agent_wise!$A32,'Calculated Fields'!$C$2:$DG$2,0)),"")</f>
        <v/>
      </c>
      <c r="S32" s="179" t="str">
        <f ca="1">_xlfn.IFNA(INDEX('Calculated Fields'!$C:$DG,MATCH(Agent_wise!S$5,'Calculated Fields'!$B:$B,0),MATCH(Agent_wise!$A32,'Calculated Fields'!$C$2:$DG$2,0)),"")</f>
        <v/>
      </c>
      <c r="T32" s="179" t="str">
        <f ca="1">_xlfn.IFNA(INDEX('Calculated Fields'!$C:$DG,MATCH(Agent_wise!T$5,'Calculated Fields'!$B:$B,0),MATCH(Agent_wise!$A32,'Calculated Fields'!$C$2:$DG$2,0)),"")</f>
        <v/>
      </c>
      <c r="U32" s="179" t="str">
        <f ca="1">_xlfn.IFNA(INDEX('Calculated Fields'!$C:$DG,MATCH(Agent_wise!U$5,'Calculated Fields'!$B:$B,0),MATCH(Agent_wise!$A32,'Calculated Fields'!$C$2:$DG$2,0)),"")</f>
        <v/>
      </c>
      <c r="V32" s="179" t="str">
        <f ca="1">_xlfn.IFNA(INDEX('Calculated Fields'!$C:$DG,MATCH(Agent_wise!V$5,'Calculated Fields'!$B:$B,0),MATCH(Agent_wise!$A32,'Calculated Fields'!$C$2:$DG$2,0)),"")</f>
        <v/>
      </c>
      <c r="W32" s="179" t="str">
        <f ca="1">_xlfn.IFNA(INDEX('Calculated Fields'!$C:$DG,MATCH(Agent_wise!W$5,'Calculated Fields'!$B:$B,0),MATCH(Agent_wise!$A32,'Calculated Fields'!$C$2:$DG$2,0)),"")</f>
        <v/>
      </c>
      <c r="X32" s="179" t="str">
        <f ca="1">_xlfn.IFNA(INDEX('Calculated Fields'!$C:$DG,MATCH(Agent_wise!X$5,'Calculated Fields'!$B:$B,0),MATCH(Agent_wise!$A32,'Calculated Fields'!$C$2:$DG$2,0)),"")</f>
        <v/>
      </c>
      <c r="Y32" s="179" t="str">
        <f ca="1">_xlfn.IFNA(INDEX('Calculated Fields'!$C:$DG,MATCH(Agent_wise!Y$5,'Calculated Fields'!$B:$B,0),MATCH(Agent_wise!$A32,'Calculated Fields'!$C$2:$DG$2,0)),"")</f>
        <v/>
      </c>
      <c r="Z32" s="179" t="str">
        <f ca="1">_xlfn.IFNA(INDEX('Calculated Fields'!$C:$DG,MATCH(Agent_wise!Z$5,'Calculated Fields'!$B:$B,0),MATCH(Agent_wise!$A32,'Calculated Fields'!$C$2:$DG$2,0)),"")</f>
        <v/>
      </c>
      <c r="AA32" s="1"/>
      <c r="AB32" s="1"/>
      <c r="AC32" s="1"/>
      <c r="AD32" s="1"/>
      <c r="AE32" s="1"/>
      <c r="AF32" s="1"/>
      <c r="AG32" s="1"/>
      <c r="AH32" s="1"/>
    </row>
    <row r="33" spans="1:34" ht="14.4">
      <c r="A33" s="177" t="s">
        <v>1019</v>
      </c>
      <c r="B33" s="178">
        <f ca="1">_xlfn.IFNA(INDEX('Calculated Fields'!$C:$DG,MATCH(Agent_wise!B$5,'Calculated Fields'!$B:$B,0),MATCH(Agent_wise!$A33,'Calculated Fields'!$C$2:$DG$2,0)),"")</f>
        <v>6.6666666666666666E-2</v>
      </c>
      <c r="C33" s="178">
        <f ca="1">_xlfn.IFNA(INDEX('Calculated Fields'!$C:$DG,MATCH(Agent_wise!C$5,'Calculated Fields'!$B:$B,0),MATCH(Agent_wise!$A33,'Calculated Fields'!$C$2:$DG$2,0)),"")</f>
        <v>0.5</v>
      </c>
      <c r="D33" s="178">
        <f ca="1">_xlfn.IFNA(INDEX('Calculated Fields'!$C:$DG,MATCH(Agent_wise!D$5,'Calculated Fields'!$B:$B,0),MATCH(Agent_wise!$A33,'Calculated Fields'!$C$2:$DG$2,0)),"")</f>
        <v>0</v>
      </c>
      <c r="E33" s="178">
        <f ca="1">_xlfn.IFNA(INDEX('Calculated Fields'!$C:$DG,MATCH(Agent_wise!E$5,'Calculated Fields'!$B:$B,0),MATCH(Agent_wise!$A33,'Calculated Fields'!$C$2:$DG$2,0)),"")</f>
        <v>0</v>
      </c>
      <c r="F33" s="178">
        <f ca="1">_xlfn.IFNA(INDEX('Calculated Fields'!$C:$DG,MATCH(Agent_wise!F$5,'Calculated Fields'!$B:$B,0),MATCH(Agent_wise!$A33,'Calculated Fields'!$C$2:$DG$2,0)),"")</f>
        <v>0.5</v>
      </c>
      <c r="G33" s="178">
        <f ca="1">_xlfn.IFNA(INDEX('Calculated Fields'!$C:$DG,MATCH(Agent_wise!G$5,'Calculated Fields'!$B:$B,0),MATCH(Agent_wise!$A33,'Calculated Fields'!$C$2:$DG$2,0)),"")</f>
        <v>0</v>
      </c>
      <c r="H33" s="178">
        <f ca="1">_xlfn.IFNA(INDEX('Calculated Fields'!$C:$DG,MATCH(Agent_wise!H$5,'Calculated Fields'!$B:$B,0),MATCH(Agent_wise!$A33,'Calculated Fields'!$C$2:$DG$2,0)),"")</f>
        <v>0.4</v>
      </c>
      <c r="I33" s="178">
        <f ca="1">_xlfn.IFNA(INDEX('Calculated Fields'!$C:$DG,MATCH(Agent_wise!I$5,'Calculated Fields'!$B:$B,0),MATCH(Agent_wise!$A33,'Calculated Fields'!$C$2:$DG$2,0)),"")</f>
        <v>5.2631578947368418E-2</v>
      </c>
      <c r="J33" s="178">
        <f ca="1">_xlfn.IFNA(INDEX('Calculated Fields'!$C:$DG,MATCH(Agent_wise!J$5,'Calculated Fields'!$B:$B,0),MATCH(Agent_wise!$A33,'Calculated Fields'!$C$2:$DG$2,0)),"")</f>
        <v>0</v>
      </c>
      <c r="K33" s="178">
        <f ca="1">_xlfn.IFNA(INDEX('Calculated Fields'!$C:$DG,MATCH(Agent_wise!K$5,'Calculated Fields'!$B:$B,0),MATCH(Agent_wise!$A33,'Calculated Fields'!$C$2:$DG$2,0)),"")</f>
        <v>2</v>
      </c>
      <c r="L33" s="179" t="str">
        <f ca="1">_xlfn.IFNA(INDEX('Calculated Fields'!$C:$DG,MATCH(Agent_wise!L$5,'Calculated Fields'!$B:$B,0),MATCH(Agent_wise!$A33,'Calculated Fields'!$C$2:$DG$2,0)),"")</f>
        <v/>
      </c>
      <c r="M33" s="179" t="str">
        <f ca="1">_xlfn.IFNA(INDEX('Calculated Fields'!$C:$DG,MATCH(Agent_wise!M$5,'Calculated Fields'!$B:$B,0),MATCH(Agent_wise!$A33,'Calculated Fields'!$C$2:$DG$2,0)),"")</f>
        <v/>
      </c>
      <c r="N33" s="179" t="str">
        <f ca="1">_xlfn.IFNA(INDEX('Calculated Fields'!$C:$DG,MATCH(Agent_wise!N$5,'Calculated Fields'!$B:$B,0),MATCH(Agent_wise!$A33,'Calculated Fields'!$C$2:$DG$2,0)),"")</f>
        <v/>
      </c>
      <c r="O33" s="179" t="str">
        <f ca="1">_xlfn.IFNA(INDEX('Calculated Fields'!$C:$DG,MATCH(Agent_wise!O$5,'Calculated Fields'!$B:$B,0),MATCH(Agent_wise!$A33,'Calculated Fields'!$C$2:$DG$2,0)),"")</f>
        <v/>
      </c>
      <c r="P33" s="179" t="str">
        <f ca="1">_xlfn.IFNA(INDEX('Calculated Fields'!$C:$DG,MATCH(Agent_wise!P$5,'Calculated Fields'!$B:$B,0),MATCH(Agent_wise!$A33,'Calculated Fields'!$C$2:$DG$2,0)),"")</f>
        <v/>
      </c>
      <c r="Q33" s="179" t="str">
        <f ca="1">_xlfn.IFNA(INDEX('Calculated Fields'!$C:$DG,MATCH(Agent_wise!Q$5,'Calculated Fields'!$B:$B,0),MATCH(Agent_wise!$A33,'Calculated Fields'!$C$2:$DG$2,0)),"")</f>
        <v/>
      </c>
      <c r="R33" s="179" t="str">
        <f ca="1">_xlfn.IFNA(INDEX('Calculated Fields'!$C:$DG,MATCH(Agent_wise!R$5,'Calculated Fields'!$B:$B,0),MATCH(Agent_wise!$A33,'Calculated Fields'!$C$2:$DG$2,0)),"")</f>
        <v/>
      </c>
      <c r="S33" s="179" t="str">
        <f ca="1">_xlfn.IFNA(INDEX('Calculated Fields'!$C:$DG,MATCH(Agent_wise!S$5,'Calculated Fields'!$B:$B,0),MATCH(Agent_wise!$A33,'Calculated Fields'!$C$2:$DG$2,0)),"")</f>
        <v/>
      </c>
      <c r="T33" s="179" t="str">
        <f ca="1">_xlfn.IFNA(INDEX('Calculated Fields'!$C:$DG,MATCH(Agent_wise!T$5,'Calculated Fields'!$B:$B,0),MATCH(Agent_wise!$A33,'Calculated Fields'!$C$2:$DG$2,0)),"")</f>
        <v/>
      </c>
      <c r="U33" s="179" t="str">
        <f ca="1">_xlfn.IFNA(INDEX('Calculated Fields'!$C:$DG,MATCH(Agent_wise!U$5,'Calculated Fields'!$B:$B,0),MATCH(Agent_wise!$A33,'Calculated Fields'!$C$2:$DG$2,0)),"")</f>
        <v/>
      </c>
      <c r="V33" s="179" t="str">
        <f ca="1">_xlfn.IFNA(INDEX('Calculated Fields'!$C:$DG,MATCH(Agent_wise!V$5,'Calculated Fields'!$B:$B,0),MATCH(Agent_wise!$A33,'Calculated Fields'!$C$2:$DG$2,0)),"")</f>
        <v/>
      </c>
      <c r="W33" s="179" t="str">
        <f ca="1">_xlfn.IFNA(INDEX('Calculated Fields'!$C:$DG,MATCH(Agent_wise!W$5,'Calculated Fields'!$B:$B,0),MATCH(Agent_wise!$A33,'Calculated Fields'!$C$2:$DG$2,0)),"")</f>
        <v/>
      </c>
      <c r="X33" s="179" t="str">
        <f ca="1">_xlfn.IFNA(INDEX('Calculated Fields'!$C:$DG,MATCH(Agent_wise!X$5,'Calculated Fields'!$B:$B,0),MATCH(Agent_wise!$A33,'Calculated Fields'!$C$2:$DG$2,0)),"")</f>
        <v/>
      </c>
      <c r="Y33" s="179" t="str">
        <f ca="1">_xlfn.IFNA(INDEX('Calculated Fields'!$C:$DG,MATCH(Agent_wise!Y$5,'Calculated Fields'!$B:$B,0),MATCH(Agent_wise!$A33,'Calculated Fields'!$C$2:$DG$2,0)),"")</f>
        <v/>
      </c>
      <c r="Z33" s="179" t="str">
        <f ca="1">_xlfn.IFNA(INDEX('Calculated Fields'!$C:$DG,MATCH(Agent_wise!Z$5,'Calculated Fields'!$B:$B,0),MATCH(Agent_wise!$A33,'Calculated Fields'!$C$2:$DG$2,0)),"")</f>
        <v/>
      </c>
      <c r="AA33" s="1"/>
      <c r="AB33" s="1"/>
      <c r="AC33" s="1"/>
      <c r="AD33" s="1"/>
      <c r="AE33" s="1"/>
      <c r="AF33" s="1"/>
      <c r="AG33" s="1"/>
      <c r="AH33" s="1"/>
    </row>
    <row r="34" spans="1:34" ht="14.4">
      <c r="A34" s="177" t="s">
        <v>1020</v>
      </c>
      <c r="B34" s="178">
        <f ca="1">_xlfn.IFNA(INDEX('Calculated Fields'!$C:$DG,MATCH(Agent_wise!B$5,'Calculated Fields'!$B:$B,0),MATCH(Agent_wise!$A34,'Calculated Fields'!$C$2:$DG$2,0)),"")</f>
        <v>0.5</v>
      </c>
      <c r="C34" s="178">
        <f ca="1">_xlfn.IFNA(INDEX('Calculated Fields'!$C:$DG,MATCH(Agent_wise!C$5,'Calculated Fields'!$B:$B,0),MATCH(Agent_wise!$A34,'Calculated Fields'!$C$2:$DG$2,0)),"")</f>
        <v>0</v>
      </c>
      <c r="D34" s="178">
        <f ca="1">_xlfn.IFNA(INDEX('Calculated Fields'!$C:$DG,MATCH(Agent_wise!D$5,'Calculated Fields'!$B:$B,0),MATCH(Agent_wise!$A34,'Calculated Fields'!$C$2:$DG$2,0)),"")</f>
        <v>0.25</v>
      </c>
      <c r="E34" s="178">
        <f ca="1">_xlfn.IFNA(INDEX('Calculated Fields'!$C:$DG,MATCH(Agent_wise!E$5,'Calculated Fields'!$B:$B,0),MATCH(Agent_wise!$A34,'Calculated Fields'!$C$2:$DG$2,0)),"")</f>
        <v>0</v>
      </c>
      <c r="F34" s="178">
        <f ca="1">_xlfn.IFNA(INDEX('Calculated Fields'!$C:$DG,MATCH(Agent_wise!F$5,'Calculated Fields'!$B:$B,0),MATCH(Agent_wise!$A34,'Calculated Fields'!$C$2:$DG$2,0)),"")</f>
        <v>4.5</v>
      </c>
      <c r="G34" s="178">
        <f ca="1">_xlfn.IFNA(INDEX('Calculated Fields'!$C:$DG,MATCH(Agent_wise!G$5,'Calculated Fields'!$B:$B,0),MATCH(Agent_wise!$A34,'Calculated Fields'!$C$2:$DG$2,0)),"")</f>
        <v>0</v>
      </c>
      <c r="H34" s="178">
        <f ca="1">_xlfn.IFNA(INDEX('Calculated Fields'!$C:$DG,MATCH(Agent_wise!H$5,'Calculated Fields'!$B:$B,0),MATCH(Agent_wise!$A34,'Calculated Fields'!$C$2:$DG$2,0)),"")</f>
        <v>0.2</v>
      </c>
      <c r="I34" s="178">
        <f ca="1">_xlfn.IFNA(INDEX('Calculated Fields'!$C:$DG,MATCH(Agent_wise!I$5,'Calculated Fields'!$B:$B,0),MATCH(Agent_wise!$A34,'Calculated Fields'!$C$2:$DG$2,0)),"")</f>
        <v>0</v>
      </c>
      <c r="J34" s="178">
        <f ca="1">_xlfn.IFNA(INDEX('Calculated Fields'!$C:$DG,MATCH(Agent_wise!J$5,'Calculated Fields'!$B:$B,0),MATCH(Agent_wise!$A34,'Calculated Fields'!$C$2:$DG$2,0)),"")</f>
        <v>0</v>
      </c>
      <c r="K34" s="178">
        <f ca="1">_xlfn.IFNA(INDEX('Calculated Fields'!$C:$DG,MATCH(Agent_wise!K$5,'Calculated Fields'!$B:$B,0),MATCH(Agent_wise!$A34,'Calculated Fields'!$C$2:$DG$2,0)),"")</f>
        <v>0.2</v>
      </c>
      <c r="L34" s="179" t="str">
        <f ca="1">_xlfn.IFNA(INDEX('Calculated Fields'!$C:$DG,MATCH(Agent_wise!L$5,'Calculated Fields'!$B:$B,0),MATCH(Agent_wise!$A34,'Calculated Fields'!$C$2:$DG$2,0)),"")</f>
        <v/>
      </c>
      <c r="M34" s="179" t="str">
        <f ca="1">_xlfn.IFNA(INDEX('Calculated Fields'!$C:$DG,MATCH(Agent_wise!M$5,'Calculated Fields'!$B:$B,0),MATCH(Agent_wise!$A34,'Calculated Fields'!$C$2:$DG$2,0)),"")</f>
        <v/>
      </c>
      <c r="N34" s="179" t="str">
        <f ca="1">_xlfn.IFNA(INDEX('Calculated Fields'!$C:$DG,MATCH(Agent_wise!N$5,'Calculated Fields'!$B:$B,0),MATCH(Agent_wise!$A34,'Calculated Fields'!$C$2:$DG$2,0)),"")</f>
        <v/>
      </c>
      <c r="O34" s="179" t="str">
        <f ca="1">_xlfn.IFNA(INDEX('Calculated Fields'!$C:$DG,MATCH(Agent_wise!O$5,'Calculated Fields'!$B:$B,0),MATCH(Agent_wise!$A34,'Calculated Fields'!$C$2:$DG$2,0)),"")</f>
        <v/>
      </c>
      <c r="P34" s="179" t="str">
        <f ca="1">_xlfn.IFNA(INDEX('Calculated Fields'!$C:$DG,MATCH(Agent_wise!P$5,'Calculated Fields'!$B:$B,0),MATCH(Agent_wise!$A34,'Calculated Fields'!$C$2:$DG$2,0)),"")</f>
        <v/>
      </c>
      <c r="Q34" s="179" t="str">
        <f ca="1">_xlfn.IFNA(INDEX('Calculated Fields'!$C:$DG,MATCH(Agent_wise!Q$5,'Calculated Fields'!$B:$B,0),MATCH(Agent_wise!$A34,'Calculated Fields'!$C$2:$DG$2,0)),"")</f>
        <v/>
      </c>
      <c r="R34" s="179" t="str">
        <f ca="1">_xlfn.IFNA(INDEX('Calculated Fields'!$C:$DG,MATCH(Agent_wise!R$5,'Calculated Fields'!$B:$B,0),MATCH(Agent_wise!$A34,'Calculated Fields'!$C$2:$DG$2,0)),"")</f>
        <v/>
      </c>
      <c r="S34" s="179" t="str">
        <f ca="1">_xlfn.IFNA(INDEX('Calculated Fields'!$C:$DG,MATCH(Agent_wise!S$5,'Calculated Fields'!$B:$B,0),MATCH(Agent_wise!$A34,'Calculated Fields'!$C$2:$DG$2,0)),"")</f>
        <v/>
      </c>
      <c r="T34" s="179" t="str">
        <f ca="1">_xlfn.IFNA(INDEX('Calculated Fields'!$C:$DG,MATCH(Agent_wise!T$5,'Calculated Fields'!$B:$B,0),MATCH(Agent_wise!$A34,'Calculated Fields'!$C$2:$DG$2,0)),"")</f>
        <v/>
      </c>
      <c r="U34" s="179" t="str">
        <f ca="1">_xlfn.IFNA(INDEX('Calculated Fields'!$C:$DG,MATCH(Agent_wise!U$5,'Calculated Fields'!$B:$B,0),MATCH(Agent_wise!$A34,'Calculated Fields'!$C$2:$DG$2,0)),"")</f>
        <v/>
      </c>
      <c r="V34" s="179" t="str">
        <f ca="1">_xlfn.IFNA(INDEX('Calculated Fields'!$C:$DG,MATCH(Agent_wise!V$5,'Calculated Fields'!$B:$B,0),MATCH(Agent_wise!$A34,'Calculated Fields'!$C$2:$DG$2,0)),"")</f>
        <v/>
      </c>
      <c r="W34" s="179" t="str">
        <f ca="1">_xlfn.IFNA(INDEX('Calculated Fields'!$C:$DG,MATCH(Agent_wise!W$5,'Calculated Fields'!$B:$B,0),MATCH(Agent_wise!$A34,'Calculated Fields'!$C$2:$DG$2,0)),"")</f>
        <v/>
      </c>
      <c r="X34" s="179" t="str">
        <f ca="1">_xlfn.IFNA(INDEX('Calculated Fields'!$C:$DG,MATCH(Agent_wise!X$5,'Calculated Fields'!$B:$B,0),MATCH(Agent_wise!$A34,'Calculated Fields'!$C$2:$DG$2,0)),"")</f>
        <v/>
      </c>
      <c r="Y34" s="179" t="str">
        <f ca="1">_xlfn.IFNA(INDEX('Calculated Fields'!$C:$DG,MATCH(Agent_wise!Y$5,'Calculated Fields'!$B:$B,0),MATCH(Agent_wise!$A34,'Calculated Fields'!$C$2:$DG$2,0)),"")</f>
        <v/>
      </c>
      <c r="Z34" s="179" t="str">
        <f ca="1">_xlfn.IFNA(INDEX('Calculated Fields'!$C:$DG,MATCH(Agent_wise!Z$5,'Calculated Fields'!$B:$B,0),MATCH(Agent_wise!$A34,'Calculated Fields'!$C$2:$DG$2,0)),"")</f>
        <v/>
      </c>
      <c r="AA34" s="1"/>
      <c r="AB34" s="1"/>
      <c r="AC34" s="1"/>
      <c r="AD34" s="1"/>
      <c r="AE34" s="1"/>
      <c r="AF34" s="1"/>
      <c r="AG34" s="1"/>
      <c r="AH34" s="1"/>
    </row>
    <row r="35" spans="1:34" ht="14.4">
      <c r="A35" s="177" t="s">
        <v>1027</v>
      </c>
      <c r="B35" s="178">
        <f ca="1">_xlfn.IFNA(INDEX('Calculated Fields'!$C:$DG,MATCH(Agent_wise!B$5,'Calculated Fields'!$B:$B,0),MATCH(Agent_wise!$A35,'Calculated Fields'!$C$2:$DG$2,0)),"")</f>
        <v>6</v>
      </c>
      <c r="C35" s="178">
        <f ca="1">_xlfn.IFNA(INDEX('Calculated Fields'!$C:$DG,MATCH(Agent_wise!C$5,'Calculated Fields'!$B:$B,0),MATCH(Agent_wise!$A35,'Calculated Fields'!$C$2:$DG$2,0)),"")</f>
        <v>1</v>
      </c>
      <c r="D35" s="178">
        <f ca="1">_xlfn.IFNA(INDEX('Calculated Fields'!$C:$DG,MATCH(Agent_wise!D$5,'Calculated Fields'!$B:$B,0),MATCH(Agent_wise!$A35,'Calculated Fields'!$C$2:$DG$2,0)),"")</f>
        <v>3</v>
      </c>
      <c r="E35" s="178">
        <f ca="1">_xlfn.IFNA(INDEX('Calculated Fields'!$C:$DG,MATCH(Agent_wise!E$5,'Calculated Fields'!$B:$B,0),MATCH(Agent_wise!$A35,'Calculated Fields'!$C$2:$DG$2,0)),"")</f>
        <v>1</v>
      </c>
      <c r="F35" s="178">
        <f ca="1">_xlfn.IFNA(INDEX('Calculated Fields'!$C:$DG,MATCH(Agent_wise!F$5,'Calculated Fields'!$B:$B,0),MATCH(Agent_wise!$A35,'Calculated Fields'!$C$2:$DG$2,0)),"")</f>
        <v>5</v>
      </c>
      <c r="G35" s="178">
        <f ca="1">_xlfn.IFNA(INDEX('Calculated Fields'!$C:$DG,MATCH(Agent_wise!G$5,'Calculated Fields'!$B:$B,0),MATCH(Agent_wise!$A35,'Calculated Fields'!$C$2:$DG$2,0)),"")</f>
        <v>5</v>
      </c>
      <c r="H35" s="178">
        <f ca="1">_xlfn.IFNA(INDEX('Calculated Fields'!$C:$DG,MATCH(Agent_wise!H$5,'Calculated Fields'!$B:$B,0),MATCH(Agent_wise!$A35,'Calculated Fields'!$C$2:$DG$2,0)),"")</f>
        <v>2</v>
      </c>
      <c r="I35" s="178">
        <f ca="1">_xlfn.IFNA(INDEX('Calculated Fields'!$C:$DG,MATCH(Agent_wise!I$5,'Calculated Fields'!$B:$B,0),MATCH(Agent_wise!$A35,'Calculated Fields'!$C$2:$DG$2,0)),"")</f>
        <v>5</v>
      </c>
      <c r="J35" s="178">
        <f ca="1">_xlfn.IFNA(INDEX('Calculated Fields'!$C:$DG,MATCH(Agent_wise!J$5,'Calculated Fields'!$B:$B,0),MATCH(Agent_wise!$A35,'Calculated Fields'!$C$2:$DG$2,0)),"")</f>
        <v>3</v>
      </c>
      <c r="K35" s="178">
        <f ca="1">_xlfn.IFNA(INDEX('Calculated Fields'!$C:$DG,MATCH(Agent_wise!K$5,'Calculated Fields'!$B:$B,0),MATCH(Agent_wise!$A35,'Calculated Fields'!$C$2:$DG$2,0)),"")</f>
        <v>3</v>
      </c>
      <c r="L35" s="179" t="str">
        <f ca="1">_xlfn.IFNA(INDEX('Calculated Fields'!$C:$DG,MATCH(Agent_wise!L$5,'Calculated Fields'!$B:$B,0),MATCH(Agent_wise!$A35,'Calculated Fields'!$C$2:$DG$2,0)),"")</f>
        <v/>
      </c>
      <c r="M35" s="179" t="str">
        <f ca="1">_xlfn.IFNA(INDEX('Calculated Fields'!$C:$DG,MATCH(Agent_wise!M$5,'Calculated Fields'!$B:$B,0),MATCH(Agent_wise!$A35,'Calculated Fields'!$C$2:$DG$2,0)),"")</f>
        <v/>
      </c>
      <c r="N35" s="179" t="str">
        <f ca="1">_xlfn.IFNA(INDEX('Calculated Fields'!$C:$DG,MATCH(Agent_wise!N$5,'Calculated Fields'!$B:$B,0),MATCH(Agent_wise!$A35,'Calculated Fields'!$C$2:$DG$2,0)),"")</f>
        <v/>
      </c>
      <c r="O35" s="179" t="str">
        <f ca="1">_xlfn.IFNA(INDEX('Calculated Fields'!$C:$DG,MATCH(Agent_wise!O$5,'Calculated Fields'!$B:$B,0),MATCH(Agent_wise!$A35,'Calculated Fields'!$C$2:$DG$2,0)),"")</f>
        <v/>
      </c>
      <c r="P35" s="179" t="str">
        <f ca="1">_xlfn.IFNA(INDEX('Calculated Fields'!$C:$DG,MATCH(Agent_wise!P$5,'Calculated Fields'!$B:$B,0),MATCH(Agent_wise!$A35,'Calculated Fields'!$C$2:$DG$2,0)),"")</f>
        <v/>
      </c>
      <c r="Q35" s="179" t="str">
        <f ca="1">_xlfn.IFNA(INDEX('Calculated Fields'!$C:$DG,MATCH(Agent_wise!Q$5,'Calculated Fields'!$B:$B,0),MATCH(Agent_wise!$A35,'Calculated Fields'!$C$2:$DG$2,0)),"")</f>
        <v/>
      </c>
      <c r="R35" s="179" t="str">
        <f ca="1">_xlfn.IFNA(INDEX('Calculated Fields'!$C:$DG,MATCH(Agent_wise!R$5,'Calculated Fields'!$B:$B,0),MATCH(Agent_wise!$A35,'Calculated Fields'!$C$2:$DG$2,0)),"")</f>
        <v/>
      </c>
      <c r="S35" s="179" t="str">
        <f ca="1">_xlfn.IFNA(INDEX('Calculated Fields'!$C:$DG,MATCH(Agent_wise!S$5,'Calculated Fields'!$B:$B,0),MATCH(Agent_wise!$A35,'Calculated Fields'!$C$2:$DG$2,0)),"")</f>
        <v/>
      </c>
      <c r="T35" s="179" t="str">
        <f ca="1">_xlfn.IFNA(INDEX('Calculated Fields'!$C:$DG,MATCH(Agent_wise!T$5,'Calculated Fields'!$B:$B,0),MATCH(Agent_wise!$A35,'Calculated Fields'!$C$2:$DG$2,0)),"")</f>
        <v/>
      </c>
      <c r="U35" s="179" t="str">
        <f ca="1">_xlfn.IFNA(INDEX('Calculated Fields'!$C:$DG,MATCH(Agent_wise!U$5,'Calculated Fields'!$B:$B,0),MATCH(Agent_wise!$A35,'Calculated Fields'!$C$2:$DG$2,0)),"")</f>
        <v/>
      </c>
      <c r="V35" s="179" t="str">
        <f ca="1">_xlfn.IFNA(INDEX('Calculated Fields'!$C:$DG,MATCH(Agent_wise!V$5,'Calculated Fields'!$B:$B,0),MATCH(Agent_wise!$A35,'Calculated Fields'!$C$2:$DG$2,0)),"")</f>
        <v/>
      </c>
      <c r="W35" s="179" t="str">
        <f ca="1">_xlfn.IFNA(INDEX('Calculated Fields'!$C:$DG,MATCH(Agent_wise!W$5,'Calculated Fields'!$B:$B,0),MATCH(Agent_wise!$A35,'Calculated Fields'!$C$2:$DG$2,0)),"")</f>
        <v/>
      </c>
      <c r="X35" s="179" t="str">
        <f ca="1">_xlfn.IFNA(INDEX('Calculated Fields'!$C:$DG,MATCH(Agent_wise!X$5,'Calculated Fields'!$B:$B,0),MATCH(Agent_wise!$A35,'Calculated Fields'!$C$2:$DG$2,0)),"")</f>
        <v/>
      </c>
      <c r="Y35" s="179" t="str">
        <f ca="1">_xlfn.IFNA(INDEX('Calculated Fields'!$C:$DG,MATCH(Agent_wise!Y$5,'Calculated Fields'!$B:$B,0),MATCH(Agent_wise!$A35,'Calculated Fields'!$C$2:$DG$2,0)),"")</f>
        <v/>
      </c>
      <c r="Z35" s="179" t="str">
        <f ca="1">_xlfn.IFNA(INDEX('Calculated Fields'!$C:$DG,MATCH(Agent_wise!Z$5,'Calculated Fields'!$B:$B,0),MATCH(Agent_wise!$A35,'Calculated Fields'!$C$2:$DG$2,0)),"")</f>
        <v/>
      </c>
      <c r="AA35" s="1"/>
      <c r="AB35" s="1"/>
      <c r="AC35" s="1"/>
      <c r="AD35" s="1"/>
      <c r="AE35" s="1"/>
      <c r="AF35" s="1"/>
      <c r="AG35" s="1"/>
      <c r="AH35" s="1"/>
    </row>
    <row r="36" spans="1:34" ht="14.4">
      <c r="A36" s="177" t="s">
        <v>1028</v>
      </c>
      <c r="B36" s="178">
        <f ca="1">_xlfn.IFNA(INDEX('Calculated Fields'!$C:$DG,MATCH(Agent_wise!B$5,'Calculated Fields'!$B:$B,0),MATCH(Agent_wise!$A36,'Calculated Fields'!$C$2:$DG$2,0)),"")</f>
        <v>2</v>
      </c>
      <c r="C36" s="178">
        <f ca="1">_xlfn.IFNA(INDEX('Calculated Fields'!$C:$DG,MATCH(Agent_wise!C$5,'Calculated Fields'!$B:$B,0),MATCH(Agent_wise!$A36,'Calculated Fields'!$C$2:$DG$2,0)),"")</f>
        <v>8</v>
      </c>
      <c r="D36" s="178">
        <f ca="1">_xlfn.IFNA(INDEX('Calculated Fields'!$C:$DG,MATCH(Agent_wise!D$5,'Calculated Fields'!$B:$B,0),MATCH(Agent_wise!$A36,'Calculated Fields'!$C$2:$DG$2,0)),"")</f>
        <v>3</v>
      </c>
      <c r="E36" s="178">
        <f ca="1">_xlfn.IFNA(INDEX('Calculated Fields'!$C:$DG,MATCH(Agent_wise!E$5,'Calculated Fields'!$B:$B,0),MATCH(Agent_wise!$A36,'Calculated Fields'!$C$2:$DG$2,0)),"")</f>
        <v>0</v>
      </c>
      <c r="F36" s="178">
        <f ca="1">_xlfn.IFNA(INDEX('Calculated Fields'!$C:$DG,MATCH(Agent_wise!F$5,'Calculated Fields'!$B:$B,0),MATCH(Agent_wise!$A36,'Calculated Fields'!$C$2:$DG$2,0)),"")</f>
        <v>3</v>
      </c>
      <c r="G36" s="178">
        <f ca="1">_xlfn.IFNA(INDEX('Calculated Fields'!$C:$DG,MATCH(Agent_wise!G$5,'Calculated Fields'!$B:$B,0),MATCH(Agent_wise!$A36,'Calculated Fields'!$C$2:$DG$2,0)),"")</f>
        <v>3</v>
      </c>
      <c r="H36" s="178">
        <f ca="1">_xlfn.IFNA(INDEX('Calculated Fields'!$C:$DG,MATCH(Agent_wise!H$5,'Calculated Fields'!$B:$B,0),MATCH(Agent_wise!$A36,'Calculated Fields'!$C$2:$DG$2,0)),"")</f>
        <v>4</v>
      </c>
      <c r="I36" s="178">
        <f ca="1">_xlfn.IFNA(INDEX('Calculated Fields'!$C:$DG,MATCH(Agent_wise!I$5,'Calculated Fields'!$B:$B,0),MATCH(Agent_wise!$A36,'Calculated Fields'!$C$2:$DG$2,0)),"")</f>
        <v>6</v>
      </c>
      <c r="J36" s="178">
        <f ca="1">_xlfn.IFNA(INDEX('Calculated Fields'!$C:$DG,MATCH(Agent_wise!J$5,'Calculated Fields'!$B:$B,0),MATCH(Agent_wise!$A36,'Calculated Fields'!$C$2:$DG$2,0)),"")</f>
        <v>5</v>
      </c>
      <c r="K36" s="178">
        <f ca="1">_xlfn.IFNA(INDEX('Calculated Fields'!$C:$DG,MATCH(Agent_wise!K$5,'Calculated Fields'!$B:$B,0),MATCH(Agent_wise!$A36,'Calculated Fields'!$C$2:$DG$2,0)),"")</f>
        <v>8</v>
      </c>
      <c r="L36" s="179" t="str">
        <f ca="1">_xlfn.IFNA(INDEX('Calculated Fields'!$C:$DG,MATCH(Agent_wise!L$5,'Calculated Fields'!$B:$B,0),MATCH(Agent_wise!$A36,'Calculated Fields'!$C$2:$DG$2,0)),"")</f>
        <v/>
      </c>
      <c r="M36" s="179" t="str">
        <f ca="1">_xlfn.IFNA(INDEX('Calculated Fields'!$C:$DG,MATCH(Agent_wise!M$5,'Calculated Fields'!$B:$B,0),MATCH(Agent_wise!$A36,'Calculated Fields'!$C$2:$DG$2,0)),"")</f>
        <v/>
      </c>
      <c r="N36" s="179" t="str">
        <f ca="1">_xlfn.IFNA(INDEX('Calculated Fields'!$C:$DG,MATCH(Agent_wise!N$5,'Calculated Fields'!$B:$B,0),MATCH(Agent_wise!$A36,'Calculated Fields'!$C$2:$DG$2,0)),"")</f>
        <v/>
      </c>
      <c r="O36" s="179" t="str">
        <f ca="1">_xlfn.IFNA(INDEX('Calculated Fields'!$C:$DG,MATCH(Agent_wise!O$5,'Calculated Fields'!$B:$B,0),MATCH(Agent_wise!$A36,'Calculated Fields'!$C$2:$DG$2,0)),"")</f>
        <v/>
      </c>
      <c r="P36" s="179" t="str">
        <f ca="1">_xlfn.IFNA(INDEX('Calculated Fields'!$C:$DG,MATCH(Agent_wise!P$5,'Calculated Fields'!$B:$B,0),MATCH(Agent_wise!$A36,'Calculated Fields'!$C$2:$DG$2,0)),"")</f>
        <v/>
      </c>
      <c r="Q36" s="179" t="str">
        <f ca="1">_xlfn.IFNA(INDEX('Calculated Fields'!$C:$DG,MATCH(Agent_wise!Q$5,'Calculated Fields'!$B:$B,0),MATCH(Agent_wise!$A36,'Calculated Fields'!$C$2:$DG$2,0)),"")</f>
        <v/>
      </c>
      <c r="R36" s="179" t="str">
        <f ca="1">_xlfn.IFNA(INDEX('Calculated Fields'!$C:$DG,MATCH(Agent_wise!R$5,'Calculated Fields'!$B:$B,0),MATCH(Agent_wise!$A36,'Calculated Fields'!$C$2:$DG$2,0)),"")</f>
        <v/>
      </c>
      <c r="S36" s="179" t="str">
        <f ca="1">_xlfn.IFNA(INDEX('Calculated Fields'!$C:$DG,MATCH(Agent_wise!S$5,'Calculated Fields'!$B:$B,0),MATCH(Agent_wise!$A36,'Calculated Fields'!$C$2:$DG$2,0)),"")</f>
        <v/>
      </c>
      <c r="T36" s="179" t="str">
        <f ca="1">_xlfn.IFNA(INDEX('Calculated Fields'!$C:$DG,MATCH(Agent_wise!T$5,'Calculated Fields'!$B:$B,0),MATCH(Agent_wise!$A36,'Calculated Fields'!$C$2:$DG$2,0)),"")</f>
        <v/>
      </c>
      <c r="U36" s="179" t="str">
        <f ca="1">_xlfn.IFNA(INDEX('Calculated Fields'!$C:$DG,MATCH(Agent_wise!U$5,'Calculated Fields'!$B:$B,0),MATCH(Agent_wise!$A36,'Calculated Fields'!$C$2:$DG$2,0)),"")</f>
        <v/>
      </c>
      <c r="V36" s="179" t="str">
        <f ca="1">_xlfn.IFNA(INDEX('Calculated Fields'!$C:$DG,MATCH(Agent_wise!V$5,'Calculated Fields'!$B:$B,0),MATCH(Agent_wise!$A36,'Calculated Fields'!$C$2:$DG$2,0)),"")</f>
        <v/>
      </c>
      <c r="W36" s="179" t="str">
        <f ca="1">_xlfn.IFNA(INDEX('Calculated Fields'!$C:$DG,MATCH(Agent_wise!W$5,'Calculated Fields'!$B:$B,0),MATCH(Agent_wise!$A36,'Calculated Fields'!$C$2:$DG$2,0)),"")</f>
        <v/>
      </c>
      <c r="X36" s="179" t="str">
        <f ca="1">_xlfn.IFNA(INDEX('Calculated Fields'!$C:$DG,MATCH(Agent_wise!X$5,'Calculated Fields'!$B:$B,0),MATCH(Agent_wise!$A36,'Calculated Fields'!$C$2:$DG$2,0)),"")</f>
        <v/>
      </c>
      <c r="Y36" s="179" t="str">
        <f ca="1">_xlfn.IFNA(INDEX('Calculated Fields'!$C:$DG,MATCH(Agent_wise!Y$5,'Calculated Fields'!$B:$B,0),MATCH(Agent_wise!$A36,'Calculated Fields'!$C$2:$DG$2,0)),"")</f>
        <v/>
      </c>
      <c r="Z36" s="179" t="str">
        <f ca="1">_xlfn.IFNA(INDEX('Calculated Fields'!$C:$DG,MATCH(Agent_wise!Z$5,'Calculated Fields'!$B:$B,0),MATCH(Agent_wise!$A36,'Calculated Fields'!$C$2:$DG$2,0)),"")</f>
        <v/>
      </c>
      <c r="AA36" s="1"/>
      <c r="AB36" s="1"/>
      <c r="AC36" s="1"/>
      <c r="AD36" s="1"/>
      <c r="AE36" s="1"/>
      <c r="AF36" s="1"/>
      <c r="AG36" s="1"/>
      <c r="AH36" s="1"/>
    </row>
    <row r="37" spans="1:34" ht="14.4">
      <c r="A37" s="177" t="s">
        <v>1029</v>
      </c>
      <c r="B37" s="178">
        <f ca="1">_xlfn.IFNA(INDEX('Calculated Fields'!$C:$DG,MATCH(Agent_wise!B$5,'Calculated Fields'!$B:$B,0),MATCH(Agent_wise!$A37,'Calculated Fields'!$C$2:$DG$2,0)),"")</f>
        <v>1</v>
      </c>
      <c r="C37" s="178">
        <f ca="1">_xlfn.IFNA(INDEX('Calculated Fields'!$C:$DG,MATCH(Agent_wise!C$5,'Calculated Fields'!$B:$B,0),MATCH(Agent_wise!$A37,'Calculated Fields'!$C$2:$DG$2,0)),"")</f>
        <v>2</v>
      </c>
      <c r="D37" s="178">
        <f ca="1">_xlfn.IFNA(INDEX('Calculated Fields'!$C:$DG,MATCH(Agent_wise!D$5,'Calculated Fields'!$B:$B,0),MATCH(Agent_wise!$A37,'Calculated Fields'!$C$2:$DG$2,0)),"")</f>
        <v>0</v>
      </c>
      <c r="E37" s="178">
        <f ca="1">_xlfn.IFNA(INDEX('Calculated Fields'!$C:$DG,MATCH(Agent_wise!E$5,'Calculated Fields'!$B:$B,0),MATCH(Agent_wise!$A37,'Calculated Fields'!$C$2:$DG$2,0)),"")</f>
        <v>0</v>
      </c>
      <c r="F37" s="178">
        <f ca="1">_xlfn.IFNA(INDEX('Calculated Fields'!$C:$DG,MATCH(Agent_wise!F$5,'Calculated Fields'!$B:$B,0),MATCH(Agent_wise!$A37,'Calculated Fields'!$C$2:$DG$2,0)),"")</f>
        <v>1</v>
      </c>
      <c r="G37" s="178">
        <f ca="1">_xlfn.IFNA(INDEX('Calculated Fields'!$C:$DG,MATCH(Agent_wise!G$5,'Calculated Fields'!$B:$B,0),MATCH(Agent_wise!$A37,'Calculated Fields'!$C$2:$DG$2,0)),"")</f>
        <v>1</v>
      </c>
      <c r="H37" s="178">
        <f ca="1">_xlfn.IFNA(INDEX('Calculated Fields'!$C:$DG,MATCH(Agent_wise!H$5,'Calculated Fields'!$B:$B,0),MATCH(Agent_wise!$A37,'Calculated Fields'!$C$2:$DG$2,0)),"")</f>
        <v>2</v>
      </c>
      <c r="I37" s="178">
        <f ca="1">_xlfn.IFNA(INDEX('Calculated Fields'!$C:$DG,MATCH(Agent_wise!I$5,'Calculated Fields'!$B:$B,0),MATCH(Agent_wise!$A37,'Calculated Fields'!$C$2:$DG$2,0)),"")</f>
        <v>1</v>
      </c>
      <c r="J37" s="178">
        <f ca="1">_xlfn.IFNA(INDEX('Calculated Fields'!$C:$DG,MATCH(Agent_wise!J$5,'Calculated Fields'!$B:$B,0),MATCH(Agent_wise!$A37,'Calculated Fields'!$C$2:$DG$2,0)),"")</f>
        <v>5</v>
      </c>
      <c r="K37" s="178">
        <f ca="1">_xlfn.IFNA(INDEX('Calculated Fields'!$C:$DG,MATCH(Agent_wise!K$5,'Calculated Fields'!$B:$B,0),MATCH(Agent_wise!$A37,'Calculated Fields'!$C$2:$DG$2,0)),"")</f>
        <v>2</v>
      </c>
      <c r="L37" s="179" t="str">
        <f ca="1">_xlfn.IFNA(INDEX('Calculated Fields'!$C:$DG,MATCH(Agent_wise!L$5,'Calculated Fields'!$B:$B,0),MATCH(Agent_wise!$A37,'Calculated Fields'!$C$2:$DG$2,0)),"")</f>
        <v/>
      </c>
      <c r="M37" s="179" t="str">
        <f ca="1">_xlfn.IFNA(INDEX('Calculated Fields'!$C:$DG,MATCH(Agent_wise!M$5,'Calculated Fields'!$B:$B,0),MATCH(Agent_wise!$A37,'Calculated Fields'!$C$2:$DG$2,0)),"")</f>
        <v/>
      </c>
      <c r="N37" s="179" t="str">
        <f ca="1">_xlfn.IFNA(INDEX('Calculated Fields'!$C:$DG,MATCH(Agent_wise!N$5,'Calculated Fields'!$B:$B,0),MATCH(Agent_wise!$A37,'Calculated Fields'!$C$2:$DG$2,0)),"")</f>
        <v/>
      </c>
      <c r="O37" s="179" t="str">
        <f ca="1">_xlfn.IFNA(INDEX('Calculated Fields'!$C:$DG,MATCH(Agent_wise!O$5,'Calculated Fields'!$B:$B,0),MATCH(Agent_wise!$A37,'Calculated Fields'!$C$2:$DG$2,0)),"")</f>
        <v/>
      </c>
      <c r="P37" s="179" t="str">
        <f ca="1">_xlfn.IFNA(INDEX('Calculated Fields'!$C:$DG,MATCH(Agent_wise!P$5,'Calculated Fields'!$B:$B,0),MATCH(Agent_wise!$A37,'Calculated Fields'!$C$2:$DG$2,0)),"")</f>
        <v/>
      </c>
      <c r="Q37" s="179" t="str">
        <f ca="1">_xlfn.IFNA(INDEX('Calculated Fields'!$C:$DG,MATCH(Agent_wise!Q$5,'Calculated Fields'!$B:$B,0),MATCH(Agent_wise!$A37,'Calculated Fields'!$C$2:$DG$2,0)),"")</f>
        <v/>
      </c>
      <c r="R37" s="179" t="str">
        <f ca="1">_xlfn.IFNA(INDEX('Calculated Fields'!$C:$DG,MATCH(Agent_wise!R$5,'Calculated Fields'!$B:$B,0),MATCH(Agent_wise!$A37,'Calculated Fields'!$C$2:$DG$2,0)),"")</f>
        <v/>
      </c>
      <c r="S37" s="179" t="str">
        <f ca="1">_xlfn.IFNA(INDEX('Calculated Fields'!$C:$DG,MATCH(Agent_wise!S$5,'Calculated Fields'!$B:$B,0),MATCH(Agent_wise!$A37,'Calculated Fields'!$C$2:$DG$2,0)),"")</f>
        <v/>
      </c>
      <c r="T37" s="179" t="str">
        <f ca="1">_xlfn.IFNA(INDEX('Calculated Fields'!$C:$DG,MATCH(Agent_wise!T$5,'Calculated Fields'!$B:$B,0),MATCH(Agent_wise!$A37,'Calculated Fields'!$C$2:$DG$2,0)),"")</f>
        <v/>
      </c>
      <c r="U37" s="179" t="str">
        <f ca="1">_xlfn.IFNA(INDEX('Calculated Fields'!$C:$DG,MATCH(Agent_wise!U$5,'Calculated Fields'!$B:$B,0),MATCH(Agent_wise!$A37,'Calculated Fields'!$C$2:$DG$2,0)),"")</f>
        <v/>
      </c>
      <c r="V37" s="179" t="str">
        <f ca="1">_xlfn.IFNA(INDEX('Calculated Fields'!$C:$DG,MATCH(Agent_wise!V$5,'Calculated Fields'!$B:$B,0),MATCH(Agent_wise!$A37,'Calculated Fields'!$C$2:$DG$2,0)),"")</f>
        <v/>
      </c>
      <c r="W37" s="179" t="str">
        <f ca="1">_xlfn.IFNA(INDEX('Calculated Fields'!$C:$DG,MATCH(Agent_wise!W$5,'Calculated Fields'!$B:$B,0),MATCH(Agent_wise!$A37,'Calculated Fields'!$C$2:$DG$2,0)),"")</f>
        <v/>
      </c>
      <c r="X37" s="179" t="str">
        <f ca="1">_xlfn.IFNA(INDEX('Calculated Fields'!$C:$DG,MATCH(Agent_wise!X$5,'Calculated Fields'!$B:$B,0),MATCH(Agent_wise!$A37,'Calculated Fields'!$C$2:$DG$2,0)),"")</f>
        <v/>
      </c>
      <c r="Y37" s="179" t="str">
        <f ca="1">_xlfn.IFNA(INDEX('Calculated Fields'!$C:$DG,MATCH(Agent_wise!Y$5,'Calculated Fields'!$B:$B,0),MATCH(Agent_wise!$A37,'Calculated Fields'!$C$2:$DG$2,0)),"")</f>
        <v/>
      </c>
      <c r="Z37" s="179" t="str">
        <f ca="1">_xlfn.IFNA(INDEX('Calculated Fields'!$C:$DG,MATCH(Agent_wise!Z$5,'Calculated Fields'!$B:$B,0),MATCH(Agent_wise!$A37,'Calculated Fields'!$C$2:$DG$2,0)),"")</f>
        <v/>
      </c>
      <c r="AA37" s="1"/>
      <c r="AB37" s="1"/>
      <c r="AC37" s="1"/>
      <c r="AD37" s="1"/>
      <c r="AE37" s="1"/>
      <c r="AF37" s="1"/>
      <c r="AG37" s="1"/>
      <c r="AH37" s="1"/>
    </row>
    <row r="38" spans="1:34" ht="14.4">
      <c r="A38" s="177" t="s">
        <v>1030</v>
      </c>
      <c r="B38" s="178">
        <f ca="1">_xlfn.IFNA(INDEX('Calculated Fields'!$C:$DG,MATCH(Agent_wise!B$5,'Calculated Fields'!$B:$B,0),MATCH(Agent_wise!$A38,'Calculated Fields'!$C$2:$DG$2,0)),"")</f>
        <v>1</v>
      </c>
      <c r="C38" s="178">
        <f ca="1">_xlfn.IFNA(INDEX('Calculated Fields'!$C:$DG,MATCH(Agent_wise!C$5,'Calculated Fields'!$B:$B,0),MATCH(Agent_wise!$A38,'Calculated Fields'!$C$2:$DG$2,0)),"")</f>
        <v>0</v>
      </c>
      <c r="D38" s="178">
        <f ca="1">_xlfn.IFNA(INDEX('Calculated Fields'!$C:$DG,MATCH(Agent_wise!D$5,'Calculated Fields'!$B:$B,0),MATCH(Agent_wise!$A38,'Calculated Fields'!$C$2:$DG$2,0)),"")</f>
        <v>1</v>
      </c>
      <c r="E38" s="178">
        <f ca="1">_xlfn.IFNA(INDEX('Calculated Fields'!$C:$DG,MATCH(Agent_wise!E$5,'Calculated Fields'!$B:$B,0),MATCH(Agent_wise!$A38,'Calculated Fields'!$C$2:$DG$2,0)),"")</f>
        <v>0</v>
      </c>
      <c r="F38" s="178">
        <f ca="1">_xlfn.IFNA(INDEX('Calculated Fields'!$C:$DG,MATCH(Agent_wise!F$5,'Calculated Fields'!$B:$B,0),MATCH(Agent_wise!$A38,'Calculated Fields'!$C$2:$DG$2,0)),"")</f>
        <v>9</v>
      </c>
      <c r="G38" s="178">
        <f ca="1">_xlfn.IFNA(INDEX('Calculated Fields'!$C:$DG,MATCH(Agent_wise!G$5,'Calculated Fields'!$B:$B,0),MATCH(Agent_wise!$A38,'Calculated Fields'!$C$2:$DG$2,0)),"")</f>
        <v>0</v>
      </c>
      <c r="H38" s="178">
        <f ca="1">_xlfn.IFNA(INDEX('Calculated Fields'!$C:$DG,MATCH(Agent_wise!H$5,'Calculated Fields'!$B:$B,0),MATCH(Agent_wise!$A38,'Calculated Fields'!$C$2:$DG$2,0)),"")</f>
        <v>1</v>
      </c>
      <c r="I38" s="178">
        <f ca="1">_xlfn.IFNA(INDEX('Calculated Fields'!$C:$DG,MATCH(Agent_wise!I$5,'Calculated Fields'!$B:$B,0),MATCH(Agent_wise!$A38,'Calculated Fields'!$C$2:$DG$2,0)),"")</f>
        <v>0</v>
      </c>
      <c r="J38" s="178">
        <f ca="1">_xlfn.IFNA(INDEX('Calculated Fields'!$C:$DG,MATCH(Agent_wise!J$5,'Calculated Fields'!$B:$B,0),MATCH(Agent_wise!$A38,'Calculated Fields'!$C$2:$DG$2,0)),"")</f>
        <v>1</v>
      </c>
      <c r="K38" s="178">
        <f ca="1">_xlfn.IFNA(INDEX('Calculated Fields'!$C:$DG,MATCH(Agent_wise!K$5,'Calculated Fields'!$B:$B,0),MATCH(Agent_wise!$A38,'Calculated Fields'!$C$2:$DG$2,0)),"")</f>
        <v>1</v>
      </c>
      <c r="L38" s="179" t="str">
        <f ca="1">_xlfn.IFNA(INDEX('Calculated Fields'!$C:$DG,MATCH(Agent_wise!L$5,'Calculated Fields'!$B:$B,0),MATCH(Agent_wise!$A38,'Calculated Fields'!$C$2:$DG$2,0)),"")</f>
        <v/>
      </c>
      <c r="M38" s="179" t="str">
        <f ca="1">_xlfn.IFNA(INDEX('Calculated Fields'!$C:$DG,MATCH(Agent_wise!M$5,'Calculated Fields'!$B:$B,0),MATCH(Agent_wise!$A38,'Calculated Fields'!$C$2:$DG$2,0)),"")</f>
        <v/>
      </c>
      <c r="N38" s="179" t="str">
        <f ca="1">_xlfn.IFNA(INDEX('Calculated Fields'!$C:$DG,MATCH(Agent_wise!N$5,'Calculated Fields'!$B:$B,0),MATCH(Agent_wise!$A38,'Calculated Fields'!$C$2:$DG$2,0)),"")</f>
        <v/>
      </c>
      <c r="O38" s="179" t="str">
        <f ca="1">_xlfn.IFNA(INDEX('Calculated Fields'!$C:$DG,MATCH(Agent_wise!O$5,'Calculated Fields'!$B:$B,0),MATCH(Agent_wise!$A38,'Calculated Fields'!$C$2:$DG$2,0)),"")</f>
        <v/>
      </c>
      <c r="P38" s="179" t="str">
        <f ca="1">_xlfn.IFNA(INDEX('Calculated Fields'!$C:$DG,MATCH(Agent_wise!P$5,'Calculated Fields'!$B:$B,0),MATCH(Agent_wise!$A38,'Calculated Fields'!$C$2:$DG$2,0)),"")</f>
        <v/>
      </c>
      <c r="Q38" s="179" t="str">
        <f ca="1">_xlfn.IFNA(INDEX('Calculated Fields'!$C:$DG,MATCH(Agent_wise!Q$5,'Calculated Fields'!$B:$B,0),MATCH(Agent_wise!$A38,'Calculated Fields'!$C$2:$DG$2,0)),"")</f>
        <v/>
      </c>
      <c r="R38" s="179" t="str">
        <f ca="1">_xlfn.IFNA(INDEX('Calculated Fields'!$C:$DG,MATCH(Agent_wise!R$5,'Calculated Fields'!$B:$B,0),MATCH(Agent_wise!$A38,'Calculated Fields'!$C$2:$DG$2,0)),"")</f>
        <v/>
      </c>
      <c r="S38" s="179" t="str">
        <f ca="1">_xlfn.IFNA(INDEX('Calculated Fields'!$C:$DG,MATCH(Agent_wise!S$5,'Calculated Fields'!$B:$B,0),MATCH(Agent_wise!$A38,'Calculated Fields'!$C$2:$DG$2,0)),"")</f>
        <v/>
      </c>
      <c r="T38" s="179" t="str">
        <f ca="1">_xlfn.IFNA(INDEX('Calculated Fields'!$C:$DG,MATCH(Agent_wise!T$5,'Calculated Fields'!$B:$B,0),MATCH(Agent_wise!$A38,'Calculated Fields'!$C$2:$DG$2,0)),"")</f>
        <v/>
      </c>
      <c r="U38" s="179" t="str">
        <f ca="1">_xlfn.IFNA(INDEX('Calculated Fields'!$C:$DG,MATCH(Agent_wise!U$5,'Calculated Fields'!$B:$B,0),MATCH(Agent_wise!$A38,'Calculated Fields'!$C$2:$DG$2,0)),"")</f>
        <v/>
      </c>
      <c r="V38" s="179" t="str">
        <f ca="1">_xlfn.IFNA(INDEX('Calculated Fields'!$C:$DG,MATCH(Agent_wise!V$5,'Calculated Fields'!$B:$B,0),MATCH(Agent_wise!$A38,'Calculated Fields'!$C$2:$DG$2,0)),"")</f>
        <v/>
      </c>
      <c r="W38" s="179" t="str">
        <f ca="1">_xlfn.IFNA(INDEX('Calculated Fields'!$C:$DG,MATCH(Agent_wise!W$5,'Calculated Fields'!$B:$B,0),MATCH(Agent_wise!$A38,'Calculated Fields'!$C$2:$DG$2,0)),"")</f>
        <v/>
      </c>
      <c r="X38" s="179" t="str">
        <f ca="1">_xlfn.IFNA(INDEX('Calculated Fields'!$C:$DG,MATCH(Agent_wise!X$5,'Calculated Fields'!$B:$B,0),MATCH(Agent_wise!$A38,'Calculated Fields'!$C$2:$DG$2,0)),"")</f>
        <v/>
      </c>
      <c r="Y38" s="179" t="str">
        <f ca="1">_xlfn.IFNA(INDEX('Calculated Fields'!$C:$DG,MATCH(Agent_wise!Y$5,'Calculated Fields'!$B:$B,0),MATCH(Agent_wise!$A38,'Calculated Fields'!$C$2:$DG$2,0)),"")</f>
        <v/>
      </c>
      <c r="Z38" s="179" t="str">
        <f ca="1">_xlfn.IFNA(INDEX('Calculated Fields'!$C:$DG,MATCH(Agent_wise!Z$5,'Calculated Fields'!$B:$B,0),MATCH(Agent_wise!$A38,'Calculated Fields'!$C$2:$DG$2,0)),"")</f>
        <v/>
      </c>
      <c r="AA38" s="1"/>
      <c r="AB38" s="1"/>
      <c r="AC38" s="1"/>
      <c r="AD38" s="1"/>
      <c r="AE38" s="1"/>
      <c r="AF38" s="1"/>
      <c r="AG38" s="1"/>
      <c r="AH38" s="1"/>
    </row>
    <row r="39" spans="1:34" ht="14.4">
      <c r="A39" s="177" t="s">
        <v>1022</v>
      </c>
      <c r="B39" s="178">
        <f ca="1">_xlfn.IFNA(INDEX('Calculated Fields'!$C:$DG,MATCH(Agent_wise!B$5,'Calculated Fields'!$B:$B,0),MATCH(Agent_wise!$A39,'Calculated Fields'!$C$2:$DG$2,0)),"")</f>
        <v>60</v>
      </c>
      <c r="C39" s="178">
        <f ca="1">_xlfn.IFNA(INDEX('Calculated Fields'!$C:$DG,MATCH(Agent_wise!C$5,'Calculated Fields'!$B:$B,0),MATCH(Agent_wise!$A39,'Calculated Fields'!$C$2:$DG$2,0)),"")</f>
        <v>24</v>
      </c>
      <c r="D39" s="178">
        <f ca="1">_xlfn.IFNA(INDEX('Calculated Fields'!$C:$DG,MATCH(Agent_wise!D$5,'Calculated Fields'!$B:$B,0),MATCH(Agent_wise!$A39,'Calculated Fields'!$C$2:$DG$2,0)),"")</f>
        <v>21</v>
      </c>
      <c r="E39" s="178">
        <f ca="1">_xlfn.IFNA(INDEX('Calculated Fields'!$C:$DG,MATCH(Agent_wise!E$5,'Calculated Fields'!$B:$B,0),MATCH(Agent_wise!$A39,'Calculated Fields'!$C$2:$DG$2,0)),"")</f>
        <v>11</v>
      </c>
      <c r="F39" s="178">
        <f ca="1">_xlfn.IFNA(INDEX('Calculated Fields'!$C:$DG,MATCH(Agent_wise!F$5,'Calculated Fields'!$B:$B,0),MATCH(Agent_wise!$A39,'Calculated Fields'!$C$2:$DG$2,0)),"")</f>
        <v>4</v>
      </c>
      <c r="G39" s="178">
        <f ca="1">_xlfn.IFNA(INDEX('Calculated Fields'!$C:$DG,MATCH(Agent_wise!G$5,'Calculated Fields'!$B:$B,0),MATCH(Agent_wise!$A39,'Calculated Fields'!$C$2:$DG$2,0)),"")</f>
        <v>0</v>
      </c>
      <c r="H39" s="178">
        <f ca="1">_xlfn.IFNA(INDEX('Calculated Fields'!$C:$DG,MATCH(Agent_wise!H$5,'Calculated Fields'!$B:$B,0),MATCH(Agent_wise!$A39,'Calculated Fields'!$C$2:$DG$2,0)),"")</f>
        <v>23</v>
      </c>
      <c r="I39" s="178">
        <f ca="1">_xlfn.IFNA(INDEX('Calculated Fields'!$C:$DG,MATCH(Agent_wise!I$5,'Calculated Fields'!$B:$B,0),MATCH(Agent_wise!$A39,'Calculated Fields'!$C$2:$DG$2,0)),"")</f>
        <v>23</v>
      </c>
      <c r="J39" s="178">
        <f ca="1">_xlfn.IFNA(INDEX('Calculated Fields'!$C:$DG,MATCH(Agent_wise!J$5,'Calculated Fields'!$B:$B,0),MATCH(Agent_wise!$A39,'Calculated Fields'!$C$2:$DG$2,0)),"")</f>
        <v>0</v>
      </c>
      <c r="K39" s="178">
        <f ca="1">_xlfn.IFNA(INDEX('Calculated Fields'!$C:$DG,MATCH(Agent_wise!K$5,'Calculated Fields'!$B:$B,0),MATCH(Agent_wise!$A39,'Calculated Fields'!$C$2:$DG$2,0)),"")</f>
        <v>10</v>
      </c>
      <c r="L39" s="179" t="str">
        <f ca="1">_xlfn.IFNA(INDEX('Calculated Fields'!$C:$DG,MATCH(Agent_wise!L$5,'Calculated Fields'!$B:$B,0),MATCH(Agent_wise!$A39,'Calculated Fields'!$C$2:$DG$2,0)),"")</f>
        <v/>
      </c>
      <c r="M39" s="179" t="str">
        <f ca="1">_xlfn.IFNA(INDEX('Calculated Fields'!$C:$DG,MATCH(Agent_wise!M$5,'Calculated Fields'!$B:$B,0),MATCH(Agent_wise!$A39,'Calculated Fields'!$C$2:$DG$2,0)),"")</f>
        <v/>
      </c>
      <c r="N39" s="179" t="str">
        <f ca="1">_xlfn.IFNA(INDEX('Calculated Fields'!$C:$DG,MATCH(Agent_wise!N$5,'Calculated Fields'!$B:$B,0),MATCH(Agent_wise!$A39,'Calculated Fields'!$C$2:$DG$2,0)),"")</f>
        <v/>
      </c>
      <c r="O39" s="179" t="str">
        <f ca="1">_xlfn.IFNA(INDEX('Calculated Fields'!$C:$DG,MATCH(Agent_wise!O$5,'Calculated Fields'!$B:$B,0),MATCH(Agent_wise!$A39,'Calculated Fields'!$C$2:$DG$2,0)),"")</f>
        <v/>
      </c>
      <c r="P39" s="179" t="str">
        <f ca="1">_xlfn.IFNA(INDEX('Calculated Fields'!$C:$DG,MATCH(Agent_wise!P$5,'Calculated Fields'!$B:$B,0),MATCH(Agent_wise!$A39,'Calculated Fields'!$C$2:$DG$2,0)),"")</f>
        <v/>
      </c>
      <c r="Q39" s="179" t="str">
        <f ca="1">_xlfn.IFNA(INDEX('Calculated Fields'!$C:$DG,MATCH(Agent_wise!Q$5,'Calculated Fields'!$B:$B,0),MATCH(Agent_wise!$A39,'Calculated Fields'!$C$2:$DG$2,0)),"")</f>
        <v/>
      </c>
      <c r="R39" s="179" t="str">
        <f ca="1">_xlfn.IFNA(INDEX('Calculated Fields'!$C:$DG,MATCH(Agent_wise!R$5,'Calculated Fields'!$B:$B,0),MATCH(Agent_wise!$A39,'Calculated Fields'!$C$2:$DG$2,0)),"")</f>
        <v/>
      </c>
      <c r="S39" s="179" t="str">
        <f ca="1">_xlfn.IFNA(INDEX('Calculated Fields'!$C:$DG,MATCH(Agent_wise!S$5,'Calculated Fields'!$B:$B,0),MATCH(Agent_wise!$A39,'Calculated Fields'!$C$2:$DG$2,0)),"")</f>
        <v/>
      </c>
      <c r="T39" s="179" t="str">
        <f ca="1">_xlfn.IFNA(INDEX('Calculated Fields'!$C:$DG,MATCH(Agent_wise!T$5,'Calculated Fields'!$B:$B,0),MATCH(Agent_wise!$A39,'Calculated Fields'!$C$2:$DG$2,0)),"")</f>
        <v/>
      </c>
      <c r="U39" s="179" t="str">
        <f ca="1">_xlfn.IFNA(INDEX('Calculated Fields'!$C:$DG,MATCH(Agent_wise!U$5,'Calculated Fields'!$B:$B,0),MATCH(Agent_wise!$A39,'Calculated Fields'!$C$2:$DG$2,0)),"")</f>
        <v/>
      </c>
      <c r="V39" s="179" t="str">
        <f ca="1">_xlfn.IFNA(INDEX('Calculated Fields'!$C:$DG,MATCH(Agent_wise!V$5,'Calculated Fields'!$B:$B,0),MATCH(Agent_wise!$A39,'Calculated Fields'!$C$2:$DG$2,0)),"")</f>
        <v/>
      </c>
      <c r="W39" s="179" t="str">
        <f ca="1">_xlfn.IFNA(INDEX('Calculated Fields'!$C:$DG,MATCH(Agent_wise!W$5,'Calculated Fields'!$B:$B,0),MATCH(Agent_wise!$A39,'Calculated Fields'!$C$2:$DG$2,0)),"")</f>
        <v/>
      </c>
      <c r="X39" s="179" t="str">
        <f ca="1">_xlfn.IFNA(INDEX('Calculated Fields'!$C:$DG,MATCH(Agent_wise!X$5,'Calculated Fields'!$B:$B,0),MATCH(Agent_wise!$A39,'Calculated Fields'!$C$2:$DG$2,0)),"")</f>
        <v/>
      </c>
      <c r="Y39" s="179" t="str">
        <f ca="1">_xlfn.IFNA(INDEX('Calculated Fields'!$C:$DG,MATCH(Agent_wise!Y$5,'Calculated Fields'!$B:$B,0),MATCH(Agent_wise!$A39,'Calculated Fields'!$C$2:$DG$2,0)),"")</f>
        <v/>
      </c>
      <c r="Z39" s="179" t="str">
        <f ca="1">_xlfn.IFNA(INDEX('Calculated Fields'!$C:$DG,MATCH(Agent_wise!Z$5,'Calculated Fields'!$B:$B,0),MATCH(Agent_wise!$A39,'Calculated Fields'!$C$2:$DG$2,0)),"")</f>
        <v/>
      </c>
      <c r="AA39" s="1"/>
      <c r="AB39" s="1"/>
      <c r="AC39" s="1"/>
      <c r="AD39" s="1"/>
      <c r="AE39" s="1"/>
      <c r="AF39" s="1"/>
      <c r="AG39" s="1"/>
      <c r="AH39" s="1"/>
    </row>
    <row r="40" spans="1:34" ht="14.4">
      <c r="A40" s="177" t="s">
        <v>1023</v>
      </c>
      <c r="B40" s="178">
        <f ca="1">_xlfn.IFNA(INDEX('Calculated Fields'!$C:$DG,MATCH(Agent_wise!B$5,'Calculated Fields'!$B:$B,0),MATCH(Agent_wise!$A40,'Calculated Fields'!$C$2:$DG$2,0)),"")</f>
        <v>19</v>
      </c>
      <c r="C40" s="178">
        <f ca="1">_xlfn.IFNA(INDEX('Calculated Fields'!$C:$DG,MATCH(Agent_wise!C$5,'Calculated Fields'!$B:$B,0),MATCH(Agent_wise!$A40,'Calculated Fields'!$C$2:$DG$2,0)),"")</f>
        <v>71</v>
      </c>
      <c r="D40" s="178">
        <f ca="1">_xlfn.IFNA(INDEX('Calculated Fields'!$C:$DG,MATCH(Agent_wise!D$5,'Calculated Fields'!$B:$B,0),MATCH(Agent_wise!$A40,'Calculated Fields'!$C$2:$DG$2,0)),"")</f>
        <v>70</v>
      </c>
      <c r="E40" s="178">
        <f ca="1">_xlfn.IFNA(INDEX('Calculated Fields'!$C:$DG,MATCH(Agent_wise!E$5,'Calculated Fields'!$B:$B,0),MATCH(Agent_wise!$A40,'Calculated Fields'!$C$2:$DG$2,0)),"")</f>
        <v>65</v>
      </c>
      <c r="F40" s="178">
        <f ca="1">_xlfn.IFNA(INDEX('Calculated Fields'!$C:$DG,MATCH(Agent_wise!F$5,'Calculated Fields'!$B:$B,0),MATCH(Agent_wise!$A40,'Calculated Fields'!$C$2:$DG$2,0)),"")</f>
        <v>3</v>
      </c>
      <c r="G40" s="178">
        <f ca="1">_xlfn.IFNA(INDEX('Calculated Fields'!$C:$DG,MATCH(Agent_wise!G$5,'Calculated Fields'!$B:$B,0),MATCH(Agent_wise!$A40,'Calculated Fields'!$C$2:$DG$2,0)),"")</f>
        <v>0</v>
      </c>
      <c r="H40" s="178">
        <f ca="1">_xlfn.IFNA(INDEX('Calculated Fields'!$C:$DG,MATCH(Agent_wise!H$5,'Calculated Fields'!$B:$B,0),MATCH(Agent_wise!$A40,'Calculated Fields'!$C$2:$DG$2,0)),"")</f>
        <v>51</v>
      </c>
      <c r="I40" s="178">
        <f ca="1">_xlfn.IFNA(INDEX('Calculated Fields'!$C:$DG,MATCH(Agent_wise!I$5,'Calculated Fields'!$B:$B,0),MATCH(Agent_wise!$A40,'Calculated Fields'!$C$2:$DG$2,0)),"")</f>
        <v>45</v>
      </c>
      <c r="J40" s="178">
        <f ca="1">_xlfn.IFNA(INDEX('Calculated Fields'!$C:$DG,MATCH(Agent_wise!J$5,'Calculated Fields'!$B:$B,0),MATCH(Agent_wise!$A40,'Calculated Fields'!$C$2:$DG$2,0)),"")</f>
        <v>3</v>
      </c>
      <c r="K40" s="178">
        <f ca="1">_xlfn.IFNA(INDEX('Calculated Fields'!$C:$DG,MATCH(Agent_wise!K$5,'Calculated Fields'!$B:$B,0),MATCH(Agent_wise!$A40,'Calculated Fields'!$C$2:$DG$2,0)),"")</f>
        <v>25</v>
      </c>
      <c r="L40" s="179" t="str">
        <f ca="1">_xlfn.IFNA(INDEX('Calculated Fields'!$C:$DG,MATCH(Agent_wise!L$5,'Calculated Fields'!$B:$B,0),MATCH(Agent_wise!$A40,'Calculated Fields'!$C$2:$DG$2,0)),"")</f>
        <v/>
      </c>
      <c r="M40" s="179" t="str">
        <f ca="1">_xlfn.IFNA(INDEX('Calculated Fields'!$C:$DG,MATCH(Agent_wise!M$5,'Calculated Fields'!$B:$B,0),MATCH(Agent_wise!$A40,'Calculated Fields'!$C$2:$DG$2,0)),"")</f>
        <v/>
      </c>
      <c r="N40" s="179" t="str">
        <f ca="1">_xlfn.IFNA(INDEX('Calculated Fields'!$C:$DG,MATCH(Agent_wise!N$5,'Calculated Fields'!$B:$B,0),MATCH(Agent_wise!$A40,'Calculated Fields'!$C$2:$DG$2,0)),"")</f>
        <v/>
      </c>
      <c r="O40" s="179" t="str">
        <f ca="1">_xlfn.IFNA(INDEX('Calculated Fields'!$C:$DG,MATCH(Agent_wise!O$5,'Calculated Fields'!$B:$B,0),MATCH(Agent_wise!$A40,'Calculated Fields'!$C$2:$DG$2,0)),"")</f>
        <v/>
      </c>
      <c r="P40" s="179" t="str">
        <f ca="1">_xlfn.IFNA(INDEX('Calculated Fields'!$C:$DG,MATCH(Agent_wise!P$5,'Calculated Fields'!$B:$B,0),MATCH(Agent_wise!$A40,'Calculated Fields'!$C$2:$DG$2,0)),"")</f>
        <v/>
      </c>
      <c r="Q40" s="179" t="str">
        <f ca="1">_xlfn.IFNA(INDEX('Calculated Fields'!$C:$DG,MATCH(Agent_wise!Q$5,'Calculated Fields'!$B:$B,0),MATCH(Agent_wise!$A40,'Calculated Fields'!$C$2:$DG$2,0)),"")</f>
        <v/>
      </c>
      <c r="R40" s="179" t="str">
        <f ca="1">_xlfn.IFNA(INDEX('Calculated Fields'!$C:$DG,MATCH(Agent_wise!R$5,'Calculated Fields'!$B:$B,0),MATCH(Agent_wise!$A40,'Calculated Fields'!$C$2:$DG$2,0)),"")</f>
        <v/>
      </c>
      <c r="S40" s="179" t="str">
        <f ca="1">_xlfn.IFNA(INDEX('Calculated Fields'!$C:$DG,MATCH(Agent_wise!S$5,'Calculated Fields'!$B:$B,0),MATCH(Agent_wise!$A40,'Calculated Fields'!$C$2:$DG$2,0)),"")</f>
        <v/>
      </c>
      <c r="T40" s="179" t="str">
        <f ca="1">_xlfn.IFNA(INDEX('Calculated Fields'!$C:$DG,MATCH(Agent_wise!T$5,'Calculated Fields'!$B:$B,0),MATCH(Agent_wise!$A40,'Calculated Fields'!$C$2:$DG$2,0)),"")</f>
        <v/>
      </c>
      <c r="U40" s="179" t="str">
        <f ca="1">_xlfn.IFNA(INDEX('Calculated Fields'!$C:$DG,MATCH(Agent_wise!U$5,'Calculated Fields'!$B:$B,0),MATCH(Agent_wise!$A40,'Calculated Fields'!$C$2:$DG$2,0)),"")</f>
        <v/>
      </c>
      <c r="V40" s="179" t="str">
        <f ca="1">_xlfn.IFNA(INDEX('Calculated Fields'!$C:$DG,MATCH(Agent_wise!V$5,'Calculated Fields'!$B:$B,0),MATCH(Agent_wise!$A40,'Calculated Fields'!$C$2:$DG$2,0)),"")</f>
        <v/>
      </c>
      <c r="W40" s="179" t="str">
        <f ca="1">_xlfn.IFNA(INDEX('Calculated Fields'!$C:$DG,MATCH(Agent_wise!W$5,'Calculated Fields'!$B:$B,0),MATCH(Agent_wise!$A40,'Calculated Fields'!$C$2:$DG$2,0)),"")</f>
        <v/>
      </c>
      <c r="X40" s="179" t="str">
        <f ca="1">_xlfn.IFNA(INDEX('Calculated Fields'!$C:$DG,MATCH(Agent_wise!X$5,'Calculated Fields'!$B:$B,0),MATCH(Agent_wise!$A40,'Calculated Fields'!$C$2:$DG$2,0)),"")</f>
        <v/>
      </c>
      <c r="Y40" s="179" t="str">
        <f ca="1">_xlfn.IFNA(INDEX('Calculated Fields'!$C:$DG,MATCH(Agent_wise!Y$5,'Calculated Fields'!$B:$B,0),MATCH(Agent_wise!$A40,'Calculated Fields'!$C$2:$DG$2,0)),"")</f>
        <v/>
      </c>
      <c r="Z40" s="179" t="str">
        <f ca="1">_xlfn.IFNA(INDEX('Calculated Fields'!$C:$DG,MATCH(Agent_wise!Z$5,'Calculated Fields'!$B:$B,0),MATCH(Agent_wise!$A40,'Calculated Fields'!$C$2:$DG$2,0)),"")</f>
        <v/>
      </c>
      <c r="AA40" s="1"/>
      <c r="AB40" s="1"/>
      <c r="AC40" s="1"/>
      <c r="AD40" s="1"/>
      <c r="AE40" s="1"/>
      <c r="AF40" s="1"/>
      <c r="AG40" s="1"/>
      <c r="AH40" s="1"/>
    </row>
    <row r="41" spans="1:34" ht="14.4">
      <c r="A41" s="177" t="s">
        <v>1024</v>
      </c>
      <c r="B41" s="178">
        <f ca="1">_xlfn.IFNA(INDEX('Calculated Fields'!$C:$DG,MATCH(Agent_wise!B$5,'Calculated Fields'!$B:$B,0),MATCH(Agent_wise!$A41,'Calculated Fields'!$C$2:$DG$2,0)),"")</f>
        <v>15</v>
      </c>
      <c r="C41" s="178">
        <f ca="1">_xlfn.IFNA(INDEX('Calculated Fields'!$C:$DG,MATCH(Agent_wise!C$5,'Calculated Fields'!$B:$B,0),MATCH(Agent_wise!$A41,'Calculated Fields'!$C$2:$DG$2,0)),"")</f>
        <v>4</v>
      </c>
      <c r="D41" s="178">
        <f ca="1">_xlfn.IFNA(INDEX('Calculated Fields'!$C:$DG,MATCH(Agent_wise!D$5,'Calculated Fields'!$B:$B,0),MATCH(Agent_wise!$A41,'Calculated Fields'!$C$2:$DG$2,0)),"")</f>
        <v>15</v>
      </c>
      <c r="E41" s="178">
        <f ca="1">_xlfn.IFNA(INDEX('Calculated Fields'!$C:$DG,MATCH(Agent_wise!E$5,'Calculated Fields'!$B:$B,0),MATCH(Agent_wise!$A41,'Calculated Fields'!$C$2:$DG$2,0)),"")</f>
        <v>2</v>
      </c>
      <c r="F41" s="178">
        <f ca="1">_xlfn.IFNA(INDEX('Calculated Fields'!$C:$DG,MATCH(Agent_wise!F$5,'Calculated Fields'!$B:$B,0),MATCH(Agent_wise!$A41,'Calculated Fields'!$C$2:$DG$2,0)),"")</f>
        <v>2</v>
      </c>
      <c r="G41" s="178">
        <f ca="1">_xlfn.IFNA(INDEX('Calculated Fields'!$C:$DG,MATCH(Agent_wise!G$5,'Calculated Fields'!$B:$B,0),MATCH(Agent_wise!$A41,'Calculated Fields'!$C$2:$DG$2,0)),"")</f>
        <v>0</v>
      </c>
      <c r="H41" s="178">
        <f ca="1">_xlfn.IFNA(INDEX('Calculated Fields'!$C:$DG,MATCH(Agent_wise!H$5,'Calculated Fields'!$B:$B,0),MATCH(Agent_wise!$A41,'Calculated Fields'!$C$2:$DG$2,0)),"")</f>
        <v>5</v>
      </c>
      <c r="I41" s="178">
        <f ca="1">_xlfn.IFNA(INDEX('Calculated Fields'!$C:$DG,MATCH(Agent_wise!I$5,'Calculated Fields'!$B:$B,0),MATCH(Agent_wise!$A41,'Calculated Fields'!$C$2:$DG$2,0)),"")</f>
        <v>19</v>
      </c>
      <c r="J41" s="178">
        <f ca="1">_xlfn.IFNA(INDEX('Calculated Fields'!$C:$DG,MATCH(Agent_wise!J$5,'Calculated Fields'!$B:$B,0),MATCH(Agent_wise!$A41,'Calculated Fields'!$C$2:$DG$2,0)),"")</f>
        <v>0</v>
      </c>
      <c r="K41" s="178">
        <f ca="1">_xlfn.IFNA(INDEX('Calculated Fields'!$C:$DG,MATCH(Agent_wise!K$5,'Calculated Fields'!$B:$B,0),MATCH(Agent_wise!$A41,'Calculated Fields'!$C$2:$DG$2,0)),"")</f>
        <v>1</v>
      </c>
      <c r="L41" s="179" t="str">
        <f ca="1">_xlfn.IFNA(INDEX('Calculated Fields'!$C:$DG,MATCH(Agent_wise!L$5,'Calculated Fields'!$B:$B,0),MATCH(Agent_wise!$A41,'Calculated Fields'!$C$2:$DG$2,0)),"")</f>
        <v/>
      </c>
      <c r="M41" s="179" t="str">
        <f ca="1">_xlfn.IFNA(INDEX('Calculated Fields'!$C:$DG,MATCH(Agent_wise!M$5,'Calculated Fields'!$B:$B,0),MATCH(Agent_wise!$A41,'Calculated Fields'!$C$2:$DG$2,0)),"")</f>
        <v/>
      </c>
      <c r="N41" s="179" t="str">
        <f ca="1">_xlfn.IFNA(INDEX('Calculated Fields'!$C:$DG,MATCH(Agent_wise!N$5,'Calculated Fields'!$B:$B,0),MATCH(Agent_wise!$A41,'Calculated Fields'!$C$2:$DG$2,0)),"")</f>
        <v/>
      </c>
      <c r="O41" s="179" t="str">
        <f ca="1">_xlfn.IFNA(INDEX('Calculated Fields'!$C:$DG,MATCH(Agent_wise!O$5,'Calculated Fields'!$B:$B,0),MATCH(Agent_wise!$A41,'Calculated Fields'!$C$2:$DG$2,0)),"")</f>
        <v/>
      </c>
      <c r="P41" s="179" t="str">
        <f ca="1">_xlfn.IFNA(INDEX('Calculated Fields'!$C:$DG,MATCH(Agent_wise!P$5,'Calculated Fields'!$B:$B,0),MATCH(Agent_wise!$A41,'Calculated Fields'!$C$2:$DG$2,0)),"")</f>
        <v/>
      </c>
      <c r="Q41" s="179" t="str">
        <f ca="1">_xlfn.IFNA(INDEX('Calculated Fields'!$C:$DG,MATCH(Agent_wise!Q$5,'Calculated Fields'!$B:$B,0),MATCH(Agent_wise!$A41,'Calculated Fields'!$C$2:$DG$2,0)),"")</f>
        <v/>
      </c>
      <c r="R41" s="179" t="str">
        <f ca="1">_xlfn.IFNA(INDEX('Calculated Fields'!$C:$DG,MATCH(Agent_wise!R$5,'Calculated Fields'!$B:$B,0),MATCH(Agent_wise!$A41,'Calculated Fields'!$C$2:$DG$2,0)),"")</f>
        <v/>
      </c>
      <c r="S41" s="179" t="str">
        <f ca="1">_xlfn.IFNA(INDEX('Calculated Fields'!$C:$DG,MATCH(Agent_wise!S$5,'Calculated Fields'!$B:$B,0),MATCH(Agent_wise!$A41,'Calculated Fields'!$C$2:$DG$2,0)),"")</f>
        <v/>
      </c>
      <c r="T41" s="179" t="str">
        <f ca="1">_xlfn.IFNA(INDEX('Calculated Fields'!$C:$DG,MATCH(Agent_wise!T$5,'Calculated Fields'!$B:$B,0),MATCH(Agent_wise!$A41,'Calculated Fields'!$C$2:$DG$2,0)),"")</f>
        <v/>
      </c>
      <c r="U41" s="179" t="str">
        <f ca="1">_xlfn.IFNA(INDEX('Calculated Fields'!$C:$DG,MATCH(Agent_wise!U$5,'Calculated Fields'!$B:$B,0),MATCH(Agent_wise!$A41,'Calculated Fields'!$C$2:$DG$2,0)),"")</f>
        <v/>
      </c>
      <c r="V41" s="179" t="str">
        <f ca="1">_xlfn.IFNA(INDEX('Calculated Fields'!$C:$DG,MATCH(Agent_wise!V$5,'Calculated Fields'!$B:$B,0),MATCH(Agent_wise!$A41,'Calculated Fields'!$C$2:$DG$2,0)),"")</f>
        <v/>
      </c>
      <c r="W41" s="179" t="str">
        <f ca="1">_xlfn.IFNA(INDEX('Calculated Fields'!$C:$DG,MATCH(Agent_wise!W$5,'Calculated Fields'!$B:$B,0),MATCH(Agent_wise!$A41,'Calculated Fields'!$C$2:$DG$2,0)),"")</f>
        <v/>
      </c>
      <c r="X41" s="179" t="str">
        <f ca="1">_xlfn.IFNA(INDEX('Calculated Fields'!$C:$DG,MATCH(Agent_wise!X$5,'Calculated Fields'!$B:$B,0),MATCH(Agent_wise!$A41,'Calculated Fields'!$C$2:$DG$2,0)),"")</f>
        <v/>
      </c>
      <c r="Y41" s="179" t="str">
        <f ca="1">_xlfn.IFNA(INDEX('Calculated Fields'!$C:$DG,MATCH(Agent_wise!Y$5,'Calculated Fields'!$B:$B,0),MATCH(Agent_wise!$A41,'Calculated Fields'!$C$2:$DG$2,0)),"")</f>
        <v/>
      </c>
      <c r="Z41" s="179" t="str">
        <f ca="1">_xlfn.IFNA(INDEX('Calculated Fields'!$C:$DG,MATCH(Agent_wise!Z$5,'Calculated Fields'!$B:$B,0),MATCH(Agent_wise!$A41,'Calculated Fields'!$C$2:$DG$2,0)),"")</f>
        <v/>
      </c>
      <c r="AA41" s="1"/>
      <c r="AB41" s="1"/>
      <c r="AC41" s="1"/>
      <c r="AD41" s="1"/>
      <c r="AE41" s="1"/>
      <c r="AF41" s="1"/>
      <c r="AG41" s="1"/>
      <c r="AH41" s="1"/>
    </row>
    <row r="42" spans="1:34" ht="14.4">
      <c r="A42" s="177" t="s">
        <v>1025</v>
      </c>
      <c r="B42" s="178">
        <f ca="1">_xlfn.IFNA(INDEX('Calculated Fields'!$C:$DG,MATCH(Agent_wise!B$5,'Calculated Fields'!$B:$B,0),MATCH(Agent_wise!$A42,'Calculated Fields'!$C$2:$DG$2,0)),"")</f>
        <v>2</v>
      </c>
      <c r="C42" s="178">
        <f ca="1">_xlfn.IFNA(INDEX('Calculated Fields'!$C:$DG,MATCH(Agent_wise!C$5,'Calculated Fields'!$B:$B,0),MATCH(Agent_wise!$A42,'Calculated Fields'!$C$2:$DG$2,0)),"")</f>
        <v>6</v>
      </c>
      <c r="D42" s="178">
        <f ca="1">_xlfn.IFNA(INDEX('Calculated Fields'!$C:$DG,MATCH(Agent_wise!D$5,'Calculated Fields'!$B:$B,0),MATCH(Agent_wise!$A42,'Calculated Fields'!$C$2:$DG$2,0)),"")</f>
        <v>4</v>
      </c>
      <c r="E42" s="178">
        <f ca="1">_xlfn.IFNA(INDEX('Calculated Fields'!$C:$DG,MATCH(Agent_wise!E$5,'Calculated Fields'!$B:$B,0),MATCH(Agent_wise!$A42,'Calculated Fields'!$C$2:$DG$2,0)),"")</f>
        <v>16</v>
      </c>
      <c r="F42" s="178">
        <f ca="1">_xlfn.IFNA(INDEX('Calculated Fields'!$C:$DG,MATCH(Agent_wise!F$5,'Calculated Fields'!$B:$B,0),MATCH(Agent_wise!$A42,'Calculated Fields'!$C$2:$DG$2,0)),"")</f>
        <v>2</v>
      </c>
      <c r="G42" s="178">
        <f ca="1">_xlfn.IFNA(INDEX('Calculated Fields'!$C:$DG,MATCH(Agent_wise!G$5,'Calculated Fields'!$B:$B,0),MATCH(Agent_wise!$A42,'Calculated Fields'!$C$2:$DG$2,0)),"")</f>
        <v>0</v>
      </c>
      <c r="H42" s="178">
        <f ca="1">_xlfn.IFNA(INDEX('Calculated Fields'!$C:$DG,MATCH(Agent_wise!H$5,'Calculated Fields'!$B:$B,0),MATCH(Agent_wise!$A42,'Calculated Fields'!$C$2:$DG$2,0)),"")</f>
        <v>5</v>
      </c>
      <c r="I42" s="178">
        <f ca="1">_xlfn.IFNA(INDEX('Calculated Fields'!$C:$DG,MATCH(Agent_wise!I$5,'Calculated Fields'!$B:$B,0),MATCH(Agent_wise!$A42,'Calculated Fields'!$C$2:$DG$2,0)),"")</f>
        <v>4</v>
      </c>
      <c r="J42" s="178">
        <f ca="1">_xlfn.IFNA(INDEX('Calculated Fields'!$C:$DG,MATCH(Agent_wise!J$5,'Calculated Fields'!$B:$B,0),MATCH(Agent_wise!$A42,'Calculated Fields'!$C$2:$DG$2,0)),"")</f>
        <v>0</v>
      </c>
      <c r="K42" s="178">
        <f ca="1">_xlfn.IFNA(INDEX('Calculated Fields'!$C:$DG,MATCH(Agent_wise!K$5,'Calculated Fields'!$B:$B,0),MATCH(Agent_wise!$A42,'Calculated Fields'!$C$2:$DG$2,0)),"")</f>
        <v>5</v>
      </c>
      <c r="L42" s="179" t="str">
        <f ca="1">_xlfn.IFNA(INDEX('Calculated Fields'!$C:$DG,MATCH(Agent_wise!L$5,'Calculated Fields'!$B:$B,0),MATCH(Agent_wise!$A42,'Calculated Fields'!$C$2:$DG$2,0)),"")</f>
        <v/>
      </c>
      <c r="M42" s="179" t="str">
        <f ca="1">_xlfn.IFNA(INDEX('Calculated Fields'!$C:$DG,MATCH(Agent_wise!M$5,'Calculated Fields'!$B:$B,0),MATCH(Agent_wise!$A42,'Calculated Fields'!$C$2:$DG$2,0)),"")</f>
        <v/>
      </c>
      <c r="N42" s="179" t="str">
        <f ca="1">_xlfn.IFNA(INDEX('Calculated Fields'!$C:$DG,MATCH(Agent_wise!N$5,'Calculated Fields'!$B:$B,0),MATCH(Agent_wise!$A42,'Calculated Fields'!$C$2:$DG$2,0)),"")</f>
        <v/>
      </c>
      <c r="O42" s="179" t="str">
        <f ca="1">_xlfn.IFNA(INDEX('Calculated Fields'!$C:$DG,MATCH(Agent_wise!O$5,'Calculated Fields'!$B:$B,0),MATCH(Agent_wise!$A42,'Calculated Fields'!$C$2:$DG$2,0)),"")</f>
        <v/>
      </c>
      <c r="P42" s="179" t="str">
        <f ca="1">_xlfn.IFNA(INDEX('Calculated Fields'!$C:$DG,MATCH(Agent_wise!P$5,'Calculated Fields'!$B:$B,0),MATCH(Agent_wise!$A42,'Calculated Fields'!$C$2:$DG$2,0)),"")</f>
        <v/>
      </c>
      <c r="Q42" s="179" t="str">
        <f ca="1">_xlfn.IFNA(INDEX('Calculated Fields'!$C:$DG,MATCH(Agent_wise!Q$5,'Calculated Fields'!$B:$B,0),MATCH(Agent_wise!$A42,'Calculated Fields'!$C$2:$DG$2,0)),"")</f>
        <v/>
      </c>
      <c r="R42" s="179" t="str">
        <f ca="1">_xlfn.IFNA(INDEX('Calculated Fields'!$C:$DG,MATCH(Agent_wise!R$5,'Calculated Fields'!$B:$B,0),MATCH(Agent_wise!$A42,'Calculated Fields'!$C$2:$DG$2,0)),"")</f>
        <v/>
      </c>
      <c r="S42" s="179" t="str">
        <f ca="1">_xlfn.IFNA(INDEX('Calculated Fields'!$C:$DG,MATCH(Agent_wise!S$5,'Calculated Fields'!$B:$B,0),MATCH(Agent_wise!$A42,'Calculated Fields'!$C$2:$DG$2,0)),"")</f>
        <v/>
      </c>
      <c r="T42" s="179" t="str">
        <f ca="1">_xlfn.IFNA(INDEX('Calculated Fields'!$C:$DG,MATCH(Agent_wise!T$5,'Calculated Fields'!$B:$B,0),MATCH(Agent_wise!$A42,'Calculated Fields'!$C$2:$DG$2,0)),"")</f>
        <v/>
      </c>
      <c r="U42" s="179" t="str">
        <f ca="1">_xlfn.IFNA(INDEX('Calculated Fields'!$C:$DG,MATCH(Agent_wise!U$5,'Calculated Fields'!$B:$B,0),MATCH(Agent_wise!$A42,'Calculated Fields'!$C$2:$DG$2,0)),"")</f>
        <v/>
      </c>
      <c r="V42" s="179" t="str">
        <f ca="1">_xlfn.IFNA(INDEX('Calculated Fields'!$C:$DG,MATCH(Agent_wise!V$5,'Calculated Fields'!$B:$B,0),MATCH(Agent_wise!$A42,'Calculated Fields'!$C$2:$DG$2,0)),"")</f>
        <v/>
      </c>
      <c r="W42" s="179" t="str">
        <f ca="1">_xlfn.IFNA(INDEX('Calculated Fields'!$C:$DG,MATCH(Agent_wise!W$5,'Calculated Fields'!$B:$B,0),MATCH(Agent_wise!$A42,'Calculated Fields'!$C$2:$DG$2,0)),"")</f>
        <v/>
      </c>
      <c r="X42" s="179" t="str">
        <f ca="1">_xlfn.IFNA(INDEX('Calculated Fields'!$C:$DG,MATCH(Agent_wise!X$5,'Calculated Fields'!$B:$B,0),MATCH(Agent_wise!$A42,'Calculated Fields'!$C$2:$DG$2,0)),"")</f>
        <v/>
      </c>
      <c r="Y42" s="179" t="str">
        <f ca="1">_xlfn.IFNA(INDEX('Calculated Fields'!$C:$DG,MATCH(Agent_wise!Y$5,'Calculated Fields'!$B:$B,0),MATCH(Agent_wise!$A42,'Calculated Fields'!$C$2:$DG$2,0)),"")</f>
        <v/>
      </c>
      <c r="Z42" s="179" t="str">
        <f ca="1">_xlfn.IFNA(INDEX('Calculated Fields'!$C:$DG,MATCH(Agent_wise!Z$5,'Calculated Fields'!$B:$B,0),MATCH(Agent_wise!$A42,'Calculated Fields'!$C$2:$DG$2,0)),"")</f>
        <v/>
      </c>
      <c r="AA42" s="1"/>
      <c r="AB42" s="1"/>
      <c r="AC42" s="1"/>
      <c r="AD42" s="1"/>
      <c r="AE42" s="1"/>
      <c r="AF42" s="1"/>
      <c r="AG42" s="1"/>
      <c r="AH42" s="1"/>
    </row>
    <row r="43" spans="1:34" ht="14.4">
      <c r="A43" s="177" t="s">
        <v>1035</v>
      </c>
      <c r="B43" s="178">
        <f ca="1">_xlfn.IFNA(INDEX('Calculated Fields'!$C:$DG,MATCH(Agent_wise!B$5,'Calculated Fields'!$B:$B,0),MATCH(Agent_wise!$A43,'Calculated Fields'!$C$2:$DG$2,0)),"")</f>
        <v>124.41666666666667</v>
      </c>
      <c r="C43" s="178">
        <f ca="1">_xlfn.IFNA(INDEX('Calculated Fields'!$C:$DG,MATCH(Agent_wise!C$5,'Calculated Fields'!$B:$B,0),MATCH(Agent_wise!$A43,'Calculated Fields'!$C$2:$DG$2,0)),"")</f>
        <v>130.57894736842104</v>
      </c>
      <c r="D43" s="178">
        <f ca="1">_xlfn.IFNA(INDEX('Calculated Fields'!$C:$DG,MATCH(Agent_wise!D$5,'Calculated Fields'!$B:$B,0),MATCH(Agent_wise!$A43,'Calculated Fields'!$C$2:$DG$2,0)),"")</f>
        <v>34.229508196721312</v>
      </c>
      <c r="E43" s="178">
        <f ca="1">_xlfn.IFNA(INDEX('Calculated Fields'!$C:$DG,MATCH(Agent_wise!E$5,'Calculated Fields'!$B:$B,0),MATCH(Agent_wise!$A43,'Calculated Fields'!$C$2:$DG$2,0)),"")</f>
        <v>10.199999999999999</v>
      </c>
      <c r="F43" s="178">
        <f ca="1">_xlfn.IFNA(INDEX('Calculated Fields'!$C:$DG,MATCH(Agent_wise!F$5,'Calculated Fields'!$B:$B,0),MATCH(Agent_wise!$A43,'Calculated Fields'!$C$2:$DG$2,0)),"")</f>
        <v>58.05</v>
      </c>
      <c r="G43" s="178">
        <f ca="1">_xlfn.IFNA(INDEX('Calculated Fields'!$C:$DG,MATCH(Agent_wise!G$5,'Calculated Fields'!$B:$B,0),MATCH(Agent_wise!$A43,'Calculated Fields'!$C$2:$DG$2,0)),"")</f>
        <v>26.928571428571427</v>
      </c>
      <c r="H43" s="178">
        <f ca="1">_xlfn.IFNA(INDEX('Calculated Fields'!$C:$DG,MATCH(Agent_wise!H$5,'Calculated Fields'!$B:$B,0),MATCH(Agent_wise!$A43,'Calculated Fields'!$C$2:$DG$2,0)),"")</f>
        <v>82.045454545454547</v>
      </c>
      <c r="I43" s="178">
        <f ca="1">_xlfn.IFNA(INDEX('Calculated Fields'!$C:$DG,MATCH(Agent_wise!I$5,'Calculated Fields'!$B:$B,0),MATCH(Agent_wise!$A43,'Calculated Fields'!$C$2:$DG$2,0)),"")</f>
        <v>17.64516129032258</v>
      </c>
      <c r="J43" s="178">
        <f ca="1">_xlfn.IFNA(INDEX('Calculated Fields'!$C:$DG,MATCH(Agent_wise!J$5,'Calculated Fields'!$B:$B,0),MATCH(Agent_wise!$A43,'Calculated Fields'!$C$2:$DG$2,0)),"")</f>
        <v>122.42857142857143</v>
      </c>
      <c r="K43" s="178">
        <f ca="1">_xlfn.IFNA(INDEX('Calculated Fields'!$C:$DG,MATCH(Agent_wise!K$5,'Calculated Fields'!$B:$B,0),MATCH(Agent_wise!$A43,'Calculated Fields'!$C$2:$DG$2,0)),"")</f>
        <v>103.13793103448276</v>
      </c>
      <c r="L43" s="179" t="str">
        <f ca="1">_xlfn.IFNA(INDEX('Calculated Fields'!$C:$DG,MATCH(Agent_wise!L$5,'Calculated Fields'!$B:$B,0),MATCH(Agent_wise!$A43,'Calculated Fields'!$C$2:$DG$2,0)),"")</f>
        <v/>
      </c>
      <c r="M43" s="179" t="str">
        <f ca="1">_xlfn.IFNA(INDEX('Calculated Fields'!$C:$DG,MATCH(Agent_wise!M$5,'Calculated Fields'!$B:$B,0),MATCH(Agent_wise!$A43,'Calculated Fields'!$C$2:$DG$2,0)),"")</f>
        <v/>
      </c>
      <c r="N43" s="179" t="str">
        <f ca="1">_xlfn.IFNA(INDEX('Calculated Fields'!$C:$DG,MATCH(Agent_wise!N$5,'Calculated Fields'!$B:$B,0),MATCH(Agent_wise!$A43,'Calculated Fields'!$C$2:$DG$2,0)),"")</f>
        <v/>
      </c>
      <c r="O43" s="179" t="str">
        <f ca="1">_xlfn.IFNA(INDEX('Calculated Fields'!$C:$DG,MATCH(Agent_wise!O$5,'Calculated Fields'!$B:$B,0),MATCH(Agent_wise!$A43,'Calculated Fields'!$C$2:$DG$2,0)),"")</f>
        <v/>
      </c>
      <c r="P43" s="179" t="str">
        <f ca="1">_xlfn.IFNA(INDEX('Calculated Fields'!$C:$DG,MATCH(Agent_wise!P$5,'Calculated Fields'!$B:$B,0),MATCH(Agent_wise!$A43,'Calculated Fields'!$C$2:$DG$2,0)),"")</f>
        <v/>
      </c>
      <c r="Q43" s="179" t="str">
        <f ca="1">_xlfn.IFNA(INDEX('Calculated Fields'!$C:$DG,MATCH(Agent_wise!Q$5,'Calculated Fields'!$B:$B,0),MATCH(Agent_wise!$A43,'Calculated Fields'!$C$2:$DG$2,0)),"")</f>
        <v/>
      </c>
      <c r="R43" s="179" t="str">
        <f ca="1">_xlfn.IFNA(INDEX('Calculated Fields'!$C:$DG,MATCH(Agent_wise!R$5,'Calculated Fields'!$B:$B,0),MATCH(Agent_wise!$A43,'Calculated Fields'!$C$2:$DG$2,0)),"")</f>
        <v/>
      </c>
      <c r="S43" s="179" t="str">
        <f ca="1">_xlfn.IFNA(INDEX('Calculated Fields'!$C:$DG,MATCH(Agent_wise!S$5,'Calculated Fields'!$B:$B,0),MATCH(Agent_wise!$A43,'Calculated Fields'!$C$2:$DG$2,0)),"")</f>
        <v/>
      </c>
      <c r="T43" s="179" t="str">
        <f ca="1">_xlfn.IFNA(INDEX('Calculated Fields'!$C:$DG,MATCH(Agent_wise!T$5,'Calculated Fields'!$B:$B,0),MATCH(Agent_wise!$A43,'Calculated Fields'!$C$2:$DG$2,0)),"")</f>
        <v/>
      </c>
      <c r="U43" s="179" t="str">
        <f ca="1">_xlfn.IFNA(INDEX('Calculated Fields'!$C:$DG,MATCH(Agent_wise!U$5,'Calculated Fields'!$B:$B,0),MATCH(Agent_wise!$A43,'Calculated Fields'!$C$2:$DG$2,0)),"")</f>
        <v/>
      </c>
      <c r="V43" s="179" t="str">
        <f ca="1">_xlfn.IFNA(INDEX('Calculated Fields'!$C:$DG,MATCH(Agent_wise!V$5,'Calculated Fields'!$B:$B,0),MATCH(Agent_wise!$A43,'Calculated Fields'!$C$2:$DG$2,0)),"")</f>
        <v/>
      </c>
      <c r="W43" s="179" t="str">
        <f ca="1">_xlfn.IFNA(INDEX('Calculated Fields'!$C:$DG,MATCH(Agent_wise!W$5,'Calculated Fields'!$B:$B,0),MATCH(Agent_wise!$A43,'Calculated Fields'!$C$2:$DG$2,0)),"")</f>
        <v/>
      </c>
      <c r="X43" s="179" t="str">
        <f ca="1">_xlfn.IFNA(INDEX('Calculated Fields'!$C:$DG,MATCH(Agent_wise!X$5,'Calculated Fields'!$B:$B,0),MATCH(Agent_wise!$A43,'Calculated Fields'!$C$2:$DG$2,0)),"")</f>
        <v/>
      </c>
      <c r="Y43" s="179" t="str">
        <f ca="1">_xlfn.IFNA(INDEX('Calculated Fields'!$C:$DG,MATCH(Agent_wise!Y$5,'Calculated Fields'!$B:$B,0),MATCH(Agent_wise!$A43,'Calculated Fields'!$C$2:$DG$2,0)),"")</f>
        <v/>
      </c>
      <c r="Z43" s="179" t="str">
        <f ca="1">_xlfn.IFNA(INDEX('Calculated Fields'!$C:$DG,MATCH(Agent_wise!Z$5,'Calculated Fields'!$B:$B,0),MATCH(Agent_wise!$A43,'Calculated Fields'!$C$2:$DG$2,0)),"")</f>
        <v/>
      </c>
      <c r="AA43" s="1"/>
      <c r="AB43" s="1"/>
      <c r="AC43" s="1"/>
      <c r="AD43" s="1"/>
      <c r="AE43" s="1"/>
      <c r="AF43" s="1"/>
      <c r="AG43" s="1"/>
      <c r="AH43" s="1"/>
    </row>
    <row r="44" spans="1:34" ht="14.4">
      <c r="A44" s="177" t="s">
        <v>1033</v>
      </c>
      <c r="B44" s="178">
        <f ca="1">_xlfn.IFNA(INDEX('Calculated Fields'!$C:$DG,MATCH(Agent_wise!B$5,'Calculated Fields'!$B:$B,0),MATCH(Agent_wise!$A44,'Calculated Fields'!$C$2:$DG$2,0)),"")</f>
        <v>48</v>
      </c>
      <c r="C44" s="178">
        <f ca="1">_xlfn.IFNA(INDEX('Calculated Fields'!$C:$DG,MATCH(Agent_wise!C$5,'Calculated Fields'!$B:$B,0),MATCH(Agent_wise!$A44,'Calculated Fields'!$C$2:$DG$2,0)),"")</f>
        <v>57</v>
      </c>
      <c r="D44" s="178">
        <f ca="1">_xlfn.IFNA(INDEX('Calculated Fields'!$C:$DG,MATCH(Agent_wise!D$5,'Calculated Fields'!$B:$B,0),MATCH(Agent_wise!$A44,'Calculated Fields'!$C$2:$DG$2,0)),"")</f>
        <v>183</v>
      </c>
      <c r="E44" s="178">
        <f ca="1">_xlfn.IFNA(INDEX('Calculated Fields'!$C:$DG,MATCH(Agent_wise!E$5,'Calculated Fields'!$B:$B,0),MATCH(Agent_wise!$A44,'Calculated Fields'!$C$2:$DG$2,0)),"")</f>
        <v>35</v>
      </c>
      <c r="F44" s="178">
        <f ca="1">_xlfn.IFNA(INDEX('Calculated Fields'!$C:$DG,MATCH(Agent_wise!F$5,'Calculated Fields'!$B:$B,0),MATCH(Agent_wise!$A44,'Calculated Fields'!$C$2:$DG$2,0)),"")</f>
        <v>80</v>
      </c>
      <c r="G44" s="178">
        <f ca="1">_xlfn.IFNA(INDEX('Calculated Fields'!$C:$DG,MATCH(Agent_wise!G$5,'Calculated Fields'!$B:$B,0),MATCH(Agent_wise!$A44,'Calculated Fields'!$C$2:$DG$2,0)),"")</f>
        <v>14</v>
      </c>
      <c r="H44" s="178">
        <f ca="1">_xlfn.IFNA(INDEX('Calculated Fields'!$C:$DG,MATCH(Agent_wise!H$5,'Calculated Fields'!$B:$B,0),MATCH(Agent_wise!$A44,'Calculated Fields'!$C$2:$DG$2,0)),"")</f>
        <v>66</v>
      </c>
      <c r="I44" s="178">
        <f ca="1">_xlfn.IFNA(INDEX('Calculated Fields'!$C:$DG,MATCH(Agent_wise!I$5,'Calculated Fields'!$B:$B,0),MATCH(Agent_wise!$A44,'Calculated Fields'!$C$2:$DG$2,0)),"")</f>
        <v>124</v>
      </c>
      <c r="J44" s="178">
        <f ca="1">_xlfn.IFNA(INDEX('Calculated Fields'!$C:$DG,MATCH(Agent_wise!J$5,'Calculated Fields'!$B:$B,0),MATCH(Agent_wise!$A44,'Calculated Fields'!$C$2:$DG$2,0)),"")</f>
        <v>14</v>
      </c>
      <c r="K44" s="178">
        <f ca="1">_xlfn.IFNA(INDEX('Calculated Fields'!$C:$DG,MATCH(Agent_wise!K$5,'Calculated Fields'!$B:$B,0),MATCH(Agent_wise!$A44,'Calculated Fields'!$C$2:$DG$2,0)),"")</f>
        <v>58</v>
      </c>
      <c r="L44" s="179" t="str">
        <f ca="1">_xlfn.IFNA(INDEX('Calculated Fields'!$C:$DG,MATCH(Agent_wise!L$5,'Calculated Fields'!$B:$B,0),MATCH(Agent_wise!$A44,'Calculated Fields'!$C$2:$DG$2,0)),"")</f>
        <v/>
      </c>
      <c r="M44" s="179" t="str">
        <f ca="1">_xlfn.IFNA(INDEX('Calculated Fields'!$C:$DG,MATCH(Agent_wise!M$5,'Calculated Fields'!$B:$B,0),MATCH(Agent_wise!$A44,'Calculated Fields'!$C$2:$DG$2,0)),"")</f>
        <v/>
      </c>
      <c r="N44" s="179" t="str">
        <f ca="1">_xlfn.IFNA(INDEX('Calculated Fields'!$C:$DG,MATCH(Agent_wise!N$5,'Calculated Fields'!$B:$B,0),MATCH(Agent_wise!$A44,'Calculated Fields'!$C$2:$DG$2,0)),"")</f>
        <v/>
      </c>
      <c r="O44" s="179" t="str">
        <f ca="1">_xlfn.IFNA(INDEX('Calculated Fields'!$C:$DG,MATCH(Agent_wise!O$5,'Calculated Fields'!$B:$B,0),MATCH(Agent_wise!$A44,'Calculated Fields'!$C$2:$DG$2,0)),"")</f>
        <v/>
      </c>
      <c r="P44" s="179" t="str">
        <f ca="1">_xlfn.IFNA(INDEX('Calculated Fields'!$C:$DG,MATCH(Agent_wise!P$5,'Calculated Fields'!$B:$B,0),MATCH(Agent_wise!$A44,'Calculated Fields'!$C$2:$DG$2,0)),"")</f>
        <v/>
      </c>
      <c r="Q44" s="179" t="str">
        <f ca="1">_xlfn.IFNA(INDEX('Calculated Fields'!$C:$DG,MATCH(Agent_wise!Q$5,'Calculated Fields'!$B:$B,0),MATCH(Agent_wise!$A44,'Calculated Fields'!$C$2:$DG$2,0)),"")</f>
        <v/>
      </c>
      <c r="R44" s="179" t="str">
        <f ca="1">_xlfn.IFNA(INDEX('Calculated Fields'!$C:$DG,MATCH(Agent_wise!R$5,'Calculated Fields'!$B:$B,0),MATCH(Agent_wise!$A44,'Calculated Fields'!$C$2:$DG$2,0)),"")</f>
        <v/>
      </c>
      <c r="S44" s="179" t="str">
        <f ca="1">_xlfn.IFNA(INDEX('Calculated Fields'!$C:$DG,MATCH(Agent_wise!S$5,'Calculated Fields'!$B:$B,0),MATCH(Agent_wise!$A44,'Calculated Fields'!$C$2:$DG$2,0)),"")</f>
        <v/>
      </c>
      <c r="T44" s="179" t="str">
        <f ca="1">_xlfn.IFNA(INDEX('Calculated Fields'!$C:$DG,MATCH(Agent_wise!T$5,'Calculated Fields'!$B:$B,0),MATCH(Agent_wise!$A44,'Calculated Fields'!$C$2:$DG$2,0)),"")</f>
        <v/>
      </c>
      <c r="U44" s="179" t="str">
        <f ca="1">_xlfn.IFNA(INDEX('Calculated Fields'!$C:$DG,MATCH(Agent_wise!U$5,'Calculated Fields'!$B:$B,0),MATCH(Agent_wise!$A44,'Calculated Fields'!$C$2:$DG$2,0)),"")</f>
        <v/>
      </c>
      <c r="V44" s="179" t="str">
        <f ca="1">_xlfn.IFNA(INDEX('Calculated Fields'!$C:$DG,MATCH(Agent_wise!V$5,'Calculated Fields'!$B:$B,0),MATCH(Agent_wise!$A44,'Calculated Fields'!$C$2:$DG$2,0)),"")</f>
        <v/>
      </c>
      <c r="W44" s="179" t="str">
        <f ca="1">_xlfn.IFNA(INDEX('Calculated Fields'!$C:$DG,MATCH(Agent_wise!W$5,'Calculated Fields'!$B:$B,0),MATCH(Agent_wise!$A44,'Calculated Fields'!$C$2:$DG$2,0)),"")</f>
        <v/>
      </c>
      <c r="X44" s="179" t="str">
        <f ca="1">_xlfn.IFNA(INDEX('Calculated Fields'!$C:$DG,MATCH(Agent_wise!X$5,'Calculated Fields'!$B:$B,0),MATCH(Agent_wise!$A44,'Calculated Fields'!$C$2:$DG$2,0)),"")</f>
        <v/>
      </c>
      <c r="Y44" s="179" t="str">
        <f ca="1">_xlfn.IFNA(INDEX('Calculated Fields'!$C:$DG,MATCH(Agent_wise!Y$5,'Calculated Fields'!$B:$B,0),MATCH(Agent_wise!$A44,'Calculated Fields'!$C$2:$DG$2,0)),"")</f>
        <v/>
      </c>
      <c r="Z44" s="179" t="str">
        <f ca="1">_xlfn.IFNA(INDEX('Calculated Fields'!$C:$DG,MATCH(Agent_wise!Z$5,'Calculated Fields'!$B:$B,0),MATCH(Agent_wise!$A44,'Calculated Fields'!$C$2:$DG$2,0)),"")</f>
        <v/>
      </c>
      <c r="AA44" s="1"/>
      <c r="AB44" s="1"/>
      <c r="AC44" s="1"/>
      <c r="AD44" s="1"/>
      <c r="AE44" s="1"/>
      <c r="AF44" s="1"/>
      <c r="AG44" s="1"/>
      <c r="AH44" s="1"/>
    </row>
    <row r="45" spans="1:34" ht="14.4">
      <c r="A45" s="177" t="s">
        <v>1032</v>
      </c>
      <c r="B45" s="178">
        <f ca="1">_xlfn.IFNA(INDEX('Calculated Fields'!$C:$DG,MATCH(Agent_wise!B$5,'Calculated Fields'!$B:$B,0),MATCH(Agent_wise!$A45,'Calculated Fields'!$C$2:$DG$2,0)),"")</f>
        <v>0</v>
      </c>
      <c r="C45" s="178">
        <f ca="1">_xlfn.IFNA(INDEX('Calculated Fields'!$C:$DG,MATCH(Agent_wise!C$5,'Calculated Fields'!$B:$B,0),MATCH(Agent_wise!$A45,'Calculated Fields'!$C$2:$DG$2,0)),"")</f>
        <v>5</v>
      </c>
      <c r="D45" s="178">
        <f ca="1">_xlfn.IFNA(INDEX('Calculated Fields'!$C:$DG,MATCH(Agent_wise!D$5,'Calculated Fields'!$B:$B,0),MATCH(Agent_wise!$A45,'Calculated Fields'!$C$2:$DG$2,0)),"")</f>
        <v>0</v>
      </c>
      <c r="E45" s="178">
        <f ca="1">_xlfn.IFNA(INDEX('Calculated Fields'!$C:$DG,MATCH(Agent_wise!E$5,'Calculated Fields'!$B:$B,0),MATCH(Agent_wise!$A45,'Calculated Fields'!$C$2:$DG$2,0)),"")</f>
        <v>10</v>
      </c>
      <c r="F45" s="178">
        <f ca="1">_xlfn.IFNA(INDEX('Calculated Fields'!$C:$DG,MATCH(Agent_wise!F$5,'Calculated Fields'!$B:$B,0),MATCH(Agent_wise!$A45,'Calculated Fields'!$C$2:$DG$2,0)),"")</f>
        <v>0</v>
      </c>
      <c r="G45" s="178">
        <f ca="1">_xlfn.IFNA(INDEX('Calculated Fields'!$C:$DG,MATCH(Agent_wise!G$5,'Calculated Fields'!$B:$B,0),MATCH(Agent_wise!$A45,'Calculated Fields'!$C$2:$DG$2,0)),"")</f>
        <v>14</v>
      </c>
      <c r="H45" s="178">
        <f ca="1">_xlfn.IFNA(INDEX('Calculated Fields'!$C:$DG,MATCH(Agent_wise!H$5,'Calculated Fields'!$B:$B,0),MATCH(Agent_wise!$A45,'Calculated Fields'!$C$2:$DG$2,0)),"")</f>
        <v>0</v>
      </c>
      <c r="I45" s="178">
        <f ca="1">_xlfn.IFNA(INDEX('Calculated Fields'!$C:$DG,MATCH(Agent_wise!I$5,'Calculated Fields'!$B:$B,0),MATCH(Agent_wise!$A45,'Calculated Fields'!$C$2:$DG$2,0)),"")</f>
        <v>8</v>
      </c>
      <c r="J45" s="178">
        <f ca="1">_xlfn.IFNA(INDEX('Calculated Fields'!$C:$DG,MATCH(Agent_wise!J$5,'Calculated Fields'!$B:$B,0),MATCH(Agent_wise!$A45,'Calculated Fields'!$C$2:$DG$2,0)),"")</f>
        <v>0</v>
      </c>
      <c r="K45" s="178">
        <f ca="1">_xlfn.IFNA(INDEX('Calculated Fields'!$C:$DG,MATCH(Agent_wise!K$5,'Calculated Fields'!$B:$B,0),MATCH(Agent_wise!$A45,'Calculated Fields'!$C$2:$DG$2,0)),"")</f>
        <v>0</v>
      </c>
      <c r="L45" s="179" t="str">
        <f ca="1">_xlfn.IFNA(INDEX('Calculated Fields'!$C:$DG,MATCH(Agent_wise!L$5,'Calculated Fields'!$B:$B,0),MATCH(Agent_wise!$A45,'Calculated Fields'!$C$2:$DG$2,0)),"")</f>
        <v/>
      </c>
      <c r="M45" s="179" t="str">
        <f ca="1">_xlfn.IFNA(INDEX('Calculated Fields'!$C:$DG,MATCH(Agent_wise!M$5,'Calculated Fields'!$B:$B,0),MATCH(Agent_wise!$A45,'Calculated Fields'!$C$2:$DG$2,0)),"")</f>
        <v/>
      </c>
      <c r="N45" s="179" t="str">
        <f ca="1">_xlfn.IFNA(INDEX('Calculated Fields'!$C:$DG,MATCH(Agent_wise!N$5,'Calculated Fields'!$B:$B,0),MATCH(Agent_wise!$A45,'Calculated Fields'!$C$2:$DG$2,0)),"")</f>
        <v/>
      </c>
      <c r="O45" s="179" t="str">
        <f ca="1">_xlfn.IFNA(INDEX('Calculated Fields'!$C:$DG,MATCH(Agent_wise!O$5,'Calculated Fields'!$B:$B,0),MATCH(Agent_wise!$A45,'Calculated Fields'!$C$2:$DG$2,0)),"")</f>
        <v/>
      </c>
      <c r="P45" s="179" t="str">
        <f ca="1">_xlfn.IFNA(INDEX('Calculated Fields'!$C:$DG,MATCH(Agent_wise!P$5,'Calculated Fields'!$B:$B,0),MATCH(Agent_wise!$A45,'Calculated Fields'!$C$2:$DG$2,0)),"")</f>
        <v/>
      </c>
      <c r="Q45" s="179" t="str">
        <f ca="1">_xlfn.IFNA(INDEX('Calculated Fields'!$C:$DG,MATCH(Agent_wise!Q$5,'Calculated Fields'!$B:$B,0),MATCH(Agent_wise!$A45,'Calculated Fields'!$C$2:$DG$2,0)),"")</f>
        <v/>
      </c>
      <c r="R45" s="179" t="str">
        <f ca="1">_xlfn.IFNA(INDEX('Calculated Fields'!$C:$DG,MATCH(Agent_wise!R$5,'Calculated Fields'!$B:$B,0),MATCH(Agent_wise!$A45,'Calculated Fields'!$C$2:$DG$2,0)),"")</f>
        <v/>
      </c>
      <c r="S45" s="179" t="str">
        <f ca="1">_xlfn.IFNA(INDEX('Calculated Fields'!$C:$DG,MATCH(Agent_wise!S$5,'Calculated Fields'!$B:$B,0),MATCH(Agent_wise!$A45,'Calculated Fields'!$C$2:$DG$2,0)),"")</f>
        <v/>
      </c>
      <c r="T45" s="179" t="str">
        <f ca="1">_xlfn.IFNA(INDEX('Calculated Fields'!$C:$DG,MATCH(Agent_wise!T$5,'Calculated Fields'!$B:$B,0),MATCH(Agent_wise!$A45,'Calculated Fields'!$C$2:$DG$2,0)),"")</f>
        <v/>
      </c>
      <c r="U45" s="179" t="str">
        <f ca="1">_xlfn.IFNA(INDEX('Calculated Fields'!$C:$DG,MATCH(Agent_wise!U$5,'Calculated Fields'!$B:$B,0),MATCH(Agent_wise!$A45,'Calculated Fields'!$C$2:$DG$2,0)),"")</f>
        <v/>
      </c>
      <c r="V45" s="179" t="str">
        <f ca="1">_xlfn.IFNA(INDEX('Calculated Fields'!$C:$DG,MATCH(Agent_wise!V$5,'Calculated Fields'!$B:$B,0),MATCH(Agent_wise!$A45,'Calculated Fields'!$C$2:$DG$2,0)),"")</f>
        <v/>
      </c>
      <c r="W45" s="179" t="str">
        <f ca="1">_xlfn.IFNA(INDEX('Calculated Fields'!$C:$DG,MATCH(Agent_wise!W$5,'Calculated Fields'!$B:$B,0),MATCH(Agent_wise!$A45,'Calculated Fields'!$C$2:$DG$2,0)),"")</f>
        <v/>
      </c>
      <c r="X45" s="179" t="str">
        <f ca="1">_xlfn.IFNA(INDEX('Calculated Fields'!$C:$DG,MATCH(Agent_wise!X$5,'Calculated Fields'!$B:$B,0),MATCH(Agent_wise!$A45,'Calculated Fields'!$C$2:$DG$2,0)),"")</f>
        <v/>
      </c>
      <c r="Y45" s="179" t="str">
        <f ca="1">_xlfn.IFNA(INDEX('Calculated Fields'!$C:$DG,MATCH(Agent_wise!Y$5,'Calculated Fields'!$B:$B,0),MATCH(Agent_wise!$A45,'Calculated Fields'!$C$2:$DG$2,0)),"")</f>
        <v/>
      </c>
      <c r="Z45" s="179" t="str">
        <f ca="1">_xlfn.IFNA(INDEX('Calculated Fields'!$C:$DG,MATCH(Agent_wise!Z$5,'Calculated Fields'!$B:$B,0),MATCH(Agent_wise!$A45,'Calculated Fields'!$C$2:$DG$2,0)),"")</f>
        <v/>
      </c>
      <c r="AA45" s="1"/>
      <c r="AB45" s="1"/>
      <c r="AC45" s="1"/>
      <c r="AD45" s="1"/>
      <c r="AE45" s="1"/>
      <c r="AF45" s="1"/>
      <c r="AG45" s="1"/>
      <c r="AH45" s="1"/>
    </row>
    <row r="46" spans="1:34" ht="14.4">
      <c r="A46" s="177" t="s">
        <v>1041</v>
      </c>
      <c r="B46" s="178">
        <f ca="1">_xlfn.IFNA(INDEX('Calculated Fields'!$C:$DG,MATCH(Agent_wise!B$5,'Calculated Fields'!$B:$B,0),MATCH(Agent_wise!$A46,'Calculated Fields'!$C$2:$DG$2,0)),"")</f>
        <v>0</v>
      </c>
      <c r="C46" s="178">
        <f ca="1">_xlfn.IFNA(INDEX('Calculated Fields'!$C:$DG,MATCH(Agent_wise!C$5,'Calculated Fields'!$B:$B,0),MATCH(Agent_wise!$A46,'Calculated Fields'!$C$2:$DG$2,0)),"")</f>
        <v>0</v>
      </c>
      <c r="D46" s="178">
        <f ca="1">_xlfn.IFNA(INDEX('Calculated Fields'!$C:$DG,MATCH(Agent_wise!D$5,'Calculated Fields'!$B:$B,0),MATCH(Agent_wise!$A46,'Calculated Fields'!$C$2:$DG$2,0)),"")</f>
        <v>0.12038194444444444</v>
      </c>
      <c r="E46" s="178">
        <f ca="1">_xlfn.IFNA(INDEX('Calculated Fields'!$C:$DG,MATCH(Agent_wise!E$5,'Calculated Fields'!$B:$B,0),MATCH(Agent_wise!$A46,'Calculated Fields'!$C$2:$DG$2,0)),"")</f>
        <v>0</v>
      </c>
      <c r="F46" s="178">
        <f ca="1">_xlfn.IFNA(INDEX('Calculated Fields'!$C:$DG,MATCH(Agent_wise!F$5,'Calculated Fields'!$B:$B,0),MATCH(Agent_wise!$A46,'Calculated Fields'!$C$2:$DG$2,0)),"")</f>
        <v>0.14344907407407406</v>
      </c>
      <c r="G46" s="178">
        <f ca="1">_xlfn.IFNA(INDEX('Calculated Fields'!$C:$DG,MATCH(Agent_wise!G$5,'Calculated Fields'!$B:$B,0),MATCH(Agent_wise!$A46,'Calculated Fields'!$C$2:$DG$2,0)),"")</f>
        <v>0</v>
      </c>
      <c r="H46" s="178">
        <f ca="1">_xlfn.IFNA(INDEX('Calculated Fields'!$C:$DG,MATCH(Agent_wise!H$5,'Calculated Fields'!$B:$B,0),MATCH(Agent_wise!$A46,'Calculated Fields'!$C$2:$DG$2,0)),"")</f>
        <v>3.6342592592592594E-3</v>
      </c>
      <c r="I46" s="178">
        <f ca="1">_xlfn.IFNA(INDEX('Calculated Fields'!$C:$DG,MATCH(Agent_wise!I$5,'Calculated Fields'!$B:$B,0),MATCH(Agent_wise!$A46,'Calculated Fields'!$C$2:$DG$2,0)),"")</f>
        <v>0.10172453703703704</v>
      </c>
      <c r="J46" s="178">
        <f ca="1">_xlfn.IFNA(INDEX('Calculated Fields'!$C:$DG,MATCH(Agent_wise!J$5,'Calculated Fields'!$B:$B,0),MATCH(Agent_wise!$A46,'Calculated Fields'!$C$2:$DG$2,0)),"")</f>
        <v>1.9375E-2</v>
      </c>
      <c r="K46" s="178">
        <f ca="1">_xlfn.IFNA(INDEX('Calculated Fields'!$C:$DG,MATCH(Agent_wise!K$5,'Calculated Fields'!$B:$B,0),MATCH(Agent_wise!$A46,'Calculated Fields'!$C$2:$DG$2,0)),"")</f>
        <v>0</v>
      </c>
      <c r="L46" s="179" t="str">
        <f ca="1">_xlfn.IFNA(INDEX('Calculated Fields'!$C:$DG,MATCH(Agent_wise!L$5,'Calculated Fields'!$B:$B,0),MATCH(Agent_wise!$A46,'Calculated Fields'!$C$2:$DG$2,0)),"")</f>
        <v/>
      </c>
      <c r="M46" s="179" t="str">
        <f ca="1">_xlfn.IFNA(INDEX('Calculated Fields'!$C:$DG,MATCH(Agent_wise!M$5,'Calculated Fields'!$B:$B,0),MATCH(Agent_wise!$A46,'Calculated Fields'!$C$2:$DG$2,0)),"")</f>
        <v/>
      </c>
      <c r="N46" s="179" t="str">
        <f ca="1">_xlfn.IFNA(INDEX('Calculated Fields'!$C:$DG,MATCH(Agent_wise!N$5,'Calculated Fields'!$B:$B,0),MATCH(Agent_wise!$A46,'Calculated Fields'!$C$2:$DG$2,0)),"")</f>
        <v/>
      </c>
      <c r="O46" s="179" t="str">
        <f ca="1">_xlfn.IFNA(INDEX('Calculated Fields'!$C:$DG,MATCH(Agent_wise!O$5,'Calculated Fields'!$B:$B,0),MATCH(Agent_wise!$A46,'Calculated Fields'!$C$2:$DG$2,0)),"")</f>
        <v/>
      </c>
      <c r="P46" s="179" t="str">
        <f ca="1">_xlfn.IFNA(INDEX('Calculated Fields'!$C:$DG,MATCH(Agent_wise!P$5,'Calculated Fields'!$B:$B,0),MATCH(Agent_wise!$A46,'Calculated Fields'!$C$2:$DG$2,0)),"")</f>
        <v/>
      </c>
      <c r="Q46" s="179" t="str">
        <f ca="1">_xlfn.IFNA(INDEX('Calculated Fields'!$C:$DG,MATCH(Agent_wise!Q$5,'Calculated Fields'!$B:$B,0),MATCH(Agent_wise!$A46,'Calculated Fields'!$C$2:$DG$2,0)),"")</f>
        <v/>
      </c>
      <c r="R46" s="179" t="str">
        <f ca="1">_xlfn.IFNA(INDEX('Calculated Fields'!$C:$DG,MATCH(Agent_wise!R$5,'Calculated Fields'!$B:$B,0),MATCH(Agent_wise!$A46,'Calculated Fields'!$C$2:$DG$2,0)),"")</f>
        <v/>
      </c>
      <c r="S46" s="179" t="str">
        <f ca="1">_xlfn.IFNA(INDEX('Calculated Fields'!$C:$DG,MATCH(Agent_wise!S$5,'Calculated Fields'!$B:$B,0),MATCH(Agent_wise!$A46,'Calculated Fields'!$C$2:$DG$2,0)),"")</f>
        <v/>
      </c>
      <c r="T46" s="179" t="str">
        <f ca="1">_xlfn.IFNA(INDEX('Calculated Fields'!$C:$DG,MATCH(Agent_wise!T$5,'Calculated Fields'!$B:$B,0),MATCH(Agent_wise!$A46,'Calculated Fields'!$C$2:$DG$2,0)),"")</f>
        <v/>
      </c>
      <c r="U46" s="179" t="str">
        <f ca="1">_xlfn.IFNA(INDEX('Calculated Fields'!$C:$DG,MATCH(Agent_wise!U$5,'Calculated Fields'!$B:$B,0),MATCH(Agent_wise!$A46,'Calculated Fields'!$C$2:$DG$2,0)),"")</f>
        <v/>
      </c>
      <c r="V46" s="179" t="str">
        <f ca="1">_xlfn.IFNA(INDEX('Calculated Fields'!$C:$DG,MATCH(Agent_wise!V$5,'Calculated Fields'!$B:$B,0),MATCH(Agent_wise!$A46,'Calculated Fields'!$C$2:$DG$2,0)),"")</f>
        <v/>
      </c>
      <c r="W46" s="179" t="str">
        <f ca="1">_xlfn.IFNA(INDEX('Calculated Fields'!$C:$DG,MATCH(Agent_wise!W$5,'Calculated Fields'!$B:$B,0),MATCH(Agent_wise!$A46,'Calculated Fields'!$C$2:$DG$2,0)),"")</f>
        <v/>
      </c>
      <c r="X46" s="179" t="str">
        <f ca="1">_xlfn.IFNA(INDEX('Calculated Fields'!$C:$DG,MATCH(Agent_wise!X$5,'Calculated Fields'!$B:$B,0),MATCH(Agent_wise!$A46,'Calculated Fields'!$C$2:$DG$2,0)),"")</f>
        <v/>
      </c>
      <c r="Y46" s="179" t="str">
        <f ca="1">_xlfn.IFNA(INDEX('Calculated Fields'!$C:$DG,MATCH(Agent_wise!Y$5,'Calculated Fields'!$B:$B,0),MATCH(Agent_wise!$A46,'Calculated Fields'!$C$2:$DG$2,0)),"")</f>
        <v/>
      </c>
      <c r="Z46" s="179" t="str">
        <f ca="1">_xlfn.IFNA(INDEX('Calculated Fields'!$C:$DG,MATCH(Agent_wise!Z$5,'Calculated Fields'!$B:$B,0),MATCH(Agent_wise!$A46,'Calculated Fields'!$C$2:$DG$2,0)),"")</f>
        <v/>
      </c>
      <c r="AA46" s="1"/>
      <c r="AB46" s="1"/>
      <c r="AC46" s="1"/>
      <c r="AD46" s="1"/>
      <c r="AE46" s="1"/>
      <c r="AF46" s="1"/>
      <c r="AG46" s="1"/>
      <c r="AH46" s="1"/>
    </row>
    <row r="47" spans="1:34" ht="14.4">
      <c r="A47" s="177" t="s">
        <v>1038</v>
      </c>
      <c r="B47" s="178">
        <f ca="1">_xlfn.IFNA(INDEX('Calculated Fields'!$C:$DG,MATCH(Agent_wise!B$5,'Calculated Fields'!$B:$B,0),MATCH(Agent_wise!$A47,'Calculated Fields'!$C$2:$DG$2,0)),"")</f>
        <v>0</v>
      </c>
      <c r="C47" s="178">
        <f ca="1">_xlfn.IFNA(INDEX('Calculated Fields'!$C:$DG,MATCH(Agent_wise!C$5,'Calculated Fields'!$B:$B,0),MATCH(Agent_wise!$A47,'Calculated Fields'!$C$2:$DG$2,0)),"")</f>
        <v>0</v>
      </c>
      <c r="D47" s="178">
        <f ca="1">_xlfn.IFNA(INDEX('Calculated Fields'!$C:$DG,MATCH(Agent_wise!D$5,'Calculated Fields'!$B:$B,0),MATCH(Agent_wise!$A47,'Calculated Fields'!$C$2:$DG$2,0)),"")</f>
        <v>61</v>
      </c>
      <c r="E47" s="178">
        <f ca="1">_xlfn.IFNA(INDEX('Calculated Fields'!$C:$DG,MATCH(Agent_wise!E$5,'Calculated Fields'!$B:$B,0),MATCH(Agent_wise!$A47,'Calculated Fields'!$C$2:$DG$2,0)),"")</f>
        <v>0</v>
      </c>
      <c r="F47" s="178">
        <f ca="1">_xlfn.IFNA(INDEX('Calculated Fields'!$C:$DG,MATCH(Agent_wise!F$5,'Calculated Fields'!$B:$B,0),MATCH(Agent_wise!$A47,'Calculated Fields'!$C$2:$DG$2,0)),"")</f>
        <v>53</v>
      </c>
      <c r="G47" s="178">
        <f ca="1">_xlfn.IFNA(INDEX('Calculated Fields'!$C:$DG,MATCH(Agent_wise!G$5,'Calculated Fields'!$B:$B,0),MATCH(Agent_wise!$A47,'Calculated Fields'!$C$2:$DG$2,0)),"")</f>
        <v>0</v>
      </c>
      <c r="H47" s="178">
        <f ca="1">_xlfn.IFNA(INDEX('Calculated Fields'!$C:$DG,MATCH(Agent_wise!H$5,'Calculated Fields'!$B:$B,0),MATCH(Agent_wise!$A47,'Calculated Fields'!$C$2:$DG$2,0)),"")</f>
        <v>2</v>
      </c>
      <c r="I47" s="178">
        <f ca="1">_xlfn.IFNA(INDEX('Calculated Fields'!$C:$DG,MATCH(Agent_wise!I$5,'Calculated Fields'!$B:$B,0),MATCH(Agent_wise!$A47,'Calculated Fields'!$C$2:$DG$2,0)),"")</f>
        <v>59</v>
      </c>
      <c r="J47" s="178">
        <f ca="1">_xlfn.IFNA(INDEX('Calculated Fields'!$C:$DG,MATCH(Agent_wise!J$5,'Calculated Fields'!$B:$B,0),MATCH(Agent_wise!$A47,'Calculated Fields'!$C$2:$DG$2,0)),"")</f>
        <v>10</v>
      </c>
      <c r="K47" s="178">
        <f ca="1">_xlfn.IFNA(INDEX('Calculated Fields'!$C:$DG,MATCH(Agent_wise!K$5,'Calculated Fields'!$B:$B,0),MATCH(Agent_wise!$A47,'Calculated Fields'!$C$2:$DG$2,0)),"")</f>
        <v>0</v>
      </c>
      <c r="L47" s="179" t="str">
        <f ca="1">_xlfn.IFNA(INDEX('Calculated Fields'!$C:$DG,MATCH(Agent_wise!L$5,'Calculated Fields'!$B:$B,0),MATCH(Agent_wise!$A47,'Calculated Fields'!$C$2:$DG$2,0)),"")</f>
        <v/>
      </c>
      <c r="M47" s="179" t="str">
        <f ca="1">_xlfn.IFNA(INDEX('Calculated Fields'!$C:$DG,MATCH(Agent_wise!M$5,'Calculated Fields'!$B:$B,0),MATCH(Agent_wise!$A47,'Calculated Fields'!$C$2:$DG$2,0)),"")</f>
        <v/>
      </c>
      <c r="N47" s="179" t="str">
        <f ca="1">_xlfn.IFNA(INDEX('Calculated Fields'!$C:$DG,MATCH(Agent_wise!N$5,'Calculated Fields'!$B:$B,0),MATCH(Agent_wise!$A47,'Calculated Fields'!$C$2:$DG$2,0)),"")</f>
        <v/>
      </c>
      <c r="O47" s="179" t="str">
        <f ca="1">_xlfn.IFNA(INDEX('Calculated Fields'!$C:$DG,MATCH(Agent_wise!O$5,'Calculated Fields'!$B:$B,0),MATCH(Agent_wise!$A47,'Calculated Fields'!$C$2:$DG$2,0)),"")</f>
        <v/>
      </c>
      <c r="P47" s="179" t="str">
        <f ca="1">_xlfn.IFNA(INDEX('Calculated Fields'!$C:$DG,MATCH(Agent_wise!P$5,'Calculated Fields'!$B:$B,0),MATCH(Agent_wise!$A47,'Calculated Fields'!$C$2:$DG$2,0)),"")</f>
        <v/>
      </c>
      <c r="Q47" s="179" t="str">
        <f ca="1">_xlfn.IFNA(INDEX('Calculated Fields'!$C:$DG,MATCH(Agent_wise!Q$5,'Calculated Fields'!$B:$B,0),MATCH(Agent_wise!$A47,'Calculated Fields'!$C$2:$DG$2,0)),"")</f>
        <v/>
      </c>
      <c r="R47" s="179" t="str">
        <f ca="1">_xlfn.IFNA(INDEX('Calculated Fields'!$C:$DG,MATCH(Agent_wise!R$5,'Calculated Fields'!$B:$B,0),MATCH(Agent_wise!$A47,'Calculated Fields'!$C$2:$DG$2,0)),"")</f>
        <v/>
      </c>
      <c r="S47" s="179" t="str">
        <f ca="1">_xlfn.IFNA(INDEX('Calculated Fields'!$C:$DG,MATCH(Agent_wise!S$5,'Calculated Fields'!$B:$B,0),MATCH(Agent_wise!$A47,'Calculated Fields'!$C$2:$DG$2,0)),"")</f>
        <v/>
      </c>
      <c r="T47" s="179" t="str">
        <f ca="1">_xlfn.IFNA(INDEX('Calculated Fields'!$C:$DG,MATCH(Agent_wise!T$5,'Calculated Fields'!$B:$B,0),MATCH(Agent_wise!$A47,'Calculated Fields'!$C$2:$DG$2,0)),"")</f>
        <v/>
      </c>
      <c r="U47" s="179" t="str">
        <f ca="1">_xlfn.IFNA(INDEX('Calculated Fields'!$C:$DG,MATCH(Agent_wise!U$5,'Calculated Fields'!$B:$B,0),MATCH(Agent_wise!$A47,'Calculated Fields'!$C$2:$DG$2,0)),"")</f>
        <v/>
      </c>
      <c r="V47" s="179" t="str">
        <f ca="1">_xlfn.IFNA(INDEX('Calculated Fields'!$C:$DG,MATCH(Agent_wise!V$5,'Calculated Fields'!$B:$B,0),MATCH(Agent_wise!$A47,'Calculated Fields'!$C$2:$DG$2,0)),"")</f>
        <v/>
      </c>
      <c r="W47" s="179" t="str">
        <f ca="1">_xlfn.IFNA(INDEX('Calculated Fields'!$C:$DG,MATCH(Agent_wise!W$5,'Calculated Fields'!$B:$B,0),MATCH(Agent_wise!$A47,'Calculated Fields'!$C$2:$DG$2,0)),"")</f>
        <v/>
      </c>
      <c r="X47" s="179" t="str">
        <f ca="1">_xlfn.IFNA(INDEX('Calculated Fields'!$C:$DG,MATCH(Agent_wise!X$5,'Calculated Fields'!$B:$B,0),MATCH(Agent_wise!$A47,'Calculated Fields'!$C$2:$DG$2,0)),"")</f>
        <v/>
      </c>
      <c r="Y47" s="179" t="str">
        <f ca="1">_xlfn.IFNA(INDEX('Calculated Fields'!$C:$DG,MATCH(Agent_wise!Y$5,'Calculated Fields'!$B:$B,0),MATCH(Agent_wise!$A47,'Calculated Fields'!$C$2:$DG$2,0)),"")</f>
        <v/>
      </c>
      <c r="Z47" s="179" t="str">
        <f ca="1">_xlfn.IFNA(INDEX('Calculated Fields'!$C:$DG,MATCH(Agent_wise!Z$5,'Calculated Fields'!$B:$B,0),MATCH(Agent_wise!$A47,'Calculated Fields'!$C$2:$DG$2,0)),"")</f>
        <v/>
      </c>
      <c r="AA47" s="1"/>
      <c r="AB47" s="1"/>
      <c r="AC47" s="1"/>
      <c r="AD47" s="1"/>
      <c r="AE47" s="1"/>
      <c r="AF47" s="1"/>
      <c r="AG47" s="1"/>
      <c r="AH47" s="1"/>
    </row>
    <row r="48" spans="1:34" ht="14.4">
      <c r="A48" s="177" t="s">
        <v>1043</v>
      </c>
      <c r="B48" s="178">
        <f ca="1">_xlfn.IFNA(INDEX('Calculated Fields'!$C:$DG,MATCH(Agent_wise!B$5,'Calculated Fields'!$B:$B,0),MATCH(Agent_wise!$A48,'Calculated Fields'!$C$2:$DG$2,0)),"")</f>
        <v>38</v>
      </c>
      <c r="C48" s="178">
        <f ca="1">_xlfn.IFNA(INDEX('Calculated Fields'!$C:$DG,MATCH(Agent_wise!C$5,'Calculated Fields'!$B:$B,0),MATCH(Agent_wise!$A48,'Calculated Fields'!$C$2:$DG$2,0)),"")</f>
        <v>50</v>
      </c>
      <c r="D48" s="178">
        <f ca="1">_xlfn.IFNA(INDEX('Calculated Fields'!$C:$DG,MATCH(Agent_wise!D$5,'Calculated Fields'!$B:$B,0),MATCH(Agent_wise!$A48,'Calculated Fields'!$C$2:$DG$2,0)),"")</f>
        <v>118</v>
      </c>
      <c r="E48" s="178">
        <f ca="1">_xlfn.IFNA(INDEX('Calculated Fields'!$C:$DG,MATCH(Agent_wise!E$5,'Calculated Fields'!$B:$B,0),MATCH(Agent_wise!$A48,'Calculated Fields'!$C$2:$DG$2,0)),"")</f>
        <v>34</v>
      </c>
      <c r="F48" s="178">
        <f ca="1">_xlfn.IFNA(INDEX('Calculated Fields'!$C:$DG,MATCH(Agent_wise!F$5,'Calculated Fields'!$B:$B,0),MATCH(Agent_wise!$A48,'Calculated Fields'!$C$2:$DG$2,0)),"")</f>
        <v>65</v>
      </c>
      <c r="G48" s="178">
        <f ca="1">_xlfn.IFNA(INDEX('Calculated Fields'!$C:$DG,MATCH(Agent_wise!G$5,'Calculated Fields'!$B:$B,0),MATCH(Agent_wise!$A48,'Calculated Fields'!$C$2:$DG$2,0)),"")</f>
        <v>24</v>
      </c>
      <c r="H48" s="178">
        <f ca="1">_xlfn.IFNA(INDEX('Calculated Fields'!$C:$DG,MATCH(Agent_wise!H$5,'Calculated Fields'!$B:$B,0),MATCH(Agent_wise!$A48,'Calculated Fields'!$C$2:$DG$2,0)),"")</f>
        <v>47</v>
      </c>
      <c r="I48" s="178">
        <f ca="1">_xlfn.IFNA(INDEX('Calculated Fields'!$C:$DG,MATCH(Agent_wise!I$5,'Calculated Fields'!$B:$B,0),MATCH(Agent_wise!$A48,'Calculated Fields'!$C$2:$DG$2,0)),"")</f>
        <v>87</v>
      </c>
      <c r="J48" s="178">
        <f ca="1">_xlfn.IFNA(INDEX('Calculated Fields'!$C:$DG,MATCH(Agent_wise!J$5,'Calculated Fields'!$B:$B,0),MATCH(Agent_wise!$A48,'Calculated Fields'!$C$2:$DG$2,0)),"")</f>
        <v>50</v>
      </c>
      <c r="K48" s="178">
        <f ca="1">_xlfn.IFNA(INDEX('Calculated Fields'!$C:$DG,MATCH(Agent_wise!K$5,'Calculated Fields'!$B:$B,0),MATCH(Agent_wise!$A48,'Calculated Fields'!$C$2:$DG$2,0)),"")</f>
        <v>40</v>
      </c>
      <c r="L48" s="179" t="str">
        <f ca="1">_xlfn.IFNA(INDEX('Calculated Fields'!$C:$DG,MATCH(Agent_wise!L$5,'Calculated Fields'!$B:$B,0),MATCH(Agent_wise!$A48,'Calculated Fields'!$C$2:$DG$2,0)),"")</f>
        <v/>
      </c>
      <c r="M48" s="179" t="str">
        <f ca="1">_xlfn.IFNA(INDEX('Calculated Fields'!$C:$DG,MATCH(Agent_wise!M$5,'Calculated Fields'!$B:$B,0),MATCH(Agent_wise!$A48,'Calculated Fields'!$C$2:$DG$2,0)),"")</f>
        <v/>
      </c>
      <c r="N48" s="179" t="str">
        <f ca="1">_xlfn.IFNA(INDEX('Calculated Fields'!$C:$DG,MATCH(Agent_wise!N$5,'Calculated Fields'!$B:$B,0),MATCH(Agent_wise!$A48,'Calculated Fields'!$C$2:$DG$2,0)),"")</f>
        <v/>
      </c>
      <c r="O48" s="179" t="str">
        <f ca="1">_xlfn.IFNA(INDEX('Calculated Fields'!$C:$DG,MATCH(Agent_wise!O$5,'Calculated Fields'!$B:$B,0),MATCH(Agent_wise!$A48,'Calculated Fields'!$C$2:$DG$2,0)),"")</f>
        <v/>
      </c>
      <c r="P48" s="179" t="str">
        <f ca="1">_xlfn.IFNA(INDEX('Calculated Fields'!$C:$DG,MATCH(Agent_wise!P$5,'Calculated Fields'!$B:$B,0),MATCH(Agent_wise!$A48,'Calculated Fields'!$C$2:$DG$2,0)),"")</f>
        <v/>
      </c>
      <c r="Q48" s="179" t="str">
        <f ca="1">_xlfn.IFNA(INDEX('Calculated Fields'!$C:$DG,MATCH(Agent_wise!Q$5,'Calculated Fields'!$B:$B,0),MATCH(Agent_wise!$A48,'Calculated Fields'!$C$2:$DG$2,0)),"")</f>
        <v/>
      </c>
      <c r="R48" s="179" t="str">
        <f ca="1">_xlfn.IFNA(INDEX('Calculated Fields'!$C:$DG,MATCH(Agent_wise!R$5,'Calculated Fields'!$B:$B,0),MATCH(Agent_wise!$A48,'Calculated Fields'!$C$2:$DG$2,0)),"")</f>
        <v/>
      </c>
      <c r="S48" s="179" t="str">
        <f ca="1">_xlfn.IFNA(INDEX('Calculated Fields'!$C:$DG,MATCH(Agent_wise!S$5,'Calculated Fields'!$B:$B,0),MATCH(Agent_wise!$A48,'Calculated Fields'!$C$2:$DG$2,0)),"")</f>
        <v/>
      </c>
      <c r="T48" s="179" t="str">
        <f ca="1">_xlfn.IFNA(INDEX('Calculated Fields'!$C:$DG,MATCH(Agent_wise!T$5,'Calculated Fields'!$B:$B,0),MATCH(Agent_wise!$A48,'Calculated Fields'!$C$2:$DG$2,0)),"")</f>
        <v/>
      </c>
      <c r="U48" s="179" t="str">
        <f ca="1">_xlfn.IFNA(INDEX('Calculated Fields'!$C:$DG,MATCH(Agent_wise!U$5,'Calculated Fields'!$B:$B,0),MATCH(Agent_wise!$A48,'Calculated Fields'!$C$2:$DG$2,0)),"")</f>
        <v/>
      </c>
      <c r="V48" s="179" t="str">
        <f ca="1">_xlfn.IFNA(INDEX('Calculated Fields'!$C:$DG,MATCH(Agent_wise!V$5,'Calculated Fields'!$B:$B,0),MATCH(Agent_wise!$A48,'Calculated Fields'!$C$2:$DG$2,0)),"")</f>
        <v/>
      </c>
      <c r="W48" s="179" t="str">
        <f ca="1">_xlfn.IFNA(INDEX('Calculated Fields'!$C:$DG,MATCH(Agent_wise!W$5,'Calculated Fields'!$B:$B,0),MATCH(Agent_wise!$A48,'Calculated Fields'!$C$2:$DG$2,0)),"")</f>
        <v/>
      </c>
      <c r="X48" s="179" t="str">
        <f ca="1">_xlfn.IFNA(INDEX('Calculated Fields'!$C:$DG,MATCH(Agent_wise!X$5,'Calculated Fields'!$B:$B,0),MATCH(Agent_wise!$A48,'Calculated Fields'!$C$2:$DG$2,0)),"")</f>
        <v/>
      </c>
      <c r="Y48" s="179" t="str">
        <f ca="1">_xlfn.IFNA(INDEX('Calculated Fields'!$C:$DG,MATCH(Agent_wise!Y$5,'Calculated Fields'!$B:$B,0),MATCH(Agent_wise!$A48,'Calculated Fields'!$C$2:$DG$2,0)),"")</f>
        <v/>
      </c>
      <c r="Z48" s="179" t="str">
        <f ca="1">_xlfn.IFNA(INDEX('Calculated Fields'!$C:$DG,MATCH(Agent_wise!Z$5,'Calculated Fields'!$B:$B,0),MATCH(Agent_wise!$A48,'Calculated Fields'!$C$2:$DG$2,0)),"")</f>
        <v/>
      </c>
      <c r="AA48" s="1"/>
      <c r="AB48" s="1"/>
      <c r="AC48" s="1"/>
      <c r="AD48" s="1"/>
      <c r="AE48" s="1"/>
      <c r="AF48" s="1"/>
      <c r="AG48" s="1"/>
      <c r="AH48" s="1"/>
    </row>
    <row r="49" spans="1:34" ht="14.4">
      <c r="A49" s="177" t="s">
        <v>1044</v>
      </c>
      <c r="B49" s="178">
        <f ca="1">_xlfn.IFNA(INDEX('Calculated Fields'!$C:$DG,MATCH(Agent_wise!B$5,'Calculated Fields'!$B:$B,0),MATCH(Agent_wise!$A49,'Calculated Fields'!$C$2:$DG$2,0)),"")</f>
        <v>13</v>
      </c>
      <c r="C49" s="178">
        <f ca="1">_xlfn.IFNA(INDEX('Calculated Fields'!$C:$DG,MATCH(Agent_wise!C$5,'Calculated Fields'!$B:$B,0),MATCH(Agent_wise!$A49,'Calculated Fields'!$C$2:$DG$2,0)),"")</f>
        <v>15</v>
      </c>
      <c r="D49" s="178">
        <f ca="1">_xlfn.IFNA(INDEX('Calculated Fields'!$C:$DG,MATCH(Agent_wise!D$5,'Calculated Fields'!$B:$B,0),MATCH(Agent_wise!$A49,'Calculated Fields'!$C$2:$DG$2,0)),"")</f>
        <v>37</v>
      </c>
      <c r="E49" s="178">
        <f ca="1">_xlfn.IFNA(INDEX('Calculated Fields'!$C:$DG,MATCH(Agent_wise!E$5,'Calculated Fields'!$B:$B,0),MATCH(Agent_wise!$A49,'Calculated Fields'!$C$2:$DG$2,0)),"")</f>
        <v>10</v>
      </c>
      <c r="F49" s="178">
        <f ca="1">_xlfn.IFNA(INDEX('Calculated Fields'!$C:$DG,MATCH(Agent_wise!F$5,'Calculated Fields'!$B:$B,0),MATCH(Agent_wise!$A49,'Calculated Fields'!$C$2:$DG$2,0)),"")</f>
        <v>5</v>
      </c>
      <c r="G49" s="178">
        <f ca="1">_xlfn.IFNA(INDEX('Calculated Fields'!$C:$DG,MATCH(Agent_wise!G$5,'Calculated Fields'!$B:$B,0),MATCH(Agent_wise!$A49,'Calculated Fields'!$C$2:$DG$2,0)),"")</f>
        <v>0</v>
      </c>
      <c r="H49" s="178">
        <f ca="1">_xlfn.IFNA(INDEX('Calculated Fields'!$C:$DG,MATCH(Agent_wise!H$5,'Calculated Fields'!$B:$B,0),MATCH(Agent_wise!$A49,'Calculated Fields'!$C$2:$DG$2,0)),"")</f>
        <v>22</v>
      </c>
      <c r="I49" s="178">
        <f ca="1">_xlfn.IFNA(INDEX('Calculated Fields'!$C:$DG,MATCH(Agent_wise!I$5,'Calculated Fields'!$B:$B,0),MATCH(Agent_wise!$A49,'Calculated Fields'!$C$2:$DG$2,0)),"")</f>
        <v>10</v>
      </c>
      <c r="J49" s="178">
        <f ca="1">_xlfn.IFNA(INDEX('Calculated Fields'!$C:$DG,MATCH(Agent_wise!J$5,'Calculated Fields'!$B:$B,0),MATCH(Agent_wise!$A49,'Calculated Fields'!$C$2:$DG$2,0)),"")</f>
        <v>2</v>
      </c>
      <c r="K49" s="178">
        <f ca="1">_xlfn.IFNA(INDEX('Calculated Fields'!$C:$DG,MATCH(Agent_wise!K$5,'Calculated Fields'!$B:$B,0),MATCH(Agent_wise!$A49,'Calculated Fields'!$C$2:$DG$2,0)),"")</f>
        <v>23</v>
      </c>
      <c r="L49" s="179" t="str">
        <f ca="1">_xlfn.IFNA(INDEX('Calculated Fields'!$C:$DG,MATCH(Agent_wise!L$5,'Calculated Fields'!$B:$B,0),MATCH(Agent_wise!$A49,'Calculated Fields'!$C$2:$DG$2,0)),"")</f>
        <v/>
      </c>
      <c r="M49" s="179" t="str">
        <f ca="1">_xlfn.IFNA(INDEX('Calculated Fields'!$C:$DG,MATCH(Agent_wise!M$5,'Calculated Fields'!$B:$B,0),MATCH(Agent_wise!$A49,'Calculated Fields'!$C$2:$DG$2,0)),"")</f>
        <v/>
      </c>
      <c r="N49" s="179" t="str">
        <f ca="1">_xlfn.IFNA(INDEX('Calculated Fields'!$C:$DG,MATCH(Agent_wise!N$5,'Calculated Fields'!$B:$B,0),MATCH(Agent_wise!$A49,'Calculated Fields'!$C$2:$DG$2,0)),"")</f>
        <v/>
      </c>
      <c r="O49" s="179" t="str">
        <f ca="1">_xlfn.IFNA(INDEX('Calculated Fields'!$C:$DG,MATCH(Agent_wise!O$5,'Calculated Fields'!$B:$B,0),MATCH(Agent_wise!$A49,'Calculated Fields'!$C$2:$DG$2,0)),"")</f>
        <v/>
      </c>
      <c r="P49" s="179" t="str">
        <f ca="1">_xlfn.IFNA(INDEX('Calculated Fields'!$C:$DG,MATCH(Agent_wise!P$5,'Calculated Fields'!$B:$B,0),MATCH(Agent_wise!$A49,'Calculated Fields'!$C$2:$DG$2,0)),"")</f>
        <v/>
      </c>
      <c r="Q49" s="179" t="str">
        <f ca="1">_xlfn.IFNA(INDEX('Calculated Fields'!$C:$DG,MATCH(Agent_wise!Q$5,'Calculated Fields'!$B:$B,0),MATCH(Agent_wise!$A49,'Calculated Fields'!$C$2:$DG$2,0)),"")</f>
        <v/>
      </c>
      <c r="R49" s="179" t="str">
        <f ca="1">_xlfn.IFNA(INDEX('Calculated Fields'!$C:$DG,MATCH(Agent_wise!R$5,'Calculated Fields'!$B:$B,0),MATCH(Agent_wise!$A49,'Calculated Fields'!$C$2:$DG$2,0)),"")</f>
        <v/>
      </c>
      <c r="S49" s="179" t="str">
        <f ca="1">_xlfn.IFNA(INDEX('Calculated Fields'!$C:$DG,MATCH(Agent_wise!S$5,'Calculated Fields'!$B:$B,0),MATCH(Agent_wise!$A49,'Calculated Fields'!$C$2:$DG$2,0)),"")</f>
        <v/>
      </c>
      <c r="T49" s="179" t="str">
        <f ca="1">_xlfn.IFNA(INDEX('Calculated Fields'!$C:$DG,MATCH(Agent_wise!T$5,'Calculated Fields'!$B:$B,0),MATCH(Agent_wise!$A49,'Calculated Fields'!$C$2:$DG$2,0)),"")</f>
        <v/>
      </c>
      <c r="U49" s="179" t="str">
        <f ca="1">_xlfn.IFNA(INDEX('Calculated Fields'!$C:$DG,MATCH(Agent_wise!U$5,'Calculated Fields'!$B:$B,0),MATCH(Agent_wise!$A49,'Calculated Fields'!$C$2:$DG$2,0)),"")</f>
        <v/>
      </c>
      <c r="V49" s="179" t="str">
        <f ca="1">_xlfn.IFNA(INDEX('Calculated Fields'!$C:$DG,MATCH(Agent_wise!V$5,'Calculated Fields'!$B:$B,0),MATCH(Agent_wise!$A49,'Calculated Fields'!$C$2:$DG$2,0)),"")</f>
        <v/>
      </c>
      <c r="W49" s="179" t="str">
        <f ca="1">_xlfn.IFNA(INDEX('Calculated Fields'!$C:$DG,MATCH(Agent_wise!W$5,'Calculated Fields'!$B:$B,0),MATCH(Agent_wise!$A49,'Calculated Fields'!$C$2:$DG$2,0)),"")</f>
        <v/>
      </c>
      <c r="X49" s="179" t="str">
        <f ca="1">_xlfn.IFNA(INDEX('Calculated Fields'!$C:$DG,MATCH(Agent_wise!X$5,'Calculated Fields'!$B:$B,0),MATCH(Agent_wise!$A49,'Calculated Fields'!$C$2:$DG$2,0)),"")</f>
        <v/>
      </c>
      <c r="Y49" s="179" t="str">
        <f ca="1">_xlfn.IFNA(INDEX('Calculated Fields'!$C:$DG,MATCH(Agent_wise!Y$5,'Calculated Fields'!$B:$B,0),MATCH(Agent_wise!$A49,'Calculated Fields'!$C$2:$DG$2,0)),"")</f>
        <v/>
      </c>
      <c r="Z49" s="179" t="str">
        <f ca="1">_xlfn.IFNA(INDEX('Calculated Fields'!$C:$DG,MATCH(Agent_wise!Z$5,'Calculated Fields'!$B:$B,0),MATCH(Agent_wise!$A49,'Calculated Fields'!$C$2:$DG$2,0)),"")</f>
        <v/>
      </c>
      <c r="AA49" s="1"/>
      <c r="AB49" s="1"/>
      <c r="AC49" s="1"/>
      <c r="AD49" s="1"/>
      <c r="AE49" s="1"/>
      <c r="AF49" s="1"/>
      <c r="AG49" s="1"/>
      <c r="AH49" s="1"/>
    </row>
    <row r="50" spans="1:34" ht="14.4">
      <c r="A50" s="177" t="s">
        <v>1045</v>
      </c>
      <c r="B50" s="178">
        <f ca="1">_xlfn.IFNA(INDEX('Calculated Fields'!$C:$DG,MATCH(Agent_wise!B$5,'Calculated Fields'!$B:$B,0),MATCH(Agent_wise!$A50,'Calculated Fields'!$C$2:$DG$2,0)),"")</f>
        <v>-7.8947368421052627E-2</v>
      </c>
      <c r="C50" s="178">
        <f ca="1">_xlfn.IFNA(INDEX('Calculated Fields'!$C:$DG,MATCH(Agent_wise!C$5,'Calculated Fields'!$B:$B,0),MATCH(Agent_wise!$A50,'Calculated Fields'!$C$2:$DG$2,0)),"")</f>
        <v>-0.26</v>
      </c>
      <c r="D50" s="178">
        <f ca="1">_xlfn.IFNA(INDEX('Calculated Fields'!$C:$DG,MATCH(Agent_wise!D$5,'Calculated Fields'!$B:$B,0),MATCH(Agent_wise!$A50,'Calculated Fields'!$C$2:$DG$2,0)),"")</f>
        <v>-0.27966101694915252</v>
      </c>
      <c r="E50" s="178">
        <f ca="1">_xlfn.IFNA(INDEX('Calculated Fields'!$C:$DG,MATCH(Agent_wise!E$5,'Calculated Fields'!$B:$B,0),MATCH(Agent_wise!$A50,'Calculated Fields'!$C$2:$DG$2,0)),"")</f>
        <v>-0.55882352941176472</v>
      </c>
      <c r="F50" s="178">
        <f ca="1">_xlfn.IFNA(INDEX('Calculated Fields'!$C:$DG,MATCH(Agent_wise!F$5,'Calculated Fields'!$B:$B,0),MATCH(Agent_wise!$A50,'Calculated Fields'!$C$2:$DG$2,0)),"")</f>
        <v>-0.66153846153846152</v>
      </c>
      <c r="G50" s="178">
        <f ca="1">_xlfn.IFNA(INDEX('Calculated Fields'!$C:$DG,MATCH(Agent_wise!G$5,'Calculated Fields'!$B:$B,0),MATCH(Agent_wise!$A50,'Calculated Fields'!$C$2:$DG$2,0)),"")</f>
        <v>-1</v>
      </c>
      <c r="H50" s="178">
        <f ca="1">_xlfn.IFNA(INDEX('Calculated Fields'!$C:$DG,MATCH(Agent_wise!H$5,'Calculated Fields'!$B:$B,0),MATCH(Agent_wise!$A50,'Calculated Fields'!$C$2:$DG$2,0)),"")</f>
        <v>-0.10638297872340426</v>
      </c>
      <c r="I50" s="178">
        <f ca="1">_xlfn.IFNA(INDEX('Calculated Fields'!$C:$DG,MATCH(Agent_wise!I$5,'Calculated Fields'!$B:$B,0),MATCH(Agent_wise!$A50,'Calculated Fields'!$C$2:$DG$2,0)),"")</f>
        <v>-0.45977011494252873</v>
      </c>
      <c r="J50" s="178">
        <f ca="1">_xlfn.IFNA(INDEX('Calculated Fields'!$C:$DG,MATCH(Agent_wise!J$5,'Calculated Fields'!$B:$B,0),MATCH(Agent_wise!$A50,'Calculated Fields'!$C$2:$DG$2,0)),"")</f>
        <v>-0.96</v>
      </c>
      <c r="K50" s="178">
        <f ca="1">_xlfn.IFNA(INDEX('Calculated Fields'!$C:$DG,MATCH(Agent_wise!K$5,'Calculated Fields'!$B:$B,0),MATCH(Agent_wise!$A50,'Calculated Fields'!$C$2:$DG$2,0)),"")</f>
        <v>-0.125</v>
      </c>
      <c r="L50" s="179" t="str">
        <f ca="1">_xlfn.IFNA(INDEX('Calculated Fields'!$C:$DG,MATCH(Agent_wise!L$5,'Calculated Fields'!$B:$B,0),MATCH(Agent_wise!$A50,'Calculated Fields'!$C$2:$DG$2,0)),"")</f>
        <v/>
      </c>
      <c r="M50" s="179" t="str">
        <f ca="1">_xlfn.IFNA(INDEX('Calculated Fields'!$C:$DG,MATCH(Agent_wise!M$5,'Calculated Fields'!$B:$B,0),MATCH(Agent_wise!$A50,'Calculated Fields'!$C$2:$DG$2,0)),"")</f>
        <v/>
      </c>
      <c r="N50" s="179" t="str">
        <f ca="1">_xlfn.IFNA(INDEX('Calculated Fields'!$C:$DG,MATCH(Agent_wise!N$5,'Calculated Fields'!$B:$B,0),MATCH(Agent_wise!$A50,'Calculated Fields'!$C$2:$DG$2,0)),"")</f>
        <v/>
      </c>
      <c r="O50" s="179" t="str">
        <f ca="1">_xlfn.IFNA(INDEX('Calculated Fields'!$C:$DG,MATCH(Agent_wise!O$5,'Calculated Fields'!$B:$B,0),MATCH(Agent_wise!$A50,'Calculated Fields'!$C$2:$DG$2,0)),"")</f>
        <v/>
      </c>
      <c r="P50" s="179" t="str">
        <f ca="1">_xlfn.IFNA(INDEX('Calculated Fields'!$C:$DG,MATCH(Agent_wise!P$5,'Calculated Fields'!$B:$B,0),MATCH(Agent_wise!$A50,'Calculated Fields'!$C$2:$DG$2,0)),"")</f>
        <v/>
      </c>
      <c r="Q50" s="179" t="str">
        <f ca="1">_xlfn.IFNA(INDEX('Calculated Fields'!$C:$DG,MATCH(Agent_wise!Q$5,'Calculated Fields'!$B:$B,0),MATCH(Agent_wise!$A50,'Calculated Fields'!$C$2:$DG$2,0)),"")</f>
        <v/>
      </c>
      <c r="R50" s="179" t="str">
        <f ca="1">_xlfn.IFNA(INDEX('Calculated Fields'!$C:$DG,MATCH(Agent_wise!R$5,'Calculated Fields'!$B:$B,0),MATCH(Agent_wise!$A50,'Calculated Fields'!$C$2:$DG$2,0)),"")</f>
        <v/>
      </c>
      <c r="S50" s="179" t="str">
        <f ca="1">_xlfn.IFNA(INDEX('Calculated Fields'!$C:$DG,MATCH(Agent_wise!S$5,'Calculated Fields'!$B:$B,0),MATCH(Agent_wise!$A50,'Calculated Fields'!$C$2:$DG$2,0)),"")</f>
        <v/>
      </c>
      <c r="T50" s="179" t="str">
        <f ca="1">_xlfn.IFNA(INDEX('Calculated Fields'!$C:$DG,MATCH(Agent_wise!T$5,'Calculated Fields'!$B:$B,0),MATCH(Agent_wise!$A50,'Calculated Fields'!$C$2:$DG$2,0)),"")</f>
        <v/>
      </c>
      <c r="U50" s="179" t="str">
        <f ca="1">_xlfn.IFNA(INDEX('Calculated Fields'!$C:$DG,MATCH(Agent_wise!U$5,'Calculated Fields'!$B:$B,0),MATCH(Agent_wise!$A50,'Calculated Fields'!$C$2:$DG$2,0)),"")</f>
        <v/>
      </c>
      <c r="V50" s="179" t="str">
        <f ca="1">_xlfn.IFNA(INDEX('Calculated Fields'!$C:$DG,MATCH(Agent_wise!V$5,'Calculated Fields'!$B:$B,0),MATCH(Agent_wise!$A50,'Calculated Fields'!$C$2:$DG$2,0)),"")</f>
        <v/>
      </c>
      <c r="W50" s="179" t="str">
        <f ca="1">_xlfn.IFNA(INDEX('Calculated Fields'!$C:$DG,MATCH(Agent_wise!W$5,'Calculated Fields'!$B:$B,0),MATCH(Agent_wise!$A50,'Calculated Fields'!$C$2:$DG$2,0)),"")</f>
        <v/>
      </c>
      <c r="X50" s="179" t="str">
        <f ca="1">_xlfn.IFNA(INDEX('Calculated Fields'!$C:$DG,MATCH(Agent_wise!X$5,'Calculated Fields'!$B:$B,0),MATCH(Agent_wise!$A50,'Calculated Fields'!$C$2:$DG$2,0)),"")</f>
        <v/>
      </c>
      <c r="Y50" s="179" t="str">
        <f ca="1">_xlfn.IFNA(INDEX('Calculated Fields'!$C:$DG,MATCH(Agent_wise!Y$5,'Calculated Fields'!$B:$B,0),MATCH(Agent_wise!$A50,'Calculated Fields'!$C$2:$DG$2,0)),"")</f>
        <v/>
      </c>
      <c r="Z50" s="179" t="str">
        <f ca="1">_xlfn.IFNA(INDEX('Calculated Fields'!$C:$DG,MATCH(Agent_wise!Z$5,'Calculated Fields'!$B:$B,0),MATCH(Agent_wise!$A50,'Calculated Fields'!$C$2:$DG$2,0)),"")</f>
        <v/>
      </c>
      <c r="AA50" s="1"/>
      <c r="AB50" s="1"/>
      <c r="AC50" s="1"/>
      <c r="AD50" s="1"/>
      <c r="AE50" s="1"/>
      <c r="AF50" s="1"/>
      <c r="AG50" s="1"/>
      <c r="AH50" s="1"/>
    </row>
    <row r="51" spans="1:34" ht="14.4">
      <c r="A51" s="177" t="s">
        <v>1046</v>
      </c>
      <c r="B51" s="178">
        <f ca="1">_xlfn.IFNA(INDEX('Calculated Fields'!$C:$DG,MATCH(Agent_wise!B$5,'Calculated Fields'!$B:$B,0),MATCH(Agent_wise!$A51,'Calculated Fields'!$C$2:$DG$2,0)),"")</f>
        <v>-3</v>
      </c>
      <c r="C51" s="178">
        <f ca="1">_xlfn.IFNA(INDEX('Calculated Fields'!$C:$DG,MATCH(Agent_wise!C$5,'Calculated Fields'!$B:$B,0),MATCH(Agent_wise!$A51,'Calculated Fields'!$C$2:$DG$2,0)),"")</f>
        <v>-13</v>
      </c>
      <c r="D51" s="178">
        <f ca="1">_xlfn.IFNA(INDEX('Calculated Fields'!$C:$DG,MATCH(Agent_wise!D$5,'Calculated Fields'!$B:$B,0),MATCH(Agent_wise!$A51,'Calculated Fields'!$C$2:$DG$2,0)),"")</f>
        <v>-33</v>
      </c>
      <c r="E51" s="178">
        <f ca="1">_xlfn.IFNA(INDEX('Calculated Fields'!$C:$DG,MATCH(Agent_wise!E$5,'Calculated Fields'!$B:$B,0),MATCH(Agent_wise!$A51,'Calculated Fields'!$C$2:$DG$2,0)),"")</f>
        <v>-19</v>
      </c>
      <c r="F51" s="178">
        <f ca="1">_xlfn.IFNA(INDEX('Calculated Fields'!$C:$DG,MATCH(Agent_wise!F$5,'Calculated Fields'!$B:$B,0),MATCH(Agent_wise!$A51,'Calculated Fields'!$C$2:$DG$2,0)),"")</f>
        <v>-43</v>
      </c>
      <c r="G51" s="178">
        <f ca="1">_xlfn.IFNA(INDEX('Calculated Fields'!$C:$DG,MATCH(Agent_wise!G$5,'Calculated Fields'!$B:$B,0),MATCH(Agent_wise!$A51,'Calculated Fields'!$C$2:$DG$2,0)),"")</f>
        <v>-24</v>
      </c>
      <c r="H51" s="178">
        <f ca="1">_xlfn.IFNA(INDEX('Calculated Fields'!$C:$DG,MATCH(Agent_wise!H$5,'Calculated Fields'!$B:$B,0),MATCH(Agent_wise!$A51,'Calculated Fields'!$C$2:$DG$2,0)),"")</f>
        <v>-5</v>
      </c>
      <c r="I51" s="178">
        <f ca="1">_xlfn.IFNA(INDEX('Calculated Fields'!$C:$DG,MATCH(Agent_wise!I$5,'Calculated Fields'!$B:$B,0),MATCH(Agent_wise!$A51,'Calculated Fields'!$C$2:$DG$2,0)),"")</f>
        <v>-40</v>
      </c>
      <c r="J51" s="178">
        <f ca="1">_xlfn.IFNA(INDEX('Calculated Fields'!$C:$DG,MATCH(Agent_wise!J$5,'Calculated Fields'!$B:$B,0),MATCH(Agent_wise!$A51,'Calculated Fields'!$C$2:$DG$2,0)),"")</f>
        <v>-48</v>
      </c>
      <c r="K51" s="178">
        <f ca="1">_xlfn.IFNA(INDEX('Calculated Fields'!$C:$DG,MATCH(Agent_wise!K$5,'Calculated Fields'!$B:$B,0),MATCH(Agent_wise!$A51,'Calculated Fields'!$C$2:$DG$2,0)),"")</f>
        <v>-5</v>
      </c>
      <c r="L51" s="179" t="str">
        <f ca="1">_xlfn.IFNA(INDEX('Calculated Fields'!$C:$DG,MATCH(Agent_wise!L$5,'Calculated Fields'!$B:$B,0),MATCH(Agent_wise!$A51,'Calculated Fields'!$C$2:$DG$2,0)),"")</f>
        <v/>
      </c>
      <c r="M51" s="179" t="str">
        <f ca="1">_xlfn.IFNA(INDEX('Calculated Fields'!$C:$DG,MATCH(Agent_wise!M$5,'Calculated Fields'!$B:$B,0),MATCH(Agent_wise!$A51,'Calculated Fields'!$C$2:$DG$2,0)),"")</f>
        <v/>
      </c>
      <c r="N51" s="179" t="str">
        <f ca="1">_xlfn.IFNA(INDEX('Calculated Fields'!$C:$DG,MATCH(Agent_wise!N$5,'Calculated Fields'!$B:$B,0),MATCH(Agent_wise!$A51,'Calculated Fields'!$C$2:$DG$2,0)),"")</f>
        <v/>
      </c>
      <c r="O51" s="179" t="str">
        <f ca="1">_xlfn.IFNA(INDEX('Calculated Fields'!$C:$DG,MATCH(Agent_wise!O$5,'Calculated Fields'!$B:$B,0),MATCH(Agent_wise!$A51,'Calculated Fields'!$C$2:$DG$2,0)),"")</f>
        <v/>
      </c>
      <c r="P51" s="179" t="str">
        <f ca="1">_xlfn.IFNA(INDEX('Calculated Fields'!$C:$DG,MATCH(Agent_wise!P$5,'Calculated Fields'!$B:$B,0),MATCH(Agent_wise!$A51,'Calculated Fields'!$C$2:$DG$2,0)),"")</f>
        <v/>
      </c>
      <c r="Q51" s="179" t="str">
        <f ca="1">_xlfn.IFNA(INDEX('Calculated Fields'!$C:$DG,MATCH(Agent_wise!Q$5,'Calculated Fields'!$B:$B,0),MATCH(Agent_wise!$A51,'Calculated Fields'!$C$2:$DG$2,0)),"")</f>
        <v/>
      </c>
      <c r="R51" s="179" t="str">
        <f ca="1">_xlfn.IFNA(INDEX('Calculated Fields'!$C:$DG,MATCH(Agent_wise!R$5,'Calculated Fields'!$B:$B,0),MATCH(Agent_wise!$A51,'Calculated Fields'!$C$2:$DG$2,0)),"")</f>
        <v/>
      </c>
      <c r="S51" s="179" t="str">
        <f ca="1">_xlfn.IFNA(INDEX('Calculated Fields'!$C:$DG,MATCH(Agent_wise!S$5,'Calculated Fields'!$B:$B,0),MATCH(Agent_wise!$A51,'Calculated Fields'!$C$2:$DG$2,0)),"")</f>
        <v/>
      </c>
      <c r="T51" s="179" t="str">
        <f ca="1">_xlfn.IFNA(INDEX('Calculated Fields'!$C:$DG,MATCH(Agent_wise!T$5,'Calculated Fields'!$B:$B,0),MATCH(Agent_wise!$A51,'Calculated Fields'!$C$2:$DG$2,0)),"")</f>
        <v/>
      </c>
      <c r="U51" s="179" t="str">
        <f ca="1">_xlfn.IFNA(INDEX('Calculated Fields'!$C:$DG,MATCH(Agent_wise!U$5,'Calculated Fields'!$B:$B,0),MATCH(Agent_wise!$A51,'Calculated Fields'!$C$2:$DG$2,0)),"")</f>
        <v/>
      </c>
      <c r="V51" s="179" t="str">
        <f ca="1">_xlfn.IFNA(INDEX('Calculated Fields'!$C:$DG,MATCH(Agent_wise!V$5,'Calculated Fields'!$B:$B,0),MATCH(Agent_wise!$A51,'Calculated Fields'!$C$2:$DG$2,0)),"")</f>
        <v/>
      </c>
      <c r="W51" s="179" t="str">
        <f ca="1">_xlfn.IFNA(INDEX('Calculated Fields'!$C:$DG,MATCH(Agent_wise!W$5,'Calculated Fields'!$B:$B,0),MATCH(Agent_wise!$A51,'Calculated Fields'!$C$2:$DG$2,0)),"")</f>
        <v/>
      </c>
      <c r="X51" s="179" t="str">
        <f ca="1">_xlfn.IFNA(INDEX('Calculated Fields'!$C:$DG,MATCH(Agent_wise!X$5,'Calculated Fields'!$B:$B,0),MATCH(Agent_wise!$A51,'Calculated Fields'!$C$2:$DG$2,0)),"")</f>
        <v/>
      </c>
      <c r="Y51" s="179" t="str">
        <f ca="1">_xlfn.IFNA(INDEX('Calculated Fields'!$C:$DG,MATCH(Agent_wise!Y$5,'Calculated Fields'!$B:$B,0),MATCH(Agent_wise!$A51,'Calculated Fields'!$C$2:$DG$2,0)),"")</f>
        <v/>
      </c>
      <c r="Z51" s="179" t="str">
        <f ca="1">_xlfn.IFNA(INDEX('Calculated Fields'!$C:$DG,MATCH(Agent_wise!Z$5,'Calculated Fields'!$B:$B,0),MATCH(Agent_wise!$A51,'Calculated Fields'!$C$2:$DG$2,0)),"")</f>
        <v/>
      </c>
      <c r="AA51" s="1"/>
      <c r="AB51" s="1"/>
      <c r="AC51" s="1"/>
      <c r="AD51" s="1"/>
      <c r="AE51" s="1"/>
      <c r="AF51" s="1"/>
      <c r="AG51" s="1"/>
      <c r="AH51" s="1"/>
    </row>
    <row r="52" spans="1:34" ht="14.4">
      <c r="A52" s="177" t="s">
        <v>1047</v>
      </c>
      <c r="B52" s="178">
        <f ca="1">_xlfn.IFNA(INDEX('Calculated Fields'!$C:$DG,MATCH(Agent_wise!B$5,'Calculated Fields'!$B:$B,0),MATCH(Agent_wise!$A52,'Calculated Fields'!$C$2:$DG$2,0)),"")</f>
        <v>0.10310185185185185</v>
      </c>
      <c r="C52" s="178">
        <f ca="1">_xlfn.IFNA(INDEX('Calculated Fields'!$C:$DG,MATCH(Agent_wise!C$5,'Calculated Fields'!$B:$B,0),MATCH(Agent_wise!$A52,'Calculated Fields'!$C$2:$DG$2,0)),"")</f>
        <v>0.14208333333333334</v>
      </c>
      <c r="D52" s="178">
        <f ca="1">_xlfn.IFNA(INDEX('Calculated Fields'!$C:$DG,MATCH(Agent_wise!D$5,'Calculated Fields'!$B:$B,0),MATCH(Agent_wise!$A52,'Calculated Fields'!$C$2:$DG$2,0)),"")</f>
        <v>0.20045138888888889</v>
      </c>
      <c r="E52" s="178">
        <f ca="1">_xlfn.IFNA(INDEX('Calculated Fields'!$C:$DG,MATCH(Agent_wise!E$5,'Calculated Fields'!$B:$B,0),MATCH(Agent_wise!$A52,'Calculated Fields'!$C$2:$DG$2,0)),"")</f>
        <v>6.0590277777777778E-2</v>
      </c>
      <c r="F52" s="178">
        <f ca="1">_xlfn.IFNA(INDEX('Calculated Fields'!$C:$DG,MATCH(Agent_wise!F$5,'Calculated Fields'!$B:$B,0),MATCH(Agent_wise!$A52,'Calculated Fields'!$C$2:$DG$2,0)),"")</f>
        <v>4.1388888888888892E-2</v>
      </c>
      <c r="G52" s="178">
        <f ca="1">_xlfn.IFNA(INDEX('Calculated Fields'!$C:$DG,MATCH(Agent_wise!G$5,'Calculated Fields'!$B:$B,0),MATCH(Agent_wise!$A52,'Calculated Fields'!$C$2:$DG$2,0)),"")</f>
        <v>0</v>
      </c>
      <c r="H52" s="178">
        <f ca="1">_xlfn.IFNA(INDEX('Calculated Fields'!$C:$DG,MATCH(Agent_wise!H$5,'Calculated Fields'!$B:$B,0),MATCH(Agent_wise!$A52,'Calculated Fields'!$C$2:$DG$2,0)),"")</f>
        <v>8.2187499999999997E-2</v>
      </c>
      <c r="I52" s="178">
        <f ca="1">_xlfn.IFNA(INDEX('Calculated Fields'!$C:$DG,MATCH(Agent_wise!I$5,'Calculated Fields'!$B:$B,0),MATCH(Agent_wise!$A52,'Calculated Fields'!$C$2:$DG$2,0)),"")</f>
        <v>5.8993055555555556E-2</v>
      </c>
      <c r="J52" s="178">
        <f ca="1">_xlfn.IFNA(INDEX('Calculated Fields'!$C:$DG,MATCH(Agent_wise!J$5,'Calculated Fields'!$B:$B,0),MATCH(Agent_wise!$A52,'Calculated Fields'!$C$2:$DG$2,0)),"")</f>
        <v>7.2685185185185188E-3</v>
      </c>
      <c r="K52" s="178">
        <f ca="1">_xlfn.IFNA(INDEX('Calculated Fields'!$C:$DG,MATCH(Agent_wise!K$5,'Calculated Fields'!$B:$B,0),MATCH(Agent_wise!$A52,'Calculated Fields'!$C$2:$DG$2,0)),"")</f>
        <v>0.13131944444444443</v>
      </c>
      <c r="L52" s="179" t="str">
        <f ca="1">_xlfn.IFNA(INDEX('Calculated Fields'!$C:$DG,MATCH(Agent_wise!L$5,'Calculated Fields'!$B:$B,0),MATCH(Agent_wise!$A52,'Calculated Fields'!$C$2:$DG$2,0)),"")</f>
        <v/>
      </c>
      <c r="M52" s="179" t="str">
        <f ca="1">_xlfn.IFNA(INDEX('Calculated Fields'!$C:$DG,MATCH(Agent_wise!M$5,'Calculated Fields'!$B:$B,0),MATCH(Agent_wise!$A52,'Calculated Fields'!$C$2:$DG$2,0)),"")</f>
        <v/>
      </c>
      <c r="N52" s="179" t="str">
        <f ca="1">_xlfn.IFNA(INDEX('Calculated Fields'!$C:$DG,MATCH(Agent_wise!N$5,'Calculated Fields'!$B:$B,0),MATCH(Agent_wise!$A52,'Calculated Fields'!$C$2:$DG$2,0)),"")</f>
        <v/>
      </c>
      <c r="O52" s="179" t="str">
        <f ca="1">_xlfn.IFNA(INDEX('Calculated Fields'!$C:$DG,MATCH(Agent_wise!O$5,'Calculated Fields'!$B:$B,0),MATCH(Agent_wise!$A52,'Calculated Fields'!$C$2:$DG$2,0)),"")</f>
        <v/>
      </c>
      <c r="P52" s="179" t="str">
        <f ca="1">_xlfn.IFNA(INDEX('Calculated Fields'!$C:$DG,MATCH(Agent_wise!P$5,'Calculated Fields'!$B:$B,0),MATCH(Agent_wise!$A52,'Calculated Fields'!$C$2:$DG$2,0)),"")</f>
        <v/>
      </c>
      <c r="Q52" s="179" t="str">
        <f ca="1">_xlfn.IFNA(INDEX('Calculated Fields'!$C:$DG,MATCH(Agent_wise!Q$5,'Calculated Fields'!$B:$B,0),MATCH(Agent_wise!$A52,'Calculated Fields'!$C$2:$DG$2,0)),"")</f>
        <v/>
      </c>
      <c r="R52" s="179" t="str">
        <f ca="1">_xlfn.IFNA(INDEX('Calculated Fields'!$C:$DG,MATCH(Agent_wise!R$5,'Calculated Fields'!$B:$B,0),MATCH(Agent_wise!$A52,'Calculated Fields'!$C$2:$DG$2,0)),"")</f>
        <v/>
      </c>
      <c r="S52" s="179" t="str">
        <f ca="1">_xlfn.IFNA(INDEX('Calculated Fields'!$C:$DG,MATCH(Agent_wise!S$5,'Calculated Fields'!$B:$B,0),MATCH(Agent_wise!$A52,'Calculated Fields'!$C$2:$DG$2,0)),"")</f>
        <v/>
      </c>
      <c r="T52" s="179" t="str">
        <f ca="1">_xlfn.IFNA(INDEX('Calculated Fields'!$C:$DG,MATCH(Agent_wise!T$5,'Calculated Fields'!$B:$B,0),MATCH(Agent_wise!$A52,'Calculated Fields'!$C$2:$DG$2,0)),"")</f>
        <v/>
      </c>
      <c r="U52" s="179" t="str">
        <f ca="1">_xlfn.IFNA(INDEX('Calculated Fields'!$C:$DG,MATCH(Agent_wise!U$5,'Calculated Fields'!$B:$B,0),MATCH(Agent_wise!$A52,'Calculated Fields'!$C$2:$DG$2,0)),"")</f>
        <v/>
      </c>
      <c r="V52" s="179" t="str">
        <f ca="1">_xlfn.IFNA(INDEX('Calculated Fields'!$C:$DG,MATCH(Agent_wise!V$5,'Calculated Fields'!$B:$B,0),MATCH(Agent_wise!$A52,'Calculated Fields'!$C$2:$DG$2,0)),"")</f>
        <v/>
      </c>
      <c r="W52" s="179" t="str">
        <f ca="1">_xlfn.IFNA(INDEX('Calculated Fields'!$C:$DG,MATCH(Agent_wise!W$5,'Calculated Fields'!$B:$B,0),MATCH(Agent_wise!$A52,'Calculated Fields'!$C$2:$DG$2,0)),"")</f>
        <v/>
      </c>
      <c r="X52" s="179" t="str">
        <f ca="1">_xlfn.IFNA(INDEX('Calculated Fields'!$C:$DG,MATCH(Agent_wise!X$5,'Calculated Fields'!$B:$B,0),MATCH(Agent_wise!$A52,'Calculated Fields'!$C$2:$DG$2,0)),"")</f>
        <v/>
      </c>
      <c r="Y52" s="179" t="str">
        <f ca="1">_xlfn.IFNA(INDEX('Calculated Fields'!$C:$DG,MATCH(Agent_wise!Y$5,'Calculated Fields'!$B:$B,0),MATCH(Agent_wise!$A52,'Calculated Fields'!$C$2:$DG$2,0)),"")</f>
        <v/>
      </c>
      <c r="Z52" s="179" t="str">
        <f ca="1">_xlfn.IFNA(INDEX('Calculated Fields'!$C:$DG,MATCH(Agent_wise!Z$5,'Calculated Fields'!$B:$B,0),MATCH(Agent_wise!$A52,'Calculated Fields'!$C$2:$DG$2,0)),"")</f>
        <v/>
      </c>
      <c r="AA52" s="1"/>
      <c r="AB52" s="1"/>
      <c r="AC52" s="1"/>
      <c r="AD52" s="1"/>
      <c r="AE52" s="1"/>
      <c r="AF52" s="1"/>
      <c r="AG52" s="1"/>
      <c r="AH52" s="1"/>
    </row>
    <row r="53" spans="1:34" ht="14.4">
      <c r="A53" s="177" t="s">
        <v>1048</v>
      </c>
      <c r="B53" s="178">
        <f ca="1">_xlfn.IFNA(INDEX('Calculated Fields'!$C:$DG,MATCH(Agent_wise!B$5,'Calculated Fields'!$B:$B,0),MATCH(Agent_wise!$A53,'Calculated Fields'!$C$2:$DG$2,0)),"")</f>
        <v>0</v>
      </c>
      <c r="C53" s="178">
        <f ca="1">_xlfn.IFNA(INDEX('Calculated Fields'!$C:$DG,MATCH(Agent_wise!C$5,'Calculated Fields'!$B:$B,0),MATCH(Agent_wise!$A53,'Calculated Fields'!$C$2:$DG$2,0)),"")</f>
        <v>0</v>
      </c>
      <c r="D53" s="178">
        <f ca="1">_xlfn.IFNA(INDEX('Calculated Fields'!$C:$DG,MATCH(Agent_wise!D$5,'Calculated Fields'!$B:$B,0),MATCH(Agent_wise!$A53,'Calculated Fields'!$C$2:$DG$2,0)),"")</f>
        <v>0</v>
      </c>
      <c r="E53" s="178">
        <f ca="1">_xlfn.IFNA(INDEX('Calculated Fields'!$C:$DG,MATCH(Agent_wise!E$5,'Calculated Fields'!$B:$B,0),MATCH(Agent_wise!$A53,'Calculated Fields'!$C$2:$DG$2,0)),"")</f>
        <v>0</v>
      </c>
      <c r="F53" s="178">
        <f ca="1">_xlfn.IFNA(INDEX('Calculated Fields'!$C:$DG,MATCH(Agent_wise!F$5,'Calculated Fields'!$B:$B,0),MATCH(Agent_wise!$A53,'Calculated Fields'!$C$2:$DG$2,0)),"")</f>
        <v>0</v>
      </c>
      <c r="G53" s="178">
        <f ca="1">_xlfn.IFNA(INDEX('Calculated Fields'!$C:$DG,MATCH(Agent_wise!G$5,'Calculated Fields'!$B:$B,0),MATCH(Agent_wise!$A53,'Calculated Fields'!$C$2:$DG$2,0)),"")</f>
        <v>0</v>
      </c>
      <c r="H53" s="178">
        <f ca="1">_xlfn.IFNA(INDEX('Calculated Fields'!$C:$DG,MATCH(Agent_wise!H$5,'Calculated Fields'!$B:$B,0),MATCH(Agent_wise!$A53,'Calculated Fields'!$C$2:$DG$2,0)),"")</f>
        <v>0</v>
      </c>
      <c r="I53" s="178">
        <f ca="1">_xlfn.IFNA(INDEX('Calculated Fields'!$C:$DG,MATCH(Agent_wise!I$5,'Calculated Fields'!$B:$B,0),MATCH(Agent_wise!$A53,'Calculated Fields'!$C$2:$DG$2,0)),"")</f>
        <v>0</v>
      </c>
      <c r="J53" s="178">
        <f ca="1">_xlfn.IFNA(INDEX('Calculated Fields'!$C:$DG,MATCH(Agent_wise!J$5,'Calculated Fields'!$B:$B,0),MATCH(Agent_wise!$A53,'Calculated Fields'!$C$2:$DG$2,0)),"")</f>
        <v>0</v>
      </c>
      <c r="K53" s="178">
        <f ca="1">_xlfn.IFNA(INDEX('Calculated Fields'!$C:$DG,MATCH(Agent_wise!K$5,'Calculated Fields'!$B:$B,0),MATCH(Agent_wise!$A53,'Calculated Fields'!$C$2:$DG$2,0)),"")</f>
        <v>0</v>
      </c>
      <c r="L53" s="179" t="str">
        <f ca="1">_xlfn.IFNA(INDEX('Calculated Fields'!$C:$DG,MATCH(Agent_wise!L$5,'Calculated Fields'!$B:$B,0),MATCH(Agent_wise!$A53,'Calculated Fields'!$C$2:$DG$2,0)),"")</f>
        <v/>
      </c>
      <c r="M53" s="179" t="str">
        <f ca="1">_xlfn.IFNA(INDEX('Calculated Fields'!$C:$DG,MATCH(Agent_wise!M$5,'Calculated Fields'!$B:$B,0),MATCH(Agent_wise!$A53,'Calculated Fields'!$C$2:$DG$2,0)),"")</f>
        <v/>
      </c>
      <c r="N53" s="179" t="str">
        <f ca="1">_xlfn.IFNA(INDEX('Calculated Fields'!$C:$DG,MATCH(Agent_wise!N$5,'Calculated Fields'!$B:$B,0),MATCH(Agent_wise!$A53,'Calculated Fields'!$C$2:$DG$2,0)),"")</f>
        <v/>
      </c>
      <c r="O53" s="179" t="str">
        <f ca="1">_xlfn.IFNA(INDEX('Calculated Fields'!$C:$DG,MATCH(Agent_wise!O$5,'Calculated Fields'!$B:$B,0),MATCH(Agent_wise!$A53,'Calculated Fields'!$C$2:$DG$2,0)),"")</f>
        <v/>
      </c>
      <c r="P53" s="179" t="str">
        <f ca="1">_xlfn.IFNA(INDEX('Calculated Fields'!$C:$DG,MATCH(Agent_wise!P$5,'Calculated Fields'!$B:$B,0),MATCH(Agent_wise!$A53,'Calculated Fields'!$C$2:$DG$2,0)),"")</f>
        <v/>
      </c>
      <c r="Q53" s="179" t="str">
        <f ca="1">_xlfn.IFNA(INDEX('Calculated Fields'!$C:$DG,MATCH(Agent_wise!Q$5,'Calculated Fields'!$B:$B,0),MATCH(Agent_wise!$A53,'Calculated Fields'!$C$2:$DG$2,0)),"")</f>
        <v/>
      </c>
      <c r="R53" s="179" t="str">
        <f ca="1">_xlfn.IFNA(INDEX('Calculated Fields'!$C:$DG,MATCH(Agent_wise!R$5,'Calculated Fields'!$B:$B,0),MATCH(Agent_wise!$A53,'Calculated Fields'!$C$2:$DG$2,0)),"")</f>
        <v/>
      </c>
      <c r="S53" s="179" t="str">
        <f ca="1">_xlfn.IFNA(INDEX('Calculated Fields'!$C:$DG,MATCH(Agent_wise!S$5,'Calculated Fields'!$B:$B,0),MATCH(Agent_wise!$A53,'Calculated Fields'!$C$2:$DG$2,0)),"")</f>
        <v/>
      </c>
      <c r="T53" s="179" t="str">
        <f ca="1">_xlfn.IFNA(INDEX('Calculated Fields'!$C:$DG,MATCH(Agent_wise!T$5,'Calculated Fields'!$B:$B,0),MATCH(Agent_wise!$A53,'Calculated Fields'!$C$2:$DG$2,0)),"")</f>
        <v/>
      </c>
      <c r="U53" s="179" t="str">
        <f ca="1">_xlfn.IFNA(INDEX('Calculated Fields'!$C:$DG,MATCH(Agent_wise!U$5,'Calculated Fields'!$B:$B,0),MATCH(Agent_wise!$A53,'Calculated Fields'!$C$2:$DG$2,0)),"")</f>
        <v/>
      </c>
      <c r="V53" s="179" t="str">
        <f ca="1">_xlfn.IFNA(INDEX('Calculated Fields'!$C:$DG,MATCH(Agent_wise!V$5,'Calculated Fields'!$B:$B,0),MATCH(Agent_wise!$A53,'Calculated Fields'!$C$2:$DG$2,0)),"")</f>
        <v/>
      </c>
      <c r="W53" s="179" t="str">
        <f ca="1">_xlfn.IFNA(INDEX('Calculated Fields'!$C:$DG,MATCH(Agent_wise!W$5,'Calculated Fields'!$B:$B,0),MATCH(Agent_wise!$A53,'Calculated Fields'!$C$2:$DG$2,0)),"")</f>
        <v/>
      </c>
      <c r="X53" s="179" t="str">
        <f ca="1">_xlfn.IFNA(INDEX('Calculated Fields'!$C:$DG,MATCH(Agent_wise!X$5,'Calculated Fields'!$B:$B,0),MATCH(Agent_wise!$A53,'Calculated Fields'!$C$2:$DG$2,0)),"")</f>
        <v/>
      </c>
      <c r="Y53" s="179" t="str">
        <f ca="1">_xlfn.IFNA(INDEX('Calculated Fields'!$C:$DG,MATCH(Agent_wise!Y$5,'Calculated Fields'!$B:$B,0),MATCH(Agent_wise!$A53,'Calculated Fields'!$C$2:$DG$2,0)),"")</f>
        <v/>
      </c>
      <c r="Z53" s="179" t="str">
        <f ca="1">_xlfn.IFNA(INDEX('Calculated Fields'!$C:$DG,MATCH(Agent_wise!Z$5,'Calculated Fields'!$B:$B,0),MATCH(Agent_wise!$A53,'Calculated Fields'!$C$2:$DG$2,0)),"")</f>
        <v/>
      </c>
      <c r="AA53" s="1"/>
      <c r="AB53" s="1"/>
      <c r="AC53" s="1"/>
      <c r="AD53" s="1"/>
      <c r="AE53" s="1"/>
      <c r="AF53" s="1"/>
      <c r="AG53" s="1"/>
      <c r="AH53" s="1"/>
    </row>
    <row r="54" spans="1:34" ht="14.4">
      <c r="A54" s="177" t="s">
        <v>1008</v>
      </c>
      <c r="B54" s="178">
        <f ca="1">_xlfn.IFNA(INDEX('Calculated Fields'!$C:$DG,MATCH(Agent_wise!B$5,'Calculated Fields'!$B:$B,0),MATCH(Agent_wise!$A54,'Calculated Fields'!$C$2:$DG$2,0)),"")</f>
        <v>0</v>
      </c>
      <c r="C54" s="178">
        <f ca="1">_xlfn.IFNA(INDEX('Calculated Fields'!$C:$DG,MATCH(Agent_wise!C$5,'Calculated Fields'!$B:$B,0),MATCH(Agent_wise!$A54,'Calculated Fields'!$C$2:$DG$2,0)),"")</f>
        <v>0</v>
      </c>
      <c r="D54" s="178">
        <f ca="1">_xlfn.IFNA(INDEX('Calculated Fields'!$C:$DG,MATCH(Agent_wise!D$5,'Calculated Fields'!$B:$B,0),MATCH(Agent_wise!$A54,'Calculated Fields'!$C$2:$DG$2,0)),"")</f>
        <v>0</v>
      </c>
      <c r="E54" s="178">
        <f ca="1">_xlfn.IFNA(INDEX('Calculated Fields'!$C:$DG,MATCH(Agent_wise!E$5,'Calculated Fields'!$B:$B,0),MATCH(Agent_wise!$A54,'Calculated Fields'!$C$2:$DG$2,0)),"")</f>
        <v>0</v>
      </c>
      <c r="F54" s="178">
        <f ca="1">_xlfn.IFNA(INDEX('Calculated Fields'!$C:$DG,MATCH(Agent_wise!F$5,'Calculated Fields'!$B:$B,0),MATCH(Agent_wise!$A54,'Calculated Fields'!$C$2:$DG$2,0)),"")</f>
        <v>0</v>
      </c>
      <c r="G54" s="178">
        <f ca="1">_xlfn.IFNA(INDEX('Calculated Fields'!$C:$DG,MATCH(Agent_wise!G$5,'Calculated Fields'!$B:$B,0),MATCH(Agent_wise!$A54,'Calculated Fields'!$C$2:$DG$2,0)),"")</f>
        <v>0</v>
      </c>
      <c r="H54" s="178">
        <f ca="1">_xlfn.IFNA(INDEX('Calculated Fields'!$C:$DG,MATCH(Agent_wise!H$5,'Calculated Fields'!$B:$B,0),MATCH(Agent_wise!$A54,'Calculated Fields'!$C$2:$DG$2,0)),"")</f>
        <v>0</v>
      </c>
      <c r="I54" s="178">
        <f ca="1">_xlfn.IFNA(INDEX('Calculated Fields'!$C:$DG,MATCH(Agent_wise!I$5,'Calculated Fields'!$B:$B,0),MATCH(Agent_wise!$A54,'Calculated Fields'!$C$2:$DG$2,0)),"")</f>
        <v>0</v>
      </c>
      <c r="J54" s="178">
        <f ca="1">_xlfn.IFNA(INDEX('Calculated Fields'!$C:$DG,MATCH(Agent_wise!J$5,'Calculated Fields'!$B:$B,0),MATCH(Agent_wise!$A54,'Calculated Fields'!$C$2:$DG$2,0)),"")</f>
        <v>0</v>
      </c>
      <c r="K54" s="178">
        <f ca="1">_xlfn.IFNA(INDEX('Calculated Fields'!$C:$DG,MATCH(Agent_wise!K$5,'Calculated Fields'!$B:$B,0),MATCH(Agent_wise!$A54,'Calculated Fields'!$C$2:$DG$2,0)),"")</f>
        <v>0</v>
      </c>
      <c r="L54" s="179" t="str">
        <f ca="1">_xlfn.IFNA(INDEX('Calculated Fields'!$C:$DG,MATCH(Agent_wise!L$5,'Calculated Fields'!$B:$B,0),MATCH(Agent_wise!$A54,'Calculated Fields'!$C$2:$DG$2,0)),"")</f>
        <v/>
      </c>
      <c r="M54" s="179" t="str">
        <f ca="1">_xlfn.IFNA(INDEX('Calculated Fields'!$C:$DG,MATCH(Agent_wise!M$5,'Calculated Fields'!$B:$B,0),MATCH(Agent_wise!$A54,'Calculated Fields'!$C$2:$DG$2,0)),"")</f>
        <v/>
      </c>
      <c r="N54" s="179" t="str">
        <f ca="1">_xlfn.IFNA(INDEX('Calculated Fields'!$C:$DG,MATCH(Agent_wise!N$5,'Calculated Fields'!$B:$B,0),MATCH(Agent_wise!$A54,'Calculated Fields'!$C$2:$DG$2,0)),"")</f>
        <v/>
      </c>
      <c r="O54" s="179" t="str">
        <f ca="1">_xlfn.IFNA(INDEX('Calculated Fields'!$C:$DG,MATCH(Agent_wise!O$5,'Calculated Fields'!$B:$B,0),MATCH(Agent_wise!$A54,'Calculated Fields'!$C$2:$DG$2,0)),"")</f>
        <v/>
      </c>
      <c r="P54" s="179" t="str">
        <f ca="1">_xlfn.IFNA(INDEX('Calculated Fields'!$C:$DG,MATCH(Agent_wise!P$5,'Calculated Fields'!$B:$B,0),MATCH(Agent_wise!$A54,'Calculated Fields'!$C$2:$DG$2,0)),"")</f>
        <v/>
      </c>
      <c r="Q54" s="179" t="str">
        <f ca="1">_xlfn.IFNA(INDEX('Calculated Fields'!$C:$DG,MATCH(Agent_wise!Q$5,'Calculated Fields'!$B:$B,0),MATCH(Agent_wise!$A54,'Calculated Fields'!$C$2:$DG$2,0)),"")</f>
        <v/>
      </c>
      <c r="R54" s="179" t="str">
        <f ca="1">_xlfn.IFNA(INDEX('Calculated Fields'!$C:$DG,MATCH(Agent_wise!R$5,'Calculated Fields'!$B:$B,0),MATCH(Agent_wise!$A54,'Calculated Fields'!$C$2:$DG$2,0)),"")</f>
        <v/>
      </c>
      <c r="S54" s="179" t="str">
        <f ca="1">_xlfn.IFNA(INDEX('Calculated Fields'!$C:$DG,MATCH(Agent_wise!S$5,'Calculated Fields'!$B:$B,0),MATCH(Agent_wise!$A54,'Calculated Fields'!$C$2:$DG$2,0)),"")</f>
        <v/>
      </c>
      <c r="T54" s="179" t="str">
        <f ca="1">_xlfn.IFNA(INDEX('Calculated Fields'!$C:$DG,MATCH(Agent_wise!T$5,'Calculated Fields'!$B:$B,0),MATCH(Agent_wise!$A54,'Calculated Fields'!$C$2:$DG$2,0)),"")</f>
        <v/>
      </c>
      <c r="U54" s="179" t="str">
        <f ca="1">_xlfn.IFNA(INDEX('Calculated Fields'!$C:$DG,MATCH(Agent_wise!U$5,'Calculated Fields'!$B:$B,0),MATCH(Agent_wise!$A54,'Calculated Fields'!$C$2:$DG$2,0)),"")</f>
        <v/>
      </c>
      <c r="V54" s="179" t="str">
        <f ca="1">_xlfn.IFNA(INDEX('Calculated Fields'!$C:$DG,MATCH(Agent_wise!V$5,'Calculated Fields'!$B:$B,0),MATCH(Agent_wise!$A54,'Calculated Fields'!$C$2:$DG$2,0)),"")</f>
        <v/>
      </c>
      <c r="W54" s="179" t="str">
        <f ca="1">_xlfn.IFNA(INDEX('Calculated Fields'!$C:$DG,MATCH(Agent_wise!W$5,'Calculated Fields'!$B:$B,0),MATCH(Agent_wise!$A54,'Calculated Fields'!$C$2:$DG$2,0)),"")</f>
        <v/>
      </c>
      <c r="X54" s="179" t="str">
        <f ca="1">_xlfn.IFNA(INDEX('Calculated Fields'!$C:$DG,MATCH(Agent_wise!X$5,'Calculated Fields'!$B:$B,0),MATCH(Agent_wise!$A54,'Calculated Fields'!$C$2:$DG$2,0)),"")</f>
        <v/>
      </c>
      <c r="Y54" s="179" t="str">
        <f ca="1">_xlfn.IFNA(INDEX('Calculated Fields'!$C:$DG,MATCH(Agent_wise!Y$5,'Calculated Fields'!$B:$B,0),MATCH(Agent_wise!$A54,'Calculated Fields'!$C$2:$DG$2,0)),"")</f>
        <v/>
      </c>
      <c r="Z54" s="179" t="str">
        <f ca="1">_xlfn.IFNA(INDEX('Calculated Fields'!$C:$DG,MATCH(Agent_wise!Z$5,'Calculated Fields'!$B:$B,0),MATCH(Agent_wise!$A54,'Calculated Fields'!$C$2:$DG$2,0)),"")</f>
        <v/>
      </c>
      <c r="AA54" s="1"/>
      <c r="AB54" s="1"/>
      <c r="AC54" s="1"/>
      <c r="AD54" s="1"/>
      <c r="AE54" s="1"/>
      <c r="AF54" s="1"/>
      <c r="AG54" s="1"/>
      <c r="AH54" s="1"/>
    </row>
    <row r="55" spans="1:34" ht="14.4">
      <c r="A55" s="177" t="s">
        <v>590</v>
      </c>
      <c r="B55" s="178">
        <f ca="1">_xlfn.IFNA(INDEX('Calculated Fields'!$C:$DG,MATCH(Agent_wise!B$5,'Calculated Fields'!$B:$B,0),MATCH(Agent_wise!$A55,'Calculated Fields'!$C$2:$DG$2,0)),"")</f>
        <v>0</v>
      </c>
      <c r="C55" s="178">
        <f ca="1">_xlfn.IFNA(INDEX('Calculated Fields'!$C:$DG,MATCH(Agent_wise!C$5,'Calculated Fields'!$B:$B,0),MATCH(Agent_wise!$A55,'Calculated Fields'!$C$2:$DG$2,0)),"")</f>
        <v>1</v>
      </c>
      <c r="D55" s="178">
        <f ca="1">_xlfn.IFNA(INDEX('Calculated Fields'!$C:$DG,MATCH(Agent_wise!D$5,'Calculated Fields'!$B:$B,0),MATCH(Agent_wise!$A55,'Calculated Fields'!$C$2:$DG$2,0)),"")</f>
        <v>0</v>
      </c>
      <c r="E55" s="178">
        <f ca="1">_xlfn.IFNA(INDEX('Calculated Fields'!$C:$DG,MATCH(Agent_wise!E$5,'Calculated Fields'!$B:$B,0),MATCH(Agent_wise!$A55,'Calculated Fields'!$C$2:$DG$2,0)),"")</f>
        <v>0</v>
      </c>
      <c r="F55" s="178">
        <f ca="1">_xlfn.IFNA(INDEX('Calculated Fields'!$C:$DG,MATCH(Agent_wise!F$5,'Calculated Fields'!$B:$B,0),MATCH(Agent_wise!$A55,'Calculated Fields'!$C$2:$DG$2,0)),"")</f>
        <v>0</v>
      </c>
      <c r="G55" s="178">
        <f ca="1">_xlfn.IFNA(INDEX('Calculated Fields'!$C:$DG,MATCH(Agent_wise!G$5,'Calculated Fields'!$B:$B,0),MATCH(Agent_wise!$A55,'Calculated Fields'!$C$2:$DG$2,0)),"")</f>
        <v>1</v>
      </c>
      <c r="H55" s="178">
        <f ca="1">_xlfn.IFNA(INDEX('Calculated Fields'!$C:$DG,MATCH(Agent_wise!H$5,'Calculated Fields'!$B:$B,0),MATCH(Agent_wise!$A55,'Calculated Fields'!$C$2:$DG$2,0)),"")</f>
        <v>0</v>
      </c>
      <c r="I55" s="178">
        <f ca="1">_xlfn.IFNA(INDEX('Calculated Fields'!$C:$DG,MATCH(Agent_wise!I$5,'Calculated Fields'!$B:$B,0),MATCH(Agent_wise!$A55,'Calculated Fields'!$C$2:$DG$2,0)),"")</f>
        <v>0</v>
      </c>
      <c r="J55" s="178">
        <f ca="1">_xlfn.IFNA(INDEX('Calculated Fields'!$C:$DG,MATCH(Agent_wise!J$5,'Calculated Fields'!$B:$B,0),MATCH(Agent_wise!$A55,'Calculated Fields'!$C$2:$DG$2,0)),"")</f>
        <v>0</v>
      </c>
      <c r="K55" s="178">
        <f ca="1">_xlfn.IFNA(INDEX('Calculated Fields'!$C:$DG,MATCH(Agent_wise!K$5,'Calculated Fields'!$B:$B,0),MATCH(Agent_wise!$A55,'Calculated Fields'!$C$2:$DG$2,0)),"")</f>
        <v>0</v>
      </c>
      <c r="L55" s="179" t="str">
        <f ca="1">_xlfn.IFNA(INDEX('Calculated Fields'!$C:$DG,MATCH(Agent_wise!L$5,'Calculated Fields'!$B:$B,0),MATCH(Agent_wise!$A55,'Calculated Fields'!$C$2:$DG$2,0)),"")</f>
        <v/>
      </c>
      <c r="M55" s="179" t="str">
        <f ca="1">_xlfn.IFNA(INDEX('Calculated Fields'!$C:$DG,MATCH(Agent_wise!M$5,'Calculated Fields'!$B:$B,0),MATCH(Agent_wise!$A55,'Calculated Fields'!$C$2:$DG$2,0)),"")</f>
        <v/>
      </c>
      <c r="N55" s="179" t="str">
        <f ca="1">_xlfn.IFNA(INDEX('Calculated Fields'!$C:$DG,MATCH(Agent_wise!N$5,'Calculated Fields'!$B:$B,0),MATCH(Agent_wise!$A55,'Calculated Fields'!$C$2:$DG$2,0)),"")</f>
        <v/>
      </c>
      <c r="O55" s="179" t="str">
        <f ca="1">_xlfn.IFNA(INDEX('Calculated Fields'!$C:$DG,MATCH(Agent_wise!O$5,'Calculated Fields'!$B:$B,0),MATCH(Agent_wise!$A55,'Calculated Fields'!$C$2:$DG$2,0)),"")</f>
        <v/>
      </c>
      <c r="P55" s="179" t="str">
        <f ca="1">_xlfn.IFNA(INDEX('Calculated Fields'!$C:$DG,MATCH(Agent_wise!P$5,'Calculated Fields'!$B:$B,0),MATCH(Agent_wise!$A55,'Calculated Fields'!$C$2:$DG$2,0)),"")</f>
        <v/>
      </c>
      <c r="Q55" s="179" t="str">
        <f ca="1">_xlfn.IFNA(INDEX('Calculated Fields'!$C:$DG,MATCH(Agent_wise!Q$5,'Calculated Fields'!$B:$B,0),MATCH(Agent_wise!$A55,'Calculated Fields'!$C$2:$DG$2,0)),"")</f>
        <v/>
      </c>
      <c r="R55" s="179" t="str">
        <f ca="1">_xlfn.IFNA(INDEX('Calculated Fields'!$C:$DG,MATCH(Agent_wise!R$5,'Calculated Fields'!$B:$B,0),MATCH(Agent_wise!$A55,'Calculated Fields'!$C$2:$DG$2,0)),"")</f>
        <v/>
      </c>
      <c r="S55" s="179" t="str">
        <f ca="1">_xlfn.IFNA(INDEX('Calculated Fields'!$C:$DG,MATCH(Agent_wise!S$5,'Calculated Fields'!$B:$B,0),MATCH(Agent_wise!$A55,'Calculated Fields'!$C$2:$DG$2,0)),"")</f>
        <v/>
      </c>
      <c r="T55" s="179" t="str">
        <f ca="1">_xlfn.IFNA(INDEX('Calculated Fields'!$C:$DG,MATCH(Agent_wise!T$5,'Calculated Fields'!$B:$B,0),MATCH(Agent_wise!$A55,'Calculated Fields'!$C$2:$DG$2,0)),"")</f>
        <v/>
      </c>
      <c r="U55" s="179" t="str">
        <f ca="1">_xlfn.IFNA(INDEX('Calculated Fields'!$C:$DG,MATCH(Agent_wise!U$5,'Calculated Fields'!$B:$B,0),MATCH(Agent_wise!$A55,'Calculated Fields'!$C$2:$DG$2,0)),"")</f>
        <v/>
      </c>
      <c r="V55" s="179" t="str">
        <f ca="1">_xlfn.IFNA(INDEX('Calculated Fields'!$C:$DG,MATCH(Agent_wise!V$5,'Calculated Fields'!$B:$B,0),MATCH(Agent_wise!$A55,'Calculated Fields'!$C$2:$DG$2,0)),"")</f>
        <v/>
      </c>
      <c r="W55" s="179" t="str">
        <f ca="1">_xlfn.IFNA(INDEX('Calculated Fields'!$C:$DG,MATCH(Agent_wise!W$5,'Calculated Fields'!$B:$B,0),MATCH(Agent_wise!$A55,'Calculated Fields'!$C$2:$DG$2,0)),"")</f>
        <v/>
      </c>
      <c r="X55" s="179" t="str">
        <f ca="1">_xlfn.IFNA(INDEX('Calculated Fields'!$C:$DG,MATCH(Agent_wise!X$5,'Calculated Fields'!$B:$B,0),MATCH(Agent_wise!$A55,'Calculated Fields'!$C$2:$DG$2,0)),"")</f>
        <v/>
      </c>
      <c r="Y55" s="179" t="str">
        <f ca="1">_xlfn.IFNA(INDEX('Calculated Fields'!$C:$DG,MATCH(Agent_wise!Y$5,'Calculated Fields'!$B:$B,0),MATCH(Agent_wise!$A55,'Calculated Fields'!$C$2:$DG$2,0)),"")</f>
        <v/>
      </c>
      <c r="Z55" s="179" t="str">
        <f ca="1">_xlfn.IFNA(INDEX('Calculated Fields'!$C:$DG,MATCH(Agent_wise!Z$5,'Calculated Fields'!$B:$B,0),MATCH(Agent_wise!$A55,'Calculated Fields'!$C$2:$DG$2,0)),"")</f>
        <v/>
      </c>
      <c r="AA55" s="1"/>
      <c r="AB55" s="1"/>
      <c r="AC55" s="1"/>
      <c r="AD55" s="1"/>
      <c r="AE55" s="1"/>
      <c r="AF55" s="1"/>
      <c r="AG55" s="1"/>
      <c r="AH55" s="1"/>
    </row>
    <row r="56" spans="1:34" ht="14.4">
      <c r="A56" s="177" t="s">
        <v>591</v>
      </c>
      <c r="B56" s="178">
        <f ca="1">_xlfn.IFNA(INDEX('Calculated Fields'!$C:$DG,MATCH(Agent_wise!B$5,'Calculated Fields'!$B:$B,0),MATCH(Agent_wise!$A56,'Calculated Fields'!$C$2:$DG$2,0)),"")</f>
        <v>20</v>
      </c>
      <c r="C56" s="178">
        <f ca="1">_xlfn.IFNA(INDEX('Calculated Fields'!$C:$DG,MATCH(Agent_wise!C$5,'Calculated Fields'!$B:$B,0),MATCH(Agent_wise!$A56,'Calculated Fields'!$C$2:$DG$2,0)),"")</f>
        <v>22</v>
      </c>
      <c r="D56" s="178">
        <f ca="1">_xlfn.IFNA(INDEX('Calculated Fields'!$C:$DG,MATCH(Agent_wise!D$5,'Calculated Fields'!$B:$B,0),MATCH(Agent_wise!$A56,'Calculated Fields'!$C$2:$DG$2,0)),"")</f>
        <v>10</v>
      </c>
      <c r="E56" s="178">
        <f ca="1">_xlfn.IFNA(INDEX('Calculated Fields'!$C:$DG,MATCH(Agent_wise!E$5,'Calculated Fields'!$B:$B,0),MATCH(Agent_wise!$A56,'Calculated Fields'!$C$2:$DG$2,0)),"")</f>
        <v>8</v>
      </c>
      <c r="F56" s="178">
        <f ca="1">_xlfn.IFNA(INDEX('Calculated Fields'!$C:$DG,MATCH(Agent_wise!F$5,'Calculated Fields'!$B:$B,0),MATCH(Agent_wise!$A56,'Calculated Fields'!$C$2:$DG$2,0)),"")</f>
        <v>12</v>
      </c>
      <c r="G56" s="178">
        <f ca="1">_xlfn.IFNA(INDEX('Calculated Fields'!$C:$DG,MATCH(Agent_wise!G$5,'Calculated Fields'!$B:$B,0),MATCH(Agent_wise!$A56,'Calculated Fields'!$C$2:$DG$2,0)),"")</f>
        <v>20</v>
      </c>
      <c r="H56" s="178">
        <f ca="1">_xlfn.IFNA(INDEX('Calculated Fields'!$C:$DG,MATCH(Agent_wise!H$5,'Calculated Fields'!$B:$B,0),MATCH(Agent_wise!$A56,'Calculated Fields'!$C$2:$DG$2,0)),"")</f>
        <v>14</v>
      </c>
      <c r="I56" s="178">
        <f ca="1">_xlfn.IFNA(INDEX('Calculated Fields'!$C:$DG,MATCH(Agent_wise!I$5,'Calculated Fields'!$B:$B,0),MATCH(Agent_wise!$A56,'Calculated Fields'!$C$2:$DG$2,0)),"")</f>
        <v>16</v>
      </c>
      <c r="J56" s="178">
        <f ca="1">_xlfn.IFNA(INDEX('Calculated Fields'!$C:$DG,MATCH(Agent_wise!J$5,'Calculated Fields'!$B:$B,0),MATCH(Agent_wise!$A56,'Calculated Fields'!$C$2:$DG$2,0)),"")</f>
        <v>15</v>
      </c>
      <c r="K56" s="178">
        <f ca="1">_xlfn.IFNA(INDEX('Calculated Fields'!$C:$DG,MATCH(Agent_wise!K$5,'Calculated Fields'!$B:$B,0),MATCH(Agent_wise!$A56,'Calculated Fields'!$C$2:$DG$2,0)),"")</f>
        <v>26</v>
      </c>
      <c r="L56" s="179" t="str">
        <f ca="1">_xlfn.IFNA(INDEX('Calculated Fields'!$C:$DG,MATCH(Agent_wise!L$5,'Calculated Fields'!$B:$B,0),MATCH(Agent_wise!$A56,'Calculated Fields'!$C$2:$DG$2,0)),"")</f>
        <v/>
      </c>
      <c r="M56" s="179" t="str">
        <f ca="1">_xlfn.IFNA(INDEX('Calculated Fields'!$C:$DG,MATCH(Agent_wise!M$5,'Calculated Fields'!$B:$B,0),MATCH(Agent_wise!$A56,'Calculated Fields'!$C$2:$DG$2,0)),"")</f>
        <v/>
      </c>
      <c r="N56" s="179" t="str">
        <f ca="1">_xlfn.IFNA(INDEX('Calculated Fields'!$C:$DG,MATCH(Agent_wise!N$5,'Calculated Fields'!$B:$B,0),MATCH(Agent_wise!$A56,'Calculated Fields'!$C$2:$DG$2,0)),"")</f>
        <v/>
      </c>
      <c r="O56" s="179" t="str">
        <f ca="1">_xlfn.IFNA(INDEX('Calculated Fields'!$C:$DG,MATCH(Agent_wise!O$5,'Calculated Fields'!$B:$B,0),MATCH(Agent_wise!$A56,'Calculated Fields'!$C$2:$DG$2,0)),"")</f>
        <v/>
      </c>
      <c r="P56" s="179" t="str">
        <f ca="1">_xlfn.IFNA(INDEX('Calculated Fields'!$C:$DG,MATCH(Agent_wise!P$5,'Calculated Fields'!$B:$B,0),MATCH(Agent_wise!$A56,'Calculated Fields'!$C$2:$DG$2,0)),"")</f>
        <v/>
      </c>
      <c r="Q56" s="179" t="str">
        <f ca="1">_xlfn.IFNA(INDEX('Calculated Fields'!$C:$DG,MATCH(Agent_wise!Q$5,'Calculated Fields'!$B:$B,0),MATCH(Agent_wise!$A56,'Calculated Fields'!$C$2:$DG$2,0)),"")</f>
        <v/>
      </c>
      <c r="R56" s="179" t="str">
        <f ca="1">_xlfn.IFNA(INDEX('Calculated Fields'!$C:$DG,MATCH(Agent_wise!R$5,'Calculated Fields'!$B:$B,0),MATCH(Agent_wise!$A56,'Calculated Fields'!$C$2:$DG$2,0)),"")</f>
        <v/>
      </c>
      <c r="S56" s="179" t="str">
        <f ca="1">_xlfn.IFNA(INDEX('Calculated Fields'!$C:$DG,MATCH(Agent_wise!S$5,'Calculated Fields'!$B:$B,0),MATCH(Agent_wise!$A56,'Calculated Fields'!$C$2:$DG$2,0)),"")</f>
        <v/>
      </c>
      <c r="T56" s="179" t="str">
        <f ca="1">_xlfn.IFNA(INDEX('Calculated Fields'!$C:$DG,MATCH(Agent_wise!T$5,'Calculated Fields'!$B:$B,0),MATCH(Agent_wise!$A56,'Calculated Fields'!$C$2:$DG$2,0)),"")</f>
        <v/>
      </c>
      <c r="U56" s="179" t="str">
        <f ca="1">_xlfn.IFNA(INDEX('Calculated Fields'!$C:$DG,MATCH(Agent_wise!U$5,'Calculated Fields'!$B:$B,0),MATCH(Agent_wise!$A56,'Calculated Fields'!$C$2:$DG$2,0)),"")</f>
        <v/>
      </c>
      <c r="V56" s="179" t="str">
        <f ca="1">_xlfn.IFNA(INDEX('Calculated Fields'!$C:$DG,MATCH(Agent_wise!V$5,'Calculated Fields'!$B:$B,0),MATCH(Agent_wise!$A56,'Calculated Fields'!$C$2:$DG$2,0)),"")</f>
        <v/>
      </c>
      <c r="W56" s="179" t="str">
        <f ca="1">_xlfn.IFNA(INDEX('Calculated Fields'!$C:$DG,MATCH(Agent_wise!W$5,'Calculated Fields'!$B:$B,0),MATCH(Agent_wise!$A56,'Calculated Fields'!$C$2:$DG$2,0)),"")</f>
        <v/>
      </c>
      <c r="X56" s="179" t="str">
        <f ca="1">_xlfn.IFNA(INDEX('Calculated Fields'!$C:$DG,MATCH(Agent_wise!X$5,'Calculated Fields'!$B:$B,0),MATCH(Agent_wise!$A56,'Calculated Fields'!$C$2:$DG$2,0)),"")</f>
        <v/>
      </c>
      <c r="Y56" s="179" t="str">
        <f ca="1">_xlfn.IFNA(INDEX('Calculated Fields'!$C:$DG,MATCH(Agent_wise!Y$5,'Calculated Fields'!$B:$B,0),MATCH(Agent_wise!$A56,'Calculated Fields'!$C$2:$DG$2,0)),"")</f>
        <v/>
      </c>
      <c r="Z56" s="179" t="str">
        <f ca="1">_xlfn.IFNA(INDEX('Calculated Fields'!$C:$DG,MATCH(Agent_wise!Z$5,'Calculated Fields'!$B:$B,0),MATCH(Agent_wise!$A56,'Calculated Fields'!$C$2:$DG$2,0)),"")</f>
        <v/>
      </c>
      <c r="AA56" s="1"/>
      <c r="AB56" s="1"/>
      <c r="AC56" s="1"/>
      <c r="AD56" s="1"/>
      <c r="AE56" s="1"/>
      <c r="AF56" s="1"/>
      <c r="AG56" s="1"/>
      <c r="AH56" s="1"/>
    </row>
    <row r="57" spans="1:34" ht="14.4">
      <c r="A57" s="177" t="s">
        <v>592</v>
      </c>
      <c r="B57" s="178">
        <f ca="1">_xlfn.IFNA(INDEX('Calculated Fields'!$C:$DG,MATCH(Agent_wise!B$5,'Calculated Fields'!$B:$B,0),MATCH(Agent_wise!$A57,'Calculated Fields'!$C$2:$DG$2,0)),"")</f>
        <v>0</v>
      </c>
      <c r="C57" s="178">
        <f ca="1">_xlfn.IFNA(INDEX('Calculated Fields'!$C:$DG,MATCH(Agent_wise!C$5,'Calculated Fields'!$B:$B,0),MATCH(Agent_wise!$A57,'Calculated Fields'!$C$2:$DG$2,0)),"")</f>
        <v>0</v>
      </c>
      <c r="D57" s="178">
        <f ca="1">_xlfn.IFNA(INDEX('Calculated Fields'!$C:$DG,MATCH(Agent_wise!D$5,'Calculated Fields'!$B:$B,0),MATCH(Agent_wise!$A57,'Calculated Fields'!$C$2:$DG$2,0)),"")</f>
        <v>0</v>
      </c>
      <c r="E57" s="178">
        <f ca="1">_xlfn.IFNA(INDEX('Calculated Fields'!$C:$DG,MATCH(Agent_wise!E$5,'Calculated Fields'!$B:$B,0),MATCH(Agent_wise!$A57,'Calculated Fields'!$C$2:$DG$2,0)),"")</f>
        <v>0</v>
      </c>
      <c r="F57" s="178">
        <f ca="1">_xlfn.IFNA(INDEX('Calculated Fields'!$C:$DG,MATCH(Agent_wise!F$5,'Calculated Fields'!$B:$B,0),MATCH(Agent_wise!$A57,'Calculated Fields'!$C$2:$DG$2,0)),"")</f>
        <v>1</v>
      </c>
      <c r="G57" s="178">
        <f ca="1">_xlfn.IFNA(INDEX('Calculated Fields'!$C:$DG,MATCH(Agent_wise!G$5,'Calculated Fields'!$B:$B,0),MATCH(Agent_wise!$A57,'Calculated Fields'!$C$2:$DG$2,0)),"")</f>
        <v>1</v>
      </c>
      <c r="H57" s="178">
        <f ca="1">_xlfn.IFNA(INDEX('Calculated Fields'!$C:$DG,MATCH(Agent_wise!H$5,'Calculated Fields'!$B:$B,0),MATCH(Agent_wise!$A57,'Calculated Fields'!$C$2:$DG$2,0)),"")</f>
        <v>1</v>
      </c>
      <c r="I57" s="178">
        <f ca="1">_xlfn.IFNA(INDEX('Calculated Fields'!$C:$DG,MATCH(Agent_wise!I$5,'Calculated Fields'!$B:$B,0),MATCH(Agent_wise!$A57,'Calculated Fields'!$C$2:$DG$2,0)),"")</f>
        <v>0</v>
      </c>
      <c r="J57" s="178">
        <f ca="1">_xlfn.IFNA(INDEX('Calculated Fields'!$C:$DG,MATCH(Agent_wise!J$5,'Calculated Fields'!$B:$B,0),MATCH(Agent_wise!$A57,'Calculated Fields'!$C$2:$DG$2,0)),"")</f>
        <v>0</v>
      </c>
      <c r="K57" s="178">
        <f ca="1">_xlfn.IFNA(INDEX('Calculated Fields'!$C:$DG,MATCH(Agent_wise!K$5,'Calculated Fields'!$B:$B,0),MATCH(Agent_wise!$A57,'Calculated Fields'!$C$2:$DG$2,0)),"")</f>
        <v>0</v>
      </c>
      <c r="L57" s="179" t="str">
        <f ca="1">_xlfn.IFNA(INDEX('Calculated Fields'!$C:$DG,MATCH(Agent_wise!L$5,'Calculated Fields'!$B:$B,0),MATCH(Agent_wise!$A57,'Calculated Fields'!$C$2:$DG$2,0)),"")</f>
        <v/>
      </c>
      <c r="M57" s="179" t="str">
        <f ca="1">_xlfn.IFNA(INDEX('Calculated Fields'!$C:$DG,MATCH(Agent_wise!M$5,'Calculated Fields'!$B:$B,0),MATCH(Agent_wise!$A57,'Calculated Fields'!$C$2:$DG$2,0)),"")</f>
        <v/>
      </c>
      <c r="N57" s="179" t="str">
        <f ca="1">_xlfn.IFNA(INDEX('Calculated Fields'!$C:$DG,MATCH(Agent_wise!N$5,'Calculated Fields'!$B:$B,0),MATCH(Agent_wise!$A57,'Calculated Fields'!$C$2:$DG$2,0)),"")</f>
        <v/>
      </c>
      <c r="O57" s="179" t="str">
        <f ca="1">_xlfn.IFNA(INDEX('Calculated Fields'!$C:$DG,MATCH(Agent_wise!O$5,'Calculated Fields'!$B:$B,0),MATCH(Agent_wise!$A57,'Calculated Fields'!$C$2:$DG$2,0)),"")</f>
        <v/>
      </c>
      <c r="P57" s="179" t="str">
        <f ca="1">_xlfn.IFNA(INDEX('Calculated Fields'!$C:$DG,MATCH(Agent_wise!P$5,'Calculated Fields'!$B:$B,0),MATCH(Agent_wise!$A57,'Calculated Fields'!$C$2:$DG$2,0)),"")</f>
        <v/>
      </c>
      <c r="Q57" s="179" t="str">
        <f ca="1">_xlfn.IFNA(INDEX('Calculated Fields'!$C:$DG,MATCH(Agent_wise!Q$5,'Calculated Fields'!$B:$B,0),MATCH(Agent_wise!$A57,'Calculated Fields'!$C$2:$DG$2,0)),"")</f>
        <v/>
      </c>
      <c r="R57" s="179" t="str">
        <f ca="1">_xlfn.IFNA(INDEX('Calculated Fields'!$C:$DG,MATCH(Agent_wise!R$5,'Calculated Fields'!$B:$B,0),MATCH(Agent_wise!$A57,'Calculated Fields'!$C$2:$DG$2,0)),"")</f>
        <v/>
      </c>
      <c r="S57" s="179" t="str">
        <f ca="1">_xlfn.IFNA(INDEX('Calculated Fields'!$C:$DG,MATCH(Agent_wise!S$5,'Calculated Fields'!$B:$B,0),MATCH(Agent_wise!$A57,'Calculated Fields'!$C$2:$DG$2,0)),"")</f>
        <v/>
      </c>
      <c r="T57" s="179" t="str">
        <f ca="1">_xlfn.IFNA(INDEX('Calculated Fields'!$C:$DG,MATCH(Agent_wise!T$5,'Calculated Fields'!$B:$B,0),MATCH(Agent_wise!$A57,'Calculated Fields'!$C$2:$DG$2,0)),"")</f>
        <v/>
      </c>
      <c r="U57" s="179" t="str">
        <f ca="1">_xlfn.IFNA(INDEX('Calculated Fields'!$C:$DG,MATCH(Agent_wise!U$5,'Calculated Fields'!$B:$B,0),MATCH(Agent_wise!$A57,'Calculated Fields'!$C$2:$DG$2,0)),"")</f>
        <v/>
      </c>
      <c r="V57" s="179" t="str">
        <f ca="1">_xlfn.IFNA(INDEX('Calculated Fields'!$C:$DG,MATCH(Agent_wise!V$5,'Calculated Fields'!$B:$B,0),MATCH(Agent_wise!$A57,'Calculated Fields'!$C$2:$DG$2,0)),"")</f>
        <v/>
      </c>
      <c r="W57" s="179" t="str">
        <f ca="1">_xlfn.IFNA(INDEX('Calculated Fields'!$C:$DG,MATCH(Agent_wise!W$5,'Calculated Fields'!$B:$B,0),MATCH(Agent_wise!$A57,'Calculated Fields'!$C$2:$DG$2,0)),"")</f>
        <v/>
      </c>
      <c r="X57" s="179" t="str">
        <f ca="1">_xlfn.IFNA(INDEX('Calculated Fields'!$C:$DG,MATCH(Agent_wise!X$5,'Calculated Fields'!$B:$B,0),MATCH(Agent_wise!$A57,'Calculated Fields'!$C$2:$DG$2,0)),"")</f>
        <v/>
      </c>
      <c r="Y57" s="179" t="str">
        <f ca="1">_xlfn.IFNA(INDEX('Calculated Fields'!$C:$DG,MATCH(Agent_wise!Y$5,'Calculated Fields'!$B:$B,0),MATCH(Agent_wise!$A57,'Calculated Fields'!$C$2:$DG$2,0)),"")</f>
        <v/>
      </c>
      <c r="Z57" s="179" t="str">
        <f ca="1">_xlfn.IFNA(INDEX('Calculated Fields'!$C:$DG,MATCH(Agent_wise!Z$5,'Calculated Fields'!$B:$B,0),MATCH(Agent_wise!$A57,'Calculated Fields'!$C$2:$DG$2,0)),"")</f>
        <v/>
      </c>
      <c r="AA57" s="1"/>
      <c r="AB57" s="1"/>
      <c r="AC57" s="1"/>
      <c r="AD57" s="1"/>
      <c r="AE57" s="1"/>
      <c r="AF57" s="1"/>
      <c r="AG57" s="1"/>
      <c r="AH57" s="1"/>
    </row>
    <row r="58" spans="1:34" ht="14.4">
      <c r="A58" s="177" t="s">
        <v>593</v>
      </c>
      <c r="B58" s="178">
        <f ca="1">_xlfn.IFNA(INDEX('Calculated Fields'!$C:$DG,MATCH(Agent_wise!B$5,'Calculated Fields'!$B:$B,0),MATCH(Agent_wise!$A58,'Calculated Fields'!$C$2:$DG$2,0)),"")</f>
        <v>0</v>
      </c>
      <c r="C58" s="178">
        <f ca="1">_xlfn.IFNA(INDEX('Calculated Fields'!$C:$DG,MATCH(Agent_wise!C$5,'Calculated Fields'!$B:$B,0),MATCH(Agent_wise!$A58,'Calculated Fields'!$C$2:$DG$2,0)),"")</f>
        <v>0</v>
      </c>
      <c r="D58" s="178">
        <f ca="1">_xlfn.IFNA(INDEX('Calculated Fields'!$C:$DG,MATCH(Agent_wise!D$5,'Calculated Fields'!$B:$B,0),MATCH(Agent_wise!$A58,'Calculated Fields'!$C$2:$DG$2,0)),"")</f>
        <v>0</v>
      </c>
      <c r="E58" s="178">
        <f ca="1">_xlfn.IFNA(INDEX('Calculated Fields'!$C:$DG,MATCH(Agent_wise!E$5,'Calculated Fields'!$B:$B,0),MATCH(Agent_wise!$A58,'Calculated Fields'!$C$2:$DG$2,0)),"")</f>
        <v>0</v>
      </c>
      <c r="F58" s="178">
        <f ca="1">_xlfn.IFNA(INDEX('Calculated Fields'!$C:$DG,MATCH(Agent_wise!F$5,'Calculated Fields'!$B:$B,0),MATCH(Agent_wise!$A58,'Calculated Fields'!$C$2:$DG$2,0)),"")</f>
        <v>0.08</v>
      </c>
      <c r="G58" s="178">
        <f ca="1">_xlfn.IFNA(INDEX('Calculated Fields'!$C:$DG,MATCH(Agent_wise!G$5,'Calculated Fields'!$B:$B,0),MATCH(Agent_wise!$A58,'Calculated Fields'!$C$2:$DG$2,0)),"")</f>
        <v>0.05</v>
      </c>
      <c r="H58" s="178">
        <f ca="1">_xlfn.IFNA(INDEX('Calculated Fields'!$C:$DG,MATCH(Agent_wise!H$5,'Calculated Fields'!$B:$B,0),MATCH(Agent_wise!$A58,'Calculated Fields'!$C$2:$DG$2,0)),"")</f>
        <v>7.0000000000000007E-2</v>
      </c>
      <c r="I58" s="178">
        <f ca="1">_xlfn.IFNA(INDEX('Calculated Fields'!$C:$DG,MATCH(Agent_wise!I$5,'Calculated Fields'!$B:$B,0),MATCH(Agent_wise!$A58,'Calculated Fields'!$C$2:$DG$2,0)),"")</f>
        <v>0</v>
      </c>
      <c r="J58" s="178">
        <f ca="1">_xlfn.IFNA(INDEX('Calculated Fields'!$C:$DG,MATCH(Agent_wise!J$5,'Calculated Fields'!$B:$B,0),MATCH(Agent_wise!$A58,'Calculated Fields'!$C$2:$DG$2,0)),"")</f>
        <v>0</v>
      </c>
      <c r="K58" s="178">
        <f ca="1">_xlfn.IFNA(INDEX('Calculated Fields'!$C:$DG,MATCH(Agent_wise!K$5,'Calculated Fields'!$B:$B,0),MATCH(Agent_wise!$A58,'Calculated Fields'!$C$2:$DG$2,0)),"")</f>
        <v>0</v>
      </c>
      <c r="L58" s="179" t="str">
        <f ca="1">_xlfn.IFNA(INDEX('Calculated Fields'!$C:$DG,MATCH(Agent_wise!L$5,'Calculated Fields'!$B:$B,0),MATCH(Agent_wise!$A58,'Calculated Fields'!$C$2:$DG$2,0)),"")</f>
        <v/>
      </c>
      <c r="M58" s="179" t="str">
        <f ca="1">_xlfn.IFNA(INDEX('Calculated Fields'!$C:$DG,MATCH(Agent_wise!M$5,'Calculated Fields'!$B:$B,0),MATCH(Agent_wise!$A58,'Calculated Fields'!$C$2:$DG$2,0)),"")</f>
        <v/>
      </c>
      <c r="N58" s="179" t="str">
        <f ca="1">_xlfn.IFNA(INDEX('Calculated Fields'!$C:$DG,MATCH(Agent_wise!N$5,'Calculated Fields'!$B:$B,0),MATCH(Agent_wise!$A58,'Calculated Fields'!$C$2:$DG$2,0)),"")</f>
        <v/>
      </c>
      <c r="O58" s="179" t="str">
        <f ca="1">_xlfn.IFNA(INDEX('Calculated Fields'!$C:$DG,MATCH(Agent_wise!O$5,'Calculated Fields'!$B:$B,0),MATCH(Agent_wise!$A58,'Calculated Fields'!$C$2:$DG$2,0)),"")</f>
        <v/>
      </c>
      <c r="P58" s="179" t="str">
        <f ca="1">_xlfn.IFNA(INDEX('Calculated Fields'!$C:$DG,MATCH(Agent_wise!P$5,'Calculated Fields'!$B:$B,0),MATCH(Agent_wise!$A58,'Calculated Fields'!$C$2:$DG$2,0)),"")</f>
        <v/>
      </c>
      <c r="Q58" s="179" t="str">
        <f ca="1">_xlfn.IFNA(INDEX('Calculated Fields'!$C:$DG,MATCH(Agent_wise!Q$5,'Calculated Fields'!$B:$B,0),MATCH(Agent_wise!$A58,'Calculated Fields'!$C$2:$DG$2,0)),"")</f>
        <v/>
      </c>
      <c r="R58" s="179" t="str">
        <f ca="1">_xlfn.IFNA(INDEX('Calculated Fields'!$C:$DG,MATCH(Agent_wise!R$5,'Calculated Fields'!$B:$B,0),MATCH(Agent_wise!$A58,'Calculated Fields'!$C$2:$DG$2,0)),"")</f>
        <v/>
      </c>
      <c r="S58" s="179" t="str">
        <f ca="1">_xlfn.IFNA(INDEX('Calculated Fields'!$C:$DG,MATCH(Agent_wise!S$5,'Calculated Fields'!$B:$B,0),MATCH(Agent_wise!$A58,'Calculated Fields'!$C$2:$DG$2,0)),"")</f>
        <v/>
      </c>
      <c r="T58" s="179" t="str">
        <f ca="1">_xlfn.IFNA(INDEX('Calculated Fields'!$C:$DG,MATCH(Agent_wise!T$5,'Calculated Fields'!$B:$B,0),MATCH(Agent_wise!$A58,'Calculated Fields'!$C$2:$DG$2,0)),"")</f>
        <v/>
      </c>
      <c r="U58" s="179" t="str">
        <f ca="1">_xlfn.IFNA(INDEX('Calculated Fields'!$C:$DG,MATCH(Agent_wise!U$5,'Calculated Fields'!$B:$B,0),MATCH(Agent_wise!$A58,'Calculated Fields'!$C$2:$DG$2,0)),"")</f>
        <v/>
      </c>
      <c r="V58" s="179" t="str">
        <f ca="1">_xlfn.IFNA(INDEX('Calculated Fields'!$C:$DG,MATCH(Agent_wise!V$5,'Calculated Fields'!$B:$B,0),MATCH(Agent_wise!$A58,'Calculated Fields'!$C$2:$DG$2,0)),"")</f>
        <v/>
      </c>
      <c r="W58" s="179" t="str">
        <f ca="1">_xlfn.IFNA(INDEX('Calculated Fields'!$C:$DG,MATCH(Agent_wise!W$5,'Calculated Fields'!$B:$B,0),MATCH(Agent_wise!$A58,'Calculated Fields'!$C$2:$DG$2,0)),"")</f>
        <v/>
      </c>
      <c r="X58" s="179" t="str">
        <f ca="1">_xlfn.IFNA(INDEX('Calculated Fields'!$C:$DG,MATCH(Agent_wise!X$5,'Calculated Fields'!$B:$B,0),MATCH(Agent_wise!$A58,'Calculated Fields'!$C$2:$DG$2,0)),"")</f>
        <v/>
      </c>
      <c r="Y58" s="179" t="str">
        <f ca="1">_xlfn.IFNA(INDEX('Calculated Fields'!$C:$DG,MATCH(Agent_wise!Y$5,'Calculated Fields'!$B:$B,0),MATCH(Agent_wise!$A58,'Calculated Fields'!$C$2:$DG$2,0)),"")</f>
        <v/>
      </c>
      <c r="Z58" s="179" t="str">
        <f ca="1">_xlfn.IFNA(INDEX('Calculated Fields'!$C:$DG,MATCH(Agent_wise!Z$5,'Calculated Fields'!$B:$B,0),MATCH(Agent_wise!$A58,'Calculated Fields'!$C$2:$DG$2,0)),"")</f>
        <v/>
      </c>
      <c r="AA58" s="79"/>
      <c r="AB58" s="79"/>
      <c r="AC58" s="79"/>
      <c r="AD58" s="79"/>
      <c r="AE58" s="79"/>
      <c r="AF58" s="79"/>
      <c r="AG58" s="79"/>
      <c r="AH58" s="79"/>
    </row>
    <row r="59" spans="1:34" ht="14.4">
      <c r="A59" s="177" t="s">
        <v>1049</v>
      </c>
      <c r="B59" s="178">
        <f ca="1">_xlfn.IFNA(INDEX('Calculated Fields'!$C:$DG,MATCH(Agent_wise!B$5,'Calculated Fields'!$B:$B,0),MATCH(Agent_wise!$A59,'Calculated Fields'!$C$2:$DG$2,0)),"")</f>
        <v>1</v>
      </c>
      <c r="C59" s="178">
        <f ca="1">_xlfn.IFNA(INDEX('Calculated Fields'!$C:$DG,MATCH(Agent_wise!C$5,'Calculated Fields'!$B:$B,0),MATCH(Agent_wise!$A59,'Calculated Fields'!$C$2:$DG$2,0)),"")</f>
        <v>1</v>
      </c>
      <c r="D59" s="178">
        <f ca="1">_xlfn.IFNA(INDEX('Calculated Fields'!$C:$DG,MATCH(Agent_wise!D$5,'Calculated Fields'!$B:$B,0),MATCH(Agent_wise!$A59,'Calculated Fields'!$C$2:$DG$2,0)),"")</f>
        <v>1</v>
      </c>
      <c r="E59" s="178">
        <f ca="1">_xlfn.IFNA(INDEX('Calculated Fields'!$C:$DG,MATCH(Agent_wise!E$5,'Calculated Fields'!$B:$B,0),MATCH(Agent_wise!$A59,'Calculated Fields'!$C$2:$DG$2,0)),"")</f>
        <v>1</v>
      </c>
      <c r="F59" s="178">
        <f ca="1">_xlfn.IFNA(INDEX('Calculated Fields'!$C:$DG,MATCH(Agent_wise!F$5,'Calculated Fields'!$B:$B,0),MATCH(Agent_wise!$A59,'Calculated Fields'!$C$2:$DG$2,0)),"")</f>
        <v>1</v>
      </c>
      <c r="G59" s="178">
        <f ca="1">_xlfn.IFNA(INDEX('Calculated Fields'!$C:$DG,MATCH(Agent_wise!G$5,'Calculated Fields'!$B:$B,0),MATCH(Agent_wise!$A59,'Calculated Fields'!$C$2:$DG$2,0)),"")</f>
        <v>1</v>
      </c>
      <c r="H59" s="178">
        <f ca="1">_xlfn.IFNA(INDEX('Calculated Fields'!$C:$DG,MATCH(Agent_wise!H$5,'Calculated Fields'!$B:$B,0),MATCH(Agent_wise!$A59,'Calculated Fields'!$C$2:$DG$2,0)),"")</f>
        <v>1</v>
      </c>
      <c r="I59" s="178">
        <f ca="1">_xlfn.IFNA(INDEX('Calculated Fields'!$C:$DG,MATCH(Agent_wise!I$5,'Calculated Fields'!$B:$B,0),MATCH(Agent_wise!$A59,'Calculated Fields'!$C$2:$DG$2,0)),"")</f>
        <v>2</v>
      </c>
      <c r="J59" s="178">
        <f ca="1">_xlfn.IFNA(INDEX('Calculated Fields'!$C:$DG,MATCH(Agent_wise!J$5,'Calculated Fields'!$B:$B,0),MATCH(Agent_wise!$A59,'Calculated Fields'!$C$2:$DG$2,0)),"")</f>
        <v>1</v>
      </c>
      <c r="K59" s="178">
        <f ca="1">_xlfn.IFNA(INDEX('Calculated Fields'!$C:$DG,MATCH(Agent_wise!K$5,'Calculated Fields'!$B:$B,0),MATCH(Agent_wise!$A59,'Calculated Fields'!$C$2:$DG$2,0)),"")</f>
        <v>1</v>
      </c>
      <c r="L59" s="179" t="str">
        <f ca="1">_xlfn.IFNA(INDEX('Calculated Fields'!$C:$DG,MATCH(Agent_wise!L$5,'Calculated Fields'!$B:$B,0),MATCH(Agent_wise!$A59,'Calculated Fields'!$C$2:$DG$2,0)),"")</f>
        <v/>
      </c>
      <c r="M59" s="179" t="str">
        <f ca="1">_xlfn.IFNA(INDEX('Calculated Fields'!$C:$DG,MATCH(Agent_wise!M$5,'Calculated Fields'!$B:$B,0),MATCH(Agent_wise!$A59,'Calculated Fields'!$C$2:$DG$2,0)),"")</f>
        <v/>
      </c>
      <c r="N59" s="179" t="str">
        <f ca="1">_xlfn.IFNA(INDEX('Calculated Fields'!$C:$DG,MATCH(Agent_wise!N$5,'Calculated Fields'!$B:$B,0),MATCH(Agent_wise!$A59,'Calculated Fields'!$C$2:$DG$2,0)),"")</f>
        <v/>
      </c>
      <c r="O59" s="179" t="str">
        <f ca="1">_xlfn.IFNA(INDEX('Calculated Fields'!$C:$DG,MATCH(Agent_wise!O$5,'Calculated Fields'!$B:$B,0),MATCH(Agent_wise!$A59,'Calculated Fields'!$C$2:$DG$2,0)),"")</f>
        <v/>
      </c>
      <c r="P59" s="179" t="str">
        <f ca="1">_xlfn.IFNA(INDEX('Calculated Fields'!$C:$DG,MATCH(Agent_wise!P$5,'Calculated Fields'!$B:$B,0),MATCH(Agent_wise!$A59,'Calculated Fields'!$C$2:$DG$2,0)),"")</f>
        <v/>
      </c>
      <c r="Q59" s="179" t="str">
        <f ca="1">_xlfn.IFNA(INDEX('Calculated Fields'!$C:$DG,MATCH(Agent_wise!Q$5,'Calculated Fields'!$B:$B,0),MATCH(Agent_wise!$A59,'Calculated Fields'!$C$2:$DG$2,0)),"")</f>
        <v/>
      </c>
      <c r="R59" s="179" t="str">
        <f ca="1">_xlfn.IFNA(INDEX('Calculated Fields'!$C:$DG,MATCH(Agent_wise!R$5,'Calculated Fields'!$B:$B,0),MATCH(Agent_wise!$A59,'Calculated Fields'!$C$2:$DG$2,0)),"")</f>
        <v/>
      </c>
      <c r="S59" s="179" t="str">
        <f ca="1">_xlfn.IFNA(INDEX('Calculated Fields'!$C:$DG,MATCH(Agent_wise!S$5,'Calculated Fields'!$B:$B,0),MATCH(Agent_wise!$A59,'Calculated Fields'!$C$2:$DG$2,0)),"")</f>
        <v/>
      </c>
      <c r="T59" s="179" t="str">
        <f ca="1">_xlfn.IFNA(INDEX('Calculated Fields'!$C:$DG,MATCH(Agent_wise!T$5,'Calculated Fields'!$B:$B,0),MATCH(Agent_wise!$A59,'Calculated Fields'!$C$2:$DG$2,0)),"")</f>
        <v/>
      </c>
      <c r="U59" s="179" t="str">
        <f ca="1">_xlfn.IFNA(INDEX('Calculated Fields'!$C:$DG,MATCH(Agent_wise!U$5,'Calculated Fields'!$B:$B,0),MATCH(Agent_wise!$A59,'Calculated Fields'!$C$2:$DG$2,0)),"")</f>
        <v/>
      </c>
      <c r="V59" s="179" t="str">
        <f ca="1">_xlfn.IFNA(INDEX('Calculated Fields'!$C:$DG,MATCH(Agent_wise!V$5,'Calculated Fields'!$B:$B,0),MATCH(Agent_wise!$A59,'Calculated Fields'!$C$2:$DG$2,0)),"")</f>
        <v/>
      </c>
      <c r="W59" s="179" t="str">
        <f ca="1">_xlfn.IFNA(INDEX('Calculated Fields'!$C:$DG,MATCH(Agent_wise!W$5,'Calculated Fields'!$B:$B,0),MATCH(Agent_wise!$A59,'Calculated Fields'!$C$2:$DG$2,0)),"")</f>
        <v/>
      </c>
      <c r="X59" s="179" t="str">
        <f ca="1">_xlfn.IFNA(INDEX('Calculated Fields'!$C:$DG,MATCH(Agent_wise!X$5,'Calculated Fields'!$B:$B,0),MATCH(Agent_wise!$A59,'Calculated Fields'!$C$2:$DG$2,0)),"")</f>
        <v/>
      </c>
      <c r="Y59" s="179" t="str">
        <f ca="1">_xlfn.IFNA(INDEX('Calculated Fields'!$C:$DG,MATCH(Agent_wise!Y$5,'Calculated Fields'!$B:$B,0),MATCH(Agent_wise!$A59,'Calculated Fields'!$C$2:$DG$2,0)),"")</f>
        <v/>
      </c>
      <c r="Z59" s="179" t="str">
        <f ca="1">_xlfn.IFNA(INDEX('Calculated Fields'!$C:$DG,MATCH(Agent_wise!Z$5,'Calculated Fields'!$B:$B,0),MATCH(Agent_wise!$A59,'Calculated Fields'!$C$2:$DG$2,0)),"")</f>
        <v/>
      </c>
      <c r="AA59" s="1"/>
      <c r="AB59" s="1"/>
      <c r="AC59" s="1"/>
      <c r="AD59" s="1"/>
      <c r="AE59" s="1"/>
      <c r="AF59" s="1"/>
      <c r="AG59" s="1"/>
      <c r="AH59" s="1"/>
    </row>
    <row r="60" spans="1:34" ht="14.4">
      <c r="A60" s="177" t="s">
        <v>1050</v>
      </c>
      <c r="B60" s="178">
        <f ca="1">_xlfn.IFNA(INDEX('Calculated Fields'!$C:$DG,MATCH(Agent_wise!B$5,'Calculated Fields'!$B:$B,0),MATCH(Agent_wise!$A60,'Calculated Fields'!$C$2:$DG$2,0)),"")</f>
        <v>1</v>
      </c>
      <c r="C60" s="178">
        <f ca="1">_xlfn.IFNA(INDEX('Calculated Fields'!$C:$DG,MATCH(Agent_wise!C$5,'Calculated Fields'!$B:$B,0),MATCH(Agent_wise!$A60,'Calculated Fields'!$C$2:$DG$2,0)),"")</f>
        <v>1</v>
      </c>
      <c r="D60" s="178">
        <f ca="1">_xlfn.IFNA(INDEX('Calculated Fields'!$C:$DG,MATCH(Agent_wise!D$5,'Calculated Fields'!$B:$B,0),MATCH(Agent_wise!$A60,'Calculated Fields'!$C$2:$DG$2,0)),"")</f>
        <v>1</v>
      </c>
      <c r="E60" s="178">
        <f ca="1">_xlfn.IFNA(INDEX('Calculated Fields'!$C:$DG,MATCH(Agent_wise!E$5,'Calculated Fields'!$B:$B,0),MATCH(Agent_wise!$A60,'Calculated Fields'!$C$2:$DG$2,0)),"")</f>
        <v>1</v>
      </c>
      <c r="F60" s="178">
        <f ca="1">_xlfn.IFNA(INDEX('Calculated Fields'!$C:$DG,MATCH(Agent_wise!F$5,'Calculated Fields'!$B:$B,0),MATCH(Agent_wise!$A60,'Calculated Fields'!$C$2:$DG$2,0)),"")</f>
        <v>1</v>
      </c>
      <c r="G60" s="178">
        <f ca="1">_xlfn.IFNA(INDEX('Calculated Fields'!$C:$DG,MATCH(Agent_wise!G$5,'Calculated Fields'!$B:$B,0),MATCH(Agent_wise!$A60,'Calculated Fields'!$C$2:$DG$2,0)),"")</f>
        <v>1</v>
      </c>
      <c r="H60" s="178">
        <f ca="1">_xlfn.IFNA(INDEX('Calculated Fields'!$C:$DG,MATCH(Agent_wise!H$5,'Calculated Fields'!$B:$B,0),MATCH(Agent_wise!$A60,'Calculated Fields'!$C$2:$DG$2,0)),"")</f>
        <v>1</v>
      </c>
      <c r="I60" s="178">
        <f ca="1">_xlfn.IFNA(INDEX('Calculated Fields'!$C:$DG,MATCH(Agent_wise!I$5,'Calculated Fields'!$B:$B,0),MATCH(Agent_wise!$A60,'Calculated Fields'!$C$2:$DG$2,0)),"")</f>
        <v>1</v>
      </c>
      <c r="J60" s="178">
        <f ca="1">_xlfn.IFNA(INDEX('Calculated Fields'!$C:$DG,MATCH(Agent_wise!J$5,'Calculated Fields'!$B:$B,0),MATCH(Agent_wise!$A60,'Calculated Fields'!$C$2:$DG$2,0)),"")</f>
        <v>1</v>
      </c>
      <c r="K60" s="178">
        <f ca="1">_xlfn.IFNA(INDEX('Calculated Fields'!$C:$DG,MATCH(Agent_wise!K$5,'Calculated Fields'!$B:$B,0),MATCH(Agent_wise!$A60,'Calculated Fields'!$C$2:$DG$2,0)),"")</f>
        <v>1</v>
      </c>
      <c r="L60" s="179" t="str">
        <f ca="1">_xlfn.IFNA(INDEX('Calculated Fields'!$C:$DG,MATCH(Agent_wise!L$5,'Calculated Fields'!$B:$B,0),MATCH(Agent_wise!$A60,'Calculated Fields'!$C$2:$DG$2,0)),"")</f>
        <v/>
      </c>
      <c r="M60" s="179" t="str">
        <f ca="1">_xlfn.IFNA(INDEX('Calculated Fields'!$C:$DG,MATCH(Agent_wise!M$5,'Calculated Fields'!$B:$B,0),MATCH(Agent_wise!$A60,'Calculated Fields'!$C$2:$DG$2,0)),"")</f>
        <v/>
      </c>
      <c r="N60" s="179" t="str">
        <f ca="1">_xlfn.IFNA(INDEX('Calculated Fields'!$C:$DG,MATCH(Agent_wise!N$5,'Calculated Fields'!$B:$B,0),MATCH(Agent_wise!$A60,'Calculated Fields'!$C$2:$DG$2,0)),"")</f>
        <v/>
      </c>
      <c r="O60" s="179" t="str">
        <f ca="1">_xlfn.IFNA(INDEX('Calculated Fields'!$C:$DG,MATCH(Agent_wise!O$5,'Calculated Fields'!$B:$B,0),MATCH(Agent_wise!$A60,'Calculated Fields'!$C$2:$DG$2,0)),"")</f>
        <v/>
      </c>
      <c r="P60" s="179" t="str">
        <f ca="1">_xlfn.IFNA(INDEX('Calculated Fields'!$C:$DG,MATCH(Agent_wise!P$5,'Calculated Fields'!$B:$B,0),MATCH(Agent_wise!$A60,'Calculated Fields'!$C$2:$DG$2,0)),"")</f>
        <v/>
      </c>
      <c r="Q60" s="179" t="str">
        <f ca="1">_xlfn.IFNA(INDEX('Calculated Fields'!$C:$DG,MATCH(Agent_wise!Q$5,'Calculated Fields'!$B:$B,0),MATCH(Agent_wise!$A60,'Calculated Fields'!$C$2:$DG$2,0)),"")</f>
        <v/>
      </c>
      <c r="R60" s="179" t="str">
        <f ca="1">_xlfn.IFNA(INDEX('Calculated Fields'!$C:$DG,MATCH(Agent_wise!R$5,'Calculated Fields'!$B:$B,0),MATCH(Agent_wise!$A60,'Calculated Fields'!$C$2:$DG$2,0)),"")</f>
        <v/>
      </c>
      <c r="S60" s="179" t="str">
        <f ca="1">_xlfn.IFNA(INDEX('Calculated Fields'!$C:$DG,MATCH(Agent_wise!S$5,'Calculated Fields'!$B:$B,0),MATCH(Agent_wise!$A60,'Calculated Fields'!$C$2:$DG$2,0)),"")</f>
        <v/>
      </c>
      <c r="T60" s="179" t="str">
        <f ca="1">_xlfn.IFNA(INDEX('Calculated Fields'!$C:$DG,MATCH(Agent_wise!T$5,'Calculated Fields'!$B:$B,0),MATCH(Agent_wise!$A60,'Calculated Fields'!$C$2:$DG$2,0)),"")</f>
        <v/>
      </c>
      <c r="U60" s="179" t="str">
        <f ca="1">_xlfn.IFNA(INDEX('Calculated Fields'!$C:$DG,MATCH(Agent_wise!U$5,'Calculated Fields'!$B:$B,0),MATCH(Agent_wise!$A60,'Calculated Fields'!$C$2:$DG$2,0)),"")</f>
        <v/>
      </c>
      <c r="V60" s="179" t="str">
        <f ca="1">_xlfn.IFNA(INDEX('Calculated Fields'!$C:$DG,MATCH(Agent_wise!V$5,'Calculated Fields'!$B:$B,0),MATCH(Agent_wise!$A60,'Calculated Fields'!$C$2:$DG$2,0)),"")</f>
        <v/>
      </c>
      <c r="W60" s="179" t="str">
        <f ca="1">_xlfn.IFNA(INDEX('Calculated Fields'!$C:$DG,MATCH(Agent_wise!W$5,'Calculated Fields'!$B:$B,0),MATCH(Agent_wise!$A60,'Calculated Fields'!$C$2:$DG$2,0)),"")</f>
        <v/>
      </c>
      <c r="X60" s="179" t="str">
        <f ca="1">_xlfn.IFNA(INDEX('Calculated Fields'!$C:$DG,MATCH(Agent_wise!X$5,'Calculated Fields'!$B:$B,0),MATCH(Agent_wise!$A60,'Calculated Fields'!$C$2:$DG$2,0)),"")</f>
        <v/>
      </c>
      <c r="Y60" s="179" t="str">
        <f ca="1">_xlfn.IFNA(INDEX('Calculated Fields'!$C:$DG,MATCH(Agent_wise!Y$5,'Calculated Fields'!$B:$B,0),MATCH(Agent_wise!$A60,'Calculated Fields'!$C$2:$DG$2,0)),"")</f>
        <v/>
      </c>
      <c r="Z60" s="179" t="str">
        <f ca="1">_xlfn.IFNA(INDEX('Calculated Fields'!$C:$DG,MATCH(Agent_wise!Z$5,'Calculated Fields'!$B:$B,0),MATCH(Agent_wise!$A60,'Calculated Fields'!$C$2:$DG$2,0)),"")</f>
        <v/>
      </c>
      <c r="AA60" s="1"/>
      <c r="AB60" s="1"/>
      <c r="AC60" s="1"/>
      <c r="AD60" s="1"/>
      <c r="AE60" s="1"/>
      <c r="AF60" s="1"/>
      <c r="AG60" s="1"/>
      <c r="AH60" s="1"/>
    </row>
    <row r="61" spans="1:34" ht="14.4">
      <c r="A61" s="177" t="s">
        <v>1051</v>
      </c>
      <c r="B61" s="178">
        <f ca="1">_xlfn.IFNA(INDEX('Calculated Fields'!$C:$DG,MATCH(Agent_wise!B$5,'Calculated Fields'!$B:$B,0),MATCH(Agent_wise!$A61,'Calculated Fields'!$C$2:$DG$2,0)),"")</f>
        <v>5</v>
      </c>
      <c r="C61" s="178">
        <f ca="1">_xlfn.IFNA(INDEX('Calculated Fields'!$C:$DG,MATCH(Agent_wise!C$5,'Calculated Fields'!$B:$B,0),MATCH(Agent_wise!$A61,'Calculated Fields'!$C$2:$DG$2,0)),"")</f>
        <v>5</v>
      </c>
      <c r="D61" s="178">
        <f ca="1">_xlfn.IFNA(INDEX('Calculated Fields'!$C:$DG,MATCH(Agent_wise!D$5,'Calculated Fields'!$B:$B,0),MATCH(Agent_wise!$A61,'Calculated Fields'!$C$2:$DG$2,0)),"")</f>
        <v>1</v>
      </c>
      <c r="E61" s="178">
        <f ca="1">_xlfn.IFNA(INDEX('Calculated Fields'!$C:$DG,MATCH(Agent_wise!E$5,'Calculated Fields'!$B:$B,0),MATCH(Agent_wise!$A61,'Calculated Fields'!$C$2:$DG$2,0)),"")</f>
        <v>1</v>
      </c>
      <c r="F61" s="178">
        <f ca="1">_xlfn.IFNA(INDEX('Calculated Fields'!$C:$DG,MATCH(Agent_wise!F$5,'Calculated Fields'!$B:$B,0),MATCH(Agent_wise!$A61,'Calculated Fields'!$C$2:$DG$2,0)),"")</f>
        <v>1</v>
      </c>
      <c r="G61" s="178">
        <f ca="1">_xlfn.IFNA(INDEX('Calculated Fields'!$C:$DG,MATCH(Agent_wise!G$5,'Calculated Fields'!$B:$B,0),MATCH(Agent_wise!$A61,'Calculated Fields'!$C$2:$DG$2,0)),"")</f>
        <v>1</v>
      </c>
      <c r="H61" s="178">
        <f ca="1">_xlfn.IFNA(INDEX('Calculated Fields'!$C:$DG,MATCH(Agent_wise!H$5,'Calculated Fields'!$B:$B,0),MATCH(Agent_wise!$A61,'Calculated Fields'!$C$2:$DG$2,0)),"")</f>
        <v>4</v>
      </c>
      <c r="I61" s="178">
        <f ca="1">_xlfn.IFNA(INDEX('Calculated Fields'!$C:$DG,MATCH(Agent_wise!I$5,'Calculated Fields'!$B:$B,0),MATCH(Agent_wise!$A61,'Calculated Fields'!$C$2:$DG$2,0)),"")</f>
        <v>1</v>
      </c>
      <c r="J61" s="178">
        <f ca="1">_xlfn.IFNA(INDEX('Calculated Fields'!$C:$DG,MATCH(Agent_wise!J$5,'Calculated Fields'!$B:$B,0),MATCH(Agent_wise!$A61,'Calculated Fields'!$C$2:$DG$2,0)),"")</f>
        <v>5</v>
      </c>
      <c r="K61" s="178">
        <f ca="1">_xlfn.IFNA(INDEX('Calculated Fields'!$C:$DG,MATCH(Agent_wise!K$5,'Calculated Fields'!$B:$B,0),MATCH(Agent_wise!$A61,'Calculated Fields'!$C$2:$DG$2,0)),"")</f>
        <v>5</v>
      </c>
      <c r="L61" s="179" t="str">
        <f ca="1">_xlfn.IFNA(INDEX('Calculated Fields'!$C:$DG,MATCH(Agent_wise!L$5,'Calculated Fields'!$B:$B,0),MATCH(Agent_wise!$A61,'Calculated Fields'!$C$2:$DG$2,0)),"")</f>
        <v/>
      </c>
      <c r="M61" s="179" t="str">
        <f ca="1">_xlfn.IFNA(INDEX('Calculated Fields'!$C:$DG,MATCH(Agent_wise!M$5,'Calculated Fields'!$B:$B,0),MATCH(Agent_wise!$A61,'Calculated Fields'!$C$2:$DG$2,0)),"")</f>
        <v/>
      </c>
      <c r="N61" s="179" t="str">
        <f ca="1">_xlfn.IFNA(INDEX('Calculated Fields'!$C:$DG,MATCH(Agent_wise!N$5,'Calculated Fields'!$B:$B,0),MATCH(Agent_wise!$A61,'Calculated Fields'!$C$2:$DG$2,0)),"")</f>
        <v/>
      </c>
      <c r="O61" s="179" t="str">
        <f ca="1">_xlfn.IFNA(INDEX('Calculated Fields'!$C:$DG,MATCH(Agent_wise!O$5,'Calculated Fields'!$B:$B,0),MATCH(Agent_wise!$A61,'Calculated Fields'!$C$2:$DG$2,0)),"")</f>
        <v/>
      </c>
      <c r="P61" s="179" t="str">
        <f ca="1">_xlfn.IFNA(INDEX('Calculated Fields'!$C:$DG,MATCH(Agent_wise!P$5,'Calculated Fields'!$B:$B,0),MATCH(Agent_wise!$A61,'Calculated Fields'!$C$2:$DG$2,0)),"")</f>
        <v/>
      </c>
      <c r="Q61" s="179" t="str">
        <f ca="1">_xlfn.IFNA(INDEX('Calculated Fields'!$C:$DG,MATCH(Agent_wise!Q$5,'Calculated Fields'!$B:$B,0),MATCH(Agent_wise!$A61,'Calculated Fields'!$C$2:$DG$2,0)),"")</f>
        <v/>
      </c>
      <c r="R61" s="179" t="str">
        <f ca="1">_xlfn.IFNA(INDEX('Calculated Fields'!$C:$DG,MATCH(Agent_wise!R$5,'Calculated Fields'!$B:$B,0),MATCH(Agent_wise!$A61,'Calculated Fields'!$C$2:$DG$2,0)),"")</f>
        <v/>
      </c>
      <c r="S61" s="179" t="str">
        <f ca="1">_xlfn.IFNA(INDEX('Calculated Fields'!$C:$DG,MATCH(Agent_wise!S$5,'Calculated Fields'!$B:$B,0),MATCH(Agent_wise!$A61,'Calculated Fields'!$C$2:$DG$2,0)),"")</f>
        <v/>
      </c>
      <c r="T61" s="179" t="str">
        <f ca="1">_xlfn.IFNA(INDEX('Calculated Fields'!$C:$DG,MATCH(Agent_wise!T$5,'Calculated Fields'!$B:$B,0),MATCH(Agent_wise!$A61,'Calculated Fields'!$C$2:$DG$2,0)),"")</f>
        <v/>
      </c>
      <c r="U61" s="179" t="str">
        <f ca="1">_xlfn.IFNA(INDEX('Calculated Fields'!$C:$DG,MATCH(Agent_wise!U$5,'Calculated Fields'!$B:$B,0),MATCH(Agent_wise!$A61,'Calculated Fields'!$C$2:$DG$2,0)),"")</f>
        <v/>
      </c>
      <c r="V61" s="179" t="str">
        <f ca="1">_xlfn.IFNA(INDEX('Calculated Fields'!$C:$DG,MATCH(Agent_wise!V$5,'Calculated Fields'!$B:$B,0),MATCH(Agent_wise!$A61,'Calculated Fields'!$C$2:$DG$2,0)),"")</f>
        <v/>
      </c>
      <c r="W61" s="179" t="str">
        <f ca="1">_xlfn.IFNA(INDEX('Calculated Fields'!$C:$DG,MATCH(Agent_wise!W$5,'Calculated Fields'!$B:$B,0),MATCH(Agent_wise!$A61,'Calculated Fields'!$C$2:$DG$2,0)),"")</f>
        <v/>
      </c>
      <c r="X61" s="179" t="str">
        <f ca="1">_xlfn.IFNA(INDEX('Calculated Fields'!$C:$DG,MATCH(Agent_wise!X$5,'Calculated Fields'!$B:$B,0),MATCH(Agent_wise!$A61,'Calculated Fields'!$C$2:$DG$2,0)),"")</f>
        <v/>
      </c>
      <c r="Y61" s="179" t="str">
        <f ca="1">_xlfn.IFNA(INDEX('Calculated Fields'!$C:$DG,MATCH(Agent_wise!Y$5,'Calculated Fields'!$B:$B,0),MATCH(Agent_wise!$A61,'Calculated Fields'!$C$2:$DG$2,0)),"")</f>
        <v/>
      </c>
      <c r="Z61" s="179" t="str">
        <f ca="1">_xlfn.IFNA(INDEX('Calculated Fields'!$C:$DG,MATCH(Agent_wise!Z$5,'Calculated Fields'!$B:$B,0),MATCH(Agent_wise!$A61,'Calculated Fields'!$C$2:$DG$2,0)),"")</f>
        <v/>
      </c>
      <c r="AA61" s="1"/>
      <c r="AB61" s="1"/>
      <c r="AC61" s="1"/>
      <c r="AD61" s="1"/>
      <c r="AE61" s="1"/>
      <c r="AF61" s="1"/>
      <c r="AG61" s="1"/>
      <c r="AH61" s="1"/>
    </row>
    <row r="62" spans="1:34" ht="14.4">
      <c r="A62" s="180" t="s">
        <v>1052</v>
      </c>
      <c r="B62" s="178">
        <f ca="1">_xlfn.IFNA(INDEX('Calculated Fields'!$C:$DG,MATCH(Agent_wise!B$5,'Calculated Fields'!$B:$B,0),MATCH(Agent_wise!$A62,'Calculated Fields'!$C$2:$DG$2,0)),"")</f>
        <v>2.3333333333333335</v>
      </c>
      <c r="C62" s="178">
        <f ca="1">_xlfn.IFNA(INDEX('Calculated Fields'!$C:$DG,MATCH(Agent_wise!C$5,'Calculated Fields'!$B:$B,0),MATCH(Agent_wise!$A62,'Calculated Fields'!$C$2:$DG$2,0)),"")</f>
        <v>2.3333333333333335</v>
      </c>
      <c r="D62" s="178">
        <f ca="1">_xlfn.IFNA(INDEX('Calculated Fields'!$C:$DG,MATCH(Agent_wise!D$5,'Calculated Fields'!$B:$B,0),MATCH(Agent_wise!$A62,'Calculated Fields'!$C$2:$DG$2,0)),"")</f>
        <v>1</v>
      </c>
      <c r="E62" s="178">
        <f ca="1">_xlfn.IFNA(INDEX('Calculated Fields'!$C:$DG,MATCH(Agent_wise!E$5,'Calculated Fields'!$B:$B,0),MATCH(Agent_wise!$A62,'Calculated Fields'!$C$2:$DG$2,0)),"")</f>
        <v>1</v>
      </c>
      <c r="F62" s="178">
        <f ca="1">_xlfn.IFNA(INDEX('Calculated Fields'!$C:$DG,MATCH(Agent_wise!F$5,'Calculated Fields'!$B:$B,0),MATCH(Agent_wise!$A62,'Calculated Fields'!$C$2:$DG$2,0)),"")</f>
        <v>1</v>
      </c>
      <c r="G62" s="178">
        <f ca="1">_xlfn.IFNA(INDEX('Calculated Fields'!$C:$DG,MATCH(Agent_wise!G$5,'Calculated Fields'!$B:$B,0),MATCH(Agent_wise!$A62,'Calculated Fields'!$C$2:$DG$2,0)),"")</f>
        <v>1</v>
      </c>
      <c r="H62" s="178">
        <f ca="1">_xlfn.IFNA(INDEX('Calculated Fields'!$C:$DG,MATCH(Agent_wise!H$5,'Calculated Fields'!$B:$B,0),MATCH(Agent_wise!$A62,'Calculated Fields'!$C$2:$DG$2,0)),"")</f>
        <v>2</v>
      </c>
      <c r="I62" s="178">
        <f ca="1">_xlfn.IFNA(INDEX('Calculated Fields'!$C:$DG,MATCH(Agent_wise!I$5,'Calculated Fields'!$B:$B,0),MATCH(Agent_wise!$A62,'Calculated Fields'!$C$2:$DG$2,0)),"")</f>
        <v>1.3333333333333333</v>
      </c>
      <c r="J62" s="178">
        <f ca="1">_xlfn.IFNA(INDEX('Calculated Fields'!$C:$DG,MATCH(Agent_wise!J$5,'Calculated Fields'!$B:$B,0),MATCH(Agent_wise!$A62,'Calculated Fields'!$C$2:$DG$2,0)),"")</f>
        <v>2.3333333333333335</v>
      </c>
      <c r="K62" s="178">
        <f ca="1">_xlfn.IFNA(INDEX('Calculated Fields'!$C:$DG,MATCH(Agent_wise!K$5,'Calculated Fields'!$B:$B,0),MATCH(Agent_wise!$A62,'Calculated Fields'!$C$2:$DG$2,0)),"")</f>
        <v>2.3333333333333335</v>
      </c>
      <c r="L62" s="179" t="str">
        <f ca="1">_xlfn.IFNA(INDEX('Calculated Fields'!$C:$DG,MATCH(Agent_wise!L$5,'Calculated Fields'!$B:$B,0),MATCH(Agent_wise!$A62,'Calculated Fields'!$C$2:$DG$2,0)),"")</f>
        <v/>
      </c>
      <c r="M62" s="179" t="str">
        <f ca="1">_xlfn.IFNA(INDEX('Calculated Fields'!$C:$DG,MATCH(Agent_wise!M$5,'Calculated Fields'!$B:$B,0),MATCH(Agent_wise!$A62,'Calculated Fields'!$C$2:$DG$2,0)),"")</f>
        <v/>
      </c>
      <c r="N62" s="179" t="str">
        <f ca="1">_xlfn.IFNA(INDEX('Calculated Fields'!$C:$DG,MATCH(Agent_wise!N$5,'Calculated Fields'!$B:$B,0),MATCH(Agent_wise!$A62,'Calculated Fields'!$C$2:$DG$2,0)),"")</f>
        <v/>
      </c>
      <c r="O62" s="179" t="str">
        <f ca="1">_xlfn.IFNA(INDEX('Calculated Fields'!$C:$DG,MATCH(Agent_wise!O$5,'Calculated Fields'!$B:$B,0),MATCH(Agent_wise!$A62,'Calculated Fields'!$C$2:$DG$2,0)),"")</f>
        <v/>
      </c>
      <c r="P62" s="179" t="str">
        <f ca="1">_xlfn.IFNA(INDEX('Calculated Fields'!$C:$DG,MATCH(Agent_wise!P$5,'Calculated Fields'!$B:$B,0),MATCH(Agent_wise!$A62,'Calculated Fields'!$C$2:$DG$2,0)),"")</f>
        <v/>
      </c>
      <c r="Q62" s="179" t="str">
        <f ca="1">_xlfn.IFNA(INDEX('Calculated Fields'!$C:$DG,MATCH(Agent_wise!Q$5,'Calculated Fields'!$B:$B,0),MATCH(Agent_wise!$A62,'Calculated Fields'!$C$2:$DG$2,0)),"")</f>
        <v/>
      </c>
      <c r="R62" s="179" t="str">
        <f ca="1">_xlfn.IFNA(INDEX('Calculated Fields'!$C:$DG,MATCH(Agent_wise!R$5,'Calculated Fields'!$B:$B,0),MATCH(Agent_wise!$A62,'Calculated Fields'!$C$2:$DG$2,0)),"")</f>
        <v/>
      </c>
      <c r="S62" s="179" t="str">
        <f ca="1">_xlfn.IFNA(INDEX('Calculated Fields'!$C:$DG,MATCH(Agent_wise!S$5,'Calculated Fields'!$B:$B,0),MATCH(Agent_wise!$A62,'Calculated Fields'!$C$2:$DG$2,0)),"")</f>
        <v/>
      </c>
      <c r="T62" s="179" t="str">
        <f ca="1">_xlfn.IFNA(INDEX('Calculated Fields'!$C:$DG,MATCH(Agent_wise!T$5,'Calculated Fields'!$B:$B,0),MATCH(Agent_wise!$A62,'Calculated Fields'!$C$2:$DG$2,0)),"")</f>
        <v/>
      </c>
      <c r="U62" s="179" t="str">
        <f ca="1">_xlfn.IFNA(INDEX('Calculated Fields'!$C:$DG,MATCH(Agent_wise!U$5,'Calculated Fields'!$B:$B,0),MATCH(Agent_wise!$A62,'Calculated Fields'!$C$2:$DG$2,0)),"")</f>
        <v/>
      </c>
      <c r="V62" s="179" t="str">
        <f ca="1">_xlfn.IFNA(INDEX('Calculated Fields'!$C:$DG,MATCH(Agent_wise!V$5,'Calculated Fields'!$B:$B,0),MATCH(Agent_wise!$A62,'Calculated Fields'!$C$2:$DG$2,0)),"")</f>
        <v/>
      </c>
      <c r="W62" s="179" t="str">
        <f ca="1">_xlfn.IFNA(INDEX('Calculated Fields'!$C:$DG,MATCH(Agent_wise!W$5,'Calculated Fields'!$B:$B,0),MATCH(Agent_wise!$A62,'Calculated Fields'!$C$2:$DG$2,0)),"")</f>
        <v/>
      </c>
      <c r="X62" s="179" t="str">
        <f ca="1">_xlfn.IFNA(INDEX('Calculated Fields'!$C:$DG,MATCH(Agent_wise!X$5,'Calculated Fields'!$B:$B,0),MATCH(Agent_wise!$A62,'Calculated Fields'!$C$2:$DG$2,0)),"")</f>
        <v/>
      </c>
      <c r="Y62" s="179" t="str">
        <f ca="1">_xlfn.IFNA(INDEX('Calculated Fields'!$C:$DG,MATCH(Agent_wise!Y$5,'Calculated Fields'!$B:$B,0),MATCH(Agent_wise!$A62,'Calculated Fields'!$C$2:$DG$2,0)),"")</f>
        <v/>
      </c>
      <c r="Z62" s="179" t="str">
        <f ca="1">_xlfn.IFNA(INDEX('Calculated Fields'!$C:$DG,MATCH(Agent_wise!Z$5,'Calculated Fields'!$B:$B,0),MATCH(Agent_wise!$A62,'Calculated Fields'!$C$2:$DG$2,0)),"")</f>
        <v/>
      </c>
      <c r="AA62" s="139"/>
      <c r="AB62" s="139"/>
      <c r="AC62" s="139"/>
      <c r="AD62" s="139"/>
      <c r="AE62" s="139"/>
      <c r="AF62" s="139"/>
      <c r="AG62" s="139"/>
      <c r="AH62" s="139"/>
    </row>
    <row r="63" spans="1:34" ht="14.4">
      <c r="A63" s="177" t="s">
        <v>124</v>
      </c>
      <c r="B63" s="178" t="str">
        <f ca="1">_xlfn.IFNA(INDEX('Calculated Fields'!$C:$DG,MATCH(Agent_wise!B$5,'Calculated Fields'!$B:$B,0),MATCH(Agent_wise!$A63,'Calculated Fields'!$C$2:$DG$2,0)),"")</f>
        <v>D</v>
      </c>
      <c r="C63" s="178" t="str">
        <f ca="1">_xlfn.IFNA(INDEX('Calculated Fields'!$C:$DG,MATCH(Agent_wise!C$5,'Calculated Fields'!$B:$B,0),MATCH(Agent_wise!$A63,'Calculated Fields'!$C$2:$DG$2,0)),"")</f>
        <v>D</v>
      </c>
      <c r="D63" s="178" t="str">
        <f ca="1">_xlfn.IFNA(INDEX('Calculated Fields'!$C:$DG,MATCH(Agent_wise!D$5,'Calculated Fields'!$B:$B,0),MATCH(Agent_wise!$A63,'Calculated Fields'!$C$2:$DG$2,0)),"")</f>
        <v>E</v>
      </c>
      <c r="E63" s="178" t="str">
        <f ca="1">_xlfn.IFNA(INDEX('Calculated Fields'!$C:$DG,MATCH(Agent_wise!E$5,'Calculated Fields'!$B:$B,0),MATCH(Agent_wise!$A63,'Calculated Fields'!$C$2:$DG$2,0)),"")</f>
        <v>E</v>
      </c>
      <c r="F63" s="178" t="str">
        <f ca="1">_xlfn.IFNA(INDEX('Calculated Fields'!$C:$DG,MATCH(Agent_wise!F$5,'Calculated Fields'!$B:$B,0),MATCH(Agent_wise!$A63,'Calculated Fields'!$C$2:$DG$2,0)),"")</f>
        <v>E</v>
      </c>
      <c r="G63" s="178" t="str">
        <f ca="1">_xlfn.IFNA(INDEX('Calculated Fields'!$C:$DG,MATCH(Agent_wise!G$5,'Calculated Fields'!$B:$B,0),MATCH(Agent_wise!$A63,'Calculated Fields'!$C$2:$DG$2,0)),"")</f>
        <v>E</v>
      </c>
      <c r="H63" s="178" t="str">
        <f ca="1">_xlfn.IFNA(INDEX('Calculated Fields'!$C:$DG,MATCH(Agent_wise!H$5,'Calculated Fields'!$B:$B,0),MATCH(Agent_wise!$A63,'Calculated Fields'!$C$2:$DG$2,0)),"")</f>
        <v>D</v>
      </c>
      <c r="I63" s="178" t="str">
        <f ca="1">_xlfn.IFNA(INDEX('Calculated Fields'!$C:$DG,MATCH(Agent_wise!I$5,'Calculated Fields'!$B:$B,0),MATCH(Agent_wise!$A63,'Calculated Fields'!$C$2:$DG$2,0)),"")</f>
        <v>E</v>
      </c>
      <c r="J63" s="178" t="str">
        <f ca="1">_xlfn.IFNA(INDEX('Calculated Fields'!$C:$DG,MATCH(Agent_wise!J$5,'Calculated Fields'!$B:$B,0),MATCH(Agent_wise!$A63,'Calculated Fields'!$C$2:$DG$2,0)),"")</f>
        <v>D</v>
      </c>
      <c r="K63" s="178" t="str">
        <f ca="1">_xlfn.IFNA(INDEX('Calculated Fields'!$C:$DG,MATCH(Agent_wise!K$5,'Calculated Fields'!$B:$B,0),MATCH(Agent_wise!$A63,'Calculated Fields'!$C$2:$DG$2,0)),"")</f>
        <v>D</v>
      </c>
      <c r="L63" s="179" t="str">
        <f ca="1">_xlfn.IFNA(INDEX('Calculated Fields'!$C:$DG,MATCH(Agent_wise!L$5,'Calculated Fields'!$B:$B,0),MATCH(Agent_wise!$A63,'Calculated Fields'!$C$2:$DG$2,0)),"")</f>
        <v/>
      </c>
      <c r="M63" s="179" t="str">
        <f ca="1">_xlfn.IFNA(INDEX('Calculated Fields'!$C:$DG,MATCH(Agent_wise!M$5,'Calculated Fields'!$B:$B,0),MATCH(Agent_wise!$A63,'Calculated Fields'!$C$2:$DG$2,0)),"")</f>
        <v/>
      </c>
      <c r="N63" s="179" t="str">
        <f ca="1">_xlfn.IFNA(INDEX('Calculated Fields'!$C:$DG,MATCH(Agent_wise!N$5,'Calculated Fields'!$B:$B,0),MATCH(Agent_wise!$A63,'Calculated Fields'!$C$2:$DG$2,0)),"")</f>
        <v/>
      </c>
      <c r="O63" s="179" t="str">
        <f ca="1">_xlfn.IFNA(INDEX('Calculated Fields'!$C:$DG,MATCH(Agent_wise!O$5,'Calculated Fields'!$B:$B,0),MATCH(Agent_wise!$A63,'Calculated Fields'!$C$2:$DG$2,0)),"")</f>
        <v/>
      </c>
      <c r="P63" s="179" t="str">
        <f ca="1">_xlfn.IFNA(INDEX('Calculated Fields'!$C:$DG,MATCH(Agent_wise!P$5,'Calculated Fields'!$B:$B,0),MATCH(Agent_wise!$A63,'Calculated Fields'!$C$2:$DG$2,0)),"")</f>
        <v/>
      </c>
      <c r="Q63" s="179" t="str">
        <f ca="1">_xlfn.IFNA(INDEX('Calculated Fields'!$C:$DG,MATCH(Agent_wise!Q$5,'Calculated Fields'!$B:$B,0),MATCH(Agent_wise!$A63,'Calculated Fields'!$C$2:$DG$2,0)),"")</f>
        <v/>
      </c>
      <c r="R63" s="179" t="str">
        <f ca="1">_xlfn.IFNA(INDEX('Calculated Fields'!$C:$DG,MATCH(Agent_wise!R$5,'Calculated Fields'!$B:$B,0),MATCH(Agent_wise!$A63,'Calculated Fields'!$C$2:$DG$2,0)),"")</f>
        <v/>
      </c>
      <c r="S63" s="179" t="str">
        <f ca="1">_xlfn.IFNA(INDEX('Calculated Fields'!$C:$DG,MATCH(Agent_wise!S$5,'Calculated Fields'!$B:$B,0),MATCH(Agent_wise!$A63,'Calculated Fields'!$C$2:$DG$2,0)),"")</f>
        <v/>
      </c>
      <c r="T63" s="179" t="str">
        <f ca="1">_xlfn.IFNA(INDEX('Calculated Fields'!$C:$DG,MATCH(Agent_wise!T$5,'Calculated Fields'!$B:$B,0),MATCH(Agent_wise!$A63,'Calculated Fields'!$C$2:$DG$2,0)),"")</f>
        <v/>
      </c>
      <c r="U63" s="179" t="str">
        <f ca="1">_xlfn.IFNA(INDEX('Calculated Fields'!$C:$DG,MATCH(Agent_wise!U$5,'Calculated Fields'!$B:$B,0),MATCH(Agent_wise!$A63,'Calculated Fields'!$C$2:$DG$2,0)),"")</f>
        <v/>
      </c>
      <c r="V63" s="179" t="str">
        <f ca="1">_xlfn.IFNA(INDEX('Calculated Fields'!$C:$DG,MATCH(Agent_wise!V$5,'Calculated Fields'!$B:$B,0),MATCH(Agent_wise!$A63,'Calculated Fields'!$C$2:$DG$2,0)),"")</f>
        <v/>
      </c>
      <c r="W63" s="179" t="str">
        <f ca="1">_xlfn.IFNA(INDEX('Calculated Fields'!$C:$DG,MATCH(Agent_wise!W$5,'Calculated Fields'!$B:$B,0),MATCH(Agent_wise!$A63,'Calculated Fields'!$C$2:$DG$2,0)),"")</f>
        <v/>
      </c>
      <c r="X63" s="179" t="str">
        <f ca="1">_xlfn.IFNA(INDEX('Calculated Fields'!$C:$DG,MATCH(Agent_wise!X$5,'Calculated Fields'!$B:$B,0),MATCH(Agent_wise!$A63,'Calculated Fields'!$C$2:$DG$2,0)),"")</f>
        <v/>
      </c>
      <c r="Y63" s="179" t="str">
        <f ca="1">_xlfn.IFNA(INDEX('Calculated Fields'!$C:$DG,MATCH(Agent_wise!Y$5,'Calculated Fields'!$B:$B,0),MATCH(Agent_wise!$A63,'Calculated Fields'!$C$2:$DG$2,0)),"")</f>
        <v/>
      </c>
      <c r="Z63" s="179" t="str">
        <f ca="1">_xlfn.IFNA(INDEX('Calculated Fields'!$C:$DG,MATCH(Agent_wise!Z$5,'Calculated Fields'!$B:$B,0),MATCH(Agent_wise!$A63,'Calculated Fields'!$C$2:$DG$2,0)),"")</f>
        <v/>
      </c>
      <c r="AA63" s="1"/>
      <c r="AB63" s="1"/>
      <c r="AC63" s="1"/>
      <c r="AD63" s="1"/>
      <c r="AE63" s="1"/>
      <c r="AF63" s="1"/>
      <c r="AG63" s="1"/>
      <c r="AH63" s="1"/>
    </row>
    <row r="64" spans="1:34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4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ht="14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ht="14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ht="14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ht="14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ht="14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ht="14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</sheetData>
  <conditionalFormatting sqref="B5:Z5">
    <cfRule type="notContainsBlanks" dxfId="1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D00-000000000000}">
          <x14:formula1>
            <xm:f>Agents!$A$2:$A$6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outlinePr summaryBelow="0" summaryRight="0"/>
  </sheetPr>
  <dimension ref="A1:AG965"/>
  <sheetViews>
    <sheetView workbookViewId="0"/>
  </sheetViews>
  <sheetFormatPr defaultColWidth="12.6640625" defaultRowHeight="15.75" customHeight="1"/>
  <cols>
    <col min="1" max="1" width="20.6640625" bestFit="1" customWidth="1"/>
    <col min="2" max="2" width="25.6640625" customWidth="1"/>
    <col min="3" max="11" width="17.5546875" customWidth="1"/>
    <col min="12" max="12" width="14.44140625" customWidth="1"/>
  </cols>
  <sheetData>
    <row r="1" spans="1:3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>
      <c r="A3" s="140" t="s">
        <v>1063</v>
      </c>
      <c r="B3" s="14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customHeight="1">
      <c r="A4" s="14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customHeight="1">
      <c r="A5" s="140" t="str">
        <f>IF(B3="OTHER_Department_Agents","Other",LEFT(B3,FIND("_",B3)-1)&amp;" "&amp;"Agent")</f>
        <v>USA Agent</v>
      </c>
      <c r="B5" s="143" t="str" cm="1">
        <f t="array" ref="B5:K5">TRANSPOSE(_xlfn._xlws.SORT(_xlfn.UNIQUE(_xlfn._xlws.FILTER('Sales  Returns'!$C$1:$C$19968,'Sales  Returns'!$S$1:$S$19968=A5))))</f>
        <v>Abigail Adams</v>
      </c>
      <c r="C5" s="143" t="str">
        <v>Alexander Robinson</v>
      </c>
      <c r="D5" s="143" t="str">
        <v>Christopher Moore</v>
      </c>
      <c r="E5" s="143" t="str">
        <v>Hannah Gonzalez</v>
      </c>
      <c r="F5" s="143" t="str">
        <v>James Smith</v>
      </c>
      <c r="G5" s="143" t="str">
        <v>Jessica Miller</v>
      </c>
      <c r="H5" s="143" t="str">
        <v>Michael Brown</v>
      </c>
      <c r="I5" s="143" t="str">
        <v>Robert Thomas</v>
      </c>
      <c r="J5" s="143" t="str">
        <v>Sarah Davis</v>
      </c>
      <c r="K5" s="143" t="str">
        <v>Stephanie Scott</v>
      </c>
      <c r="L5" s="143"/>
      <c r="M5" s="143"/>
      <c r="N5" s="143"/>
      <c r="O5" s="143"/>
      <c r="P5" s="14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customHeight="1">
      <c r="A7" s="62" t="s">
        <v>994</v>
      </c>
      <c r="B7" s="113">
        <f ca="1">_xlfn.IFNA(INDEX('Calculated Fields'!$C:$DG,MATCH(Daily_KPI!B$5,'Calculated Fields'!$B:$B,0),MATCH(Daily_KPI!$A7,'Calculated Fields'!$C$2:$DG$2,0)),"")</f>
        <v>5972</v>
      </c>
      <c r="C7" s="113">
        <f ca="1">_xlfn.IFNA(INDEX('Calculated Fields'!$C:$DG,MATCH(Daily_KPI!C$5,'Calculated Fields'!$B:$B,0),MATCH(Daily_KPI!$A7,'Calculated Fields'!$C$2:$DG$2,0)),"")</f>
        <v>7443</v>
      </c>
      <c r="D7" s="113">
        <f ca="1">_xlfn.IFNA(INDEX('Calculated Fields'!$C:$DG,MATCH(Daily_KPI!D$5,'Calculated Fields'!$B:$B,0),MATCH(Daily_KPI!$A7,'Calculated Fields'!$C$2:$DG$2,0)),"")</f>
        <v>6264</v>
      </c>
      <c r="E7" s="113">
        <f ca="1">_xlfn.IFNA(INDEX('Calculated Fields'!$C:$DG,MATCH(Daily_KPI!E$5,'Calculated Fields'!$B:$B,0),MATCH(Daily_KPI!$A7,'Calculated Fields'!$C$2:$DG$2,0)),"")</f>
        <v>357</v>
      </c>
      <c r="F7" s="113">
        <f ca="1">_xlfn.IFNA(INDEX('Calculated Fields'!$C:$DG,MATCH(Daily_KPI!F$5,'Calculated Fields'!$B:$B,0),MATCH(Daily_KPI!$A7,'Calculated Fields'!$C$2:$DG$2,0)),"")</f>
        <v>4644</v>
      </c>
      <c r="G7" s="113">
        <f ca="1">_xlfn.IFNA(INDEX('Calculated Fields'!$C:$DG,MATCH(Daily_KPI!G$5,'Calculated Fields'!$B:$B,0),MATCH(Daily_KPI!$A7,'Calculated Fields'!$C$2:$DG$2,0)),"")</f>
        <v>377</v>
      </c>
      <c r="H7" s="113">
        <f ca="1">_xlfn.IFNA(INDEX('Calculated Fields'!$C:$DG,MATCH(Daily_KPI!H$5,'Calculated Fields'!$B:$B,0),MATCH(Daily_KPI!$A7,'Calculated Fields'!$C$2:$DG$2,0)),"")</f>
        <v>5415</v>
      </c>
      <c r="I7" s="113">
        <f ca="1">_xlfn.IFNA(INDEX('Calculated Fields'!$C:$DG,MATCH(Daily_KPI!I$5,'Calculated Fields'!$B:$B,0),MATCH(Daily_KPI!$A7,'Calculated Fields'!$C$2:$DG$2,0)),"")</f>
        <v>2188</v>
      </c>
      <c r="J7" s="113">
        <f ca="1">_xlfn.IFNA(INDEX('Calculated Fields'!$C:$DG,MATCH(Daily_KPI!J$5,'Calculated Fields'!$B:$B,0),MATCH(Daily_KPI!$A7,'Calculated Fields'!$C$2:$DG$2,0)),"")</f>
        <v>1714</v>
      </c>
      <c r="K7" s="113">
        <f ca="1">_xlfn.IFNA(INDEX('Calculated Fields'!$C:$DG,MATCH(Daily_KPI!K$5,'Calculated Fields'!$B:$B,0),MATCH(Daily_KPI!$A7,'Calculated Fields'!$C$2:$DG$2,0)),"")</f>
        <v>5982</v>
      </c>
      <c r="L7" s="113" t="str">
        <f ca="1">_xlfn.IFNA(INDEX('Calculated Fields'!$C:$DG,MATCH(Daily_KPI!L$5,'Calculated Fields'!$B:$B,0),MATCH(Daily_KPI!$A7,'Calculated Fields'!$C$2:$DG$2,0)),"")</f>
        <v/>
      </c>
      <c r="M7" s="113" t="str">
        <f ca="1">_xlfn.IFNA(INDEX('Calculated Fields'!$C:$DG,MATCH(Daily_KPI!M$5,'Calculated Fields'!$B:$B,0),MATCH(Daily_KPI!$A7,'Calculated Fields'!$C$2:$DG$2,0)),"")</f>
        <v/>
      </c>
      <c r="N7" s="113" t="str">
        <f ca="1">_xlfn.IFNA(INDEX('Calculated Fields'!$C:$DG,MATCH(Daily_KPI!N$5,'Calculated Fields'!$B:$B,0),MATCH(Daily_KPI!$A7,'Calculated Fields'!$C$2:$DG$2,0)),"")</f>
        <v/>
      </c>
      <c r="O7" s="113" t="str">
        <f ca="1">_xlfn.IFNA(INDEX('Calculated Fields'!$C:$DG,MATCH(Daily_KPI!O$5,'Calculated Fields'!$B:$B,0),MATCH(Daily_KPI!$A7,'Calculated Fields'!$C$2:$DG$2,0)),"")</f>
        <v/>
      </c>
      <c r="P7" s="144" t="str">
        <f ca="1">_xlfn.IFNA(INDEX('Calculated Fields'!$C:$DG,MATCH(Daily_KPI!P$5,'Calculated Fields'!$B:$B,0),MATCH(Daily_KPI!$A7,'Calculated Fields'!$C$2:$DG$2,0)),"")</f>
        <v/>
      </c>
      <c r="Q7" s="114" t="str">
        <f ca="1">_xlfn.IFNA(INDEX('Calculated Fields'!$C:$DG,MATCH(Daily_KPI!Q$5,'Calculated Fields'!$B:$B,0),MATCH(Daily_KPI!$A7,'Calculated Fields'!$C$2:$DG$2,0)),"")</f>
        <v/>
      </c>
      <c r="R7" s="114" t="str">
        <f ca="1">_xlfn.IFNA(INDEX('Calculated Fields'!$C:$DG,MATCH(Daily_KPI!R$5,'Calculated Fields'!$B:$B,0),MATCH(Daily_KPI!$A7,'Calculated Fields'!$C$2:$DG$2,0)),"")</f>
        <v/>
      </c>
      <c r="S7" s="114" t="str">
        <f ca="1">_xlfn.IFNA(INDEX('Calculated Fields'!$C:$DG,MATCH(Daily_KPI!S$5,'Calculated Fields'!$B:$B,0),MATCH(Daily_KPI!$A7,'Calculated Fields'!$C$2:$DG$2,0)),"")</f>
        <v/>
      </c>
      <c r="T7" s="114" t="str">
        <f ca="1">_xlfn.IFNA(INDEX('Calculated Fields'!$C:$DG,MATCH(Daily_KPI!T$5,'Calculated Fields'!$B:$B,0),MATCH(Daily_KPI!$A7,'Calculated Fields'!$C$2:$DG$2,0)),"")</f>
        <v/>
      </c>
      <c r="U7" s="114" t="str">
        <f ca="1">_xlfn.IFNA(INDEX('Calculated Fields'!$C:$DG,MATCH(Daily_KPI!U$5,'Calculated Fields'!$B:$B,0),MATCH(Daily_KPI!$A7,'Calculated Fields'!$C$2:$DG$2,0)),"")</f>
        <v/>
      </c>
      <c r="V7" s="114" t="str">
        <f ca="1">_xlfn.IFNA(INDEX('Calculated Fields'!$C:$DG,MATCH(Daily_KPI!V$5,'Calculated Fields'!$B:$B,0),MATCH(Daily_KPI!$A7,'Calculated Fields'!$C$2:$DG$2,0)),"")</f>
        <v/>
      </c>
      <c r="W7" s="114" t="str">
        <f ca="1">_xlfn.IFNA(INDEX('Calculated Fields'!$C:$DG,MATCH(Daily_KPI!W$5,'Calculated Fields'!$B:$B,0),MATCH(Daily_KPI!$A7,'Calculated Fields'!$C$2:$DG$2,0)),"")</f>
        <v/>
      </c>
      <c r="X7" s="114" t="str">
        <f ca="1">_xlfn.IFNA(INDEX('Calculated Fields'!$C:$DG,MATCH(Daily_KPI!X$5,'Calculated Fields'!$B:$B,0),MATCH(Daily_KPI!$A7,'Calculated Fields'!$C$2:$DG$2,0)),"")</f>
        <v/>
      </c>
      <c r="Y7" s="114" t="str">
        <f ca="1">_xlfn.IFNA(INDEX('Calculated Fields'!$C:$DG,MATCH(Daily_KPI!Y$5,'Calculated Fields'!$B:$B,0),MATCH(Daily_KPI!$A7,'Calculated Fields'!$C$2:$DG$2,0)),"")</f>
        <v/>
      </c>
      <c r="Z7" s="1"/>
      <c r="AA7" s="1"/>
      <c r="AB7" s="1"/>
      <c r="AC7" s="1"/>
      <c r="AD7" s="1"/>
      <c r="AE7" s="1"/>
      <c r="AF7" s="1"/>
      <c r="AG7" s="1"/>
    </row>
    <row r="8" spans="1:33" ht="15.75" customHeight="1">
      <c r="A8" s="62" t="s">
        <v>995</v>
      </c>
      <c r="B8" s="113">
        <f ca="1">_xlfn.IFNA(INDEX('Calculated Fields'!$C:$DG,MATCH(Daily_KPI!B$5,'Calculated Fields'!$B:$B,0),MATCH(Daily_KPI!$A8,'Calculated Fields'!$C$2:$DG$2,0)),"")</f>
        <v>9598</v>
      </c>
      <c r="C8" s="113">
        <f ca="1">_xlfn.IFNA(INDEX('Calculated Fields'!$C:$DG,MATCH(Daily_KPI!C$5,'Calculated Fields'!$B:$B,0),MATCH(Daily_KPI!$A8,'Calculated Fields'!$C$2:$DG$2,0)),"")</f>
        <v>5102</v>
      </c>
      <c r="D8" s="113">
        <f ca="1">_xlfn.IFNA(INDEX('Calculated Fields'!$C:$DG,MATCH(Daily_KPI!D$5,'Calculated Fields'!$B:$B,0),MATCH(Daily_KPI!$A8,'Calculated Fields'!$C$2:$DG$2,0)),"")</f>
        <v>8380</v>
      </c>
      <c r="E8" s="113">
        <f ca="1">_xlfn.IFNA(INDEX('Calculated Fields'!$C:$DG,MATCH(Daily_KPI!E$5,'Calculated Fields'!$B:$B,0),MATCH(Daily_KPI!$A8,'Calculated Fields'!$C$2:$DG$2,0)),"")</f>
        <v>-135</v>
      </c>
      <c r="F8" s="113">
        <f ca="1">_xlfn.IFNA(INDEX('Calculated Fields'!$C:$DG,MATCH(Daily_KPI!F$5,'Calculated Fields'!$B:$B,0),MATCH(Daily_KPI!$A8,'Calculated Fields'!$C$2:$DG$2,0)),"")</f>
        <v>6637.11</v>
      </c>
      <c r="G8" s="113">
        <f ca="1">_xlfn.IFNA(INDEX('Calculated Fields'!$C:$DG,MATCH(Daily_KPI!G$5,'Calculated Fields'!$B:$B,0),MATCH(Daily_KPI!$A8,'Calculated Fields'!$C$2:$DG$2,0)),"")</f>
        <v>7415</v>
      </c>
      <c r="H8" s="113">
        <f ca="1">_xlfn.IFNA(INDEX('Calculated Fields'!$C:$DG,MATCH(Daily_KPI!H$5,'Calculated Fields'!$B:$B,0),MATCH(Daily_KPI!$A8,'Calculated Fields'!$C$2:$DG$2,0)),"")</f>
        <v>4212</v>
      </c>
      <c r="I8" s="113">
        <f ca="1">_xlfn.IFNA(INDEX('Calculated Fields'!$C:$DG,MATCH(Daily_KPI!I$5,'Calculated Fields'!$B:$B,0),MATCH(Daily_KPI!$A8,'Calculated Fields'!$C$2:$DG$2,0)),"")</f>
        <v>14802.550000000001</v>
      </c>
      <c r="J8" s="113">
        <f ca="1">_xlfn.IFNA(INDEX('Calculated Fields'!$C:$DG,MATCH(Daily_KPI!J$5,'Calculated Fields'!$B:$B,0),MATCH(Daily_KPI!$A8,'Calculated Fields'!$C$2:$DG$2,0)),"")</f>
        <v>9825</v>
      </c>
      <c r="K8" s="113">
        <f ca="1">_xlfn.IFNA(INDEX('Calculated Fields'!$C:$DG,MATCH(Daily_KPI!K$5,'Calculated Fields'!$B:$B,0),MATCH(Daily_KPI!$A8,'Calculated Fields'!$C$2:$DG$2,0)),"")</f>
        <v>6690</v>
      </c>
      <c r="L8" s="113" t="str">
        <f ca="1">_xlfn.IFNA(INDEX('Calculated Fields'!$C:$DG,MATCH(Daily_KPI!L$5,'Calculated Fields'!$B:$B,0),MATCH(Daily_KPI!$A8,'Calculated Fields'!$C$2:$DG$2,0)),"")</f>
        <v/>
      </c>
      <c r="M8" s="113" t="str">
        <f ca="1">_xlfn.IFNA(INDEX('Calculated Fields'!$C:$DG,MATCH(Daily_KPI!M$5,'Calculated Fields'!$B:$B,0),MATCH(Daily_KPI!$A8,'Calculated Fields'!$C$2:$DG$2,0)),"")</f>
        <v/>
      </c>
      <c r="N8" s="113" t="str">
        <f ca="1">_xlfn.IFNA(INDEX('Calculated Fields'!$C:$DG,MATCH(Daily_KPI!N$5,'Calculated Fields'!$B:$B,0),MATCH(Daily_KPI!$A8,'Calculated Fields'!$C$2:$DG$2,0)),"")</f>
        <v/>
      </c>
      <c r="O8" s="113" t="str">
        <f ca="1">_xlfn.IFNA(INDEX('Calculated Fields'!$C:$DG,MATCH(Daily_KPI!O$5,'Calculated Fields'!$B:$B,0),MATCH(Daily_KPI!$A8,'Calculated Fields'!$C$2:$DG$2,0)),"")</f>
        <v/>
      </c>
      <c r="P8" s="144" t="str">
        <f ca="1">_xlfn.IFNA(INDEX('Calculated Fields'!$C:$DG,MATCH(Daily_KPI!P$5,'Calculated Fields'!$B:$B,0),MATCH(Daily_KPI!$A8,'Calculated Fields'!$C$2:$DG$2,0)),"")</f>
        <v/>
      </c>
      <c r="Q8" s="114" t="str">
        <f ca="1">_xlfn.IFNA(INDEX('Calculated Fields'!$C:$DG,MATCH(Daily_KPI!Q$5,'Calculated Fields'!$B:$B,0),MATCH(Daily_KPI!$A8,'Calculated Fields'!$C$2:$DG$2,0)),"")</f>
        <v/>
      </c>
      <c r="R8" s="114" t="str">
        <f ca="1">_xlfn.IFNA(INDEX('Calculated Fields'!$C:$DG,MATCH(Daily_KPI!R$5,'Calculated Fields'!$B:$B,0),MATCH(Daily_KPI!$A8,'Calculated Fields'!$C$2:$DG$2,0)),"")</f>
        <v/>
      </c>
      <c r="S8" s="114" t="str">
        <f ca="1">_xlfn.IFNA(INDEX('Calculated Fields'!$C:$DG,MATCH(Daily_KPI!S$5,'Calculated Fields'!$B:$B,0),MATCH(Daily_KPI!$A8,'Calculated Fields'!$C$2:$DG$2,0)),"")</f>
        <v/>
      </c>
      <c r="T8" s="114" t="str">
        <f ca="1">_xlfn.IFNA(INDEX('Calculated Fields'!$C:$DG,MATCH(Daily_KPI!T$5,'Calculated Fields'!$B:$B,0),MATCH(Daily_KPI!$A8,'Calculated Fields'!$C$2:$DG$2,0)),"")</f>
        <v/>
      </c>
      <c r="U8" s="114" t="str">
        <f ca="1">_xlfn.IFNA(INDEX('Calculated Fields'!$C:$DG,MATCH(Daily_KPI!U$5,'Calculated Fields'!$B:$B,0),MATCH(Daily_KPI!$A8,'Calculated Fields'!$C$2:$DG$2,0)),"")</f>
        <v/>
      </c>
      <c r="V8" s="114" t="str">
        <f ca="1">_xlfn.IFNA(INDEX('Calculated Fields'!$C:$DG,MATCH(Daily_KPI!V$5,'Calculated Fields'!$B:$B,0),MATCH(Daily_KPI!$A8,'Calculated Fields'!$C$2:$DG$2,0)),"")</f>
        <v/>
      </c>
      <c r="W8" s="114" t="str">
        <f ca="1">_xlfn.IFNA(INDEX('Calculated Fields'!$C:$DG,MATCH(Daily_KPI!W$5,'Calculated Fields'!$B:$B,0),MATCH(Daily_KPI!$A8,'Calculated Fields'!$C$2:$DG$2,0)),"")</f>
        <v/>
      </c>
      <c r="X8" s="114" t="str">
        <f ca="1">_xlfn.IFNA(INDEX('Calculated Fields'!$C:$DG,MATCH(Daily_KPI!X$5,'Calculated Fields'!$B:$B,0),MATCH(Daily_KPI!$A8,'Calculated Fields'!$C$2:$DG$2,0)),"")</f>
        <v/>
      </c>
      <c r="Y8" s="114" t="str">
        <f ca="1">_xlfn.IFNA(INDEX('Calculated Fields'!$C:$DG,MATCH(Daily_KPI!Y$5,'Calculated Fields'!$B:$B,0),MATCH(Daily_KPI!$A8,'Calculated Fields'!$C$2:$DG$2,0)),"")</f>
        <v/>
      </c>
      <c r="Z8" s="1"/>
      <c r="AA8" s="1"/>
      <c r="AB8" s="1"/>
      <c r="AC8" s="1"/>
      <c r="AD8" s="1"/>
      <c r="AE8" s="1"/>
      <c r="AF8" s="1"/>
      <c r="AG8" s="1"/>
    </row>
    <row r="9" spans="1:33" ht="15.75" customHeight="1">
      <c r="A9" s="62" t="s">
        <v>996</v>
      </c>
      <c r="B9" s="113">
        <f ca="1">_xlfn.IFNA(INDEX('Calculated Fields'!$C:$DG,MATCH(Daily_KPI!B$5,'Calculated Fields'!$B:$B,0),MATCH(Daily_KPI!$A9,'Calculated Fields'!$C$2:$DG$2,0)),"")</f>
        <v>9598</v>
      </c>
      <c r="C9" s="113">
        <f ca="1">_xlfn.IFNA(INDEX('Calculated Fields'!$C:$DG,MATCH(Daily_KPI!C$5,'Calculated Fields'!$B:$B,0),MATCH(Daily_KPI!$A9,'Calculated Fields'!$C$2:$DG$2,0)),"")</f>
        <v>5202</v>
      </c>
      <c r="D9" s="113">
        <f ca="1">_xlfn.IFNA(INDEX('Calculated Fields'!$C:$DG,MATCH(Daily_KPI!D$5,'Calculated Fields'!$B:$B,0),MATCH(Daily_KPI!$A9,'Calculated Fields'!$C$2:$DG$2,0)),"")</f>
        <v>5980</v>
      </c>
      <c r="E9" s="113">
        <f ca="1">_xlfn.IFNA(INDEX('Calculated Fields'!$C:$DG,MATCH(Daily_KPI!E$5,'Calculated Fields'!$B:$B,0),MATCH(Daily_KPI!$A9,'Calculated Fields'!$C$2:$DG$2,0)),"")</f>
        <v>-135</v>
      </c>
      <c r="F9" s="113">
        <f ca="1">_xlfn.IFNA(INDEX('Calculated Fields'!$C:$DG,MATCH(Daily_KPI!F$5,'Calculated Fields'!$B:$B,0),MATCH(Daily_KPI!$A9,'Calculated Fields'!$C$2:$DG$2,0)),"")</f>
        <v>6837.11</v>
      </c>
      <c r="G9" s="113">
        <f ca="1">_xlfn.IFNA(INDEX('Calculated Fields'!$C:$DG,MATCH(Daily_KPI!G$5,'Calculated Fields'!$B:$B,0),MATCH(Daily_KPI!$A9,'Calculated Fields'!$C$2:$DG$2,0)),"")</f>
        <v>6483</v>
      </c>
      <c r="H9" s="113">
        <f ca="1">_xlfn.IFNA(INDEX('Calculated Fields'!$C:$DG,MATCH(Daily_KPI!H$5,'Calculated Fields'!$B:$B,0),MATCH(Daily_KPI!$A9,'Calculated Fields'!$C$2:$DG$2,0)),"")</f>
        <v>4212</v>
      </c>
      <c r="I9" s="113">
        <f ca="1">_xlfn.IFNA(INDEX('Calculated Fields'!$C:$DG,MATCH(Daily_KPI!I$5,'Calculated Fields'!$B:$B,0),MATCH(Daily_KPI!$A9,'Calculated Fields'!$C$2:$DG$2,0)),"")</f>
        <v>15002.550000000001</v>
      </c>
      <c r="J9" s="113">
        <f ca="1">_xlfn.IFNA(INDEX('Calculated Fields'!$C:$DG,MATCH(Daily_KPI!J$5,'Calculated Fields'!$B:$B,0),MATCH(Daily_KPI!$A9,'Calculated Fields'!$C$2:$DG$2,0)),"")</f>
        <v>9731</v>
      </c>
      <c r="K9" s="113">
        <f ca="1">_xlfn.IFNA(INDEX('Calculated Fields'!$C:$DG,MATCH(Daily_KPI!K$5,'Calculated Fields'!$B:$B,0),MATCH(Daily_KPI!$A9,'Calculated Fields'!$C$2:$DG$2,0)),"")</f>
        <v>7080</v>
      </c>
      <c r="L9" s="113" t="str">
        <f ca="1">_xlfn.IFNA(INDEX('Calculated Fields'!$C:$DG,MATCH(Daily_KPI!L$5,'Calculated Fields'!$B:$B,0),MATCH(Daily_KPI!$A9,'Calculated Fields'!$C$2:$DG$2,0)),"")</f>
        <v/>
      </c>
      <c r="M9" s="113" t="str">
        <f ca="1">_xlfn.IFNA(INDEX('Calculated Fields'!$C:$DG,MATCH(Daily_KPI!M$5,'Calculated Fields'!$B:$B,0),MATCH(Daily_KPI!$A9,'Calculated Fields'!$C$2:$DG$2,0)),"")</f>
        <v/>
      </c>
      <c r="N9" s="113" t="str">
        <f ca="1">_xlfn.IFNA(INDEX('Calculated Fields'!$C:$DG,MATCH(Daily_KPI!N$5,'Calculated Fields'!$B:$B,0),MATCH(Daily_KPI!$A9,'Calculated Fields'!$C$2:$DG$2,0)),"")</f>
        <v/>
      </c>
      <c r="O9" s="113" t="str">
        <f ca="1">_xlfn.IFNA(INDEX('Calculated Fields'!$C:$DG,MATCH(Daily_KPI!O$5,'Calculated Fields'!$B:$B,0),MATCH(Daily_KPI!$A9,'Calculated Fields'!$C$2:$DG$2,0)),"")</f>
        <v/>
      </c>
      <c r="P9" s="144" t="str">
        <f ca="1">_xlfn.IFNA(INDEX('Calculated Fields'!$C:$DG,MATCH(Daily_KPI!P$5,'Calculated Fields'!$B:$B,0),MATCH(Daily_KPI!$A9,'Calculated Fields'!$C$2:$DG$2,0)),"")</f>
        <v/>
      </c>
      <c r="Q9" s="114" t="str">
        <f ca="1">_xlfn.IFNA(INDEX('Calculated Fields'!$C:$DG,MATCH(Daily_KPI!Q$5,'Calculated Fields'!$B:$B,0),MATCH(Daily_KPI!$A9,'Calculated Fields'!$C$2:$DG$2,0)),"")</f>
        <v/>
      </c>
      <c r="R9" s="114" t="str">
        <f ca="1">_xlfn.IFNA(INDEX('Calculated Fields'!$C:$DG,MATCH(Daily_KPI!R$5,'Calculated Fields'!$B:$B,0),MATCH(Daily_KPI!$A9,'Calculated Fields'!$C$2:$DG$2,0)),"")</f>
        <v/>
      </c>
      <c r="S9" s="114" t="str">
        <f ca="1">_xlfn.IFNA(INDEX('Calculated Fields'!$C:$DG,MATCH(Daily_KPI!S$5,'Calculated Fields'!$B:$B,0),MATCH(Daily_KPI!$A9,'Calculated Fields'!$C$2:$DG$2,0)),"")</f>
        <v/>
      </c>
      <c r="T9" s="114" t="str">
        <f ca="1">_xlfn.IFNA(INDEX('Calculated Fields'!$C:$DG,MATCH(Daily_KPI!T$5,'Calculated Fields'!$B:$B,0),MATCH(Daily_KPI!$A9,'Calculated Fields'!$C$2:$DG$2,0)),"")</f>
        <v/>
      </c>
      <c r="U9" s="114" t="str">
        <f ca="1">_xlfn.IFNA(INDEX('Calculated Fields'!$C:$DG,MATCH(Daily_KPI!U$5,'Calculated Fields'!$B:$B,0),MATCH(Daily_KPI!$A9,'Calculated Fields'!$C$2:$DG$2,0)),"")</f>
        <v/>
      </c>
      <c r="V9" s="114" t="str">
        <f ca="1">_xlfn.IFNA(INDEX('Calculated Fields'!$C:$DG,MATCH(Daily_KPI!V$5,'Calculated Fields'!$B:$B,0),MATCH(Daily_KPI!$A9,'Calculated Fields'!$C$2:$DG$2,0)),"")</f>
        <v/>
      </c>
      <c r="W9" s="114" t="str">
        <f ca="1">_xlfn.IFNA(INDEX('Calculated Fields'!$C:$DG,MATCH(Daily_KPI!W$5,'Calculated Fields'!$B:$B,0),MATCH(Daily_KPI!$A9,'Calculated Fields'!$C$2:$DG$2,0)),"")</f>
        <v/>
      </c>
      <c r="X9" s="114" t="str">
        <f ca="1">_xlfn.IFNA(INDEX('Calculated Fields'!$C:$DG,MATCH(Daily_KPI!X$5,'Calculated Fields'!$B:$B,0),MATCH(Daily_KPI!$A9,'Calculated Fields'!$C$2:$DG$2,0)),"")</f>
        <v/>
      </c>
      <c r="Y9" s="114" t="str">
        <f ca="1">_xlfn.IFNA(INDEX('Calculated Fields'!$C:$DG,MATCH(Daily_KPI!Y$5,'Calculated Fields'!$B:$B,0),MATCH(Daily_KPI!$A9,'Calculated Fields'!$C$2:$DG$2,0)),"")</f>
        <v/>
      </c>
      <c r="Z9" s="1"/>
      <c r="AA9" s="1"/>
      <c r="AB9" s="1"/>
      <c r="AC9" s="1"/>
      <c r="AD9" s="1"/>
      <c r="AE9" s="1"/>
      <c r="AF9" s="1"/>
      <c r="AG9" s="1"/>
    </row>
    <row r="10" spans="1:33" ht="15.75" customHeight="1">
      <c r="A10" s="62" t="s">
        <v>999</v>
      </c>
      <c r="B10" s="113">
        <f ca="1">_xlfn.IFNA(INDEX('Calculated Fields'!$C:$DG,MATCH(Daily_KPI!B$5,'Calculated Fields'!$B:$B,0),MATCH(Daily_KPI!$A10,'Calculated Fields'!$C$2:$DG$2,0)),"")</f>
        <v>9598</v>
      </c>
      <c r="C10" s="113">
        <f ca="1">_xlfn.IFNA(INDEX('Calculated Fields'!$C:$DG,MATCH(Daily_KPI!C$5,'Calculated Fields'!$B:$B,0),MATCH(Daily_KPI!$A10,'Calculated Fields'!$C$2:$DG$2,0)),"")</f>
        <v>5102</v>
      </c>
      <c r="D10" s="113">
        <f ca="1">_xlfn.IFNA(INDEX('Calculated Fields'!$C:$DG,MATCH(Daily_KPI!D$5,'Calculated Fields'!$B:$B,0),MATCH(Daily_KPI!$A10,'Calculated Fields'!$C$2:$DG$2,0)),"")</f>
        <v>5680</v>
      </c>
      <c r="E10" s="113">
        <f ca="1">_xlfn.IFNA(INDEX('Calculated Fields'!$C:$DG,MATCH(Daily_KPI!E$5,'Calculated Fields'!$B:$B,0),MATCH(Daily_KPI!$A10,'Calculated Fields'!$C$2:$DG$2,0)),"")</f>
        <v>-135</v>
      </c>
      <c r="F10" s="113">
        <f ca="1">_xlfn.IFNA(INDEX('Calculated Fields'!$C:$DG,MATCH(Daily_KPI!F$5,'Calculated Fields'!$B:$B,0),MATCH(Daily_KPI!$A10,'Calculated Fields'!$C$2:$DG$2,0)),"")</f>
        <v>6637.11</v>
      </c>
      <c r="G10" s="113">
        <f ca="1">_xlfn.IFNA(INDEX('Calculated Fields'!$C:$DG,MATCH(Daily_KPI!G$5,'Calculated Fields'!$B:$B,0),MATCH(Daily_KPI!$A10,'Calculated Fields'!$C$2:$DG$2,0)),"")</f>
        <v>6315</v>
      </c>
      <c r="H10" s="113">
        <f ca="1">_xlfn.IFNA(INDEX('Calculated Fields'!$C:$DG,MATCH(Daily_KPI!H$5,'Calculated Fields'!$B:$B,0),MATCH(Daily_KPI!$A10,'Calculated Fields'!$C$2:$DG$2,0)),"")</f>
        <v>4212</v>
      </c>
      <c r="I10" s="113">
        <f ca="1">_xlfn.IFNA(INDEX('Calculated Fields'!$C:$DG,MATCH(Daily_KPI!I$5,'Calculated Fields'!$B:$B,0),MATCH(Daily_KPI!$A10,'Calculated Fields'!$C$2:$DG$2,0)),"")</f>
        <v>14802.550000000001</v>
      </c>
      <c r="J10" s="113">
        <f ca="1">_xlfn.IFNA(INDEX('Calculated Fields'!$C:$DG,MATCH(Daily_KPI!J$5,'Calculated Fields'!$B:$B,0),MATCH(Daily_KPI!$A10,'Calculated Fields'!$C$2:$DG$2,0)),"")</f>
        <v>9825</v>
      </c>
      <c r="K10" s="113">
        <f ca="1">_xlfn.IFNA(INDEX('Calculated Fields'!$C:$DG,MATCH(Daily_KPI!K$5,'Calculated Fields'!$B:$B,0),MATCH(Daily_KPI!$A10,'Calculated Fields'!$C$2:$DG$2,0)),"")</f>
        <v>7090</v>
      </c>
      <c r="L10" s="113" t="str">
        <f ca="1">_xlfn.IFNA(INDEX('Calculated Fields'!$C:$DG,MATCH(Daily_KPI!L$5,'Calculated Fields'!$B:$B,0),MATCH(Daily_KPI!$A10,'Calculated Fields'!$C$2:$DG$2,0)),"")</f>
        <v/>
      </c>
      <c r="M10" s="113" t="str">
        <f ca="1">_xlfn.IFNA(INDEX('Calculated Fields'!$C:$DG,MATCH(Daily_KPI!M$5,'Calculated Fields'!$B:$B,0),MATCH(Daily_KPI!$A10,'Calculated Fields'!$C$2:$DG$2,0)),"")</f>
        <v/>
      </c>
      <c r="N10" s="113" t="str">
        <f ca="1">_xlfn.IFNA(INDEX('Calculated Fields'!$C:$DG,MATCH(Daily_KPI!N$5,'Calculated Fields'!$B:$B,0),MATCH(Daily_KPI!$A10,'Calculated Fields'!$C$2:$DG$2,0)),"")</f>
        <v/>
      </c>
      <c r="O10" s="113" t="str">
        <f ca="1">_xlfn.IFNA(INDEX('Calculated Fields'!$C:$DG,MATCH(Daily_KPI!O$5,'Calculated Fields'!$B:$B,0),MATCH(Daily_KPI!$A10,'Calculated Fields'!$C$2:$DG$2,0)),"")</f>
        <v/>
      </c>
      <c r="P10" s="144" t="str">
        <f ca="1">_xlfn.IFNA(INDEX('Calculated Fields'!$C:$DG,MATCH(Daily_KPI!P$5,'Calculated Fields'!$B:$B,0),MATCH(Daily_KPI!$A10,'Calculated Fields'!$C$2:$DG$2,0)),"")</f>
        <v/>
      </c>
      <c r="Q10" s="114" t="str">
        <f ca="1">_xlfn.IFNA(INDEX('Calculated Fields'!$C:$DG,MATCH(Daily_KPI!Q$5,'Calculated Fields'!$B:$B,0),MATCH(Daily_KPI!$A10,'Calculated Fields'!$C$2:$DG$2,0)),"")</f>
        <v/>
      </c>
      <c r="R10" s="114" t="str">
        <f ca="1">_xlfn.IFNA(INDEX('Calculated Fields'!$C:$DG,MATCH(Daily_KPI!R$5,'Calculated Fields'!$B:$B,0),MATCH(Daily_KPI!$A10,'Calculated Fields'!$C$2:$DG$2,0)),"")</f>
        <v/>
      </c>
      <c r="S10" s="114" t="str">
        <f ca="1">_xlfn.IFNA(INDEX('Calculated Fields'!$C:$DG,MATCH(Daily_KPI!S$5,'Calculated Fields'!$B:$B,0),MATCH(Daily_KPI!$A10,'Calculated Fields'!$C$2:$DG$2,0)),"")</f>
        <v/>
      </c>
      <c r="T10" s="114" t="str">
        <f ca="1">_xlfn.IFNA(INDEX('Calculated Fields'!$C:$DG,MATCH(Daily_KPI!T$5,'Calculated Fields'!$B:$B,0),MATCH(Daily_KPI!$A10,'Calculated Fields'!$C$2:$DG$2,0)),"")</f>
        <v/>
      </c>
      <c r="U10" s="114" t="str">
        <f ca="1">_xlfn.IFNA(INDEX('Calculated Fields'!$C:$DG,MATCH(Daily_KPI!U$5,'Calculated Fields'!$B:$B,0),MATCH(Daily_KPI!$A10,'Calculated Fields'!$C$2:$DG$2,0)),"")</f>
        <v/>
      </c>
      <c r="V10" s="114" t="str">
        <f ca="1">_xlfn.IFNA(INDEX('Calculated Fields'!$C:$DG,MATCH(Daily_KPI!V$5,'Calculated Fields'!$B:$B,0),MATCH(Daily_KPI!$A10,'Calculated Fields'!$C$2:$DG$2,0)),"")</f>
        <v/>
      </c>
      <c r="W10" s="114" t="str">
        <f ca="1">_xlfn.IFNA(INDEX('Calculated Fields'!$C:$DG,MATCH(Daily_KPI!W$5,'Calculated Fields'!$B:$B,0),MATCH(Daily_KPI!$A10,'Calculated Fields'!$C$2:$DG$2,0)),"")</f>
        <v/>
      </c>
      <c r="X10" s="114" t="str">
        <f ca="1">_xlfn.IFNA(INDEX('Calculated Fields'!$C:$DG,MATCH(Daily_KPI!X$5,'Calculated Fields'!$B:$B,0),MATCH(Daily_KPI!$A10,'Calculated Fields'!$C$2:$DG$2,0)),"")</f>
        <v/>
      </c>
      <c r="Y10" s="114" t="str">
        <f ca="1">_xlfn.IFNA(INDEX('Calculated Fields'!$C:$DG,MATCH(Daily_KPI!Y$5,'Calculated Fields'!$B:$B,0),MATCH(Daily_KPI!$A10,'Calculated Fields'!$C$2:$DG$2,0)),"")</f>
        <v/>
      </c>
      <c r="Z10" s="1"/>
      <c r="AA10" s="1"/>
      <c r="AB10" s="1"/>
      <c r="AC10" s="1"/>
      <c r="AD10" s="1"/>
      <c r="AE10" s="1"/>
      <c r="AF10" s="1"/>
      <c r="AG10" s="1"/>
    </row>
    <row r="11" spans="1:33" ht="15.75" customHeight="1">
      <c r="A11" s="62" t="s">
        <v>1000</v>
      </c>
      <c r="B11" s="113">
        <f ca="1">_xlfn.IFNA(INDEX('Calculated Fields'!$C:$DG,MATCH(Daily_KPI!B$5,'Calculated Fields'!$B:$B,0),MATCH(Daily_KPI!$A11,'Calculated Fields'!$C$2:$DG$2,0)),"")</f>
        <v>0</v>
      </c>
      <c r="C11" s="113">
        <f ca="1">_xlfn.IFNA(INDEX('Calculated Fields'!$C:$DG,MATCH(Daily_KPI!C$5,'Calculated Fields'!$B:$B,0),MATCH(Daily_KPI!$A11,'Calculated Fields'!$C$2:$DG$2,0)),"")</f>
        <v>0</v>
      </c>
      <c r="D11" s="113">
        <f ca="1">_xlfn.IFNA(INDEX('Calculated Fields'!$C:$DG,MATCH(Daily_KPI!D$5,'Calculated Fields'!$B:$B,0),MATCH(Daily_KPI!$A11,'Calculated Fields'!$C$2:$DG$2,0)),"")</f>
        <v>2700</v>
      </c>
      <c r="E11" s="113">
        <f ca="1">_xlfn.IFNA(INDEX('Calculated Fields'!$C:$DG,MATCH(Daily_KPI!E$5,'Calculated Fields'!$B:$B,0),MATCH(Daily_KPI!$A11,'Calculated Fields'!$C$2:$DG$2,0)),"")</f>
        <v>0</v>
      </c>
      <c r="F11" s="113">
        <f ca="1">_xlfn.IFNA(INDEX('Calculated Fields'!$C:$DG,MATCH(Daily_KPI!F$5,'Calculated Fields'!$B:$B,0),MATCH(Daily_KPI!$A11,'Calculated Fields'!$C$2:$DG$2,0)),"")</f>
        <v>0</v>
      </c>
      <c r="G11" s="113">
        <f ca="1">_xlfn.IFNA(INDEX('Calculated Fields'!$C:$DG,MATCH(Daily_KPI!G$5,'Calculated Fields'!$B:$B,0),MATCH(Daily_KPI!$A11,'Calculated Fields'!$C$2:$DG$2,0)),"")</f>
        <v>1100</v>
      </c>
      <c r="H11" s="113">
        <f ca="1">_xlfn.IFNA(INDEX('Calculated Fields'!$C:$DG,MATCH(Daily_KPI!H$5,'Calculated Fields'!$B:$B,0),MATCH(Daily_KPI!$A11,'Calculated Fields'!$C$2:$DG$2,0)),"")</f>
        <v>0</v>
      </c>
      <c r="I11" s="113">
        <f ca="1">_xlfn.IFNA(INDEX('Calculated Fields'!$C:$DG,MATCH(Daily_KPI!I$5,'Calculated Fields'!$B:$B,0),MATCH(Daily_KPI!$A11,'Calculated Fields'!$C$2:$DG$2,0)),"")</f>
        <v>0</v>
      </c>
      <c r="J11" s="113">
        <f ca="1">_xlfn.IFNA(INDEX('Calculated Fields'!$C:$DG,MATCH(Daily_KPI!J$5,'Calculated Fields'!$B:$B,0),MATCH(Daily_KPI!$A11,'Calculated Fields'!$C$2:$DG$2,0)),"")</f>
        <v>0</v>
      </c>
      <c r="K11" s="113">
        <f ca="1">_xlfn.IFNA(INDEX('Calculated Fields'!$C:$DG,MATCH(Daily_KPI!K$5,'Calculated Fields'!$B:$B,0),MATCH(Daily_KPI!$A11,'Calculated Fields'!$C$2:$DG$2,0)),"")</f>
        <v>-400</v>
      </c>
      <c r="L11" s="113" t="str">
        <f ca="1">_xlfn.IFNA(INDEX('Calculated Fields'!$C:$DG,MATCH(Daily_KPI!L$5,'Calculated Fields'!$B:$B,0),MATCH(Daily_KPI!$A11,'Calculated Fields'!$C$2:$DG$2,0)),"")</f>
        <v/>
      </c>
      <c r="M11" s="113" t="str">
        <f ca="1">_xlfn.IFNA(INDEX('Calculated Fields'!$C:$DG,MATCH(Daily_KPI!M$5,'Calculated Fields'!$B:$B,0),MATCH(Daily_KPI!$A11,'Calculated Fields'!$C$2:$DG$2,0)),"")</f>
        <v/>
      </c>
      <c r="N11" s="113" t="str">
        <f ca="1">_xlfn.IFNA(INDEX('Calculated Fields'!$C:$DG,MATCH(Daily_KPI!N$5,'Calculated Fields'!$B:$B,0),MATCH(Daily_KPI!$A11,'Calculated Fields'!$C$2:$DG$2,0)),"")</f>
        <v/>
      </c>
      <c r="O11" s="113" t="str">
        <f ca="1">_xlfn.IFNA(INDEX('Calculated Fields'!$C:$DG,MATCH(Daily_KPI!O$5,'Calculated Fields'!$B:$B,0),MATCH(Daily_KPI!$A11,'Calculated Fields'!$C$2:$DG$2,0)),"")</f>
        <v/>
      </c>
      <c r="P11" s="144" t="str">
        <f ca="1">_xlfn.IFNA(INDEX('Calculated Fields'!$C:$DG,MATCH(Daily_KPI!P$5,'Calculated Fields'!$B:$B,0),MATCH(Daily_KPI!$A11,'Calculated Fields'!$C$2:$DG$2,0)),"")</f>
        <v/>
      </c>
      <c r="Q11" s="114" t="str">
        <f ca="1">_xlfn.IFNA(INDEX('Calculated Fields'!$C:$DG,MATCH(Daily_KPI!Q$5,'Calculated Fields'!$B:$B,0),MATCH(Daily_KPI!$A11,'Calculated Fields'!$C$2:$DG$2,0)),"")</f>
        <v/>
      </c>
      <c r="R11" s="114" t="str">
        <f ca="1">_xlfn.IFNA(INDEX('Calculated Fields'!$C:$DG,MATCH(Daily_KPI!R$5,'Calculated Fields'!$B:$B,0),MATCH(Daily_KPI!$A11,'Calculated Fields'!$C$2:$DG$2,0)),"")</f>
        <v/>
      </c>
      <c r="S11" s="114" t="str">
        <f ca="1">_xlfn.IFNA(INDEX('Calculated Fields'!$C:$DG,MATCH(Daily_KPI!S$5,'Calculated Fields'!$B:$B,0),MATCH(Daily_KPI!$A11,'Calculated Fields'!$C$2:$DG$2,0)),"")</f>
        <v/>
      </c>
      <c r="T11" s="114" t="str">
        <f ca="1">_xlfn.IFNA(INDEX('Calculated Fields'!$C:$DG,MATCH(Daily_KPI!T$5,'Calculated Fields'!$B:$B,0),MATCH(Daily_KPI!$A11,'Calculated Fields'!$C$2:$DG$2,0)),"")</f>
        <v/>
      </c>
      <c r="U11" s="114" t="str">
        <f ca="1">_xlfn.IFNA(INDEX('Calculated Fields'!$C:$DG,MATCH(Daily_KPI!U$5,'Calculated Fields'!$B:$B,0),MATCH(Daily_KPI!$A11,'Calculated Fields'!$C$2:$DG$2,0)),"")</f>
        <v/>
      </c>
      <c r="V11" s="114" t="str">
        <f ca="1">_xlfn.IFNA(INDEX('Calculated Fields'!$C:$DG,MATCH(Daily_KPI!V$5,'Calculated Fields'!$B:$B,0),MATCH(Daily_KPI!$A11,'Calculated Fields'!$C$2:$DG$2,0)),"")</f>
        <v/>
      </c>
      <c r="W11" s="114" t="str">
        <f ca="1">_xlfn.IFNA(INDEX('Calculated Fields'!$C:$DG,MATCH(Daily_KPI!W$5,'Calculated Fields'!$B:$B,0),MATCH(Daily_KPI!$A11,'Calculated Fields'!$C$2:$DG$2,0)),"")</f>
        <v/>
      </c>
      <c r="X11" s="114" t="str">
        <f ca="1">_xlfn.IFNA(INDEX('Calculated Fields'!$C:$DG,MATCH(Daily_KPI!X$5,'Calculated Fields'!$B:$B,0),MATCH(Daily_KPI!$A11,'Calculated Fields'!$C$2:$DG$2,0)),"")</f>
        <v/>
      </c>
      <c r="Y11" s="114" t="str">
        <f ca="1">_xlfn.IFNA(INDEX('Calculated Fields'!$C:$DG,MATCH(Daily_KPI!Y$5,'Calculated Fields'!$B:$B,0),MATCH(Daily_KPI!$A11,'Calculated Fields'!$C$2:$DG$2,0)),"")</f>
        <v/>
      </c>
      <c r="Z11" s="1"/>
      <c r="AA11" s="1"/>
      <c r="AB11" s="1"/>
      <c r="AC11" s="1"/>
      <c r="AD11" s="1"/>
      <c r="AE11" s="1"/>
      <c r="AF11" s="1"/>
      <c r="AG11" s="1"/>
    </row>
    <row r="12" spans="1:33" ht="15.75" customHeight="1">
      <c r="A12" s="62" t="s">
        <v>75</v>
      </c>
      <c r="B12" s="113">
        <f ca="1">_xlfn.IFNA(INDEX('Calculated Fields'!$C:$DG,MATCH(Daily_KPI!B$5,'Calculated Fields'!$B:$B,0),MATCH(Daily_KPI!$A12,'Calculated Fields'!$C$2:$DG$2,0)),"")</f>
        <v>0</v>
      </c>
      <c r="C12" s="113">
        <f ca="1">_xlfn.IFNA(INDEX('Calculated Fields'!$C:$DG,MATCH(Daily_KPI!C$5,'Calculated Fields'!$B:$B,0),MATCH(Daily_KPI!$A12,'Calculated Fields'!$C$2:$DG$2,0)),"")</f>
        <v>0</v>
      </c>
      <c r="D12" s="113">
        <f ca="1">_xlfn.IFNA(INDEX('Calculated Fields'!$C:$DG,MATCH(Daily_KPI!D$5,'Calculated Fields'!$B:$B,0),MATCH(Daily_KPI!$A12,'Calculated Fields'!$C$2:$DG$2,0)),"")</f>
        <v>300</v>
      </c>
      <c r="E12" s="113">
        <f ca="1">_xlfn.IFNA(INDEX('Calculated Fields'!$C:$DG,MATCH(Daily_KPI!E$5,'Calculated Fields'!$B:$B,0),MATCH(Daily_KPI!$A12,'Calculated Fields'!$C$2:$DG$2,0)),"")</f>
        <v>0</v>
      </c>
      <c r="F12" s="113">
        <f ca="1">_xlfn.IFNA(INDEX('Calculated Fields'!$C:$DG,MATCH(Daily_KPI!F$5,'Calculated Fields'!$B:$B,0),MATCH(Daily_KPI!$A12,'Calculated Fields'!$C$2:$DG$2,0)),"")</f>
        <v>0</v>
      </c>
      <c r="G12" s="113">
        <f ca="1">_xlfn.IFNA(INDEX('Calculated Fields'!$C:$DG,MATCH(Daily_KPI!G$5,'Calculated Fields'!$B:$B,0),MATCH(Daily_KPI!$A12,'Calculated Fields'!$C$2:$DG$2,0)),"")</f>
        <v>168</v>
      </c>
      <c r="H12" s="113">
        <f ca="1">_xlfn.IFNA(INDEX('Calculated Fields'!$C:$DG,MATCH(Daily_KPI!H$5,'Calculated Fields'!$B:$B,0),MATCH(Daily_KPI!$A12,'Calculated Fields'!$C$2:$DG$2,0)),"")</f>
        <v>0</v>
      </c>
      <c r="I12" s="113">
        <f ca="1">_xlfn.IFNA(INDEX('Calculated Fields'!$C:$DG,MATCH(Daily_KPI!I$5,'Calculated Fields'!$B:$B,0),MATCH(Daily_KPI!$A12,'Calculated Fields'!$C$2:$DG$2,0)),"")</f>
        <v>0</v>
      </c>
      <c r="J12" s="113">
        <f ca="1">_xlfn.IFNA(INDEX('Calculated Fields'!$C:$DG,MATCH(Daily_KPI!J$5,'Calculated Fields'!$B:$B,0),MATCH(Daily_KPI!$A12,'Calculated Fields'!$C$2:$DG$2,0)),"")</f>
        <v>0</v>
      </c>
      <c r="K12" s="113">
        <f ca="1">_xlfn.IFNA(INDEX('Calculated Fields'!$C:$DG,MATCH(Daily_KPI!K$5,'Calculated Fields'!$B:$B,0),MATCH(Daily_KPI!$A12,'Calculated Fields'!$C$2:$DG$2,0)),"")</f>
        <v>-150</v>
      </c>
      <c r="L12" s="113" t="str">
        <f ca="1">_xlfn.IFNA(INDEX('Calculated Fields'!$C:$DG,MATCH(Daily_KPI!L$5,'Calculated Fields'!$B:$B,0),MATCH(Daily_KPI!$A12,'Calculated Fields'!$C$2:$DG$2,0)),"")</f>
        <v/>
      </c>
      <c r="M12" s="113" t="str">
        <f ca="1">_xlfn.IFNA(INDEX('Calculated Fields'!$C:$DG,MATCH(Daily_KPI!M$5,'Calculated Fields'!$B:$B,0),MATCH(Daily_KPI!$A12,'Calculated Fields'!$C$2:$DG$2,0)),"")</f>
        <v/>
      </c>
      <c r="N12" s="113" t="str">
        <f ca="1">_xlfn.IFNA(INDEX('Calculated Fields'!$C:$DG,MATCH(Daily_KPI!N$5,'Calculated Fields'!$B:$B,0),MATCH(Daily_KPI!$A12,'Calculated Fields'!$C$2:$DG$2,0)),"")</f>
        <v/>
      </c>
      <c r="O12" s="113" t="str">
        <f ca="1">_xlfn.IFNA(INDEX('Calculated Fields'!$C:$DG,MATCH(Daily_KPI!O$5,'Calculated Fields'!$B:$B,0),MATCH(Daily_KPI!$A12,'Calculated Fields'!$C$2:$DG$2,0)),"")</f>
        <v/>
      </c>
      <c r="P12" s="144" t="str">
        <f ca="1">_xlfn.IFNA(INDEX('Calculated Fields'!$C:$DG,MATCH(Daily_KPI!P$5,'Calculated Fields'!$B:$B,0),MATCH(Daily_KPI!$A12,'Calculated Fields'!$C$2:$DG$2,0)),"")</f>
        <v/>
      </c>
      <c r="Q12" s="114" t="str">
        <f ca="1">_xlfn.IFNA(INDEX('Calculated Fields'!$C:$DG,MATCH(Daily_KPI!Q$5,'Calculated Fields'!$B:$B,0),MATCH(Daily_KPI!$A12,'Calculated Fields'!$C$2:$DG$2,0)),"")</f>
        <v/>
      </c>
      <c r="R12" s="114" t="str">
        <f ca="1">_xlfn.IFNA(INDEX('Calculated Fields'!$C:$DG,MATCH(Daily_KPI!R$5,'Calculated Fields'!$B:$B,0),MATCH(Daily_KPI!$A12,'Calculated Fields'!$C$2:$DG$2,0)),"")</f>
        <v/>
      </c>
      <c r="S12" s="114" t="str">
        <f ca="1">_xlfn.IFNA(INDEX('Calculated Fields'!$C:$DG,MATCH(Daily_KPI!S$5,'Calculated Fields'!$B:$B,0),MATCH(Daily_KPI!$A12,'Calculated Fields'!$C$2:$DG$2,0)),"")</f>
        <v/>
      </c>
      <c r="T12" s="114" t="str">
        <f ca="1">_xlfn.IFNA(INDEX('Calculated Fields'!$C:$DG,MATCH(Daily_KPI!T$5,'Calculated Fields'!$B:$B,0),MATCH(Daily_KPI!$A12,'Calculated Fields'!$C$2:$DG$2,0)),"")</f>
        <v/>
      </c>
      <c r="U12" s="114" t="str">
        <f ca="1">_xlfn.IFNA(INDEX('Calculated Fields'!$C:$DG,MATCH(Daily_KPI!U$5,'Calculated Fields'!$B:$B,0),MATCH(Daily_KPI!$A12,'Calculated Fields'!$C$2:$DG$2,0)),"")</f>
        <v/>
      </c>
      <c r="V12" s="114" t="str">
        <f ca="1">_xlfn.IFNA(INDEX('Calculated Fields'!$C:$DG,MATCH(Daily_KPI!V$5,'Calculated Fields'!$B:$B,0),MATCH(Daily_KPI!$A12,'Calculated Fields'!$C$2:$DG$2,0)),"")</f>
        <v/>
      </c>
      <c r="W12" s="114" t="str">
        <f ca="1">_xlfn.IFNA(INDEX('Calculated Fields'!$C:$DG,MATCH(Daily_KPI!W$5,'Calculated Fields'!$B:$B,0),MATCH(Daily_KPI!$A12,'Calculated Fields'!$C$2:$DG$2,0)),"")</f>
        <v/>
      </c>
      <c r="X12" s="114" t="str">
        <f ca="1">_xlfn.IFNA(INDEX('Calculated Fields'!$C:$DG,MATCH(Daily_KPI!X$5,'Calculated Fields'!$B:$B,0),MATCH(Daily_KPI!$A12,'Calculated Fields'!$C$2:$DG$2,0)),"")</f>
        <v/>
      </c>
      <c r="Y12" s="114" t="str">
        <f ca="1">_xlfn.IFNA(INDEX('Calculated Fields'!$C:$DG,MATCH(Daily_KPI!Y$5,'Calculated Fields'!$B:$B,0),MATCH(Daily_KPI!$A12,'Calculated Fields'!$C$2:$DG$2,0)),"")</f>
        <v/>
      </c>
      <c r="Z12" s="1"/>
      <c r="AA12" s="1"/>
      <c r="AB12" s="1"/>
      <c r="AC12" s="1"/>
      <c r="AD12" s="1"/>
      <c r="AE12" s="1"/>
      <c r="AF12" s="1"/>
      <c r="AG12" s="1"/>
    </row>
    <row r="13" spans="1:33" ht="15.75" customHeight="1">
      <c r="A13" s="62" t="s">
        <v>82</v>
      </c>
      <c r="B13" s="113">
        <f ca="1">_xlfn.IFNA(INDEX('Calculated Fields'!$C:$DG,MATCH(Daily_KPI!B$5,'Calculated Fields'!$B:$B,0),MATCH(Daily_KPI!$A13,'Calculated Fields'!$C$2:$DG$2,0)),"")</f>
        <v>645</v>
      </c>
      <c r="C13" s="113">
        <f ca="1">_xlfn.IFNA(INDEX('Calculated Fields'!$C:$DG,MATCH(Daily_KPI!C$5,'Calculated Fields'!$B:$B,0),MATCH(Daily_KPI!$A13,'Calculated Fields'!$C$2:$DG$2,0)),"")</f>
        <v>16</v>
      </c>
      <c r="D13" s="113">
        <f ca="1">_xlfn.IFNA(INDEX('Calculated Fields'!$C:$DG,MATCH(Daily_KPI!D$5,'Calculated Fields'!$B:$B,0),MATCH(Daily_KPI!$A13,'Calculated Fields'!$C$2:$DG$2,0)),"")</f>
        <v>590</v>
      </c>
      <c r="E13" s="113">
        <f ca="1">_xlfn.IFNA(INDEX('Calculated Fields'!$C:$DG,MATCH(Daily_KPI!E$5,'Calculated Fields'!$B:$B,0),MATCH(Daily_KPI!$A13,'Calculated Fields'!$C$2:$DG$2,0)),"")</f>
        <v>0</v>
      </c>
      <c r="F13" s="113">
        <f ca="1">_xlfn.IFNA(INDEX('Calculated Fields'!$C:$DG,MATCH(Daily_KPI!F$5,'Calculated Fields'!$B:$B,0),MATCH(Daily_KPI!$A13,'Calculated Fields'!$C$2:$DG$2,0)),"")</f>
        <v>0</v>
      </c>
      <c r="G13" s="113">
        <f ca="1">_xlfn.IFNA(INDEX('Calculated Fields'!$C:$DG,MATCH(Daily_KPI!G$5,'Calculated Fields'!$B:$B,0),MATCH(Daily_KPI!$A13,'Calculated Fields'!$C$2:$DG$2,0)),"")</f>
        <v>315</v>
      </c>
      <c r="H13" s="113">
        <f ca="1">_xlfn.IFNA(INDEX('Calculated Fields'!$C:$DG,MATCH(Daily_KPI!H$5,'Calculated Fields'!$B:$B,0),MATCH(Daily_KPI!$A13,'Calculated Fields'!$C$2:$DG$2,0)),"")</f>
        <v>95</v>
      </c>
      <c r="I13" s="113">
        <f ca="1">_xlfn.IFNA(INDEX('Calculated Fields'!$C:$DG,MATCH(Daily_KPI!I$5,'Calculated Fields'!$B:$B,0),MATCH(Daily_KPI!$A13,'Calculated Fields'!$C$2:$DG$2,0)),"")</f>
        <v>8</v>
      </c>
      <c r="J13" s="113">
        <f ca="1">_xlfn.IFNA(INDEX('Calculated Fields'!$C:$DG,MATCH(Daily_KPI!J$5,'Calculated Fields'!$B:$B,0),MATCH(Daily_KPI!$A13,'Calculated Fields'!$C$2:$DG$2,0)),"")</f>
        <v>0</v>
      </c>
      <c r="K13" s="113">
        <f ca="1">_xlfn.IFNA(INDEX('Calculated Fields'!$C:$DG,MATCH(Daily_KPI!K$5,'Calculated Fields'!$B:$B,0),MATCH(Daily_KPI!$A13,'Calculated Fields'!$C$2:$DG$2,0)),"")</f>
        <v>0</v>
      </c>
      <c r="L13" s="113" t="str">
        <f ca="1">_xlfn.IFNA(INDEX('Calculated Fields'!$C:$DG,MATCH(Daily_KPI!L$5,'Calculated Fields'!$B:$B,0),MATCH(Daily_KPI!$A13,'Calculated Fields'!$C$2:$DG$2,0)),"")</f>
        <v/>
      </c>
      <c r="M13" s="113" t="str">
        <f ca="1">_xlfn.IFNA(INDEX('Calculated Fields'!$C:$DG,MATCH(Daily_KPI!M$5,'Calculated Fields'!$B:$B,0),MATCH(Daily_KPI!$A13,'Calculated Fields'!$C$2:$DG$2,0)),"")</f>
        <v/>
      </c>
      <c r="N13" s="113" t="str">
        <f ca="1">_xlfn.IFNA(INDEX('Calculated Fields'!$C:$DG,MATCH(Daily_KPI!N$5,'Calculated Fields'!$B:$B,0),MATCH(Daily_KPI!$A13,'Calculated Fields'!$C$2:$DG$2,0)),"")</f>
        <v/>
      </c>
      <c r="O13" s="113" t="str">
        <f ca="1">_xlfn.IFNA(INDEX('Calculated Fields'!$C:$DG,MATCH(Daily_KPI!O$5,'Calculated Fields'!$B:$B,0),MATCH(Daily_KPI!$A13,'Calculated Fields'!$C$2:$DG$2,0)),"")</f>
        <v/>
      </c>
      <c r="P13" s="144" t="str">
        <f ca="1">_xlfn.IFNA(INDEX('Calculated Fields'!$C:$DG,MATCH(Daily_KPI!P$5,'Calculated Fields'!$B:$B,0),MATCH(Daily_KPI!$A13,'Calculated Fields'!$C$2:$DG$2,0)),"")</f>
        <v/>
      </c>
      <c r="Q13" s="114" t="str">
        <f ca="1">_xlfn.IFNA(INDEX('Calculated Fields'!$C:$DG,MATCH(Daily_KPI!Q$5,'Calculated Fields'!$B:$B,0),MATCH(Daily_KPI!$A13,'Calculated Fields'!$C$2:$DG$2,0)),"")</f>
        <v/>
      </c>
      <c r="R13" s="114" t="str">
        <f ca="1">_xlfn.IFNA(INDEX('Calculated Fields'!$C:$DG,MATCH(Daily_KPI!R$5,'Calculated Fields'!$B:$B,0),MATCH(Daily_KPI!$A13,'Calculated Fields'!$C$2:$DG$2,0)),"")</f>
        <v/>
      </c>
      <c r="S13" s="114" t="str">
        <f ca="1">_xlfn.IFNA(INDEX('Calculated Fields'!$C:$DG,MATCH(Daily_KPI!S$5,'Calculated Fields'!$B:$B,0),MATCH(Daily_KPI!$A13,'Calculated Fields'!$C$2:$DG$2,0)),"")</f>
        <v/>
      </c>
      <c r="T13" s="114" t="str">
        <f ca="1">_xlfn.IFNA(INDEX('Calculated Fields'!$C:$DG,MATCH(Daily_KPI!T$5,'Calculated Fields'!$B:$B,0),MATCH(Daily_KPI!$A13,'Calculated Fields'!$C$2:$DG$2,0)),"")</f>
        <v/>
      </c>
      <c r="U13" s="114" t="str">
        <f ca="1">_xlfn.IFNA(INDEX('Calculated Fields'!$C:$DG,MATCH(Daily_KPI!U$5,'Calculated Fields'!$B:$B,0),MATCH(Daily_KPI!$A13,'Calculated Fields'!$C$2:$DG$2,0)),"")</f>
        <v/>
      </c>
      <c r="V13" s="114" t="str">
        <f ca="1">_xlfn.IFNA(INDEX('Calculated Fields'!$C:$DG,MATCH(Daily_KPI!V$5,'Calculated Fields'!$B:$B,0),MATCH(Daily_KPI!$A13,'Calculated Fields'!$C$2:$DG$2,0)),"")</f>
        <v/>
      </c>
      <c r="W13" s="114" t="str">
        <f ca="1">_xlfn.IFNA(INDEX('Calculated Fields'!$C:$DG,MATCH(Daily_KPI!W$5,'Calculated Fields'!$B:$B,0),MATCH(Daily_KPI!$A13,'Calculated Fields'!$C$2:$DG$2,0)),"")</f>
        <v/>
      </c>
      <c r="X13" s="114" t="str">
        <f ca="1">_xlfn.IFNA(INDEX('Calculated Fields'!$C:$DG,MATCH(Daily_KPI!X$5,'Calculated Fields'!$B:$B,0),MATCH(Daily_KPI!$A13,'Calculated Fields'!$C$2:$DG$2,0)),"")</f>
        <v/>
      </c>
      <c r="Y13" s="114" t="str">
        <f ca="1">_xlfn.IFNA(INDEX('Calculated Fields'!$C:$DG,MATCH(Daily_KPI!Y$5,'Calculated Fields'!$B:$B,0),MATCH(Daily_KPI!$A13,'Calculated Fields'!$C$2:$DG$2,0)),"")</f>
        <v/>
      </c>
      <c r="Z13" s="1"/>
      <c r="AA13" s="1"/>
      <c r="AB13" s="1"/>
      <c r="AC13" s="1"/>
      <c r="AD13" s="1"/>
      <c r="AE13" s="1"/>
      <c r="AF13" s="1"/>
      <c r="AG13" s="1"/>
    </row>
    <row r="14" spans="1:33" ht="15.75" customHeight="1">
      <c r="A14" s="62" t="s">
        <v>1004</v>
      </c>
      <c r="B14" s="113">
        <f ca="1">_xlfn.IFNA(INDEX('Calculated Fields'!$C:$DG,MATCH(Daily_KPI!B$5,'Calculated Fields'!$B:$B,0),MATCH(Daily_KPI!$A14,'Calculated Fields'!$C$2:$DG$2,0)),"")</f>
        <v>935</v>
      </c>
      <c r="C14" s="113">
        <f ca="1">_xlfn.IFNA(INDEX('Calculated Fields'!$C:$DG,MATCH(Daily_KPI!C$5,'Calculated Fields'!$B:$B,0),MATCH(Daily_KPI!$A14,'Calculated Fields'!$C$2:$DG$2,0)),"")</f>
        <v>400</v>
      </c>
      <c r="D14" s="113">
        <f ca="1">_xlfn.IFNA(INDEX('Calculated Fields'!$C:$DG,MATCH(Daily_KPI!D$5,'Calculated Fields'!$B:$B,0),MATCH(Daily_KPI!$A14,'Calculated Fields'!$C$2:$DG$2,0)),"")</f>
        <v>50</v>
      </c>
      <c r="E14" s="113">
        <f ca="1">_xlfn.IFNA(INDEX('Calculated Fields'!$C:$DG,MATCH(Daily_KPI!E$5,'Calculated Fields'!$B:$B,0),MATCH(Daily_KPI!$A14,'Calculated Fields'!$C$2:$DG$2,0)),"")</f>
        <v>0</v>
      </c>
      <c r="F14" s="113">
        <f ca="1">_xlfn.IFNA(INDEX('Calculated Fields'!$C:$DG,MATCH(Daily_KPI!F$5,'Calculated Fields'!$B:$B,0),MATCH(Daily_KPI!$A14,'Calculated Fields'!$C$2:$DG$2,0)),"")</f>
        <v>523</v>
      </c>
      <c r="G14" s="113">
        <f ca="1">_xlfn.IFNA(INDEX('Calculated Fields'!$C:$DG,MATCH(Daily_KPI!G$5,'Calculated Fields'!$B:$B,0),MATCH(Daily_KPI!$A14,'Calculated Fields'!$C$2:$DG$2,0)),"")</f>
        <v>380</v>
      </c>
      <c r="H14" s="113">
        <f ca="1">_xlfn.IFNA(INDEX('Calculated Fields'!$C:$DG,MATCH(Daily_KPI!H$5,'Calculated Fields'!$B:$B,0),MATCH(Daily_KPI!$A14,'Calculated Fields'!$C$2:$DG$2,0)),"")</f>
        <v>335</v>
      </c>
      <c r="I14" s="113">
        <f ca="1">_xlfn.IFNA(INDEX('Calculated Fields'!$C:$DG,MATCH(Daily_KPI!I$5,'Calculated Fields'!$B:$B,0),MATCH(Daily_KPI!$A14,'Calculated Fields'!$C$2:$DG$2,0)),"")</f>
        <v>305</v>
      </c>
      <c r="J14" s="113">
        <f ca="1">_xlfn.IFNA(INDEX('Calculated Fields'!$C:$DG,MATCH(Daily_KPI!J$5,'Calculated Fields'!$B:$B,0),MATCH(Daily_KPI!$A14,'Calculated Fields'!$C$2:$DG$2,0)),"")</f>
        <v>839</v>
      </c>
      <c r="K14" s="113">
        <f ca="1">_xlfn.IFNA(INDEX('Calculated Fields'!$C:$DG,MATCH(Daily_KPI!K$5,'Calculated Fields'!$B:$B,0),MATCH(Daily_KPI!$A14,'Calculated Fields'!$C$2:$DG$2,0)),"")</f>
        <v>1327</v>
      </c>
      <c r="L14" s="113" t="str">
        <f ca="1">_xlfn.IFNA(INDEX('Calculated Fields'!$C:$DG,MATCH(Daily_KPI!L$5,'Calculated Fields'!$B:$B,0),MATCH(Daily_KPI!$A14,'Calculated Fields'!$C$2:$DG$2,0)),"")</f>
        <v/>
      </c>
      <c r="M14" s="113" t="str">
        <f ca="1">_xlfn.IFNA(INDEX('Calculated Fields'!$C:$DG,MATCH(Daily_KPI!M$5,'Calculated Fields'!$B:$B,0),MATCH(Daily_KPI!$A14,'Calculated Fields'!$C$2:$DG$2,0)),"")</f>
        <v/>
      </c>
      <c r="N14" s="113" t="str">
        <f ca="1">_xlfn.IFNA(INDEX('Calculated Fields'!$C:$DG,MATCH(Daily_KPI!N$5,'Calculated Fields'!$B:$B,0),MATCH(Daily_KPI!$A14,'Calculated Fields'!$C$2:$DG$2,0)),"")</f>
        <v/>
      </c>
      <c r="O14" s="113" t="str">
        <f ca="1">_xlfn.IFNA(INDEX('Calculated Fields'!$C:$DG,MATCH(Daily_KPI!O$5,'Calculated Fields'!$B:$B,0),MATCH(Daily_KPI!$A14,'Calculated Fields'!$C$2:$DG$2,0)),"")</f>
        <v/>
      </c>
      <c r="P14" s="144" t="str">
        <f ca="1">_xlfn.IFNA(INDEX('Calculated Fields'!$C:$DG,MATCH(Daily_KPI!P$5,'Calculated Fields'!$B:$B,0),MATCH(Daily_KPI!$A14,'Calculated Fields'!$C$2:$DG$2,0)),"")</f>
        <v/>
      </c>
      <c r="Q14" s="114" t="str">
        <f ca="1">_xlfn.IFNA(INDEX('Calculated Fields'!$C:$DG,MATCH(Daily_KPI!Q$5,'Calculated Fields'!$B:$B,0),MATCH(Daily_KPI!$A14,'Calculated Fields'!$C$2:$DG$2,0)),"")</f>
        <v/>
      </c>
      <c r="R14" s="114" t="str">
        <f ca="1">_xlfn.IFNA(INDEX('Calculated Fields'!$C:$DG,MATCH(Daily_KPI!R$5,'Calculated Fields'!$B:$B,0),MATCH(Daily_KPI!$A14,'Calculated Fields'!$C$2:$DG$2,0)),"")</f>
        <v/>
      </c>
      <c r="S14" s="114" t="str">
        <f ca="1">_xlfn.IFNA(INDEX('Calculated Fields'!$C:$DG,MATCH(Daily_KPI!S$5,'Calculated Fields'!$B:$B,0),MATCH(Daily_KPI!$A14,'Calculated Fields'!$C$2:$DG$2,0)),"")</f>
        <v/>
      </c>
      <c r="T14" s="114" t="str">
        <f ca="1">_xlfn.IFNA(INDEX('Calculated Fields'!$C:$DG,MATCH(Daily_KPI!T$5,'Calculated Fields'!$B:$B,0),MATCH(Daily_KPI!$A14,'Calculated Fields'!$C$2:$DG$2,0)),"")</f>
        <v/>
      </c>
      <c r="U14" s="114" t="str">
        <f ca="1">_xlfn.IFNA(INDEX('Calculated Fields'!$C:$DG,MATCH(Daily_KPI!U$5,'Calculated Fields'!$B:$B,0),MATCH(Daily_KPI!$A14,'Calculated Fields'!$C$2:$DG$2,0)),"")</f>
        <v/>
      </c>
      <c r="V14" s="114" t="str">
        <f ca="1">_xlfn.IFNA(INDEX('Calculated Fields'!$C:$DG,MATCH(Daily_KPI!V$5,'Calculated Fields'!$B:$B,0),MATCH(Daily_KPI!$A14,'Calculated Fields'!$C$2:$DG$2,0)),"")</f>
        <v/>
      </c>
      <c r="W14" s="114" t="str">
        <f ca="1">_xlfn.IFNA(INDEX('Calculated Fields'!$C:$DG,MATCH(Daily_KPI!W$5,'Calculated Fields'!$B:$B,0),MATCH(Daily_KPI!$A14,'Calculated Fields'!$C$2:$DG$2,0)),"")</f>
        <v/>
      </c>
      <c r="X14" s="114" t="str">
        <f ca="1">_xlfn.IFNA(INDEX('Calculated Fields'!$C:$DG,MATCH(Daily_KPI!X$5,'Calculated Fields'!$B:$B,0),MATCH(Daily_KPI!$A14,'Calculated Fields'!$C$2:$DG$2,0)),"")</f>
        <v/>
      </c>
      <c r="Y14" s="114" t="str">
        <f ca="1">_xlfn.IFNA(INDEX('Calculated Fields'!$C:$DG,MATCH(Daily_KPI!Y$5,'Calculated Fields'!$B:$B,0),MATCH(Daily_KPI!$A14,'Calculated Fields'!$C$2:$DG$2,0)),"")</f>
        <v/>
      </c>
      <c r="Z14" s="1"/>
      <c r="AA14" s="1"/>
      <c r="AB14" s="1"/>
      <c r="AC14" s="1"/>
      <c r="AD14" s="1"/>
      <c r="AE14" s="1"/>
      <c r="AF14" s="1"/>
      <c r="AG14" s="1"/>
    </row>
    <row r="15" spans="1:33" ht="15.75" customHeight="1">
      <c r="A15" s="62" t="s">
        <v>1035</v>
      </c>
      <c r="B15" s="113">
        <f ca="1">_xlfn.IFNA(INDEX('Calculated Fields'!$C:$DG,MATCH(Daily_KPI!B$5,'Calculated Fields'!$B:$B,0),MATCH(Daily_KPI!$A15,'Calculated Fields'!$C$2:$DG$2,0)),"")</f>
        <v>124.41666666666667</v>
      </c>
      <c r="C15" s="113">
        <f ca="1">_xlfn.IFNA(INDEX('Calculated Fields'!$C:$DG,MATCH(Daily_KPI!C$5,'Calculated Fields'!$B:$B,0),MATCH(Daily_KPI!$A15,'Calculated Fields'!$C$2:$DG$2,0)),"")</f>
        <v>130.57894736842104</v>
      </c>
      <c r="D15" s="113">
        <f ca="1">_xlfn.IFNA(INDEX('Calculated Fields'!$C:$DG,MATCH(Daily_KPI!D$5,'Calculated Fields'!$B:$B,0),MATCH(Daily_KPI!$A15,'Calculated Fields'!$C$2:$DG$2,0)),"")</f>
        <v>34.229508196721312</v>
      </c>
      <c r="E15" s="113">
        <f ca="1">_xlfn.IFNA(INDEX('Calculated Fields'!$C:$DG,MATCH(Daily_KPI!E$5,'Calculated Fields'!$B:$B,0),MATCH(Daily_KPI!$A15,'Calculated Fields'!$C$2:$DG$2,0)),"")</f>
        <v>10.199999999999999</v>
      </c>
      <c r="F15" s="113">
        <f ca="1">_xlfn.IFNA(INDEX('Calculated Fields'!$C:$DG,MATCH(Daily_KPI!F$5,'Calculated Fields'!$B:$B,0),MATCH(Daily_KPI!$A15,'Calculated Fields'!$C$2:$DG$2,0)),"")</f>
        <v>58.05</v>
      </c>
      <c r="G15" s="113">
        <f ca="1">_xlfn.IFNA(INDEX('Calculated Fields'!$C:$DG,MATCH(Daily_KPI!G$5,'Calculated Fields'!$B:$B,0),MATCH(Daily_KPI!$A15,'Calculated Fields'!$C$2:$DG$2,0)),"")</f>
        <v>26.928571428571427</v>
      </c>
      <c r="H15" s="113">
        <f ca="1">_xlfn.IFNA(INDEX('Calculated Fields'!$C:$DG,MATCH(Daily_KPI!H$5,'Calculated Fields'!$B:$B,0),MATCH(Daily_KPI!$A15,'Calculated Fields'!$C$2:$DG$2,0)),"")</f>
        <v>82.045454545454547</v>
      </c>
      <c r="I15" s="113">
        <f ca="1">_xlfn.IFNA(INDEX('Calculated Fields'!$C:$DG,MATCH(Daily_KPI!I$5,'Calculated Fields'!$B:$B,0),MATCH(Daily_KPI!$A15,'Calculated Fields'!$C$2:$DG$2,0)),"")</f>
        <v>17.64516129032258</v>
      </c>
      <c r="J15" s="113">
        <f ca="1">_xlfn.IFNA(INDEX('Calculated Fields'!$C:$DG,MATCH(Daily_KPI!J$5,'Calculated Fields'!$B:$B,0),MATCH(Daily_KPI!$A15,'Calculated Fields'!$C$2:$DG$2,0)),"")</f>
        <v>122.42857142857143</v>
      </c>
      <c r="K15" s="113">
        <f ca="1">_xlfn.IFNA(INDEX('Calculated Fields'!$C:$DG,MATCH(Daily_KPI!K$5,'Calculated Fields'!$B:$B,0),MATCH(Daily_KPI!$A15,'Calculated Fields'!$C$2:$DG$2,0)),"")</f>
        <v>103.13793103448276</v>
      </c>
      <c r="L15" s="113" t="str">
        <f ca="1">_xlfn.IFNA(INDEX('Calculated Fields'!$C:$DG,MATCH(Daily_KPI!L$5,'Calculated Fields'!$B:$B,0),MATCH(Daily_KPI!$A15,'Calculated Fields'!$C$2:$DG$2,0)),"")</f>
        <v/>
      </c>
      <c r="M15" s="113" t="str">
        <f ca="1">_xlfn.IFNA(INDEX('Calculated Fields'!$C:$DG,MATCH(Daily_KPI!M$5,'Calculated Fields'!$B:$B,0),MATCH(Daily_KPI!$A15,'Calculated Fields'!$C$2:$DG$2,0)),"")</f>
        <v/>
      </c>
      <c r="N15" s="113" t="str">
        <f ca="1">_xlfn.IFNA(INDEX('Calculated Fields'!$C:$DG,MATCH(Daily_KPI!N$5,'Calculated Fields'!$B:$B,0),MATCH(Daily_KPI!$A15,'Calculated Fields'!$C$2:$DG$2,0)),"")</f>
        <v/>
      </c>
      <c r="O15" s="113" t="str">
        <f ca="1">_xlfn.IFNA(INDEX('Calculated Fields'!$C:$DG,MATCH(Daily_KPI!O$5,'Calculated Fields'!$B:$B,0),MATCH(Daily_KPI!$A15,'Calculated Fields'!$C$2:$DG$2,0)),"")</f>
        <v/>
      </c>
      <c r="P15" s="144" t="str">
        <f ca="1">_xlfn.IFNA(INDEX('Calculated Fields'!$C:$DG,MATCH(Daily_KPI!P$5,'Calculated Fields'!$B:$B,0),MATCH(Daily_KPI!$A15,'Calculated Fields'!$C$2:$DG$2,0)),"")</f>
        <v/>
      </c>
      <c r="Q15" s="114" t="str">
        <f ca="1">_xlfn.IFNA(INDEX('Calculated Fields'!$C:$DG,MATCH(Daily_KPI!Q$5,'Calculated Fields'!$B:$B,0),MATCH(Daily_KPI!$A15,'Calculated Fields'!$C$2:$DG$2,0)),"")</f>
        <v/>
      </c>
      <c r="R15" s="114" t="str">
        <f ca="1">_xlfn.IFNA(INDEX('Calculated Fields'!$C:$DG,MATCH(Daily_KPI!R$5,'Calculated Fields'!$B:$B,0),MATCH(Daily_KPI!$A15,'Calculated Fields'!$C$2:$DG$2,0)),"")</f>
        <v/>
      </c>
      <c r="S15" s="114" t="str">
        <f ca="1">_xlfn.IFNA(INDEX('Calculated Fields'!$C:$DG,MATCH(Daily_KPI!S$5,'Calculated Fields'!$B:$B,0),MATCH(Daily_KPI!$A15,'Calculated Fields'!$C$2:$DG$2,0)),"")</f>
        <v/>
      </c>
      <c r="T15" s="114" t="str">
        <f ca="1">_xlfn.IFNA(INDEX('Calculated Fields'!$C:$DG,MATCH(Daily_KPI!T$5,'Calculated Fields'!$B:$B,0),MATCH(Daily_KPI!$A15,'Calculated Fields'!$C$2:$DG$2,0)),"")</f>
        <v/>
      </c>
      <c r="U15" s="114" t="str">
        <f ca="1">_xlfn.IFNA(INDEX('Calculated Fields'!$C:$DG,MATCH(Daily_KPI!U$5,'Calculated Fields'!$B:$B,0),MATCH(Daily_KPI!$A15,'Calculated Fields'!$C$2:$DG$2,0)),"")</f>
        <v/>
      </c>
      <c r="V15" s="114" t="str">
        <f ca="1">_xlfn.IFNA(INDEX('Calculated Fields'!$C:$DG,MATCH(Daily_KPI!V$5,'Calculated Fields'!$B:$B,0),MATCH(Daily_KPI!$A15,'Calculated Fields'!$C$2:$DG$2,0)),"")</f>
        <v/>
      </c>
      <c r="W15" s="114" t="str">
        <f ca="1">_xlfn.IFNA(INDEX('Calculated Fields'!$C:$DG,MATCH(Daily_KPI!W$5,'Calculated Fields'!$B:$B,0),MATCH(Daily_KPI!$A15,'Calculated Fields'!$C$2:$DG$2,0)),"")</f>
        <v/>
      </c>
      <c r="X15" s="114" t="str">
        <f ca="1">_xlfn.IFNA(INDEX('Calculated Fields'!$C:$DG,MATCH(Daily_KPI!X$5,'Calculated Fields'!$B:$B,0),MATCH(Daily_KPI!$A15,'Calculated Fields'!$C$2:$DG$2,0)),"")</f>
        <v/>
      </c>
      <c r="Y15" s="114" t="str">
        <f ca="1">_xlfn.IFNA(INDEX('Calculated Fields'!$C:$DG,MATCH(Daily_KPI!Y$5,'Calculated Fields'!$B:$B,0),MATCH(Daily_KPI!$A15,'Calculated Fields'!$C$2:$DG$2,0)),"")</f>
        <v/>
      </c>
      <c r="Z15" s="1"/>
      <c r="AA15" s="1"/>
      <c r="AB15" s="1"/>
      <c r="AC15" s="1"/>
      <c r="AD15" s="1"/>
      <c r="AE15" s="1"/>
      <c r="AF15" s="1"/>
      <c r="AG15" s="1"/>
    </row>
    <row r="16" spans="1:33" ht="15.75" customHeight="1">
      <c r="A16" s="62" t="s">
        <v>1032</v>
      </c>
      <c r="B16" s="113">
        <f ca="1">_xlfn.IFNA(INDEX('Calculated Fields'!$C:$DG,MATCH(Daily_KPI!B$5,'Calculated Fields'!$B:$B,0),MATCH(Daily_KPI!$A16,'Calculated Fields'!$C$2:$DG$2,0)),"")</f>
        <v>0</v>
      </c>
      <c r="C16" s="113">
        <f ca="1">_xlfn.IFNA(INDEX('Calculated Fields'!$C:$DG,MATCH(Daily_KPI!C$5,'Calculated Fields'!$B:$B,0),MATCH(Daily_KPI!$A16,'Calculated Fields'!$C$2:$DG$2,0)),"")</f>
        <v>5</v>
      </c>
      <c r="D16" s="113">
        <f ca="1">_xlfn.IFNA(INDEX('Calculated Fields'!$C:$DG,MATCH(Daily_KPI!D$5,'Calculated Fields'!$B:$B,0),MATCH(Daily_KPI!$A16,'Calculated Fields'!$C$2:$DG$2,0)),"")</f>
        <v>0</v>
      </c>
      <c r="E16" s="113">
        <f ca="1">_xlfn.IFNA(INDEX('Calculated Fields'!$C:$DG,MATCH(Daily_KPI!E$5,'Calculated Fields'!$B:$B,0),MATCH(Daily_KPI!$A16,'Calculated Fields'!$C$2:$DG$2,0)),"")</f>
        <v>10</v>
      </c>
      <c r="F16" s="113">
        <f ca="1">_xlfn.IFNA(INDEX('Calculated Fields'!$C:$DG,MATCH(Daily_KPI!F$5,'Calculated Fields'!$B:$B,0),MATCH(Daily_KPI!$A16,'Calculated Fields'!$C$2:$DG$2,0)),"")</f>
        <v>0</v>
      </c>
      <c r="G16" s="113">
        <f ca="1">_xlfn.IFNA(INDEX('Calculated Fields'!$C:$DG,MATCH(Daily_KPI!G$5,'Calculated Fields'!$B:$B,0),MATCH(Daily_KPI!$A16,'Calculated Fields'!$C$2:$DG$2,0)),"")</f>
        <v>14</v>
      </c>
      <c r="H16" s="113">
        <f ca="1">_xlfn.IFNA(INDEX('Calculated Fields'!$C:$DG,MATCH(Daily_KPI!H$5,'Calculated Fields'!$B:$B,0),MATCH(Daily_KPI!$A16,'Calculated Fields'!$C$2:$DG$2,0)),"")</f>
        <v>0</v>
      </c>
      <c r="I16" s="113">
        <f ca="1">_xlfn.IFNA(INDEX('Calculated Fields'!$C:$DG,MATCH(Daily_KPI!I$5,'Calculated Fields'!$B:$B,0),MATCH(Daily_KPI!$A16,'Calculated Fields'!$C$2:$DG$2,0)),"")</f>
        <v>8</v>
      </c>
      <c r="J16" s="113">
        <f ca="1">_xlfn.IFNA(INDEX('Calculated Fields'!$C:$DG,MATCH(Daily_KPI!J$5,'Calculated Fields'!$B:$B,0),MATCH(Daily_KPI!$A16,'Calculated Fields'!$C$2:$DG$2,0)),"")</f>
        <v>0</v>
      </c>
      <c r="K16" s="113">
        <f ca="1">_xlfn.IFNA(INDEX('Calculated Fields'!$C:$DG,MATCH(Daily_KPI!K$5,'Calculated Fields'!$B:$B,0),MATCH(Daily_KPI!$A16,'Calculated Fields'!$C$2:$DG$2,0)),"")</f>
        <v>0</v>
      </c>
      <c r="L16" s="113" t="str">
        <f ca="1">_xlfn.IFNA(INDEX('Calculated Fields'!$C:$DG,MATCH(Daily_KPI!L$5,'Calculated Fields'!$B:$B,0),MATCH(Daily_KPI!$A16,'Calculated Fields'!$C$2:$DG$2,0)),"")</f>
        <v/>
      </c>
      <c r="M16" s="113" t="str">
        <f ca="1">_xlfn.IFNA(INDEX('Calculated Fields'!$C:$DG,MATCH(Daily_KPI!M$5,'Calculated Fields'!$B:$B,0),MATCH(Daily_KPI!$A16,'Calculated Fields'!$C$2:$DG$2,0)),"")</f>
        <v/>
      </c>
      <c r="N16" s="113" t="str">
        <f ca="1">_xlfn.IFNA(INDEX('Calculated Fields'!$C:$DG,MATCH(Daily_KPI!N$5,'Calculated Fields'!$B:$B,0),MATCH(Daily_KPI!$A16,'Calculated Fields'!$C$2:$DG$2,0)),"")</f>
        <v/>
      </c>
      <c r="O16" s="113" t="str">
        <f ca="1">_xlfn.IFNA(INDEX('Calculated Fields'!$C:$DG,MATCH(Daily_KPI!O$5,'Calculated Fields'!$B:$B,0),MATCH(Daily_KPI!$A16,'Calculated Fields'!$C$2:$DG$2,0)),"")</f>
        <v/>
      </c>
      <c r="P16" s="144" t="str">
        <f ca="1">_xlfn.IFNA(INDEX('Calculated Fields'!$C:$DG,MATCH(Daily_KPI!P$5,'Calculated Fields'!$B:$B,0),MATCH(Daily_KPI!$A16,'Calculated Fields'!$C$2:$DG$2,0)),"")</f>
        <v/>
      </c>
      <c r="Q16" s="114" t="str">
        <f ca="1">_xlfn.IFNA(INDEX('Calculated Fields'!$C:$DG,MATCH(Daily_KPI!Q$5,'Calculated Fields'!$B:$B,0),MATCH(Daily_KPI!$A16,'Calculated Fields'!$C$2:$DG$2,0)),"")</f>
        <v/>
      </c>
      <c r="R16" s="114" t="str">
        <f ca="1">_xlfn.IFNA(INDEX('Calculated Fields'!$C:$DG,MATCH(Daily_KPI!R$5,'Calculated Fields'!$B:$B,0),MATCH(Daily_KPI!$A16,'Calculated Fields'!$C$2:$DG$2,0)),"")</f>
        <v/>
      </c>
      <c r="S16" s="114" t="str">
        <f ca="1">_xlfn.IFNA(INDEX('Calculated Fields'!$C:$DG,MATCH(Daily_KPI!S$5,'Calculated Fields'!$B:$B,0),MATCH(Daily_KPI!$A16,'Calculated Fields'!$C$2:$DG$2,0)),"")</f>
        <v/>
      </c>
      <c r="T16" s="114" t="str">
        <f ca="1">_xlfn.IFNA(INDEX('Calculated Fields'!$C:$DG,MATCH(Daily_KPI!T$5,'Calculated Fields'!$B:$B,0),MATCH(Daily_KPI!$A16,'Calculated Fields'!$C$2:$DG$2,0)),"")</f>
        <v/>
      </c>
      <c r="U16" s="114" t="str">
        <f ca="1">_xlfn.IFNA(INDEX('Calculated Fields'!$C:$DG,MATCH(Daily_KPI!U$5,'Calculated Fields'!$B:$B,0),MATCH(Daily_KPI!$A16,'Calculated Fields'!$C$2:$DG$2,0)),"")</f>
        <v/>
      </c>
      <c r="V16" s="114" t="str">
        <f ca="1">_xlfn.IFNA(INDEX('Calculated Fields'!$C:$DG,MATCH(Daily_KPI!V$5,'Calculated Fields'!$B:$B,0),MATCH(Daily_KPI!$A16,'Calculated Fields'!$C$2:$DG$2,0)),"")</f>
        <v/>
      </c>
      <c r="W16" s="114" t="str">
        <f ca="1">_xlfn.IFNA(INDEX('Calculated Fields'!$C:$DG,MATCH(Daily_KPI!W$5,'Calculated Fields'!$B:$B,0),MATCH(Daily_KPI!$A16,'Calculated Fields'!$C$2:$DG$2,0)),"")</f>
        <v/>
      </c>
      <c r="X16" s="114" t="str">
        <f ca="1">_xlfn.IFNA(INDEX('Calculated Fields'!$C:$DG,MATCH(Daily_KPI!X$5,'Calculated Fields'!$B:$B,0),MATCH(Daily_KPI!$A16,'Calculated Fields'!$C$2:$DG$2,0)),"")</f>
        <v/>
      </c>
      <c r="Y16" s="114" t="str">
        <f ca="1">_xlfn.IFNA(INDEX('Calculated Fields'!$C:$DG,MATCH(Daily_KPI!Y$5,'Calculated Fields'!$B:$B,0),MATCH(Daily_KPI!$A16,'Calculated Fields'!$C$2:$DG$2,0)),"")</f>
        <v/>
      </c>
      <c r="Z16" s="1"/>
      <c r="AA16" s="1"/>
      <c r="AB16" s="1"/>
      <c r="AC16" s="1"/>
      <c r="AD16" s="1"/>
      <c r="AE16" s="1"/>
      <c r="AF16" s="1"/>
      <c r="AG16" s="1"/>
    </row>
    <row r="17" spans="1:33" ht="15.75" customHeight="1">
      <c r="A17" s="62" t="s">
        <v>1038</v>
      </c>
      <c r="B17" s="113">
        <f ca="1">_xlfn.IFNA(INDEX('Calculated Fields'!$C:$DG,MATCH(Daily_KPI!B$5,'Calculated Fields'!$B:$B,0),MATCH(Daily_KPI!$A17,'Calculated Fields'!$C$2:$DG$2,0)),"")</f>
        <v>0</v>
      </c>
      <c r="C17" s="113">
        <f ca="1">_xlfn.IFNA(INDEX('Calculated Fields'!$C:$DG,MATCH(Daily_KPI!C$5,'Calculated Fields'!$B:$B,0),MATCH(Daily_KPI!$A17,'Calculated Fields'!$C$2:$DG$2,0)),"")</f>
        <v>0</v>
      </c>
      <c r="D17" s="113">
        <f ca="1">_xlfn.IFNA(INDEX('Calculated Fields'!$C:$DG,MATCH(Daily_KPI!D$5,'Calculated Fields'!$B:$B,0),MATCH(Daily_KPI!$A17,'Calculated Fields'!$C$2:$DG$2,0)),"")</f>
        <v>61</v>
      </c>
      <c r="E17" s="113">
        <f ca="1">_xlfn.IFNA(INDEX('Calculated Fields'!$C:$DG,MATCH(Daily_KPI!E$5,'Calculated Fields'!$B:$B,0),MATCH(Daily_KPI!$A17,'Calculated Fields'!$C$2:$DG$2,0)),"")</f>
        <v>0</v>
      </c>
      <c r="F17" s="113">
        <f ca="1">_xlfn.IFNA(INDEX('Calculated Fields'!$C:$DG,MATCH(Daily_KPI!F$5,'Calculated Fields'!$B:$B,0),MATCH(Daily_KPI!$A17,'Calculated Fields'!$C$2:$DG$2,0)),"")</f>
        <v>53</v>
      </c>
      <c r="G17" s="113">
        <f ca="1">_xlfn.IFNA(INDEX('Calculated Fields'!$C:$DG,MATCH(Daily_KPI!G$5,'Calculated Fields'!$B:$B,0),MATCH(Daily_KPI!$A17,'Calculated Fields'!$C$2:$DG$2,0)),"")</f>
        <v>0</v>
      </c>
      <c r="H17" s="113">
        <f ca="1">_xlfn.IFNA(INDEX('Calculated Fields'!$C:$DG,MATCH(Daily_KPI!H$5,'Calculated Fields'!$B:$B,0),MATCH(Daily_KPI!$A17,'Calculated Fields'!$C$2:$DG$2,0)),"")</f>
        <v>2</v>
      </c>
      <c r="I17" s="113">
        <f ca="1">_xlfn.IFNA(INDEX('Calculated Fields'!$C:$DG,MATCH(Daily_KPI!I$5,'Calculated Fields'!$B:$B,0),MATCH(Daily_KPI!$A17,'Calculated Fields'!$C$2:$DG$2,0)),"")</f>
        <v>59</v>
      </c>
      <c r="J17" s="113">
        <f ca="1">_xlfn.IFNA(INDEX('Calculated Fields'!$C:$DG,MATCH(Daily_KPI!J$5,'Calculated Fields'!$B:$B,0),MATCH(Daily_KPI!$A17,'Calculated Fields'!$C$2:$DG$2,0)),"")</f>
        <v>10</v>
      </c>
      <c r="K17" s="113">
        <f ca="1">_xlfn.IFNA(INDEX('Calculated Fields'!$C:$DG,MATCH(Daily_KPI!K$5,'Calculated Fields'!$B:$B,0),MATCH(Daily_KPI!$A17,'Calculated Fields'!$C$2:$DG$2,0)),"")</f>
        <v>0</v>
      </c>
      <c r="L17" s="113" t="str">
        <f ca="1">_xlfn.IFNA(INDEX('Calculated Fields'!$C:$DG,MATCH(Daily_KPI!L$5,'Calculated Fields'!$B:$B,0),MATCH(Daily_KPI!$A17,'Calculated Fields'!$C$2:$DG$2,0)),"")</f>
        <v/>
      </c>
      <c r="M17" s="113" t="str">
        <f ca="1">_xlfn.IFNA(INDEX('Calculated Fields'!$C:$DG,MATCH(Daily_KPI!M$5,'Calculated Fields'!$B:$B,0),MATCH(Daily_KPI!$A17,'Calculated Fields'!$C$2:$DG$2,0)),"")</f>
        <v/>
      </c>
      <c r="N17" s="113" t="str">
        <f ca="1">_xlfn.IFNA(INDEX('Calculated Fields'!$C:$DG,MATCH(Daily_KPI!N$5,'Calculated Fields'!$B:$B,0),MATCH(Daily_KPI!$A17,'Calculated Fields'!$C$2:$DG$2,0)),"")</f>
        <v/>
      </c>
      <c r="O17" s="113" t="str">
        <f ca="1">_xlfn.IFNA(INDEX('Calculated Fields'!$C:$DG,MATCH(Daily_KPI!O$5,'Calculated Fields'!$B:$B,0),MATCH(Daily_KPI!$A17,'Calculated Fields'!$C$2:$DG$2,0)),"")</f>
        <v/>
      </c>
      <c r="P17" s="144" t="str">
        <f ca="1">_xlfn.IFNA(INDEX('Calculated Fields'!$C:$DG,MATCH(Daily_KPI!P$5,'Calculated Fields'!$B:$B,0),MATCH(Daily_KPI!$A17,'Calculated Fields'!$C$2:$DG$2,0)),"")</f>
        <v/>
      </c>
      <c r="Q17" s="114" t="str">
        <f ca="1">_xlfn.IFNA(INDEX('Calculated Fields'!$C:$DG,MATCH(Daily_KPI!Q$5,'Calculated Fields'!$B:$B,0),MATCH(Daily_KPI!$A17,'Calculated Fields'!$C$2:$DG$2,0)),"")</f>
        <v/>
      </c>
      <c r="R17" s="114" t="str">
        <f ca="1">_xlfn.IFNA(INDEX('Calculated Fields'!$C:$DG,MATCH(Daily_KPI!R$5,'Calculated Fields'!$B:$B,0),MATCH(Daily_KPI!$A17,'Calculated Fields'!$C$2:$DG$2,0)),"")</f>
        <v/>
      </c>
      <c r="S17" s="114" t="str">
        <f ca="1">_xlfn.IFNA(INDEX('Calculated Fields'!$C:$DG,MATCH(Daily_KPI!S$5,'Calculated Fields'!$B:$B,0),MATCH(Daily_KPI!$A17,'Calculated Fields'!$C$2:$DG$2,0)),"")</f>
        <v/>
      </c>
      <c r="T17" s="114" t="str">
        <f ca="1">_xlfn.IFNA(INDEX('Calculated Fields'!$C:$DG,MATCH(Daily_KPI!T$5,'Calculated Fields'!$B:$B,0),MATCH(Daily_KPI!$A17,'Calculated Fields'!$C$2:$DG$2,0)),"")</f>
        <v/>
      </c>
      <c r="U17" s="114" t="str">
        <f ca="1">_xlfn.IFNA(INDEX('Calculated Fields'!$C:$DG,MATCH(Daily_KPI!U$5,'Calculated Fields'!$B:$B,0),MATCH(Daily_KPI!$A17,'Calculated Fields'!$C$2:$DG$2,0)),"")</f>
        <v/>
      </c>
      <c r="V17" s="114" t="str">
        <f ca="1">_xlfn.IFNA(INDEX('Calculated Fields'!$C:$DG,MATCH(Daily_KPI!V$5,'Calculated Fields'!$B:$B,0),MATCH(Daily_KPI!$A17,'Calculated Fields'!$C$2:$DG$2,0)),"")</f>
        <v/>
      </c>
      <c r="W17" s="114" t="str">
        <f ca="1">_xlfn.IFNA(INDEX('Calculated Fields'!$C:$DG,MATCH(Daily_KPI!W$5,'Calculated Fields'!$B:$B,0),MATCH(Daily_KPI!$A17,'Calculated Fields'!$C$2:$DG$2,0)),"")</f>
        <v/>
      </c>
      <c r="X17" s="114" t="str">
        <f ca="1">_xlfn.IFNA(INDEX('Calculated Fields'!$C:$DG,MATCH(Daily_KPI!X$5,'Calculated Fields'!$B:$B,0),MATCH(Daily_KPI!$A17,'Calculated Fields'!$C$2:$DG$2,0)),"")</f>
        <v/>
      </c>
      <c r="Y17" s="114" t="str">
        <f ca="1">_xlfn.IFNA(INDEX('Calculated Fields'!$C:$DG,MATCH(Daily_KPI!Y$5,'Calculated Fields'!$B:$B,0),MATCH(Daily_KPI!$A17,'Calculated Fields'!$C$2:$DG$2,0)),"")</f>
        <v/>
      </c>
      <c r="Z17" s="1"/>
      <c r="AA17" s="1"/>
      <c r="AB17" s="1"/>
      <c r="AC17" s="1"/>
      <c r="AD17" s="1"/>
      <c r="AE17" s="1"/>
      <c r="AF17" s="1"/>
      <c r="AG17" s="1"/>
    </row>
    <row r="18" spans="1:33" ht="15.75" customHeight="1">
      <c r="A18" s="62" t="s">
        <v>1043</v>
      </c>
      <c r="B18" s="113">
        <f ca="1">_xlfn.IFNA(INDEX('Calculated Fields'!$C:$DG,MATCH(Daily_KPI!B$5,'Calculated Fields'!$B:$B,0),MATCH(Daily_KPI!$A18,'Calculated Fields'!$C$2:$DG$2,0)),"")</f>
        <v>38</v>
      </c>
      <c r="C18" s="113">
        <f ca="1">_xlfn.IFNA(INDEX('Calculated Fields'!$C:$DG,MATCH(Daily_KPI!C$5,'Calculated Fields'!$B:$B,0),MATCH(Daily_KPI!$A18,'Calculated Fields'!$C$2:$DG$2,0)),"")</f>
        <v>50</v>
      </c>
      <c r="D18" s="113">
        <f ca="1">_xlfn.IFNA(INDEX('Calculated Fields'!$C:$DG,MATCH(Daily_KPI!D$5,'Calculated Fields'!$B:$B,0),MATCH(Daily_KPI!$A18,'Calculated Fields'!$C$2:$DG$2,0)),"")</f>
        <v>118</v>
      </c>
      <c r="E18" s="113">
        <f ca="1">_xlfn.IFNA(INDEX('Calculated Fields'!$C:$DG,MATCH(Daily_KPI!E$5,'Calculated Fields'!$B:$B,0),MATCH(Daily_KPI!$A18,'Calculated Fields'!$C$2:$DG$2,0)),"")</f>
        <v>34</v>
      </c>
      <c r="F18" s="113">
        <f ca="1">_xlfn.IFNA(INDEX('Calculated Fields'!$C:$DG,MATCH(Daily_KPI!F$5,'Calculated Fields'!$B:$B,0),MATCH(Daily_KPI!$A18,'Calculated Fields'!$C$2:$DG$2,0)),"")</f>
        <v>65</v>
      </c>
      <c r="G18" s="113">
        <f ca="1">_xlfn.IFNA(INDEX('Calculated Fields'!$C:$DG,MATCH(Daily_KPI!G$5,'Calculated Fields'!$B:$B,0),MATCH(Daily_KPI!$A18,'Calculated Fields'!$C$2:$DG$2,0)),"")</f>
        <v>24</v>
      </c>
      <c r="H18" s="113">
        <f ca="1">_xlfn.IFNA(INDEX('Calculated Fields'!$C:$DG,MATCH(Daily_KPI!H$5,'Calculated Fields'!$B:$B,0),MATCH(Daily_KPI!$A18,'Calculated Fields'!$C$2:$DG$2,0)),"")</f>
        <v>47</v>
      </c>
      <c r="I18" s="113">
        <f ca="1">_xlfn.IFNA(INDEX('Calculated Fields'!$C:$DG,MATCH(Daily_KPI!I$5,'Calculated Fields'!$B:$B,0),MATCH(Daily_KPI!$A18,'Calculated Fields'!$C$2:$DG$2,0)),"")</f>
        <v>87</v>
      </c>
      <c r="J18" s="113">
        <f ca="1">_xlfn.IFNA(INDEX('Calculated Fields'!$C:$DG,MATCH(Daily_KPI!J$5,'Calculated Fields'!$B:$B,0),MATCH(Daily_KPI!$A18,'Calculated Fields'!$C$2:$DG$2,0)),"")</f>
        <v>50</v>
      </c>
      <c r="K18" s="113">
        <f ca="1">_xlfn.IFNA(INDEX('Calculated Fields'!$C:$DG,MATCH(Daily_KPI!K$5,'Calculated Fields'!$B:$B,0),MATCH(Daily_KPI!$A18,'Calculated Fields'!$C$2:$DG$2,0)),"")</f>
        <v>40</v>
      </c>
      <c r="L18" s="113" t="str">
        <f ca="1">_xlfn.IFNA(INDEX('Calculated Fields'!$C:$DG,MATCH(Daily_KPI!L$5,'Calculated Fields'!$B:$B,0),MATCH(Daily_KPI!$A18,'Calculated Fields'!$C$2:$DG$2,0)),"")</f>
        <v/>
      </c>
      <c r="M18" s="113" t="str">
        <f ca="1">_xlfn.IFNA(INDEX('Calculated Fields'!$C:$DG,MATCH(Daily_KPI!M$5,'Calculated Fields'!$B:$B,0),MATCH(Daily_KPI!$A18,'Calculated Fields'!$C$2:$DG$2,0)),"")</f>
        <v/>
      </c>
      <c r="N18" s="113" t="str">
        <f ca="1">_xlfn.IFNA(INDEX('Calculated Fields'!$C:$DG,MATCH(Daily_KPI!N$5,'Calculated Fields'!$B:$B,0),MATCH(Daily_KPI!$A18,'Calculated Fields'!$C$2:$DG$2,0)),"")</f>
        <v/>
      </c>
      <c r="O18" s="113" t="str">
        <f ca="1">_xlfn.IFNA(INDEX('Calculated Fields'!$C:$DG,MATCH(Daily_KPI!O$5,'Calculated Fields'!$B:$B,0),MATCH(Daily_KPI!$A18,'Calculated Fields'!$C$2:$DG$2,0)),"")</f>
        <v/>
      </c>
      <c r="P18" s="144" t="str">
        <f ca="1">_xlfn.IFNA(INDEX('Calculated Fields'!$C:$DG,MATCH(Daily_KPI!P$5,'Calculated Fields'!$B:$B,0),MATCH(Daily_KPI!$A18,'Calculated Fields'!$C$2:$DG$2,0)),"")</f>
        <v/>
      </c>
      <c r="Q18" s="114" t="str">
        <f ca="1">_xlfn.IFNA(INDEX('Calculated Fields'!$C:$DG,MATCH(Daily_KPI!Q$5,'Calculated Fields'!$B:$B,0),MATCH(Daily_KPI!$A18,'Calculated Fields'!$C$2:$DG$2,0)),"")</f>
        <v/>
      </c>
      <c r="R18" s="114" t="str">
        <f ca="1">_xlfn.IFNA(INDEX('Calculated Fields'!$C:$DG,MATCH(Daily_KPI!R$5,'Calculated Fields'!$B:$B,0),MATCH(Daily_KPI!$A18,'Calculated Fields'!$C$2:$DG$2,0)),"")</f>
        <v/>
      </c>
      <c r="S18" s="114" t="str">
        <f ca="1">_xlfn.IFNA(INDEX('Calculated Fields'!$C:$DG,MATCH(Daily_KPI!S$5,'Calculated Fields'!$B:$B,0),MATCH(Daily_KPI!$A18,'Calculated Fields'!$C$2:$DG$2,0)),"")</f>
        <v/>
      </c>
      <c r="T18" s="114" t="str">
        <f ca="1">_xlfn.IFNA(INDEX('Calculated Fields'!$C:$DG,MATCH(Daily_KPI!T$5,'Calculated Fields'!$B:$B,0),MATCH(Daily_KPI!$A18,'Calculated Fields'!$C$2:$DG$2,0)),"")</f>
        <v/>
      </c>
      <c r="U18" s="114" t="str">
        <f ca="1">_xlfn.IFNA(INDEX('Calculated Fields'!$C:$DG,MATCH(Daily_KPI!U$5,'Calculated Fields'!$B:$B,0),MATCH(Daily_KPI!$A18,'Calculated Fields'!$C$2:$DG$2,0)),"")</f>
        <v/>
      </c>
      <c r="V18" s="114" t="str">
        <f ca="1">_xlfn.IFNA(INDEX('Calculated Fields'!$C:$DG,MATCH(Daily_KPI!V$5,'Calculated Fields'!$B:$B,0),MATCH(Daily_KPI!$A18,'Calculated Fields'!$C$2:$DG$2,0)),"")</f>
        <v/>
      </c>
      <c r="W18" s="114" t="str">
        <f ca="1">_xlfn.IFNA(INDEX('Calculated Fields'!$C:$DG,MATCH(Daily_KPI!W$5,'Calculated Fields'!$B:$B,0),MATCH(Daily_KPI!$A18,'Calculated Fields'!$C$2:$DG$2,0)),"")</f>
        <v/>
      </c>
      <c r="X18" s="114" t="str">
        <f ca="1">_xlfn.IFNA(INDEX('Calculated Fields'!$C:$DG,MATCH(Daily_KPI!X$5,'Calculated Fields'!$B:$B,0),MATCH(Daily_KPI!$A18,'Calculated Fields'!$C$2:$DG$2,0)),"")</f>
        <v/>
      </c>
      <c r="Y18" s="114" t="str">
        <f ca="1">_xlfn.IFNA(INDEX('Calculated Fields'!$C:$DG,MATCH(Daily_KPI!Y$5,'Calculated Fields'!$B:$B,0),MATCH(Daily_KPI!$A18,'Calculated Fields'!$C$2:$DG$2,0)),"")</f>
        <v/>
      </c>
      <c r="Z18" s="1"/>
      <c r="AA18" s="1"/>
      <c r="AB18" s="1"/>
      <c r="AC18" s="1"/>
      <c r="AD18" s="1"/>
      <c r="AE18" s="1"/>
      <c r="AF18" s="1"/>
      <c r="AG18" s="1"/>
    </row>
    <row r="19" spans="1:33" ht="15.75" customHeight="1">
      <c r="A19" s="62" t="s">
        <v>1044</v>
      </c>
      <c r="B19" s="113">
        <f ca="1">_xlfn.IFNA(INDEX('Calculated Fields'!$C:$DG,MATCH(Daily_KPI!B$5,'Calculated Fields'!$B:$B,0),MATCH(Daily_KPI!$A19,'Calculated Fields'!$C$2:$DG$2,0)),"")</f>
        <v>13</v>
      </c>
      <c r="C19" s="113">
        <f ca="1">_xlfn.IFNA(INDEX('Calculated Fields'!$C:$DG,MATCH(Daily_KPI!C$5,'Calculated Fields'!$B:$B,0),MATCH(Daily_KPI!$A19,'Calculated Fields'!$C$2:$DG$2,0)),"")</f>
        <v>15</v>
      </c>
      <c r="D19" s="113">
        <f ca="1">_xlfn.IFNA(INDEX('Calculated Fields'!$C:$DG,MATCH(Daily_KPI!D$5,'Calculated Fields'!$B:$B,0),MATCH(Daily_KPI!$A19,'Calculated Fields'!$C$2:$DG$2,0)),"")</f>
        <v>37</v>
      </c>
      <c r="E19" s="113">
        <f ca="1">_xlfn.IFNA(INDEX('Calculated Fields'!$C:$DG,MATCH(Daily_KPI!E$5,'Calculated Fields'!$B:$B,0),MATCH(Daily_KPI!$A19,'Calculated Fields'!$C$2:$DG$2,0)),"")</f>
        <v>10</v>
      </c>
      <c r="F19" s="113">
        <f ca="1">_xlfn.IFNA(INDEX('Calculated Fields'!$C:$DG,MATCH(Daily_KPI!F$5,'Calculated Fields'!$B:$B,0),MATCH(Daily_KPI!$A19,'Calculated Fields'!$C$2:$DG$2,0)),"")</f>
        <v>5</v>
      </c>
      <c r="G19" s="113">
        <f ca="1">_xlfn.IFNA(INDEX('Calculated Fields'!$C:$DG,MATCH(Daily_KPI!G$5,'Calculated Fields'!$B:$B,0),MATCH(Daily_KPI!$A19,'Calculated Fields'!$C$2:$DG$2,0)),"")</f>
        <v>0</v>
      </c>
      <c r="H19" s="113">
        <f ca="1">_xlfn.IFNA(INDEX('Calculated Fields'!$C:$DG,MATCH(Daily_KPI!H$5,'Calculated Fields'!$B:$B,0),MATCH(Daily_KPI!$A19,'Calculated Fields'!$C$2:$DG$2,0)),"")</f>
        <v>22</v>
      </c>
      <c r="I19" s="113">
        <f ca="1">_xlfn.IFNA(INDEX('Calculated Fields'!$C:$DG,MATCH(Daily_KPI!I$5,'Calculated Fields'!$B:$B,0),MATCH(Daily_KPI!$A19,'Calculated Fields'!$C$2:$DG$2,0)),"")</f>
        <v>10</v>
      </c>
      <c r="J19" s="113">
        <f ca="1">_xlfn.IFNA(INDEX('Calculated Fields'!$C:$DG,MATCH(Daily_KPI!J$5,'Calculated Fields'!$B:$B,0),MATCH(Daily_KPI!$A19,'Calculated Fields'!$C$2:$DG$2,0)),"")</f>
        <v>2</v>
      </c>
      <c r="K19" s="113">
        <f ca="1">_xlfn.IFNA(INDEX('Calculated Fields'!$C:$DG,MATCH(Daily_KPI!K$5,'Calculated Fields'!$B:$B,0),MATCH(Daily_KPI!$A19,'Calculated Fields'!$C$2:$DG$2,0)),"")</f>
        <v>23</v>
      </c>
      <c r="L19" s="113" t="str">
        <f ca="1">_xlfn.IFNA(INDEX('Calculated Fields'!$C:$DG,MATCH(Daily_KPI!L$5,'Calculated Fields'!$B:$B,0),MATCH(Daily_KPI!$A19,'Calculated Fields'!$C$2:$DG$2,0)),"")</f>
        <v/>
      </c>
      <c r="M19" s="113" t="str">
        <f ca="1">_xlfn.IFNA(INDEX('Calculated Fields'!$C:$DG,MATCH(Daily_KPI!M$5,'Calculated Fields'!$B:$B,0),MATCH(Daily_KPI!$A19,'Calculated Fields'!$C$2:$DG$2,0)),"")</f>
        <v/>
      </c>
      <c r="N19" s="113" t="str">
        <f ca="1">_xlfn.IFNA(INDEX('Calculated Fields'!$C:$DG,MATCH(Daily_KPI!N$5,'Calculated Fields'!$B:$B,0),MATCH(Daily_KPI!$A19,'Calculated Fields'!$C$2:$DG$2,0)),"")</f>
        <v/>
      </c>
      <c r="O19" s="113" t="str">
        <f ca="1">_xlfn.IFNA(INDEX('Calculated Fields'!$C:$DG,MATCH(Daily_KPI!O$5,'Calculated Fields'!$B:$B,0),MATCH(Daily_KPI!$A19,'Calculated Fields'!$C$2:$DG$2,0)),"")</f>
        <v/>
      </c>
      <c r="P19" s="144" t="str">
        <f ca="1">_xlfn.IFNA(INDEX('Calculated Fields'!$C:$DG,MATCH(Daily_KPI!P$5,'Calculated Fields'!$B:$B,0),MATCH(Daily_KPI!$A19,'Calculated Fields'!$C$2:$DG$2,0)),"")</f>
        <v/>
      </c>
      <c r="Q19" s="114" t="str">
        <f ca="1">_xlfn.IFNA(INDEX('Calculated Fields'!$C:$DG,MATCH(Daily_KPI!Q$5,'Calculated Fields'!$B:$B,0),MATCH(Daily_KPI!$A19,'Calculated Fields'!$C$2:$DG$2,0)),"")</f>
        <v/>
      </c>
      <c r="R19" s="114" t="str">
        <f ca="1">_xlfn.IFNA(INDEX('Calculated Fields'!$C:$DG,MATCH(Daily_KPI!R$5,'Calculated Fields'!$B:$B,0),MATCH(Daily_KPI!$A19,'Calculated Fields'!$C$2:$DG$2,0)),"")</f>
        <v/>
      </c>
      <c r="S19" s="114" t="str">
        <f ca="1">_xlfn.IFNA(INDEX('Calculated Fields'!$C:$DG,MATCH(Daily_KPI!S$5,'Calculated Fields'!$B:$B,0),MATCH(Daily_KPI!$A19,'Calculated Fields'!$C$2:$DG$2,0)),"")</f>
        <v/>
      </c>
      <c r="T19" s="114" t="str">
        <f ca="1">_xlfn.IFNA(INDEX('Calculated Fields'!$C:$DG,MATCH(Daily_KPI!T$5,'Calculated Fields'!$B:$B,0),MATCH(Daily_KPI!$A19,'Calculated Fields'!$C$2:$DG$2,0)),"")</f>
        <v/>
      </c>
      <c r="U19" s="114" t="str">
        <f ca="1">_xlfn.IFNA(INDEX('Calculated Fields'!$C:$DG,MATCH(Daily_KPI!U$5,'Calculated Fields'!$B:$B,0),MATCH(Daily_KPI!$A19,'Calculated Fields'!$C$2:$DG$2,0)),"")</f>
        <v/>
      </c>
      <c r="V19" s="114" t="str">
        <f ca="1">_xlfn.IFNA(INDEX('Calculated Fields'!$C:$DG,MATCH(Daily_KPI!V$5,'Calculated Fields'!$B:$B,0),MATCH(Daily_KPI!$A19,'Calculated Fields'!$C$2:$DG$2,0)),"")</f>
        <v/>
      </c>
      <c r="W19" s="114" t="str">
        <f ca="1">_xlfn.IFNA(INDEX('Calculated Fields'!$C:$DG,MATCH(Daily_KPI!W$5,'Calculated Fields'!$B:$B,0),MATCH(Daily_KPI!$A19,'Calculated Fields'!$C$2:$DG$2,0)),"")</f>
        <v/>
      </c>
      <c r="X19" s="114" t="str">
        <f ca="1">_xlfn.IFNA(INDEX('Calculated Fields'!$C:$DG,MATCH(Daily_KPI!X$5,'Calculated Fields'!$B:$B,0),MATCH(Daily_KPI!$A19,'Calculated Fields'!$C$2:$DG$2,0)),"")</f>
        <v/>
      </c>
      <c r="Y19" s="114" t="str">
        <f ca="1">_xlfn.IFNA(INDEX('Calculated Fields'!$C:$DG,MATCH(Daily_KPI!Y$5,'Calculated Fields'!$B:$B,0),MATCH(Daily_KPI!$A19,'Calculated Fields'!$C$2:$DG$2,0)),"")</f>
        <v/>
      </c>
      <c r="Z19" s="1"/>
      <c r="AA19" s="1"/>
      <c r="AB19" s="1"/>
      <c r="AC19" s="1"/>
      <c r="AD19" s="1"/>
      <c r="AE19" s="1"/>
      <c r="AF19" s="1"/>
      <c r="AG19" s="1"/>
    </row>
    <row r="20" spans="1:33" ht="15.75" customHeight="1">
      <c r="A20" s="62" t="s">
        <v>1045</v>
      </c>
      <c r="B20" s="113">
        <f ca="1">_xlfn.IFNA(INDEX('Calculated Fields'!$C:$DG,MATCH(Daily_KPI!B$5,'Calculated Fields'!$B:$B,0),MATCH(Daily_KPI!$A20,'Calculated Fields'!$C$2:$DG$2,0)),"")</f>
        <v>-7.8947368421052627E-2</v>
      </c>
      <c r="C20" s="113">
        <f ca="1">_xlfn.IFNA(INDEX('Calculated Fields'!$C:$DG,MATCH(Daily_KPI!C$5,'Calculated Fields'!$B:$B,0),MATCH(Daily_KPI!$A20,'Calculated Fields'!$C$2:$DG$2,0)),"")</f>
        <v>-0.26</v>
      </c>
      <c r="D20" s="113">
        <f ca="1">_xlfn.IFNA(INDEX('Calculated Fields'!$C:$DG,MATCH(Daily_KPI!D$5,'Calculated Fields'!$B:$B,0),MATCH(Daily_KPI!$A20,'Calculated Fields'!$C$2:$DG$2,0)),"")</f>
        <v>-0.27966101694915252</v>
      </c>
      <c r="E20" s="113">
        <f ca="1">_xlfn.IFNA(INDEX('Calculated Fields'!$C:$DG,MATCH(Daily_KPI!E$5,'Calculated Fields'!$B:$B,0),MATCH(Daily_KPI!$A20,'Calculated Fields'!$C$2:$DG$2,0)),"")</f>
        <v>-0.55882352941176472</v>
      </c>
      <c r="F20" s="113">
        <f ca="1">_xlfn.IFNA(INDEX('Calculated Fields'!$C:$DG,MATCH(Daily_KPI!F$5,'Calculated Fields'!$B:$B,0),MATCH(Daily_KPI!$A20,'Calculated Fields'!$C$2:$DG$2,0)),"")</f>
        <v>-0.66153846153846152</v>
      </c>
      <c r="G20" s="113">
        <f ca="1">_xlfn.IFNA(INDEX('Calculated Fields'!$C:$DG,MATCH(Daily_KPI!G$5,'Calculated Fields'!$B:$B,0),MATCH(Daily_KPI!$A20,'Calculated Fields'!$C$2:$DG$2,0)),"")</f>
        <v>-1</v>
      </c>
      <c r="H20" s="113">
        <f ca="1">_xlfn.IFNA(INDEX('Calculated Fields'!$C:$DG,MATCH(Daily_KPI!H$5,'Calculated Fields'!$B:$B,0),MATCH(Daily_KPI!$A20,'Calculated Fields'!$C$2:$DG$2,0)),"")</f>
        <v>-0.10638297872340426</v>
      </c>
      <c r="I20" s="113">
        <f ca="1">_xlfn.IFNA(INDEX('Calculated Fields'!$C:$DG,MATCH(Daily_KPI!I$5,'Calculated Fields'!$B:$B,0),MATCH(Daily_KPI!$A20,'Calculated Fields'!$C$2:$DG$2,0)),"")</f>
        <v>-0.45977011494252873</v>
      </c>
      <c r="J20" s="113">
        <f ca="1">_xlfn.IFNA(INDEX('Calculated Fields'!$C:$DG,MATCH(Daily_KPI!J$5,'Calculated Fields'!$B:$B,0),MATCH(Daily_KPI!$A20,'Calculated Fields'!$C$2:$DG$2,0)),"")</f>
        <v>-0.96</v>
      </c>
      <c r="K20" s="113">
        <f ca="1">_xlfn.IFNA(INDEX('Calculated Fields'!$C:$DG,MATCH(Daily_KPI!K$5,'Calculated Fields'!$B:$B,0),MATCH(Daily_KPI!$A20,'Calculated Fields'!$C$2:$DG$2,0)),"")</f>
        <v>-0.125</v>
      </c>
      <c r="L20" s="113" t="str">
        <f ca="1">_xlfn.IFNA(INDEX('Calculated Fields'!$C:$DG,MATCH(Daily_KPI!L$5,'Calculated Fields'!$B:$B,0),MATCH(Daily_KPI!$A20,'Calculated Fields'!$C$2:$DG$2,0)),"")</f>
        <v/>
      </c>
      <c r="M20" s="113" t="str">
        <f ca="1">_xlfn.IFNA(INDEX('Calculated Fields'!$C:$DG,MATCH(Daily_KPI!M$5,'Calculated Fields'!$B:$B,0),MATCH(Daily_KPI!$A20,'Calculated Fields'!$C$2:$DG$2,0)),"")</f>
        <v/>
      </c>
      <c r="N20" s="113" t="str">
        <f ca="1">_xlfn.IFNA(INDEX('Calculated Fields'!$C:$DG,MATCH(Daily_KPI!N$5,'Calculated Fields'!$B:$B,0),MATCH(Daily_KPI!$A20,'Calculated Fields'!$C$2:$DG$2,0)),"")</f>
        <v/>
      </c>
      <c r="O20" s="113" t="str">
        <f ca="1">_xlfn.IFNA(INDEX('Calculated Fields'!$C:$DG,MATCH(Daily_KPI!O$5,'Calculated Fields'!$B:$B,0),MATCH(Daily_KPI!$A20,'Calculated Fields'!$C$2:$DG$2,0)),"")</f>
        <v/>
      </c>
      <c r="P20" s="144" t="str">
        <f ca="1">_xlfn.IFNA(INDEX('Calculated Fields'!$C:$DG,MATCH(Daily_KPI!P$5,'Calculated Fields'!$B:$B,0),MATCH(Daily_KPI!$A20,'Calculated Fields'!$C$2:$DG$2,0)),"")</f>
        <v/>
      </c>
      <c r="Q20" s="114" t="str">
        <f ca="1">_xlfn.IFNA(INDEX('Calculated Fields'!$C:$DG,MATCH(Daily_KPI!Q$5,'Calculated Fields'!$B:$B,0),MATCH(Daily_KPI!$A20,'Calculated Fields'!$C$2:$DG$2,0)),"")</f>
        <v/>
      </c>
      <c r="R20" s="114" t="str">
        <f ca="1">_xlfn.IFNA(INDEX('Calculated Fields'!$C:$DG,MATCH(Daily_KPI!R$5,'Calculated Fields'!$B:$B,0),MATCH(Daily_KPI!$A20,'Calculated Fields'!$C$2:$DG$2,0)),"")</f>
        <v/>
      </c>
      <c r="S20" s="114" t="str">
        <f ca="1">_xlfn.IFNA(INDEX('Calculated Fields'!$C:$DG,MATCH(Daily_KPI!S$5,'Calculated Fields'!$B:$B,0),MATCH(Daily_KPI!$A20,'Calculated Fields'!$C$2:$DG$2,0)),"")</f>
        <v/>
      </c>
      <c r="T20" s="114" t="str">
        <f ca="1">_xlfn.IFNA(INDEX('Calculated Fields'!$C:$DG,MATCH(Daily_KPI!T$5,'Calculated Fields'!$B:$B,0),MATCH(Daily_KPI!$A20,'Calculated Fields'!$C$2:$DG$2,0)),"")</f>
        <v/>
      </c>
      <c r="U20" s="114" t="str">
        <f ca="1">_xlfn.IFNA(INDEX('Calculated Fields'!$C:$DG,MATCH(Daily_KPI!U$5,'Calculated Fields'!$B:$B,0),MATCH(Daily_KPI!$A20,'Calculated Fields'!$C$2:$DG$2,0)),"")</f>
        <v/>
      </c>
      <c r="V20" s="114" t="str">
        <f ca="1">_xlfn.IFNA(INDEX('Calculated Fields'!$C:$DG,MATCH(Daily_KPI!V$5,'Calculated Fields'!$B:$B,0),MATCH(Daily_KPI!$A20,'Calculated Fields'!$C$2:$DG$2,0)),"")</f>
        <v/>
      </c>
      <c r="W20" s="114" t="str">
        <f ca="1">_xlfn.IFNA(INDEX('Calculated Fields'!$C:$DG,MATCH(Daily_KPI!W$5,'Calculated Fields'!$B:$B,0),MATCH(Daily_KPI!$A20,'Calculated Fields'!$C$2:$DG$2,0)),"")</f>
        <v/>
      </c>
      <c r="X20" s="114" t="str">
        <f ca="1">_xlfn.IFNA(INDEX('Calculated Fields'!$C:$DG,MATCH(Daily_KPI!X$5,'Calculated Fields'!$B:$B,0),MATCH(Daily_KPI!$A20,'Calculated Fields'!$C$2:$DG$2,0)),"")</f>
        <v/>
      </c>
      <c r="Y20" s="114" t="str">
        <f ca="1">_xlfn.IFNA(INDEX('Calculated Fields'!$C:$DG,MATCH(Daily_KPI!Y$5,'Calculated Fields'!$B:$B,0),MATCH(Daily_KPI!$A20,'Calculated Fields'!$C$2:$DG$2,0)),"")</f>
        <v/>
      </c>
      <c r="Z20" s="1"/>
      <c r="AA20" s="1"/>
      <c r="AB20" s="1"/>
      <c r="AC20" s="1"/>
      <c r="AD20" s="1"/>
      <c r="AE20" s="1"/>
      <c r="AF20" s="1"/>
      <c r="AG20" s="1"/>
    </row>
    <row r="21" spans="1:33" ht="15.75" customHeight="1">
      <c r="A21" s="62" t="s">
        <v>1046</v>
      </c>
      <c r="B21" s="113">
        <f ca="1">_xlfn.IFNA(INDEX('Calculated Fields'!$C:$DG,MATCH(Daily_KPI!B$5,'Calculated Fields'!$B:$B,0),MATCH(Daily_KPI!$A21,'Calculated Fields'!$C$2:$DG$2,0)),"")</f>
        <v>-3</v>
      </c>
      <c r="C21" s="113">
        <f ca="1">_xlfn.IFNA(INDEX('Calculated Fields'!$C:$DG,MATCH(Daily_KPI!C$5,'Calculated Fields'!$B:$B,0),MATCH(Daily_KPI!$A21,'Calculated Fields'!$C$2:$DG$2,0)),"")</f>
        <v>-13</v>
      </c>
      <c r="D21" s="113">
        <f ca="1">_xlfn.IFNA(INDEX('Calculated Fields'!$C:$DG,MATCH(Daily_KPI!D$5,'Calculated Fields'!$B:$B,0),MATCH(Daily_KPI!$A21,'Calculated Fields'!$C$2:$DG$2,0)),"")</f>
        <v>-33</v>
      </c>
      <c r="E21" s="113">
        <f ca="1">_xlfn.IFNA(INDEX('Calculated Fields'!$C:$DG,MATCH(Daily_KPI!E$5,'Calculated Fields'!$B:$B,0),MATCH(Daily_KPI!$A21,'Calculated Fields'!$C$2:$DG$2,0)),"")</f>
        <v>-19</v>
      </c>
      <c r="F21" s="113">
        <f ca="1">_xlfn.IFNA(INDEX('Calculated Fields'!$C:$DG,MATCH(Daily_KPI!F$5,'Calculated Fields'!$B:$B,0),MATCH(Daily_KPI!$A21,'Calculated Fields'!$C$2:$DG$2,0)),"")</f>
        <v>-43</v>
      </c>
      <c r="G21" s="113">
        <f ca="1">_xlfn.IFNA(INDEX('Calculated Fields'!$C:$DG,MATCH(Daily_KPI!G$5,'Calculated Fields'!$B:$B,0),MATCH(Daily_KPI!$A21,'Calculated Fields'!$C$2:$DG$2,0)),"")</f>
        <v>-24</v>
      </c>
      <c r="H21" s="113">
        <f ca="1">_xlfn.IFNA(INDEX('Calculated Fields'!$C:$DG,MATCH(Daily_KPI!H$5,'Calculated Fields'!$B:$B,0),MATCH(Daily_KPI!$A21,'Calculated Fields'!$C$2:$DG$2,0)),"")</f>
        <v>-5</v>
      </c>
      <c r="I21" s="113">
        <f ca="1">_xlfn.IFNA(INDEX('Calculated Fields'!$C:$DG,MATCH(Daily_KPI!I$5,'Calculated Fields'!$B:$B,0),MATCH(Daily_KPI!$A21,'Calculated Fields'!$C$2:$DG$2,0)),"")</f>
        <v>-40</v>
      </c>
      <c r="J21" s="113">
        <f ca="1">_xlfn.IFNA(INDEX('Calculated Fields'!$C:$DG,MATCH(Daily_KPI!J$5,'Calculated Fields'!$B:$B,0),MATCH(Daily_KPI!$A21,'Calculated Fields'!$C$2:$DG$2,0)),"")</f>
        <v>-48</v>
      </c>
      <c r="K21" s="113">
        <f ca="1">_xlfn.IFNA(INDEX('Calculated Fields'!$C:$DG,MATCH(Daily_KPI!K$5,'Calculated Fields'!$B:$B,0),MATCH(Daily_KPI!$A21,'Calculated Fields'!$C$2:$DG$2,0)),"")</f>
        <v>-5</v>
      </c>
      <c r="L21" s="113" t="str">
        <f ca="1">_xlfn.IFNA(INDEX('Calculated Fields'!$C:$DG,MATCH(Daily_KPI!L$5,'Calculated Fields'!$B:$B,0),MATCH(Daily_KPI!$A21,'Calculated Fields'!$C$2:$DG$2,0)),"")</f>
        <v/>
      </c>
      <c r="M21" s="113" t="str">
        <f ca="1">_xlfn.IFNA(INDEX('Calculated Fields'!$C:$DG,MATCH(Daily_KPI!M$5,'Calculated Fields'!$B:$B,0),MATCH(Daily_KPI!$A21,'Calculated Fields'!$C$2:$DG$2,0)),"")</f>
        <v/>
      </c>
      <c r="N21" s="113" t="str">
        <f ca="1">_xlfn.IFNA(INDEX('Calculated Fields'!$C:$DG,MATCH(Daily_KPI!N$5,'Calculated Fields'!$B:$B,0),MATCH(Daily_KPI!$A21,'Calculated Fields'!$C$2:$DG$2,0)),"")</f>
        <v/>
      </c>
      <c r="O21" s="113" t="str">
        <f ca="1">_xlfn.IFNA(INDEX('Calculated Fields'!$C:$DG,MATCH(Daily_KPI!O$5,'Calculated Fields'!$B:$B,0),MATCH(Daily_KPI!$A21,'Calculated Fields'!$C$2:$DG$2,0)),"")</f>
        <v/>
      </c>
      <c r="P21" s="144" t="str">
        <f ca="1">_xlfn.IFNA(INDEX('Calculated Fields'!$C:$DG,MATCH(Daily_KPI!P$5,'Calculated Fields'!$B:$B,0),MATCH(Daily_KPI!$A21,'Calculated Fields'!$C$2:$DG$2,0)),"")</f>
        <v/>
      </c>
      <c r="Q21" s="114" t="str">
        <f ca="1">_xlfn.IFNA(INDEX('Calculated Fields'!$C:$DG,MATCH(Daily_KPI!Q$5,'Calculated Fields'!$B:$B,0),MATCH(Daily_KPI!$A21,'Calculated Fields'!$C$2:$DG$2,0)),"")</f>
        <v/>
      </c>
      <c r="R21" s="114" t="str">
        <f ca="1">_xlfn.IFNA(INDEX('Calculated Fields'!$C:$DG,MATCH(Daily_KPI!R$5,'Calculated Fields'!$B:$B,0),MATCH(Daily_KPI!$A21,'Calculated Fields'!$C$2:$DG$2,0)),"")</f>
        <v/>
      </c>
      <c r="S21" s="114" t="str">
        <f ca="1">_xlfn.IFNA(INDEX('Calculated Fields'!$C:$DG,MATCH(Daily_KPI!S$5,'Calculated Fields'!$B:$B,0),MATCH(Daily_KPI!$A21,'Calculated Fields'!$C$2:$DG$2,0)),"")</f>
        <v/>
      </c>
      <c r="T21" s="114" t="str">
        <f ca="1">_xlfn.IFNA(INDEX('Calculated Fields'!$C:$DG,MATCH(Daily_KPI!T$5,'Calculated Fields'!$B:$B,0),MATCH(Daily_KPI!$A21,'Calculated Fields'!$C$2:$DG$2,0)),"")</f>
        <v/>
      </c>
      <c r="U21" s="114" t="str">
        <f ca="1">_xlfn.IFNA(INDEX('Calculated Fields'!$C:$DG,MATCH(Daily_KPI!U$5,'Calculated Fields'!$B:$B,0),MATCH(Daily_KPI!$A21,'Calculated Fields'!$C$2:$DG$2,0)),"")</f>
        <v/>
      </c>
      <c r="V21" s="114" t="str">
        <f ca="1">_xlfn.IFNA(INDEX('Calculated Fields'!$C:$DG,MATCH(Daily_KPI!V$5,'Calculated Fields'!$B:$B,0),MATCH(Daily_KPI!$A21,'Calculated Fields'!$C$2:$DG$2,0)),"")</f>
        <v/>
      </c>
      <c r="W21" s="114" t="str">
        <f ca="1">_xlfn.IFNA(INDEX('Calculated Fields'!$C:$DG,MATCH(Daily_KPI!W$5,'Calculated Fields'!$B:$B,0),MATCH(Daily_KPI!$A21,'Calculated Fields'!$C$2:$DG$2,0)),"")</f>
        <v/>
      </c>
      <c r="X21" s="114" t="str">
        <f ca="1">_xlfn.IFNA(INDEX('Calculated Fields'!$C:$DG,MATCH(Daily_KPI!X$5,'Calculated Fields'!$B:$B,0),MATCH(Daily_KPI!$A21,'Calculated Fields'!$C$2:$DG$2,0)),"")</f>
        <v/>
      </c>
      <c r="Y21" s="114" t="str">
        <f ca="1">_xlfn.IFNA(INDEX('Calculated Fields'!$C:$DG,MATCH(Daily_KPI!Y$5,'Calculated Fields'!$B:$B,0),MATCH(Daily_KPI!$A21,'Calculated Fields'!$C$2:$DG$2,0)),"")</f>
        <v/>
      </c>
      <c r="Z21" s="1"/>
      <c r="AA21" s="1"/>
      <c r="AB21" s="1"/>
      <c r="AC21" s="1"/>
      <c r="AD21" s="1"/>
      <c r="AE21" s="1"/>
      <c r="AF21" s="1"/>
      <c r="AG21" s="1"/>
    </row>
    <row r="22" spans="1:33" ht="15.75" customHeight="1">
      <c r="A22" s="62" t="s">
        <v>483</v>
      </c>
      <c r="B22" s="113">
        <f ca="1">IF(B21="","",B21+B19+B18+B17+B16)</f>
        <v>48</v>
      </c>
      <c r="C22" s="113">
        <f t="shared" ref="C22:Y22" ca="1" si="0">IF(C21="","",C21+C19+C18+C17+C16)</f>
        <v>57</v>
      </c>
      <c r="D22" s="113">
        <f t="shared" ca="1" si="0"/>
        <v>183</v>
      </c>
      <c r="E22" s="113">
        <f t="shared" ca="1" si="0"/>
        <v>35</v>
      </c>
      <c r="F22" s="113">
        <f t="shared" ca="1" si="0"/>
        <v>80</v>
      </c>
      <c r="G22" s="113">
        <f t="shared" ca="1" si="0"/>
        <v>14</v>
      </c>
      <c r="H22" s="113">
        <f t="shared" ca="1" si="0"/>
        <v>66</v>
      </c>
      <c r="I22" s="113">
        <f t="shared" ca="1" si="0"/>
        <v>124</v>
      </c>
      <c r="J22" s="113">
        <f t="shared" ca="1" si="0"/>
        <v>14</v>
      </c>
      <c r="K22" s="113">
        <f t="shared" ca="1" si="0"/>
        <v>58</v>
      </c>
      <c r="L22" s="113" t="str">
        <f t="shared" ca="1" si="0"/>
        <v/>
      </c>
      <c r="M22" s="113" t="str">
        <f t="shared" ca="1" si="0"/>
        <v/>
      </c>
      <c r="N22" s="113" t="str">
        <f t="shared" ca="1" si="0"/>
        <v/>
      </c>
      <c r="O22" s="113" t="str">
        <f t="shared" ca="1" si="0"/>
        <v/>
      </c>
      <c r="P22" s="144" t="str">
        <f t="shared" ca="1" si="0"/>
        <v/>
      </c>
      <c r="Q22" s="114" t="str">
        <f t="shared" ca="1" si="0"/>
        <v/>
      </c>
      <c r="R22" s="114" t="str">
        <f t="shared" ca="1" si="0"/>
        <v/>
      </c>
      <c r="S22" s="114" t="str">
        <f t="shared" ca="1" si="0"/>
        <v/>
      </c>
      <c r="T22" s="114" t="str">
        <f t="shared" ca="1" si="0"/>
        <v/>
      </c>
      <c r="U22" s="114" t="str">
        <f t="shared" ca="1" si="0"/>
        <v/>
      </c>
      <c r="V22" s="114" t="str">
        <f t="shared" ca="1" si="0"/>
        <v/>
      </c>
      <c r="W22" s="114" t="str">
        <f t="shared" ca="1" si="0"/>
        <v/>
      </c>
      <c r="X22" s="114" t="str">
        <f t="shared" ca="1" si="0"/>
        <v/>
      </c>
      <c r="Y22" s="114" t="str">
        <f t="shared" ca="1" si="0"/>
        <v/>
      </c>
      <c r="Z22" s="1"/>
      <c r="AA22" s="1"/>
      <c r="AB22" s="1"/>
      <c r="AC22" s="1"/>
      <c r="AD22" s="1"/>
      <c r="AE22" s="1"/>
      <c r="AF22" s="1"/>
      <c r="AG22" s="1"/>
    </row>
    <row r="23" spans="1:33" ht="15.75" customHeight="1">
      <c r="A23" s="62" t="s">
        <v>1016</v>
      </c>
      <c r="B23" s="113">
        <f ca="1">_xlfn.IFNA(INDEX('Calculated Fields'!$C:$DG,MATCH(Daily_KPI!B$5,'Calculated Fields'!$B:$B,0),MATCH(Daily_KPI!$A23,'Calculated Fields'!$C$2:$DG$2,0)),"")</f>
        <v>0.12582781456953643</v>
      </c>
      <c r="C23" s="113">
        <f ca="1">_xlfn.IFNA(INDEX('Calculated Fields'!$C:$DG,MATCH(Daily_KPI!C$5,'Calculated Fields'!$B:$B,0),MATCH(Daily_KPI!$A23,'Calculated Fields'!$C$2:$DG$2,0)),"")</f>
        <v>0.10877192982456141</v>
      </c>
      <c r="D23" s="113">
        <f ca="1">_xlfn.IFNA(INDEX('Calculated Fields'!$C:$DG,MATCH(Daily_KPI!D$5,'Calculated Fields'!$B:$B,0),MATCH(Daily_KPI!$A23,'Calculated Fields'!$C$2:$DG$2,0)),"")</f>
        <v>6.097560975609756E-2</v>
      </c>
      <c r="E23" s="113">
        <f ca="1">_xlfn.IFNA(INDEX('Calculated Fields'!$C:$DG,MATCH(Daily_KPI!E$5,'Calculated Fields'!$B:$B,0),MATCH(Daily_KPI!$A23,'Calculated Fields'!$C$2:$DG$2,0)),"")</f>
        <v>1.5873015873015872E-2</v>
      </c>
      <c r="F23" s="113">
        <f ca="1">_xlfn.IFNA(INDEX('Calculated Fields'!$C:$DG,MATCH(Daily_KPI!F$5,'Calculated Fields'!$B:$B,0),MATCH(Daily_KPI!$A23,'Calculated Fields'!$C$2:$DG$2,0)),"")</f>
        <v>0.82758620689655171</v>
      </c>
      <c r="G23" s="113">
        <f ca="1">_xlfn.IFNA(INDEX('Calculated Fields'!$C:$DG,MATCH(Daily_KPI!G$5,'Calculated Fields'!$B:$B,0),MATCH(Daily_KPI!$A23,'Calculated Fields'!$C$2:$DG$2,0)),"")</f>
        <v>0</v>
      </c>
      <c r="H23" s="113">
        <f ca="1">_xlfn.IFNA(INDEX('Calculated Fields'!$C:$DG,MATCH(Daily_KPI!H$5,'Calculated Fields'!$B:$B,0),MATCH(Daily_KPI!$A23,'Calculated Fields'!$C$2:$DG$2,0)),"")</f>
        <v>8.9041095890410954E-2</v>
      </c>
      <c r="I23" s="113">
        <f ca="1">_xlfn.IFNA(INDEX('Calculated Fields'!$C:$DG,MATCH(Daily_KPI!I$5,'Calculated Fields'!$B:$B,0),MATCH(Daily_KPI!$A23,'Calculated Fields'!$C$2:$DG$2,0)),"")</f>
        <v>0.17073170731707318</v>
      </c>
      <c r="J23" s="113">
        <f ca="1">_xlfn.IFNA(INDEX('Calculated Fields'!$C:$DG,MATCH(Daily_KPI!J$5,'Calculated Fields'!$B:$B,0),MATCH(Daily_KPI!$A23,'Calculated Fields'!$C$2:$DG$2,0)),"")</f>
        <v>2.5</v>
      </c>
      <c r="K23" s="113">
        <f ca="1">_xlfn.IFNA(INDEX('Calculated Fields'!$C:$DG,MATCH(Daily_KPI!K$5,'Calculated Fields'!$B:$B,0),MATCH(Daily_KPI!$A23,'Calculated Fields'!$C$2:$DG$2,0)),"")</f>
        <v>0.379746835443038</v>
      </c>
      <c r="L23" s="113" t="str">
        <f ca="1">_xlfn.IFNA(INDEX('Calculated Fields'!$C:$DG,MATCH(Daily_KPI!L$5,'Calculated Fields'!$B:$B,0),MATCH(Daily_KPI!$A23,'Calculated Fields'!$C$2:$DG$2,0)),"")</f>
        <v/>
      </c>
      <c r="M23" s="113" t="str">
        <f ca="1">_xlfn.IFNA(INDEX('Calculated Fields'!$C:$DG,MATCH(Daily_KPI!M$5,'Calculated Fields'!$B:$B,0),MATCH(Daily_KPI!$A23,'Calculated Fields'!$C$2:$DG$2,0)),"")</f>
        <v/>
      </c>
      <c r="N23" s="113" t="str">
        <f ca="1">_xlfn.IFNA(INDEX('Calculated Fields'!$C:$DG,MATCH(Daily_KPI!N$5,'Calculated Fields'!$B:$B,0),MATCH(Daily_KPI!$A23,'Calculated Fields'!$C$2:$DG$2,0)),"")</f>
        <v/>
      </c>
      <c r="O23" s="113" t="str">
        <f ca="1">_xlfn.IFNA(INDEX('Calculated Fields'!$C:$DG,MATCH(Daily_KPI!O$5,'Calculated Fields'!$B:$B,0),MATCH(Daily_KPI!$A23,'Calculated Fields'!$C$2:$DG$2,0)),"")</f>
        <v/>
      </c>
      <c r="P23" s="144" t="str">
        <f ca="1">_xlfn.IFNA(INDEX('Calculated Fields'!$C:$DG,MATCH(Daily_KPI!P$5,'Calculated Fields'!$B:$B,0),MATCH(Daily_KPI!$A23,'Calculated Fields'!$C$2:$DG$2,0)),"")</f>
        <v/>
      </c>
      <c r="Q23" s="114" t="str">
        <f ca="1">_xlfn.IFNA(INDEX('Calculated Fields'!$C:$DG,MATCH(Daily_KPI!Q$5,'Calculated Fields'!$B:$B,0),MATCH(Daily_KPI!$A23,'Calculated Fields'!$C$2:$DG$2,0)),"")</f>
        <v/>
      </c>
      <c r="R23" s="114" t="str">
        <f ca="1">_xlfn.IFNA(INDEX('Calculated Fields'!$C:$DG,MATCH(Daily_KPI!R$5,'Calculated Fields'!$B:$B,0),MATCH(Daily_KPI!$A23,'Calculated Fields'!$C$2:$DG$2,0)),"")</f>
        <v/>
      </c>
      <c r="S23" s="114" t="str">
        <f ca="1">_xlfn.IFNA(INDEX('Calculated Fields'!$C:$DG,MATCH(Daily_KPI!S$5,'Calculated Fields'!$B:$B,0),MATCH(Daily_KPI!$A23,'Calculated Fields'!$C$2:$DG$2,0)),"")</f>
        <v/>
      </c>
      <c r="T23" s="114" t="str">
        <f ca="1">_xlfn.IFNA(INDEX('Calculated Fields'!$C:$DG,MATCH(Daily_KPI!T$5,'Calculated Fields'!$B:$B,0),MATCH(Daily_KPI!$A23,'Calculated Fields'!$C$2:$DG$2,0)),"")</f>
        <v/>
      </c>
      <c r="U23" s="114" t="str">
        <f ca="1">_xlfn.IFNA(INDEX('Calculated Fields'!$C:$DG,MATCH(Daily_KPI!U$5,'Calculated Fields'!$B:$B,0),MATCH(Daily_KPI!$A23,'Calculated Fields'!$C$2:$DG$2,0)),"")</f>
        <v/>
      </c>
      <c r="V23" s="114" t="str">
        <f ca="1">_xlfn.IFNA(INDEX('Calculated Fields'!$C:$DG,MATCH(Daily_KPI!V$5,'Calculated Fields'!$B:$B,0),MATCH(Daily_KPI!$A23,'Calculated Fields'!$C$2:$DG$2,0)),"")</f>
        <v/>
      </c>
      <c r="W23" s="114" t="str">
        <f ca="1">_xlfn.IFNA(INDEX('Calculated Fields'!$C:$DG,MATCH(Daily_KPI!W$5,'Calculated Fields'!$B:$B,0),MATCH(Daily_KPI!$A23,'Calculated Fields'!$C$2:$DG$2,0)),"")</f>
        <v/>
      </c>
      <c r="X23" s="114" t="str">
        <f ca="1">_xlfn.IFNA(INDEX('Calculated Fields'!$C:$DG,MATCH(Daily_KPI!X$5,'Calculated Fields'!$B:$B,0),MATCH(Daily_KPI!$A23,'Calculated Fields'!$C$2:$DG$2,0)),"")</f>
        <v/>
      </c>
      <c r="Y23" s="114" t="str">
        <f ca="1">_xlfn.IFNA(INDEX('Calculated Fields'!$C:$DG,MATCH(Daily_KPI!Y$5,'Calculated Fields'!$B:$B,0),MATCH(Daily_KPI!$A23,'Calculated Fields'!$C$2:$DG$2,0)),"")</f>
        <v/>
      </c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62" t="s">
        <v>1021</v>
      </c>
      <c r="B24" s="113">
        <f ca="1">_xlfn.IFNA(INDEX('Calculated Fields'!$C:$DG,MATCH(Daily_KPI!B$5,'Calculated Fields'!$B:$B,0),MATCH(Daily_KPI!$A24,'Calculated Fields'!$C$2:$DG$2,0)),"")</f>
        <v>0.33929999999999999</v>
      </c>
      <c r="C24" s="113">
        <f ca="1">_xlfn.IFNA(INDEX('Calculated Fields'!$C:$DG,MATCH(Daily_KPI!C$5,'Calculated Fields'!$B:$B,0),MATCH(Daily_KPI!$A24,'Calculated Fields'!$C$2:$DG$2,0)),"")</f>
        <v>0.36470000000000002</v>
      </c>
      <c r="D24" s="113">
        <f ca="1">_xlfn.IFNA(INDEX('Calculated Fields'!$C:$DG,MATCH(Daily_KPI!D$5,'Calculated Fields'!$B:$B,0),MATCH(Daily_KPI!$A24,'Calculated Fields'!$C$2:$DG$2,0)),"")</f>
        <v>0.16389999999999999</v>
      </c>
      <c r="E24" s="113">
        <f ca="1">_xlfn.IFNA(INDEX('Calculated Fields'!$C:$DG,MATCH(Daily_KPI!E$5,'Calculated Fields'!$B:$B,0),MATCH(Daily_KPI!$A24,'Calculated Fields'!$C$2:$DG$2,0)),"")</f>
        <v>3.6400000000000002E-2</v>
      </c>
      <c r="F24" s="113">
        <f ca="1">_xlfn.IFNA(INDEX('Calculated Fields'!$C:$DG,MATCH(Daily_KPI!F$5,'Calculated Fields'!$B:$B,0),MATCH(Daily_KPI!$A24,'Calculated Fields'!$C$2:$DG$2,0)),"")</f>
        <v>1.7142999999999999</v>
      </c>
      <c r="G24" s="113">
        <f ca="1">_xlfn.IFNA(INDEX('Calculated Fields'!$C:$DG,MATCH(Daily_KPI!G$5,'Calculated Fields'!$B:$B,0),MATCH(Daily_KPI!$A24,'Calculated Fields'!$C$2:$DG$2,0)),"")</f>
        <v>0</v>
      </c>
      <c r="H24" s="113">
        <f ca="1">_xlfn.IFNA(INDEX('Calculated Fields'!$C:$DG,MATCH(Daily_KPI!H$5,'Calculated Fields'!$B:$B,0),MATCH(Daily_KPI!$A24,'Calculated Fields'!$C$2:$DG$2,0)),"")</f>
        <v>0.22409999999999999</v>
      </c>
      <c r="I24" s="113">
        <f ca="1">_xlfn.IFNA(INDEX('Calculated Fields'!$C:$DG,MATCH(Daily_KPI!I$5,'Calculated Fields'!$B:$B,0),MATCH(Daily_KPI!$A24,'Calculated Fields'!$C$2:$DG$2,0)),"")</f>
        <v>0.33329999999999999</v>
      </c>
      <c r="J24" s="113">
        <f ca="1">_xlfn.IFNA(INDEX('Calculated Fields'!$C:$DG,MATCH(Daily_KPI!J$5,'Calculated Fields'!$B:$B,0),MATCH(Daily_KPI!$A24,'Calculated Fields'!$C$2:$DG$2,0)),"")</f>
        <v>5</v>
      </c>
      <c r="K24" s="113">
        <f ca="1">_xlfn.IFNA(INDEX('Calculated Fields'!$C:$DG,MATCH(Daily_KPI!K$5,'Calculated Fields'!$B:$B,0),MATCH(Daily_KPI!$A24,'Calculated Fields'!$C$2:$DG$2,0)),"")</f>
        <v>0.625</v>
      </c>
      <c r="L24" s="113" t="str">
        <f ca="1">_xlfn.IFNA(INDEX('Calculated Fields'!$C:$DG,MATCH(Daily_KPI!L$5,'Calculated Fields'!$B:$B,0),MATCH(Daily_KPI!$A24,'Calculated Fields'!$C$2:$DG$2,0)),"")</f>
        <v/>
      </c>
      <c r="M24" s="113" t="str">
        <f ca="1">_xlfn.IFNA(INDEX('Calculated Fields'!$C:$DG,MATCH(Daily_KPI!M$5,'Calculated Fields'!$B:$B,0),MATCH(Daily_KPI!$A24,'Calculated Fields'!$C$2:$DG$2,0)),"")</f>
        <v/>
      </c>
      <c r="N24" s="113" t="str">
        <f ca="1">_xlfn.IFNA(INDEX('Calculated Fields'!$C:$DG,MATCH(Daily_KPI!N$5,'Calculated Fields'!$B:$B,0),MATCH(Daily_KPI!$A24,'Calculated Fields'!$C$2:$DG$2,0)),"")</f>
        <v/>
      </c>
      <c r="O24" s="113" t="str">
        <f ca="1">_xlfn.IFNA(INDEX('Calculated Fields'!$C:$DG,MATCH(Daily_KPI!O$5,'Calculated Fields'!$B:$B,0),MATCH(Daily_KPI!$A24,'Calculated Fields'!$C$2:$DG$2,0)),"")</f>
        <v/>
      </c>
      <c r="P24" s="144" t="str">
        <f ca="1">_xlfn.IFNA(INDEX('Calculated Fields'!$C:$DG,MATCH(Daily_KPI!P$5,'Calculated Fields'!$B:$B,0),MATCH(Daily_KPI!$A24,'Calculated Fields'!$C$2:$DG$2,0)),"")</f>
        <v/>
      </c>
      <c r="Q24" s="114" t="str">
        <f ca="1">_xlfn.IFNA(INDEX('Calculated Fields'!$C:$DG,MATCH(Daily_KPI!Q$5,'Calculated Fields'!$B:$B,0),MATCH(Daily_KPI!$A24,'Calculated Fields'!$C$2:$DG$2,0)),"")</f>
        <v/>
      </c>
      <c r="R24" s="114" t="str">
        <f ca="1">_xlfn.IFNA(INDEX('Calculated Fields'!$C:$DG,MATCH(Daily_KPI!R$5,'Calculated Fields'!$B:$B,0),MATCH(Daily_KPI!$A24,'Calculated Fields'!$C$2:$DG$2,0)),"")</f>
        <v/>
      </c>
      <c r="S24" s="114" t="str">
        <f ca="1">_xlfn.IFNA(INDEX('Calculated Fields'!$C:$DG,MATCH(Daily_KPI!S$5,'Calculated Fields'!$B:$B,0),MATCH(Daily_KPI!$A24,'Calculated Fields'!$C$2:$DG$2,0)),"")</f>
        <v/>
      </c>
      <c r="T24" s="114" t="str">
        <f ca="1">_xlfn.IFNA(INDEX('Calculated Fields'!$C:$DG,MATCH(Daily_KPI!T$5,'Calculated Fields'!$B:$B,0),MATCH(Daily_KPI!$A24,'Calculated Fields'!$C$2:$DG$2,0)),"")</f>
        <v/>
      </c>
      <c r="U24" s="114" t="str">
        <f ca="1">_xlfn.IFNA(INDEX('Calculated Fields'!$C:$DG,MATCH(Daily_KPI!U$5,'Calculated Fields'!$B:$B,0),MATCH(Daily_KPI!$A24,'Calculated Fields'!$C$2:$DG$2,0)),"")</f>
        <v/>
      </c>
      <c r="V24" s="114" t="str">
        <f ca="1">_xlfn.IFNA(INDEX('Calculated Fields'!$C:$DG,MATCH(Daily_KPI!V$5,'Calculated Fields'!$B:$B,0),MATCH(Daily_KPI!$A24,'Calculated Fields'!$C$2:$DG$2,0)),"")</f>
        <v/>
      </c>
      <c r="W24" s="114" t="str">
        <f ca="1">_xlfn.IFNA(INDEX('Calculated Fields'!$C:$DG,MATCH(Daily_KPI!W$5,'Calculated Fields'!$B:$B,0),MATCH(Daily_KPI!$A24,'Calculated Fields'!$C$2:$DG$2,0)),"")</f>
        <v/>
      </c>
      <c r="X24" s="114" t="str">
        <f ca="1">_xlfn.IFNA(INDEX('Calculated Fields'!$C:$DG,MATCH(Daily_KPI!X$5,'Calculated Fields'!$B:$B,0),MATCH(Daily_KPI!$A24,'Calculated Fields'!$C$2:$DG$2,0)),"")</f>
        <v/>
      </c>
      <c r="Y24" s="114" t="str">
        <f ca="1">_xlfn.IFNA(INDEX('Calculated Fields'!$C:$DG,MATCH(Daily_KPI!Y$5,'Calculated Fields'!$B:$B,0),MATCH(Daily_KPI!$A24,'Calculated Fields'!$C$2:$DG$2,0)),"")</f>
        <v/>
      </c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62" t="s">
        <v>1082</v>
      </c>
      <c r="B27" s="145">
        <f ca="1">MAX(B7:AG7,42)</f>
        <v>7443</v>
      </c>
      <c r="C27" s="7" t="str">
        <f ca="1">INDEX($B$5:$Z$5,MATCH($B27,B7:AG7,0))</f>
        <v>Alexander Robinson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62" t="s">
        <v>1083</v>
      </c>
      <c r="B28" s="145">
        <f ca="1">MAX(B9:AG9,42)</f>
        <v>15002.550000000001</v>
      </c>
      <c r="C28" s="7" t="str">
        <f ca="1">INDEX($B$5:$Z$5,MATCH($B28,B9:AG9,0))</f>
        <v>Robert Thomas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4">
      <c r="A29" s="62" t="s">
        <v>1084</v>
      </c>
      <c r="B29" s="146">
        <f ca="1">MAX(B22:AG22,42)</f>
        <v>183</v>
      </c>
      <c r="C29" s="7" t="str">
        <f ca="1">_xlfn.IFNA(INDEX($B$5:$Z$5,MATCH($B29,B22:AG22,0)),"")</f>
        <v>Christopher Moore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4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</row>
    <row r="202" spans="1:33" ht="14.4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</row>
    <row r="203" spans="1:33" ht="14.4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</row>
    <row r="204" spans="1:33" ht="14.4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</row>
    <row r="205" spans="1:33" ht="14.4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</row>
    <row r="206" spans="1:33" ht="14.4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</row>
    <row r="207" spans="1:33" ht="14.4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</row>
    <row r="208" spans="1:33" ht="14.4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</row>
    <row r="209" spans="1:33" ht="14.4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</row>
    <row r="210" spans="1:33" ht="14.4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</row>
    <row r="211" spans="1:33" ht="14.4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</row>
    <row r="212" spans="1:33" ht="14.4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</row>
    <row r="213" spans="1:33" ht="14.4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</row>
    <row r="214" spans="1:33" ht="14.4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</row>
    <row r="215" spans="1:33" ht="14.4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</row>
    <row r="216" spans="1:33" ht="14.4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</row>
    <row r="217" spans="1:33" ht="14.4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</row>
    <row r="218" spans="1:33" ht="14.4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</row>
    <row r="219" spans="1:33" ht="14.4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</row>
    <row r="220" spans="1:33" ht="14.4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</row>
    <row r="221" spans="1:33" ht="14.4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</row>
    <row r="222" spans="1:33" ht="14.4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</row>
    <row r="223" spans="1:33" ht="14.4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</row>
    <row r="224" spans="1:33" ht="14.4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</row>
    <row r="225" spans="1:33" ht="14.4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</row>
    <row r="226" spans="1:33" ht="14.4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</row>
    <row r="227" spans="1:33" ht="14.4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</row>
    <row r="228" spans="1:33" ht="14.4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</row>
    <row r="229" spans="1:33" ht="14.4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</row>
    <row r="230" spans="1:33" ht="14.4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</row>
    <row r="231" spans="1:33" ht="14.4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</row>
    <row r="232" spans="1:33" ht="14.4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</row>
    <row r="233" spans="1:33" ht="14.4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</row>
    <row r="234" spans="1:33" ht="14.4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</row>
    <row r="235" spans="1:33" ht="14.4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</row>
    <row r="236" spans="1:33" ht="14.4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</row>
    <row r="237" spans="1:33" ht="14.4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</row>
    <row r="238" spans="1:33" ht="14.4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</row>
    <row r="239" spans="1:33" ht="14.4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</row>
    <row r="240" spans="1:33" ht="14.4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</row>
    <row r="241" spans="1:33" ht="14.4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</row>
    <row r="242" spans="1:33" ht="14.4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</row>
    <row r="243" spans="1:33" ht="14.4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</row>
    <row r="244" spans="1:33" ht="14.4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</row>
    <row r="245" spans="1:33" ht="14.4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</row>
    <row r="246" spans="1:33" ht="14.4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</row>
    <row r="247" spans="1:33" ht="14.4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</row>
    <row r="248" spans="1:33" ht="14.4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</row>
    <row r="249" spans="1:33" ht="14.4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</row>
    <row r="250" spans="1:33" ht="14.4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</row>
    <row r="251" spans="1:33" ht="14.4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</row>
    <row r="252" spans="1:33" ht="14.4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</row>
    <row r="253" spans="1:33" ht="14.4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</row>
    <row r="254" spans="1:33" ht="14.4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</row>
    <row r="255" spans="1:33" ht="14.4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</row>
    <row r="256" spans="1:33" ht="14.4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</row>
    <row r="257" spans="1:33" ht="14.4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</row>
    <row r="258" spans="1:33" ht="14.4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</row>
    <row r="259" spans="1:33" ht="14.4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</row>
    <row r="260" spans="1:33" ht="14.4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</row>
    <row r="261" spans="1:33" ht="14.4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</row>
    <row r="262" spans="1:33" ht="14.4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</row>
    <row r="263" spans="1:33" ht="14.4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</row>
    <row r="264" spans="1:33" ht="14.4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</row>
    <row r="265" spans="1:33" ht="14.4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</row>
    <row r="266" spans="1:33" ht="14.4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</row>
    <row r="267" spans="1:33" ht="14.4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</row>
    <row r="268" spans="1:33" ht="14.4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</row>
    <row r="269" spans="1:33" ht="14.4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</row>
    <row r="270" spans="1:33" ht="14.4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</row>
    <row r="271" spans="1:33" ht="14.4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</row>
    <row r="272" spans="1:33" ht="14.4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</row>
    <row r="273" spans="1:33" ht="14.4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</row>
    <row r="274" spans="1:33" ht="14.4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</row>
    <row r="275" spans="1:33" ht="14.4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</row>
    <row r="276" spans="1:33" ht="14.4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</row>
    <row r="277" spans="1:33" ht="14.4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</row>
    <row r="278" spans="1:33" ht="14.4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</row>
    <row r="279" spans="1:33" ht="14.4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</row>
    <row r="280" spans="1:33" ht="14.4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</row>
    <row r="281" spans="1:33" ht="14.4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</row>
    <row r="282" spans="1:33" ht="14.4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</row>
    <row r="283" spans="1:33" ht="14.4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</row>
    <row r="284" spans="1:33" ht="14.4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</row>
    <row r="285" spans="1:33" ht="14.4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</row>
    <row r="286" spans="1:33" ht="14.4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</row>
    <row r="287" spans="1:33" ht="14.4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</row>
    <row r="288" spans="1:33" ht="14.4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</row>
    <row r="289" spans="1:33" ht="14.4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</row>
    <row r="290" spans="1:33" ht="14.4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</row>
    <row r="291" spans="1:33" ht="14.4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</row>
    <row r="292" spans="1:33" ht="14.4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</row>
    <row r="293" spans="1:33" ht="14.4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</row>
    <row r="294" spans="1:33" ht="14.4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</row>
    <row r="295" spans="1:33" ht="14.4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</row>
    <row r="296" spans="1:33" ht="14.4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</row>
    <row r="297" spans="1:33" ht="14.4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</row>
    <row r="298" spans="1:33" ht="14.4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</row>
    <row r="299" spans="1:33" ht="14.4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</row>
    <row r="300" spans="1:33" ht="14.4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</row>
    <row r="301" spans="1:33" ht="14.4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</row>
    <row r="302" spans="1:33" ht="14.4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</row>
    <row r="303" spans="1:33" ht="14.4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</row>
    <row r="304" spans="1:33" ht="14.4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</row>
    <row r="305" spans="1:33" ht="14.4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</row>
    <row r="306" spans="1:33" ht="14.4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</row>
    <row r="307" spans="1:33" ht="14.4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</row>
    <row r="308" spans="1:33" ht="14.4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</row>
    <row r="309" spans="1:33" ht="14.4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</row>
    <row r="310" spans="1:33" ht="14.4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</row>
    <row r="311" spans="1:33" ht="14.4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</row>
    <row r="312" spans="1:33" ht="14.4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</row>
    <row r="313" spans="1:33" ht="14.4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</row>
    <row r="314" spans="1:33" ht="14.4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</row>
    <row r="315" spans="1:33" ht="14.4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</row>
    <row r="316" spans="1:33" ht="14.4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</row>
    <row r="317" spans="1:33" ht="14.4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</row>
    <row r="318" spans="1:33" ht="14.4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</row>
    <row r="319" spans="1:33" ht="14.4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</row>
    <row r="320" spans="1:33" ht="14.4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</row>
    <row r="321" spans="1:33" ht="14.4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</row>
    <row r="322" spans="1:33" ht="14.4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</row>
    <row r="323" spans="1:33" ht="14.4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</row>
    <row r="324" spans="1:33" ht="14.4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</row>
    <row r="325" spans="1:33" ht="14.4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</row>
    <row r="326" spans="1:33" ht="14.4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</row>
    <row r="327" spans="1:33" ht="14.4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</row>
    <row r="328" spans="1:33" ht="14.4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</row>
    <row r="329" spans="1:33" ht="14.4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</row>
    <row r="330" spans="1:33" ht="14.4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</row>
    <row r="331" spans="1:33" ht="14.4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</row>
    <row r="332" spans="1:33" ht="14.4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</row>
    <row r="333" spans="1:33" ht="14.4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</row>
    <row r="334" spans="1:33" ht="14.4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</row>
    <row r="335" spans="1:33" ht="14.4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</row>
    <row r="336" spans="1:33" ht="14.4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</row>
    <row r="337" spans="1:33" ht="14.4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</row>
    <row r="338" spans="1:33" ht="14.4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</row>
    <row r="339" spans="1:33" ht="14.4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</row>
    <row r="340" spans="1:33" ht="14.4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</row>
    <row r="341" spans="1:33" ht="14.4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</row>
    <row r="342" spans="1:33" ht="14.4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</row>
    <row r="343" spans="1:33" ht="14.4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</row>
    <row r="344" spans="1:33" ht="14.4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</row>
    <row r="345" spans="1:33" ht="14.4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</row>
    <row r="346" spans="1:33" ht="14.4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</row>
    <row r="347" spans="1:33" ht="14.4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</row>
    <row r="348" spans="1:33" ht="14.4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</row>
    <row r="349" spans="1:33" ht="14.4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</row>
    <row r="350" spans="1:33" ht="14.4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</row>
    <row r="351" spans="1:33" ht="14.4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</row>
    <row r="352" spans="1:33" ht="14.4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</row>
    <row r="353" spans="1:33" ht="14.4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</row>
    <row r="354" spans="1:33" ht="14.4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</row>
    <row r="355" spans="1:33" ht="14.4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</row>
    <row r="356" spans="1:33" ht="14.4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</row>
    <row r="357" spans="1:33" ht="14.4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</row>
    <row r="358" spans="1:33" ht="14.4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</row>
    <row r="359" spans="1:33" ht="14.4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</row>
    <row r="360" spans="1:33" ht="14.4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</row>
    <row r="361" spans="1:33" ht="14.4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</row>
    <row r="362" spans="1:33" ht="14.4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</row>
    <row r="363" spans="1:33" ht="14.4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</row>
    <row r="364" spans="1:33" ht="14.4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</row>
    <row r="365" spans="1:33" ht="14.4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</row>
    <row r="366" spans="1:33" ht="14.4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</row>
    <row r="367" spans="1:33" ht="14.4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</row>
    <row r="368" spans="1:33" ht="14.4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</row>
    <row r="369" spans="1:33" ht="14.4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</row>
    <row r="370" spans="1:33" ht="14.4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</row>
    <row r="371" spans="1:33" ht="14.4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</row>
    <row r="372" spans="1:33" ht="14.4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</row>
    <row r="373" spans="1:33" ht="14.4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</row>
    <row r="374" spans="1:33" ht="14.4">
      <c r="A374" s="147"/>
      <c r="B374" s="147"/>
      <c r="C374" s="147"/>
      <c r="D374" s="147"/>
      <c r="E374" s="147"/>
      <c r="F374" s="147"/>
      <c r="G374" s="147"/>
      <c r="H374" s="147"/>
      <c r="I374" s="147"/>
      <c r="J374" s="147"/>
      <c r="K374" s="147"/>
      <c r="L374" s="147"/>
      <c r="M374" s="147"/>
      <c r="N374" s="147"/>
      <c r="O374" s="147"/>
      <c r="P374" s="147"/>
      <c r="Q374" s="147"/>
      <c r="R374" s="147"/>
      <c r="S374" s="147"/>
      <c r="T374" s="147"/>
      <c r="U374" s="147"/>
      <c r="V374" s="147"/>
      <c r="W374" s="147"/>
      <c r="X374" s="147"/>
      <c r="Y374" s="147"/>
      <c r="Z374" s="147"/>
      <c r="AA374" s="147"/>
      <c r="AB374" s="147"/>
      <c r="AC374" s="147"/>
      <c r="AD374" s="147"/>
      <c r="AE374" s="147"/>
      <c r="AF374" s="147"/>
      <c r="AG374" s="147"/>
    </row>
    <row r="375" spans="1:33" ht="14.4">
      <c r="A375" s="147"/>
      <c r="B375" s="147"/>
      <c r="C375" s="147"/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  <c r="P375" s="147"/>
      <c r="Q375" s="147"/>
      <c r="R375" s="147"/>
      <c r="S375" s="147"/>
      <c r="T375" s="147"/>
      <c r="U375" s="147"/>
      <c r="V375" s="147"/>
      <c r="W375" s="147"/>
      <c r="X375" s="147"/>
      <c r="Y375" s="147"/>
      <c r="Z375" s="147"/>
      <c r="AA375" s="147"/>
      <c r="AB375" s="147"/>
      <c r="AC375" s="147"/>
      <c r="AD375" s="147"/>
      <c r="AE375" s="147"/>
      <c r="AF375" s="147"/>
      <c r="AG375" s="147"/>
    </row>
    <row r="376" spans="1:33" ht="14.4">
      <c r="A376" s="147"/>
      <c r="B376" s="147"/>
      <c r="C376" s="147"/>
      <c r="D376" s="147"/>
      <c r="E376" s="147"/>
      <c r="F376" s="147"/>
      <c r="G376" s="147"/>
      <c r="H376" s="147"/>
      <c r="I376" s="147"/>
      <c r="J376" s="147"/>
      <c r="K376" s="147"/>
      <c r="L376" s="147"/>
      <c r="M376" s="147"/>
      <c r="N376" s="147"/>
      <c r="O376" s="147"/>
      <c r="P376" s="147"/>
      <c r="Q376" s="147"/>
      <c r="R376" s="147"/>
      <c r="S376" s="147"/>
      <c r="T376" s="147"/>
      <c r="U376" s="147"/>
      <c r="V376" s="147"/>
      <c r="W376" s="147"/>
      <c r="X376" s="147"/>
      <c r="Y376" s="147"/>
      <c r="Z376" s="147"/>
      <c r="AA376" s="147"/>
      <c r="AB376" s="147"/>
      <c r="AC376" s="147"/>
      <c r="AD376" s="147"/>
      <c r="AE376" s="147"/>
      <c r="AF376" s="147"/>
      <c r="AG376" s="147"/>
    </row>
    <row r="377" spans="1:33" ht="14.4">
      <c r="A377" s="147"/>
      <c r="B377" s="147"/>
      <c r="C377" s="147"/>
      <c r="D377" s="147"/>
      <c r="E377" s="147"/>
      <c r="F377" s="147"/>
      <c r="G377" s="147"/>
      <c r="H377" s="147"/>
      <c r="I377" s="147"/>
      <c r="J377" s="147"/>
      <c r="K377" s="147"/>
      <c r="L377" s="147"/>
      <c r="M377" s="147"/>
      <c r="N377" s="147"/>
      <c r="O377" s="147"/>
      <c r="P377" s="147"/>
      <c r="Q377" s="147"/>
      <c r="R377" s="147"/>
      <c r="S377" s="147"/>
      <c r="T377" s="147"/>
      <c r="U377" s="147"/>
      <c r="V377" s="147"/>
      <c r="W377" s="147"/>
      <c r="X377" s="147"/>
      <c r="Y377" s="147"/>
      <c r="Z377" s="147"/>
      <c r="AA377" s="147"/>
      <c r="AB377" s="147"/>
      <c r="AC377" s="147"/>
      <c r="AD377" s="147"/>
      <c r="AE377" s="147"/>
      <c r="AF377" s="147"/>
      <c r="AG377" s="147"/>
    </row>
    <row r="378" spans="1:33" ht="14.4">
      <c r="A378" s="147"/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</row>
    <row r="379" spans="1:33" ht="14.4">
      <c r="A379" s="147"/>
      <c r="B379" s="147"/>
      <c r="C379" s="147"/>
      <c r="D379" s="147"/>
      <c r="E379" s="147"/>
      <c r="F379" s="147"/>
      <c r="G379" s="147"/>
      <c r="H379" s="147"/>
      <c r="I379" s="147"/>
      <c r="J379" s="147"/>
      <c r="K379" s="147"/>
      <c r="L379" s="147"/>
      <c r="M379" s="147"/>
      <c r="N379" s="147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</row>
    <row r="380" spans="1:33" ht="14.4">
      <c r="A380" s="147"/>
      <c r="B380" s="147"/>
      <c r="C380" s="147"/>
      <c r="D380" s="147"/>
      <c r="E380" s="147"/>
      <c r="F380" s="147"/>
      <c r="G380" s="147"/>
      <c r="H380" s="147"/>
      <c r="I380" s="147"/>
      <c r="J380" s="147"/>
      <c r="K380" s="147"/>
      <c r="L380" s="147"/>
      <c r="M380" s="147"/>
      <c r="N380" s="147"/>
      <c r="O380" s="147"/>
      <c r="P380" s="147"/>
      <c r="Q380" s="147"/>
      <c r="R380" s="147"/>
      <c r="S380" s="147"/>
      <c r="T380" s="147"/>
      <c r="U380" s="147"/>
      <c r="V380" s="147"/>
      <c r="W380" s="147"/>
      <c r="X380" s="147"/>
      <c r="Y380" s="147"/>
      <c r="Z380" s="147"/>
      <c r="AA380" s="147"/>
      <c r="AB380" s="147"/>
      <c r="AC380" s="147"/>
      <c r="AD380" s="147"/>
      <c r="AE380" s="147"/>
      <c r="AF380" s="147"/>
      <c r="AG380" s="147"/>
    </row>
    <row r="381" spans="1:33" ht="14.4">
      <c r="A381" s="147"/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</row>
    <row r="382" spans="1:33" ht="14.4">
      <c r="A382" s="147"/>
      <c r="B382" s="147"/>
      <c r="C382" s="147"/>
      <c r="D382" s="147"/>
      <c r="E382" s="147"/>
      <c r="F382" s="147"/>
      <c r="G382" s="147"/>
      <c r="H382" s="147"/>
      <c r="I382" s="147"/>
      <c r="J382" s="147"/>
      <c r="K382" s="147"/>
      <c r="L382" s="147"/>
      <c r="M382" s="147"/>
      <c r="N382" s="147"/>
      <c r="O382" s="147"/>
      <c r="P382" s="147"/>
      <c r="Q382" s="147"/>
      <c r="R382" s="147"/>
      <c r="S382" s="147"/>
      <c r="T382" s="147"/>
      <c r="U382" s="147"/>
      <c r="V382" s="147"/>
      <c r="W382" s="147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</row>
    <row r="383" spans="1:33" ht="14.4">
      <c r="A383" s="147"/>
      <c r="B383" s="147"/>
      <c r="C383" s="147"/>
      <c r="D383" s="147"/>
      <c r="E383" s="147"/>
      <c r="F383" s="147"/>
      <c r="G383" s="147"/>
      <c r="H383" s="147"/>
      <c r="I383" s="147"/>
      <c r="J383" s="147"/>
      <c r="K383" s="147"/>
      <c r="L383" s="147"/>
      <c r="M383" s="147"/>
      <c r="N383" s="147"/>
      <c r="O383" s="147"/>
      <c r="P383" s="147"/>
      <c r="Q383" s="147"/>
      <c r="R383" s="147"/>
      <c r="S383" s="147"/>
      <c r="T383" s="147"/>
      <c r="U383" s="147"/>
      <c r="V383" s="147"/>
      <c r="W383" s="147"/>
      <c r="X383" s="147"/>
      <c r="Y383" s="147"/>
      <c r="Z383" s="147"/>
      <c r="AA383" s="147"/>
      <c r="AB383" s="147"/>
      <c r="AC383" s="147"/>
      <c r="AD383" s="147"/>
      <c r="AE383" s="147"/>
      <c r="AF383" s="147"/>
      <c r="AG383" s="147"/>
    </row>
    <row r="384" spans="1:33" ht="14.4">
      <c r="A384" s="147"/>
      <c r="B384" s="147"/>
      <c r="C384" s="147"/>
      <c r="D384" s="147"/>
      <c r="E384" s="147"/>
      <c r="F384" s="147"/>
      <c r="G384" s="147"/>
      <c r="H384" s="147"/>
      <c r="I384" s="147"/>
      <c r="J384" s="147"/>
      <c r="K384" s="147"/>
      <c r="L384" s="147"/>
      <c r="M384" s="147"/>
      <c r="N384" s="147"/>
      <c r="O384" s="147"/>
      <c r="P384" s="147"/>
      <c r="Q384" s="147"/>
      <c r="R384" s="147"/>
      <c r="S384" s="147"/>
      <c r="T384" s="147"/>
      <c r="U384" s="147"/>
      <c r="V384" s="147"/>
      <c r="W384" s="147"/>
      <c r="X384" s="147"/>
      <c r="Y384" s="147"/>
      <c r="Z384" s="147"/>
      <c r="AA384" s="147"/>
      <c r="AB384" s="147"/>
      <c r="AC384" s="147"/>
      <c r="AD384" s="147"/>
      <c r="AE384" s="147"/>
      <c r="AF384" s="147"/>
      <c r="AG384" s="147"/>
    </row>
    <row r="385" spans="1:33" ht="14.4">
      <c r="A385" s="147"/>
      <c r="B385" s="147"/>
      <c r="C385" s="147"/>
      <c r="D385" s="147"/>
      <c r="E385" s="147"/>
      <c r="F385" s="147"/>
      <c r="G385" s="147"/>
      <c r="H385" s="147"/>
      <c r="I385" s="147"/>
      <c r="J385" s="147"/>
      <c r="K385" s="147"/>
      <c r="L385" s="147"/>
      <c r="M385" s="147"/>
      <c r="N385" s="147"/>
      <c r="O385" s="147"/>
      <c r="P385" s="147"/>
      <c r="Q385" s="147"/>
      <c r="R385" s="147"/>
      <c r="S385" s="147"/>
      <c r="T385" s="147"/>
      <c r="U385" s="147"/>
      <c r="V385" s="147"/>
      <c r="W385" s="147"/>
      <c r="X385" s="147"/>
      <c r="Y385" s="147"/>
      <c r="Z385" s="147"/>
      <c r="AA385" s="147"/>
      <c r="AB385" s="147"/>
      <c r="AC385" s="147"/>
      <c r="AD385" s="147"/>
      <c r="AE385" s="147"/>
      <c r="AF385" s="147"/>
      <c r="AG385" s="147"/>
    </row>
    <row r="386" spans="1:33" ht="14.4">
      <c r="A386" s="147"/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147"/>
      <c r="Q386" s="147"/>
      <c r="R386" s="147"/>
      <c r="S386" s="147"/>
      <c r="T386" s="147"/>
      <c r="U386" s="147"/>
      <c r="V386" s="147"/>
      <c r="W386" s="147"/>
      <c r="X386" s="147"/>
      <c r="Y386" s="147"/>
      <c r="Z386" s="147"/>
      <c r="AA386" s="147"/>
      <c r="AB386" s="147"/>
      <c r="AC386" s="147"/>
      <c r="AD386" s="147"/>
      <c r="AE386" s="147"/>
      <c r="AF386" s="147"/>
      <c r="AG386" s="147"/>
    </row>
    <row r="387" spans="1:33" ht="14.4">
      <c r="A387" s="147"/>
      <c r="B387" s="147"/>
      <c r="C387" s="147"/>
      <c r="D387" s="147"/>
      <c r="E387" s="147"/>
      <c r="F387" s="147"/>
      <c r="G387" s="147"/>
      <c r="H387" s="147"/>
      <c r="I387" s="147"/>
      <c r="J387" s="147"/>
      <c r="K387" s="147"/>
      <c r="L387" s="147"/>
      <c r="M387" s="147"/>
      <c r="N387" s="147"/>
      <c r="O387" s="147"/>
      <c r="P387" s="147"/>
      <c r="Q387" s="147"/>
      <c r="R387" s="147"/>
      <c r="S387" s="147"/>
      <c r="T387" s="147"/>
      <c r="U387" s="147"/>
      <c r="V387" s="147"/>
      <c r="W387" s="147"/>
      <c r="X387" s="147"/>
      <c r="Y387" s="147"/>
      <c r="Z387" s="147"/>
      <c r="AA387" s="147"/>
      <c r="AB387" s="147"/>
      <c r="AC387" s="147"/>
      <c r="AD387" s="147"/>
      <c r="AE387" s="147"/>
      <c r="AF387" s="147"/>
      <c r="AG387" s="147"/>
    </row>
    <row r="388" spans="1:33" ht="14.4">
      <c r="A388" s="147"/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</row>
    <row r="389" spans="1:33" ht="14.4">
      <c r="A389" s="147"/>
      <c r="B389" s="147"/>
      <c r="C389" s="147"/>
      <c r="D389" s="147"/>
      <c r="E389" s="147"/>
      <c r="F389" s="147"/>
      <c r="G389" s="147"/>
      <c r="H389" s="147"/>
      <c r="I389" s="147"/>
      <c r="J389" s="147"/>
      <c r="K389" s="147"/>
      <c r="L389" s="147"/>
      <c r="M389" s="147"/>
      <c r="N389" s="147"/>
      <c r="O389" s="147"/>
      <c r="P389" s="147"/>
      <c r="Q389" s="147"/>
      <c r="R389" s="147"/>
      <c r="S389" s="147"/>
      <c r="T389" s="147"/>
      <c r="U389" s="147"/>
      <c r="V389" s="147"/>
      <c r="W389" s="147"/>
      <c r="X389" s="147"/>
      <c r="Y389" s="147"/>
      <c r="Z389" s="147"/>
      <c r="AA389" s="147"/>
      <c r="AB389" s="147"/>
      <c r="AC389" s="147"/>
      <c r="AD389" s="147"/>
      <c r="AE389" s="147"/>
      <c r="AF389" s="147"/>
      <c r="AG389" s="147"/>
    </row>
    <row r="390" spans="1:33" ht="14.4">
      <c r="A390" s="147"/>
      <c r="B390" s="147"/>
      <c r="C390" s="147"/>
      <c r="D390" s="147"/>
      <c r="E390" s="147"/>
      <c r="F390" s="147"/>
      <c r="G390" s="147"/>
      <c r="H390" s="147"/>
      <c r="I390" s="147"/>
      <c r="J390" s="147"/>
      <c r="K390" s="147"/>
      <c r="L390" s="147"/>
      <c r="M390" s="147"/>
      <c r="N390" s="147"/>
      <c r="O390" s="147"/>
      <c r="P390" s="147"/>
      <c r="Q390" s="147"/>
      <c r="R390" s="147"/>
      <c r="S390" s="147"/>
      <c r="T390" s="147"/>
      <c r="U390" s="147"/>
      <c r="V390" s="147"/>
      <c r="W390" s="147"/>
      <c r="X390" s="147"/>
      <c r="Y390" s="147"/>
      <c r="Z390" s="147"/>
      <c r="AA390" s="147"/>
      <c r="AB390" s="147"/>
      <c r="AC390" s="147"/>
      <c r="AD390" s="147"/>
      <c r="AE390" s="147"/>
      <c r="AF390" s="147"/>
      <c r="AG390" s="147"/>
    </row>
    <row r="391" spans="1:33" ht="14.4">
      <c r="A391" s="147"/>
      <c r="B391" s="147"/>
      <c r="C391" s="147"/>
      <c r="D391" s="147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47"/>
      <c r="S391" s="147"/>
      <c r="T391" s="147"/>
      <c r="U391" s="147"/>
      <c r="V391" s="147"/>
      <c r="W391" s="147"/>
      <c r="X391" s="147"/>
      <c r="Y391" s="147"/>
      <c r="Z391" s="147"/>
      <c r="AA391" s="147"/>
      <c r="AB391" s="147"/>
      <c r="AC391" s="147"/>
      <c r="AD391" s="147"/>
      <c r="AE391" s="147"/>
      <c r="AF391" s="147"/>
      <c r="AG391" s="147"/>
    </row>
    <row r="392" spans="1:33" ht="14.4">
      <c r="A392" s="147"/>
      <c r="B392" s="147"/>
      <c r="C392" s="147"/>
      <c r="D392" s="147"/>
      <c r="E392" s="147"/>
      <c r="F392" s="147"/>
      <c r="G392" s="147"/>
      <c r="H392" s="147"/>
      <c r="I392" s="147"/>
      <c r="J392" s="147"/>
      <c r="K392" s="147"/>
      <c r="L392" s="147"/>
      <c r="M392" s="147"/>
      <c r="N392" s="147"/>
      <c r="O392" s="147"/>
      <c r="P392" s="147"/>
      <c r="Q392" s="147"/>
      <c r="R392" s="147"/>
      <c r="S392" s="147"/>
      <c r="T392" s="147"/>
      <c r="U392" s="147"/>
      <c r="V392" s="147"/>
      <c r="W392" s="147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</row>
    <row r="393" spans="1:33" ht="14.4">
      <c r="A393" s="147"/>
      <c r="B393" s="147"/>
      <c r="C393" s="147"/>
      <c r="D393" s="147"/>
      <c r="E393" s="147"/>
      <c r="F393" s="147"/>
      <c r="G393" s="147"/>
      <c r="H393" s="147"/>
      <c r="I393" s="147"/>
      <c r="J393" s="147"/>
      <c r="K393" s="147"/>
      <c r="L393" s="147"/>
      <c r="M393" s="147"/>
      <c r="N393" s="147"/>
      <c r="O393" s="147"/>
      <c r="P393" s="147"/>
      <c r="Q393" s="147"/>
      <c r="R393" s="147"/>
      <c r="S393" s="147"/>
      <c r="T393" s="147"/>
      <c r="U393" s="147"/>
      <c r="V393" s="147"/>
      <c r="W393" s="147"/>
      <c r="X393" s="147"/>
      <c r="Y393" s="147"/>
      <c r="Z393" s="147"/>
      <c r="AA393" s="147"/>
      <c r="AB393" s="147"/>
      <c r="AC393" s="147"/>
      <c r="AD393" s="147"/>
      <c r="AE393" s="147"/>
      <c r="AF393" s="147"/>
      <c r="AG393" s="147"/>
    </row>
    <row r="394" spans="1:33" ht="14.4">
      <c r="A394" s="147"/>
      <c r="B394" s="147"/>
      <c r="C394" s="147"/>
      <c r="D394" s="147"/>
      <c r="E394" s="147"/>
      <c r="F394" s="147"/>
      <c r="G394" s="147"/>
      <c r="H394" s="147"/>
      <c r="I394" s="147"/>
      <c r="J394" s="147"/>
      <c r="K394" s="147"/>
      <c r="L394" s="147"/>
      <c r="M394" s="147"/>
      <c r="N394" s="147"/>
      <c r="O394" s="147"/>
      <c r="P394" s="147"/>
      <c r="Q394" s="147"/>
      <c r="R394" s="147"/>
      <c r="S394" s="147"/>
      <c r="T394" s="147"/>
      <c r="U394" s="147"/>
      <c r="V394" s="147"/>
      <c r="W394" s="147"/>
      <c r="X394" s="147"/>
      <c r="Y394" s="147"/>
      <c r="Z394" s="147"/>
      <c r="AA394" s="147"/>
      <c r="AB394" s="147"/>
      <c r="AC394" s="147"/>
      <c r="AD394" s="147"/>
      <c r="AE394" s="147"/>
      <c r="AF394" s="147"/>
      <c r="AG394" s="147"/>
    </row>
    <row r="395" spans="1:33" ht="14.4">
      <c r="A395" s="147"/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</row>
    <row r="396" spans="1:33" ht="14.4">
      <c r="A396" s="147"/>
      <c r="B396" s="147"/>
      <c r="C396" s="147"/>
      <c r="D396" s="147"/>
      <c r="E396" s="147"/>
      <c r="F396" s="147"/>
      <c r="G396" s="147"/>
      <c r="H396" s="147"/>
      <c r="I396" s="147"/>
      <c r="J396" s="147"/>
      <c r="K396" s="147"/>
      <c r="L396" s="147"/>
      <c r="M396" s="147"/>
      <c r="N396" s="147"/>
      <c r="O396" s="147"/>
      <c r="P396" s="147"/>
      <c r="Q396" s="147"/>
      <c r="R396" s="147"/>
      <c r="S396" s="147"/>
      <c r="T396" s="147"/>
      <c r="U396" s="147"/>
      <c r="V396" s="147"/>
      <c r="W396" s="147"/>
      <c r="X396" s="147"/>
      <c r="Y396" s="147"/>
      <c r="Z396" s="147"/>
      <c r="AA396" s="147"/>
      <c r="AB396" s="147"/>
      <c r="AC396" s="147"/>
      <c r="AD396" s="147"/>
      <c r="AE396" s="147"/>
      <c r="AF396" s="147"/>
      <c r="AG396" s="147"/>
    </row>
    <row r="397" spans="1:33" ht="14.4">
      <c r="A397" s="147"/>
      <c r="B397" s="147"/>
      <c r="C397" s="147"/>
      <c r="D397" s="147"/>
      <c r="E397" s="147"/>
      <c r="F397" s="147"/>
      <c r="G397" s="147"/>
      <c r="H397" s="147"/>
      <c r="I397" s="147"/>
      <c r="J397" s="147"/>
      <c r="K397" s="147"/>
      <c r="L397" s="147"/>
      <c r="M397" s="147"/>
      <c r="N397" s="147"/>
      <c r="O397" s="147"/>
      <c r="P397" s="147"/>
      <c r="Q397" s="147"/>
      <c r="R397" s="147"/>
      <c r="S397" s="147"/>
      <c r="T397" s="147"/>
      <c r="U397" s="147"/>
      <c r="V397" s="147"/>
      <c r="W397" s="147"/>
      <c r="X397" s="147"/>
      <c r="Y397" s="147"/>
      <c r="Z397" s="147"/>
      <c r="AA397" s="147"/>
      <c r="AB397" s="147"/>
      <c r="AC397" s="147"/>
      <c r="AD397" s="147"/>
      <c r="AE397" s="147"/>
      <c r="AF397" s="147"/>
      <c r="AG397" s="147"/>
    </row>
    <row r="398" spans="1:33" ht="14.4">
      <c r="A398" s="147"/>
      <c r="B398" s="147"/>
      <c r="C398" s="147"/>
      <c r="D398" s="147"/>
      <c r="E398" s="147"/>
      <c r="F398" s="147"/>
      <c r="G398" s="147"/>
      <c r="H398" s="147"/>
      <c r="I398" s="147"/>
      <c r="J398" s="147"/>
      <c r="K398" s="147"/>
      <c r="L398" s="147"/>
      <c r="M398" s="147"/>
      <c r="N398" s="147"/>
      <c r="O398" s="147"/>
      <c r="P398" s="147"/>
      <c r="Q398" s="147"/>
      <c r="R398" s="147"/>
      <c r="S398" s="147"/>
      <c r="T398" s="147"/>
      <c r="U398" s="147"/>
      <c r="V398" s="147"/>
      <c r="W398" s="147"/>
      <c r="X398" s="147"/>
      <c r="Y398" s="147"/>
      <c r="Z398" s="147"/>
      <c r="AA398" s="147"/>
      <c r="AB398" s="147"/>
      <c r="AC398" s="147"/>
      <c r="AD398" s="147"/>
      <c r="AE398" s="147"/>
      <c r="AF398" s="147"/>
      <c r="AG398" s="147"/>
    </row>
    <row r="399" spans="1:33" ht="14.4">
      <c r="A399" s="147"/>
      <c r="B399" s="147"/>
      <c r="C399" s="147"/>
      <c r="D399" s="147"/>
      <c r="E399" s="147"/>
      <c r="F399" s="147"/>
      <c r="G399" s="147"/>
      <c r="H399" s="147"/>
      <c r="I399" s="147"/>
      <c r="J399" s="147"/>
      <c r="K399" s="147"/>
      <c r="L399" s="147"/>
      <c r="M399" s="147"/>
      <c r="N399" s="147"/>
      <c r="O399" s="147"/>
      <c r="P399" s="147"/>
      <c r="Q399" s="147"/>
      <c r="R399" s="147"/>
      <c r="S399" s="147"/>
      <c r="T399" s="147"/>
      <c r="U399" s="147"/>
      <c r="V399" s="147"/>
      <c r="W399" s="147"/>
      <c r="X399" s="147"/>
      <c r="Y399" s="147"/>
      <c r="Z399" s="147"/>
      <c r="AA399" s="147"/>
      <c r="AB399" s="147"/>
      <c r="AC399" s="147"/>
      <c r="AD399" s="147"/>
      <c r="AE399" s="147"/>
      <c r="AF399" s="147"/>
      <c r="AG399" s="147"/>
    </row>
    <row r="400" spans="1:33" ht="14.4">
      <c r="A400" s="147"/>
      <c r="B400" s="147"/>
      <c r="C400" s="147"/>
      <c r="D400" s="147"/>
      <c r="E400" s="147"/>
      <c r="F400" s="147"/>
      <c r="G400" s="147"/>
      <c r="H400" s="147"/>
      <c r="I400" s="147"/>
      <c r="J400" s="147"/>
      <c r="K400" s="147"/>
      <c r="L400" s="147"/>
      <c r="M400" s="147"/>
      <c r="N400" s="147"/>
      <c r="O400" s="147"/>
      <c r="P400" s="147"/>
      <c r="Q400" s="147"/>
      <c r="R400" s="147"/>
      <c r="S400" s="147"/>
      <c r="T400" s="147"/>
      <c r="U400" s="147"/>
      <c r="V400" s="147"/>
      <c r="W400" s="147"/>
      <c r="X400" s="147"/>
      <c r="Y400" s="147"/>
      <c r="Z400" s="147"/>
      <c r="AA400" s="147"/>
      <c r="AB400" s="147"/>
      <c r="AC400" s="147"/>
      <c r="AD400" s="147"/>
      <c r="AE400" s="147"/>
      <c r="AF400" s="147"/>
      <c r="AG400" s="147"/>
    </row>
    <row r="401" spans="1:33" ht="14.4">
      <c r="A401" s="147"/>
      <c r="B401" s="147"/>
      <c r="C401" s="147"/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  <c r="P401" s="147"/>
      <c r="Q401" s="147"/>
      <c r="R401" s="147"/>
      <c r="S401" s="147"/>
      <c r="T401" s="147"/>
      <c r="U401" s="147"/>
      <c r="V401" s="147"/>
      <c r="W401" s="147"/>
      <c r="X401" s="147"/>
      <c r="Y401" s="147"/>
      <c r="Z401" s="147"/>
      <c r="AA401" s="147"/>
      <c r="AB401" s="147"/>
      <c r="AC401" s="147"/>
      <c r="AD401" s="147"/>
      <c r="AE401" s="147"/>
      <c r="AF401" s="147"/>
      <c r="AG401" s="147"/>
    </row>
    <row r="402" spans="1:33" ht="14.4">
      <c r="A402" s="147"/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</row>
    <row r="403" spans="1:33" ht="14.4">
      <c r="A403" s="147"/>
      <c r="B403" s="147"/>
      <c r="C403" s="147"/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  <c r="O403" s="147"/>
      <c r="P403" s="147"/>
      <c r="Q403" s="147"/>
      <c r="R403" s="147"/>
      <c r="S403" s="147"/>
      <c r="T403" s="147"/>
      <c r="U403" s="147"/>
      <c r="V403" s="147"/>
      <c r="W403" s="147"/>
      <c r="X403" s="147"/>
      <c r="Y403" s="147"/>
      <c r="Z403" s="147"/>
      <c r="AA403" s="147"/>
      <c r="AB403" s="147"/>
      <c r="AC403" s="147"/>
      <c r="AD403" s="147"/>
      <c r="AE403" s="147"/>
      <c r="AF403" s="147"/>
      <c r="AG403" s="147"/>
    </row>
    <row r="404" spans="1:33" ht="14.4">
      <c r="A404" s="147"/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  <c r="AG404" s="147"/>
    </row>
    <row r="405" spans="1:33" ht="14.4">
      <c r="A405" s="147"/>
      <c r="B405" s="147"/>
      <c r="C405" s="147"/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  <c r="O405" s="147"/>
      <c r="P405" s="147"/>
      <c r="Q405" s="147"/>
      <c r="R405" s="147"/>
      <c r="S405" s="147"/>
      <c r="T405" s="147"/>
      <c r="U405" s="147"/>
      <c r="V405" s="147"/>
      <c r="W405" s="147"/>
      <c r="X405" s="147"/>
      <c r="Y405" s="147"/>
      <c r="Z405" s="147"/>
      <c r="AA405" s="147"/>
      <c r="AB405" s="147"/>
      <c r="AC405" s="147"/>
      <c r="AD405" s="147"/>
      <c r="AE405" s="147"/>
      <c r="AF405" s="147"/>
      <c r="AG405" s="147"/>
    </row>
    <row r="406" spans="1:33" ht="14.4">
      <c r="A406" s="147"/>
      <c r="B406" s="147"/>
      <c r="C406" s="147"/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  <c r="O406" s="147"/>
      <c r="P406" s="147"/>
      <c r="Q406" s="147"/>
      <c r="R406" s="147"/>
      <c r="S406" s="147"/>
      <c r="T406" s="147"/>
      <c r="U406" s="147"/>
      <c r="V406" s="147"/>
      <c r="W406" s="147"/>
      <c r="X406" s="147"/>
      <c r="Y406" s="147"/>
      <c r="Z406" s="147"/>
      <c r="AA406" s="147"/>
      <c r="AB406" s="147"/>
      <c r="AC406" s="147"/>
      <c r="AD406" s="147"/>
      <c r="AE406" s="147"/>
      <c r="AF406" s="147"/>
      <c r="AG406" s="147"/>
    </row>
    <row r="407" spans="1:33" ht="14.4">
      <c r="A407" s="147"/>
      <c r="B407" s="147"/>
      <c r="C407" s="147"/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  <c r="O407" s="147"/>
      <c r="P407" s="147"/>
      <c r="Q407" s="147"/>
      <c r="R407" s="147"/>
      <c r="S407" s="147"/>
      <c r="T407" s="147"/>
      <c r="U407" s="147"/>
      <c r="V407" s="147"/>
      <c r="W407" s="147"/>
      <c r="X407" s="147"/>
      <c r="Y407" s="147"/>
      <c r="Z407" s="147"/>
      <c r="AA407" s="147"/>
      <c r="AB407" s="147"/>
      <c r="AC407" s="147"/>
      <c r="AD407" s="147"/>
      <c r="AE407" s="147"/>
      <c r="AF407" s="147"/>
      <c r="AG407" s="147"/>
    </row>
    <row r="408" spans="1:33" ht="14.4">
      <c r="A408" s="147"/>
      <c r="B408" s="147"/>
      <c r="C408" s="147"/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  <c r="O408" s="147"/>
      <c r="P408" s="147"/>
      <c r="Q408" s="147"/>
      <c r="R408" s="147"/>
      <c r="S408" s="147"/>
      <c r="T408" s="147"/>
      <c r="U408" s="147"/>
      <c r="V408" s="147"/>
      <c r="W408" s="147"/>
      <c r="X408" s="147"/>
      <c r="Y408" s="147"/>
      <c r="Z408" s="147"/>
      <c r="AA408" s="147"/>
      <c r="AB408" s="147"/>
      <c r="AC408" s="147"/>
      <c r="AD408" s="147"/>
      <c r="AE408" s="147"/>
      <c r="AF408" s="147"/>
      <c r="AG408" s="147"/>
    </row>
    <row r="409" spans="1:33" ht="14.4">
      <c r="A409" s="147"/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</row>
    <row r="410" spans="1:33" ht="14.4">
      <c r="A410" s="147"/>
      <c r="B410" s="147"/>
      <c r="C410" s="147"/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  <c r="O410" s="147"/>
      <c r="P410" s="147"/>
      <c r="Q410" s="147"/>
      <c r="R410" s="147"/>
      <c r="S410" s="147"/>
      <c r="T410" s="147"/>
      <c r="U410" s="147"/>
      <c r="V410" s="147"/>
      <c r="W410" s="147"/>
      <c r="X410" s="147"/>
      <c r="Y410" s="147"/>
      <c r="Z410" s="147"/>
      <c r="AA410" s="147"/>
      <c r="AB410" s="147"/>
      <c r="AC410" s="147"/>
      <c r="AD410" s="147"/>
      <c r="AE410" s="147"/>
      <c r="AF410" s="147"/>
      <c r="AG410" s="147"/>
    </row>
    <row r="411" spans="1:33" ht="14.4">
      <c r="A411" s="147"/>
      <c r="B411" s="147"/>
      <c r="C411" s="147"/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  <c r="O411" s="147"/>
      <c r="P411" s="147"/>
      <c r="Q411" s="147"/>
      <c r="R411" s="147"/>
      <c r="S411" s="147"/>
      <c r="T411" s="147"/>
      <c r="U411" s="147"/>
      <c r="V411" s="147"/>
      <c r="W411" s="147"/>
      <c r="X411" s="147"/>
      <c r="Y411" s="147"/>
      <c r="Z411" s="147"/>
      <c r="AA411" s="147"/>
      <c r="AB411" s="147"/>
      <c r="AC411" s="147"/>
      <c r="AD411" s="147"/>
      <c r="AE411" s="147"/>
      <c r="AF411" s="147"/>
      <c r="AG411" s="147"/>
    </row>
    <row r="412" spans="1:33" ht="14.4">
      <c r="A412" s="147"/>
      <c r="B412" s="147"/>
      <c r="C412" s="147"/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  <c r="O412" s="147"/>
      <c r="P412" s="147"/>
      <c r="Q412" s="147"/>
      <c r="R412" s="147"/>
      <c r="S412" s="147"/>
      <c r="T412" s="147"/>
      <c r="U412" s="147"/>
      <c r="V412" s="147"/>
      <c r="W412" s="147"/>
      <c r="X412" s="147"/>
      <c r="Y412" s="147"/>
      <c r="Z412" s="147"/>
      <c r="AA412" s="147"/>
      <c r="AB412" s="147"/>
      <c r="AC412" s="147"/>
      <c r="AD412" s="147"/>
      <c r="AE412" s="147"/>
      <c r="AF412" s="147"/>
      <c r="AG412" s="147"/>
    </row>
    <row r="413" spans="1:33" ht="14.4">
      <c r="A413" s="147"/>
      <c r="B413" s="147"/>
      <c r="C413" s="147"/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  <c r="O413" s="147"/>
      <c r="P413" s="147"/>
      <c r="Q413" s="147"/>
      <c r="R413" s="147"/>
      <c r="S413" s="147"/>
      <c r="T413" s="147"/>
      <c r="U413" s="147"/>
      <c r="V413" s="147"/>
      <c r="W413" s="147"/>
      <c r="X413" s="147"/>
      <c r="Y413" s="147"/>
      <c r="Z413" s="147"/>
      <c r="AA413" s="147"/>
      <c r="AB413" s="147"/>
      <c r="AC413" s="147"/>
      <c r="AD413" s="147"/>
      <c r="AE413" s="147"/>
      <c r="AF413" s="147"/>
      <c r="AG413" s="147"/>
    </row>
    <row r="414" spans="1:33" ht="14.4">
      <c r="A414" s="147"/>
      <c r="B414" s="147"/>
      <c r="C414" s="147"/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  <c r="P414" s="147"/>
      <c r="Q414" s="147"/>
      <c r="R414" s="147"/>
      <c r="S414" s="147"/>
      <c r="T414" s="147"/>
      <c r="U414" s="147"/>
      <c r="V414" s="147"/>
      <c r="W414" s="147"/>
      <c r="X414" s="147"/>
      <c r="Y414" s="147"/>
      <c r="Z414" s="147"/>
      <c r="AA414" s="147"/>
      <c r="AB414" s="147"/>
      <c r="AC414" s="147"/>
      <c r="AD414" s="147"/>
      <c r="AE414" s="147"/>
      <c r="AF414" s="147"/>
      <c r="AG414" s="147"/>
    </row>
    <row r="415" spans="1:33" ht="14.4">
      <c r="A415" s="147"/>
      <c r="B415" s="147"/>
      <c r="C415" s="147"/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</row>
    <row r="416" spans="1:33" ht="14.4">
      <c r="A416" s="147"/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</row>
    <row r="417" spans="1:33" ht="14.4">
      <c r="A417" s="147"/>
      <c r="B417" s="147"/>
      <c r="C417" s="147"/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  <c r="O417" s="147"/>
      <c r="P417" s="147"/>
      <c r="Q417" s="147"/>
      <c r="R417" s="147"/>
      <c r="S417" s="147"/>
      <c r="T417" s="147"/>
      <c r="U417" s="147"/>
      <c r="V417" s="147"/>
      <c r="W417" s="147"/>
      <c r="X417" s="147"/>
      <c r="Y417" s="147"/>
      <c r="Z417" s="147"/>
      <c r="AA417" s="147"/>
      <c r="AB417" s="147"/>
      <c r="AC417" s="147"/>
      <c r="AD417" s="147"/>
      <c r="AE417" s="147"/>
      <c r="AF417" s="147"/>
      <c r="AG417" s="147"/>
    </row>
    <row r="418" spans="1:33" ht="14.4">
      <c r="A418" s="147"/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7"/>
      <c r="P418" s="147"/>
      <c r="Q418" s="147"/>
      <c r="R418" s="147"/>
      <c r="S418" s="147"/>
      <c r="T418" s="147"/>
      <c r="U418" s="147"/>
      <c r="V418" s="147"/>
      <c r="W418" s="147"/>
      <c r="X418" s="147"/>
      <c r="Y418" s="147"/>
      <c r="Z418" s="147"/>
      <c r="AA418" s="147"/>
      <c r="AB418" s="147"/>
      <c r="AC418" s="147"/>
      <c r="AD418" s="147"/>
      <c r="AE418" s="147"/>
      <c r="AF418" s="147"/>
      <c r="AG418" s="147"/>
    </row>
    <row r="419" spans="1:33" ht="14.4">
      <c r="A419" s="147"/>
      <c r="B419" s="147"/>
      <c r="C419" s="147"/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  <c r="O419" s="147"/>
      <c r="P419" s="147"/>
      <c r="Q419" s="147"/>
      <c r="R419" s="147"/>
      <c r="S419" s="147"/>
      <c r="T419" s="147"/>
      <c r="U419" s="147"/>
      <c r="V419" s="147"/>
      <c r="W419" s="147"/>
      <c r="X419" s="147"/>
      <c r="Y419" s="147"/>
      <c r="Z419" s="147"/>
      <c r="AA419" s="147"/>
      <c r="AB419" s="147"/>
      <c r="AC419" s="147"/>
      <c r="AD419" s="147"/>
      <c r="AE419" s="147"/>
      <c r="AF419" s="147"/>
      <c r="AG419" s="147"/>
    </row>
    <row r="420" spans="1:33" ht="14.4">
      <c r="A420" s="147"/>
      <c r="B420" s="147"/>
      <c r="C420" s="147"/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  <c r="O420" s="147"/>
      <c r="P420" s="147"/>
      <c r="Q420" s="147"/>
      <c r="R420" s="147"/>
      <c r="S420" s="147"/>
      <c r="T420" s="147"/>
      <c r="U420" s="147"/>
      <c r="V420" s="147"/>
      <c r="W420" s="147"/>
      <c r="X420" s="147"/>
      <c r="Y420" s="147"/>
      <c r="Z420" s="147"/>
      <c r="AA420" s="147"/>
      <c r="AB420" s="147"/>
      <c r="AC420" s="147"/>
      <c r="AD420" s="147"/>
      <c r="AE420" s="147"/>
      <c r="AF420" s="147"/>
      <c r="AG420" s="147"/>
    </row>
    <row r="421" spans="1:33" ht="14.4">
      <c r="A421" s="147"/>
      <c r="B421" s="147"/>
      <c r="C421" s="147"/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  <c r="O421" s="147"/>
      <c r="P421" s="147"/>
      <c r="Q421" s="147"/>
      <c r="R421" s="147"/>
      <c r="S421" s="147"/>
      <c r="T421" s="147"/>
      <c r="U421" s="147"/>
      <c r="V421" s="147"/>
      <c r="W421" s="147"/>
      <c r="X421" s="147"/>
      <c r="Y421" s="147"/>
      <c r="Z421" s="147"/>
      <c r="AA421" s="147"/>
      <c r="AB421" s="147"/>
      <c r="AC421" s="147"/>
      <c r="AD421" s="147"/>
      <c r="AE421" s="147"/>
      <c r="AF421" s="147"/>
      <c r="AG421" s="147"/>
    </row>
    <row r="422" spans="1:33" ht="14.4">
      <c r="A422" s="147"/>
      <c r="B422" s="147"/>
      <c r="C422" s="147"/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  <c r="O422" s="147"/>
      <c r="P422" s="147"/>
      <c r="Q422" s="147"/>
      <c r="R422" s="147"/>
      <c r="S422" s="147"/>
      <c r="T422" s="147"/>
      <c r="U422" s="147"/>
      <c r="V422" s="147"/>
      <c r="W422" s="147"/>
      <c r="X422" s="147"/>
      <c r="Y422" s="147"/>
      <c r="Z422" s="147"/>
      <c r="AA422" s="147"/>
      <c r="AB422" s="147"/>
      <c r="AC422" s="147"/>
      <c r="AD422" s="147"/>
      <c r="AE422" s="147"/>
      <c r="AF422" s="147"/>
      <c r="AG422" s="147"/>
    </row>
    <row r="423" spans="1:33" ht="14.4">
      <c r="A423" s="147"/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</row>
    <row r="424" spans="1:33" ht="14.4">
      <c r="A424" s="147"/>
      <c r="B424" s="147"/>
      <c r="C424" s="147"/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  <c r="O424" s="147"/>
      <c r="P424" s="147"/>
      <c r="Q424" s="147"/>
      <c r="R424" s="147"/>
      <c r="S424" s="147"/>
      <c r="T424" s="147"/>
      <c r="U424" s="147"/>
      <c r="V424" s="147"/>
      <c r="W424" s="147"/>
      <c r="X424" s="147"/>
      <c r="Y424" s="147"/>
      <c r="Z424" s="147"/>
      <c r="AA424" s="147"/>
      <c r="AB424" s="147"/>
      <c r="AC424" s="147"/>
      <c r="AD424" s="147"/>
      <c r="AE424" s="147"/>
      <c r="AF424" s="147"/>
      <c r="AG424" s="147"/>
    </row>
    <row r="425" spans="1:33" ht="14.4">
      <c r="A425" s="147"/>
      <c r="B425" s="147"/>
      <c r="C425" s="147"/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  <c r="O425" s="147"/>
      <c r="P425" s="147"/>
      <c r="Q425" s="147"/>
      <c r="R425" s="147"/>
      <c r="S425" s="147"/>
      <c r="T425" s="147"/>
      <c r="U425" s="147"/>
      <c r="V425" s="147"/>
      <c r="W425" s="147"/>
      <c r="X425" s="147"/>
      <c r="Y425" s="147"/>
      <c r="Z425" s="147"/>
      <c r="AA425" s="147"/>
      <c r="AB425" s="147"/>
      <c r="AC425" s="147"/>
      <c r="AD425" s="147"/>
      <c r="AE425" s="147"/>
      <c r="AF425" s="147"/>
      <c r="AG425" s="147"/>
    </row>
    <row r="426" spans="1:33" ht="14.4">
      <c r="A426" s="147"/>
      <c r="B426" s="147"/>
      <c r="C426" s="147"/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  <c r="O426" s="147"/>
      <c r="P426" s="147"/>
      <c r="Q426" s="147"/>
      <c r="R426" s="147"/>
      <c r="S426" s="147"/>
      <c r="T426" s="147"/>
      <c r="U426" s="147"/>
      <c r="V426" s="147"/>
      <c r="W426" s="147"/>
      <c r="X426" s="147"/>
      <c r="Y426" s="147"/>
      <c r="Z426" s="147"/>
      <c r="AA426" s="147"/>
      <c r="AB426" s="147"/>
      <c r="AC426" s="147"/>
      <c r="AD426" s="147"/>
      <c r="AE426" s="147"/>
      <c r="AF426" s="147"/>
      <c r="AG426" s="147"/>
    </row>
    <row r="427" spans="1:33" ht="14.4">
      <c r="A427" s="147"/>
      <c r="B427" s="147"/>
      <c r="C427" s="147"/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  <c r="P427" s="147"/>
      <c r="Q427" s="147"/>
      <c r="R427" s="147"/>
      <c r="S427" s="147"/>
      <c r="T427" s="147"/>
      <c r="U427" s="147"/>
      <c r="V427" s="147"/>
      <c r="W427" s="147"/>
      <c r="X427" s="147"/>
      <c r="Y427" s="147"/>
      <c r="Z427" s="147"/>
      <c r="AA427" s="147"/>
      <c r="AB427" s="147"/>
      <c r="AC427" s="147"/>
      <c r="AD427" s="147"/>
      <c r="AE427" s="147"/>
      <c r="AF427" s="147"/>
      <c r="AG427" s="147"/>
    </row>
    <row r="428" spans="1:33" ht="14.4">
      <c r="A428" s="147"/>
      <c r="B428" s="147"/>
      <c r="C428" s="147"/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  <c r="O428" s="147"/>
      <c r="P428" s="147"/>
      <c r="Q428" s="147"/>
      <c r="R428" s="147"/>
      <c r="S428" s="147"/>
      <c r="T428" s="147"/>
      <c r="U428" s="147"/>
      <c r="V428" s="147"/>
      <c r="W428" s="147"/>
      <c r="X428" s="147"/>
      <c r="Y428" s="147"/>
      <c r="Z428" s="147"/>
      <c r="AA428" s="147"/>
      <c r="AB428" s="147"/>
      <c r="AC428" s="147"/>
      <c r="AD428" s="147"/>
      <c r="AE428" s="147"/>
      <c r="AF428" s="147"/>
      <c r="AG428" s="147"/>
    </row>
    <row r="429" spans="1:33" ht="14.4">
      <c r="A429" s="147"/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47"/>
      <c r="P429" s="147"/>
      <c r="Q429" s="147"/>
      <c r="R429" s="147"/>
      <c r="S429" s="147"/>
      <c r="T429" s="147"/>
      <c r="U429" s="147"/>
      <c r="V429" s="147"/>
      <c r="W429" s="147"/>
      <c r="X429" s="147"/>
      <c r="Y429" s="147"/>
      <c r="Z429" s="147"/>
      <c r="AA429" s="147"/>
      <c r="AB429" s="147"/>
      <c r="AC429" s="147"/>
      <c r="AD429" s="147"/>
      <c r="AE429" s="147"/>
      <c r="AF429" s="147"/>
      <c r="AG429" s="147"/>
    </row>
    <row r="430" spans="1:33" ht="14.4">
      <c r="A430" s="147"/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</row>
    <row r="431" spans="1:33" ht="14.4">
      <c r="A431" s="147"/>
      <c r="B431" s="147"/>
      <c r="C431" s="147"/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  <c r="O431" s="147"/>
      <c r="P431" s="147"/>
      <c r="Q431" s="147"/>
      <c r="R431" s="147"/>
      <c r="S431" s="147"/>
      <c r="T431" s="147"/>
      <c r="U431" s="147"/>
      <c r="V431" s="147"/>
      <c r="W431" s="147"/>
      <c r="X431" s="147"/>
      <c r="Y431" s="147"/>
      <c r="Z431" s="147"/>
      <c r="AA431" s="147"/>
      <c r="AB431" s="147"/>
      <c r="AC431" s="147"/>
      <c r="AD431" s="147"/>
      <c r="AE431" s="147"/>
      <c r="AF431" s="147"/>
      <c r="AG431" s="147"/>
    </row>
    <row r="432" spans="1:33" ht="14.4">
      <c r="A432" s="147"/>
      <c r="B432" s="147"/>
      <c r="C432" s="147"/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  <c r="O432" s="147"/>
      <c r="P432" s="147"/>
      <c r="Q432" s="147"/>
      <c r="R432" s="147"/>
      <c r="S432" s="147"/>
      <c r="T432" s="147"/>
      <c r="U432" s="147"/>
      <c r="V432" s="147"/>
      <c r="W432" s="147"/>
      <c r="X432" s="147"/>
      <c r="Y432" s="147"/>
      <c r="Z432" s="147"/>
      <c r="AA432" s="147"/>
      <c r="AB432" s="147"/>
      <c r="AC432" s="147"/>
      <c r="AD432" s="147"/>
      <c r="AE432" s="147"/>
      <c r="AF432" s="147"/>
      <c r="AG432" s="147"/>
    </row>
    <row r="433" spans="1:33" ht="14.4">
      <c r="A433" s="147"/>
      <c r="B433" s="147"/>
      <c r="C433" s="147"/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  <c r="O433" s="147"/>
      <c r="P433" s="147"/>
      <c r="Q433" s="147"/>
      <c r="R433" s="147"/>
      <c r="S433" s="147"/>
      <c r="T433" s="147"/>
      <c r="U433" s="147"/>
      <c r="V433" s="147"/>
      <c r="W433" s="147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/>
    </row>
    <row r="434" spans="1:33" ht="14.4">
      <c r="A434" s="147"/>
      <c r="B434" s="147"/>
      <c r="C434" s="147"/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147"/>
      <c r="S434" s="147"/>
      <c r="T434" s="147"/>
      <c r="U434" s="147"/>
      <c r="V434" s="147"/>
      <c r="W434" s="147"/>
      <c r="X434" s="147"/>
      <c r="Y434" s="147"/>
      <c r="Z434" s="147"/>
      <c r="AA434" s="147"/>
      <c r="AB434" s="147"/>
      <c r="AC434" s="147"/>
      <c r="AD434" s="147"/>
      <c r="AE434" s="147"/>
      <c r="AF434" s="147"/>
      <c r="AG434" s="147"/>
    </row>
    <row r="435" spans="1:33" ht="14.4">
      <c r="A435" s="147"/>
      <c r="B435" s="147"/>
      <c r="C435" s="147"/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  <c r="O435" s="147"/>
      <c r="P435" s="147"/>
      <c r="Q435" s="147"/>
      <c r="R435" s="147"/>
      <c r="S435" s="147"/>
      <c r="T435" s="147"/>
      <c r="U435" s="147"/>
      <c r="V435" s="147"/>
      <c r="W435" s="147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/>
    </row>
    <row r="436" spans="1:33" ht="14.4">
      <c r="A436" s="147"/>
      <c r="B436" s="147"/>
      <c r="C436" s="147"/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  <c r="O436" s="147"/>
      <c r="P436" s="147"/>
      <c r="Q436" s="147"/>
      <c r="R436" s="147"/>
      <c r="S436" s="147"/>
      <c r="T436" s="147"/>
      <c r="U436" s="147"/>
      <c r="V436" s="147"/>
      <c r="W436" s="147"/>
      <c r="X436" s="147"/>
      <c r="Y436" s="147"/>
      <c r="Z436" s="147"/>
      <c r="AA436" s="147"/>
      <c r="AB436" s="147"/>
      <c r="AC436" s="147"/>
      <c r="AD436" s="147"/>
      <c r="AE436" s="147"/>
      <c r="AF436" s="147"/>
      <c r="AG436" s="147"/>
    </row>
    <row r="437" spans="1:33" ht="14.4">
      <c r="A437" s="147"/>
      <c r="B437" s="147"/>
      <c r="C437" s="147"/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  <c r="O437" s="147"/>
      <c r="P437" s="147"/>
      <c r="Q437" s="147"/>
      <c r="R437" s="147"/>
      <c r="S437" s="147"/>
      <c r="T437" s="147"/>
      <c r="U437" s="147"/>
      <c r="V437" s="147"/>
      <c r="W437" s="147"/>
      <c r="X437" s="147"/>
      <c r="Y437" s="147"/>
      <c r="Z437" s="147"/>
      <c r="AA437" s="147"/>
      <c r="AB437" s="147"/>
      <c r="AC437" s="147"/>
      <c r="AD437" s="147"/>
      <c r="AE437" s="147"/>
      <c r="AF437" s="147"/>
      <c r="AG437" s="147"/>
    </row>
    <row r="438" spans="1:33" ht="14.4">
      <c r="A438" s="147"/>
      <c r="B438" s="147"/>
      <c r="C438" s="147"/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  <c r="O438" s="147"/>
      <c r="P438" s="147"/>
      <c r="Q438" s="147"/>
      <c r="R438" s="147"/>
      <c r="S438" s="147"/>
      <c r="T438" s="147"/>
      <c r="U438" s="147"/>
      <c r="V438" s="147"/>
      <c r="W438" s="147"/>
      <c r="X438" s="147"/>
      <c r="Y438" s="147"/>
      <c r="Z438" s="147"/>
      <c r="AA438" s="147"/>
      <c r="AB438" s="147"/>
      <c r="AC438" s="147"/>
      <c r="AD438" s="147"/>
      <c r="AE438" s="147"/>
      <c r="AF438" s="147"/>
      <c r="AG438" s="147"/>
    </row>
    <row r="439" spans="1:33" ht="14.4">
      <c r="A439" s="147"/>
      <c r="B439" s="147"/>
      <c r="C439" s="147"/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  <c r="O439" s="147"/>
      <c r="P439" s="147"/>
      <c r="Q439" s="147"/>
      <c r="R439" s="147"/>
      <c r="S439" s="147"/>
      <c r="T439" s="147"/>
      <c r="U439" s="147"/>
      <c r="V439" s="147"/>
      <c r="W439" s="147"/>
      <c r="X439" s="147"/>
      <c r="Y439" s="147"/>
      <c r="Z439" s="147"/>
      <c r="AA439" s="147"/>
      <c r="AB439" s="147"/>
      <c r="AC439" s="147"/>
      <c r="AD439" s="147"/>
      <c r="AE439" s="147"/>
      <c r="AF439" s="147"/>
      <c r="AG439" s="147"/>
    </row>
    <row r="440" spans="1:33" ht="14.4">
      <c r="A440" s="147"/>
      <c r="B440" s="147"/>
      <c r="C440" s="147"/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  <c r="P440" s="147"/>
      <c r="Q440" s="147"/>
      <c r="R440" s="147"/>
      <c r="S440" s="147"/>
      <c r="T440" s="147"/>
      <c r="U440" s="147"/>
      <c r="V440" s="147"/>
      <c r="W440" s="147"/>
      <c r="X440" s="147"/>
      <c r="Y440" s="147"/>
      <c r="Z440" s="147"/>
      <c r="AA440" s="147"/>
      <c r="AB440" s="147"/>
      <c r="AC440" s="147"/>
      <c r="AD440" s="147"/>
      <c r="AE440" s="147"/>
      <c r="AF440" s="147"/>
      <c r="AG440" s="147"/>
    </row>
    <row r="441" spans="1:33" ht="14.4">
      <c r="A441" s="147"/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147"/>
      <c r="Q441" s="147"/>
      <c r="R441" s="147"/>
      <c r="S441" s="147"/>
      <c r="T441" s="147"/>
      <c r="U441" s="147"/>
      <c r="V441" s="147"/>
      <c r="W441" s="147"/>
      <c r="X441" s="147"/>
      <c r="Y441" s="147"/>
      <c r="Z441" s="147"/>
      <c r="AA441" s="147"/>
      <c r="AB441" s="147"/>
      <c r="AC441" s="147"/>
      <c r="AD441" s="147"/>
      <c r="AE441" s="147"/>
      <c r="AF441" s="147"/>
      <c r="AG441" s="147"/>
    </row>
    <row r="442" spans="1:33" ht="14.4">
      <c r="A442" s="147"/>
      <c r="B442" s="147"/>
      <c r="C442" s="147"/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  <c r="O442" s="147"/>
      <c r="P442" s="147"/>
      <c r="Q442" s="147"/>
      <c r="R442" s="147"/>
      <c r="S442" s="147"/>
      <c r="T442" s="147"/>
      <c r="U442" s="147"/>
      <c r="V442" s="147"/>
      <c r="W442" s="147"/>
      <c r="X442" s="147"/>
      <c r="Y442" s="147"/>
      <c r="Z442" s="147"/>
      <c r="AA442" s="147"/>
      <c r="AB442" s="147"/>
      <c r="AC442" s="147"/>
      <c r="AD442" s="147"/>
      <c r="AE442" s="147"/>
      <c r="AF442" s="147"/>
      <c r="AG442" s="147"/>
    </row>
    <row r="443" spans="1:33" ht="14.4">
      <c r="A443" s="147"/>
      <c r="B443" s="147"/>
      <c r="C443" s="147"/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  <c r="O443" s="147"/>
      <c r="P443" s="147"/>
      <c r="Q443" s="147"/>
      <c r="R443" s="147"/>
      <c r="S443" s="147"/>
      <c r="T443" s="147"/>
      <c r="U443" s="147"/>
      <c r="V443" s="147"/>
      <c r="W443" s="147"/>
      <c r="X443" s="147"/>
      <c r="Y443" s="147"/>
      <c r="Z443" s="147"/>
      <c r="AA443" s="147"/>
      <c r="AB443" s="147"/>
      <c r="AC443" s="147"/>
      <c r="AD443" s="147"/>
      <c r="AE443" s="147"/>
      <c r="AF443" s="147"/>
      <c r="AG443" s="147"/>
    </row>
    <row r="444" spans="1:33" ht="14.4">
      <c r="A444" s="147"/>
      <c r="B444" s="147"/>
      <c r="C444" s="147"/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  <c r="O444" s="147"/>
      <c r="P444" s="147"/>
      <c r="Q444" s="147"/>
      <c r="R444" s="147"/>
      <c r="S444" s="147"/>
      <c r="T444" s="147"/>
      <c r="U444" s="147"/>
      <c r="V444" s="147"/>
      <c r="W444" s="147"/>
      <c r="X444" s="147"/>
      <c r="Y444" s="147"/>
      <c r="Z444" s="147"/>
      <c r="AA444" s="147"/>
      <c r="AB444" s="147"/>
      <c r="AC444" s="147"/>
      <c r="AD444" s="147"/>
      <c r="AE444" s="147"/>
      <c r="AF444" s="147"/>
      <c r="AG444" s="147"/>
    </row>
    <row r="445" spans="1:33" ht="14.4">
      <c r="A445" s="147"/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47"/>
      <c r="P445" s="147"/>
      <c r="Q445" s="147"/>
      <c r="R445" s="147"/>
      <c r="S445" s="147"/>
      <c r="T445" s="147"/>
      <c r="U445" s="147"/>
      <c r="V445" s="147"/>
      <c r="W445" s="147"/>
      <c r="X445" s="147"/>
      <c r="Y445" s="147"/>
      <c r="Z445" s="147"/>
      <c r="AA445" s="147"/>
      <c r="AB445" s="147"/>
      <c r="AC445" s="147"/>
      <c r="AD445" s="147"/>
      <c r="AE445" s="147"/>
      <c r="AF445" s="147"/>
      <c r="AG445" s="147"/>
    </row>
    <row r="446" spans="1:33" ht="14.4">
      <c r="A446" s="147"/>
      <c r="B446" s="147"/>
      <c r="C446" s="147"/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  <c r="O446" s="147"/>
      <c r="P446" s="147"/>
      <c r="Q446" s="147"/>
      <c r="R446" s="147"/>
      <c r="S446" s="147"/>
      <c r="T446" s="147"/>
      <c r="U446" s="147"/>
      <c r="V446" s="147"/>
      <c r="W446" s="147"/>
      <c r="X446" s="147"/>
      <c r="Y446" s="147"/>
      <c r="Z446" s="147"/>
      <c r="AA446" s="147"/>
      <c r="AB446" s="147"/>
      <c r="AC446" s="147"/>
      <c r="AD446" s="147"/>
      <c r="AE446" s="147"/>
      <c r="AF446" s="147"/>
      <c r="AG446" s="147"/>
    </row>
    <row r="447" spans="1:33" ht="14.4">
      <c r="A447" s="147"/>
      <c r="B447" s="147"/>
      <c r="C447" s="147"/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  <c r="O447" s="147"/>
      <c r="P447" s="147"/>
      <c r="Q447" s="147"/>
      <c r="R447" s="147"/>
      <c r="S447" s="147"/>
      <c r="T447" s="147"/>
      <c r="U447" s="147"/>
      <c r="V447" s="147"/>
      <c r="W447" s="147"/>
      <c r="X447" s="147"/>
      <c r="Y447" s="147"/>
      <c r="Z447" s="147"/>
      <c r="AA447" s="147"/>
      <c r="AB447" s="147"/>
      <c r="AC447" s="147"/>
      <c r="AD447" s="147"/>
      <c r="AE447" s="147"/>
      <c r="AF447" s="147"/>
      <c r="AG447" s="147"/>
    </row>
    <row r="448" spans="1:33" ht="14.4">
      <c r="A448" s="147"/>
      <c r="B448" s="147"/>
      <c r="C448" s="147"/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  <c r="O448" s="147"/>
      <c r="P448" s="147"/>
      <c r="Q448" s="147"/>
      <c r="R448" s="147"/>
      <c r="S448" s="147"/>
      <c r="T448" s="147"/>
      <c r="U448" s="147"/>
      <c r="V448" s="147"/>
      <c r="W448" s="147"/>
      <c r="X448" s="147"/>
      <c r="Y448" s="147"/>
      <c r="Z448" s="147"/>
      <c r="AA448" s="147"/>
      <c r="AB448" s="147"/>
      <c r="AC448" s="147"/>
      <c r="AD448" s="147"/>
      <c r="AE448" s="147"/>
      <c r="AF448" s="147"/>
      <c r="AG448" s="147"/>
    </row>
    <row r="449" spans="1:33" ht="14.4">
      <c r="A449" s="147"/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47"/>
      <c r="P449" s="147"/>
      <c r="Q449" s="147"/>
      <c r="R449" s="147"/>
      <c r="S449" s="147"/>
      <c r="T449" s="147"/>
      <c r="U449" s="147"/>
      <c r="V449" s="147"/>
      <c r="W449" s="147"/>
      <c r="X449" s="147"/>
      <c r="Y449" s="147"/>
      <c r="Z449" s="147"/>
      <c r="AA449" s="147"/>
      <c r="AB449" s="147"/>
      <c r="AC449" s="147"/>
      <c r="AD449" s="147"/>
      <c r="AE449" s="147"/>
      <c r="AF449" s="147"/>
      <c r="AG449" s="147"/>
    </row>
    <row r="450" spans="1:33" ht="14.4">
      <c r="A450" s="147"/>
      <c r="B450" s="147"/>
      <c r="C450" s="147"/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  <c r="O450" s="147"/>
      <c r="P450" s="147"/>
      <c r="Q450" s="147"/>
      <c r="R450" s="147"/>
      <c r="S450" s="147"/>
      <c r="T450" s="147"/>
      <c r="U450" s="147"/>
      <c r="V450" s="147"/>
      <c r="W450" s="147"/>
      <c r="X450" s="147"/>
      <c r="Y450" s="147"/>
      <c r="Z450" s="147"/>
      <c r="AA450" s="147"/>
      <c r="AB450" s="147"/>
      <c r="AC450" s="147"/>
      <c r="AD450" s="147"/>
      <c r="AE450" s="147"/>
      <c r="AF450" s="147"/>
      <c r="AG450" s="147"/>
    </row>
    <row r="451" spans="1:33" ht="14.4">
      <c r="A451" s="147"/>
      <c r="B451" s="147"/>
      <c r="C451" s="147"/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  <c r="O451" s="147"/>
      <c r="P451" s="147"/>
      <c r="Q451" s="147"/>
      <c r="R451" s="147"/>
      <c r="S451" s="147"/>
      <c r="T451" s="147"/>
      <c r="U451" s="147"/>
      <c r="V451" s="147"/>
      <c r="W451" s="147"/>
      <c r="X451" s="147"/>
      <c r="Y451" s="147"/>
      <c r="Z451" s="147"/>
      <c r="AA451" s="147"/>
      <c r="AB451" s="147"/>
      <c r="AC451" s="147"/>
      <c r="AD451" s="147"/>
      <c r="AE451" s="147"/>
      <c r="AF451" s="147"/>
      <c r="AG451" s="147"/>
    </row>
    <row r="452" spans="1:33" ht="14.4">
      <c r="A452" s="147"/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47"/>
      <c r="P452" s="147"/>
      <c r="Q452" s="147"/>
      <c r="R452" s="147"/>
      <c r="S452" s="147"/>
      <c r="T452" s="147"/>
      <c r="U452" s="147"/>
      <c r="V452" s="147"/>
      <c r="W452" s="147"/>
      <c r="X452" s="147"/>
      <c r="Y452" s="147"/>
      <c r="Z452" s="147"/>
      <c r="AA452" s="147"/>
      <c r="AB452" s="147"/>
      <c r="AC452" s="147"/>
      <c r="AD452" s="147"/>
      <c r="AE452" s="147"/>
      <c r="AF452" s="147"/>
      <c r="AG452" s="147"/>
    </row>
    <row r="453" spans="1:33" ht="14.4">
      <c r="A453" s="147"/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</row>
    <row r="454" spans="1:33" ht="14.4">
      <c r="A454" s="147"/>
      <c r="B454" s="147"/>
      <c r="C454" s="147"/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  <c r="O454" s="147"/>
      <c r="P454" s="147"/>
      <c r="Q454" s="147"/>
      <c r="R454" s="147"/>
      <c r="S454" s="147"/>
      <c r="T454" s="147"/>
      <c r="U454" s="147"/>
      <c r="V454" s="147"/>
      <c r="W454" s="147"/>
      <c r="X454" s="147"/>
      <c r="Y454" s="147"/>
      <c r="Z454" s="147"/>
      <c r="AA454" s="147"/>
      <c r="AB454" s="147"/>
      <c r="AC454" s="147"/>
      <c r="AD454" s="147"/>
      <c r="AE454" s="147"/>
      <c r="AF454" s="147"/>
      <c r="AG454" s="147"/>
    </row>
    <row r="455" spans="1:33" ht="14.4">
      <c r="A455" s="147"/>
      <c r="B455" s="147"/>
      <c r="C455" s="147"/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  <c r="O455" s="147"/>
      <c r="P455" s="147"/>
      <c r="Q455" s="147"/>
      <c r="R455" s="147"/>
      <c r="S455" s="147"/>
      <c r="T455" s="147"/>
      <c r="U455" s="147"/>
      <c r="V455" s="147"/>
      <c r="W455" s="147"/>
      <c r="X455" s="147"/>
      <c r="Y455" s="147"/>
      <c r="Z455" s="147"/>
      <c r="AA455" s="147"/>
      <c r="AB455" s="147"/>
      <c r="AC455" s="147"/>
      <c r="AD455" s="147"/>
      <c r="AE455" s="147"/>
      <c r="AF455" s="147"/>
      <c r="AG455" s="147"/>
    </row>
    <row r="456" spans="1:33" ht="14.4">
      <c r="A456" s="147"/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</row>
    <row r="457" spans="1:33" ht="14.4">
      <c r="A457" s="147"/>
      <c r="B457" s="147"/>
      <c r="C457" s="147"/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  <c r="O457" s="147"/>
      <c r="P457" s="147"/>
      <c r="Q457" s="147"/>
      <c r="R457" s="147"/>
      <c r="S457" s="147"/>
      <c r="T457" s="147"/>
      <c r="U457" s="147"/>
      <c r="V457" s="147"/>
      <c r="W457" s="147"/>
      <c r="X457" s="147"/>
      <c r="Y457" s="147"/>
      <c r="Z457" s="147"/>
      <c r="AA457" s="147"/>
      <c r="AB457" s="147"/>
      <c r="AC457" s="147"/>
      <c r="AD457" s="147"/>
      <c r="AE457" s="147"/>
      <c r="AF457" s="147"/>
      <c r="AG457" s="147"/>
    </row>
    <row r="458" spans="1:33" ht="14.4">
      <c r="A458" s="147"/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47"/>
      <c r="P458" s="147"/>
      <c r="Q458" s="147"/>
      <c r="R458" s="147"/>
      <c r="S458" s="147"/>
      <c r="T458" s="147"/>
      <c r="U458" s="147"/>
      <c r="V458" s="147"/>
      <c r="W458" s="147"/>
      <c r="X458" s="147"/>
      <c r="Y458" s="147"/>
      <c r="Z458" s="147"/>
      <c r="AA458" s="147"/>
      <c r="AB458" s="147"/>
      <c r="AC458" s="147"/>
      <c r="AD458" s="147"/>
      <c r="AE458" s="147"/>
      <c r="AF458" s="147"/>
      <c r="AG458" s="147"/>
    </row>
    <row r="459" spans="1:33" ht="14.4">
      <c r="A459" s="147"/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</row>
    <row r="460" spans="1:33" ht="14.4">
      <c r="A460" s="147"/>
      <c r="B460" s="147"/>
      <c r="C460" s="147"/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  <c r="O460" s="147"/>
      <c r="P460" s="147"/>
      <c r="Q460" s="147"/>
      <c r="R460" s="147"/>
      <c r="S460" s="147"/>
      <c r="T460" s="147"/>
      <c r="U460" s="147"/>
      <c r="V460" s="147"/>
      <c r="W460" s="147"/>
      <c r="X460" s="147"/>
      <c r="Y460" s="147"/>
      <c r="Z460" s="147"/>
      <c r="AA460" s="147"/>
      <c r="AB460" s="147"/>
      <c r="AC460" s="147"/>
      <c r="AD460" s="147"/>
      <c r="AE460" s="147"/>
      <c r="AF460" s="147"/>
      <c r="AG460" s="147"/>
    </row>
    <row r="461" spans="1:33" ht="14.4">
      <c r="A461" s="147"/>
      <c r="B461" s="147"/>
      <c r="C461" s="147"/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  <c r="O461" s="147"/>
      <c r="P461" s="147"/>
      <c r="Q461" s="147"/>
      <c r="R461" s="147"/>
      <c r="S461" s="147"/>
      <c r="T461" s="147"/>
      <c r="U461" s="147"/>
      <c r="V461" s="147"/>
      <c r="W461" s="147"/>
      <c r="X461" s="147"/>
      <c r="Y461" s="147"/>
      <c r="Z461" s="147"/>
      <c r="AA461" s="147"/>
      <c r="AB461" s="147"/>
      <c r="AC461" s="147"/>
      <c r="AD461" s="147"/>
      <c r="AE461" s="147"/>
      <c r="AF461" s="147"/>
      <c r="AG461" s="147"/>
    </row>
    <row r="462" spans="1:33" ht="14.4">
      <c r="A462" s="147"/>
      <c r="B462" s="147"/>
      <c r="C462" s="147"/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  <c r="O462" s="147"/>
      <c r="P462" s="147"/>
      <c r="Q462" s="147"/>
      <c r="R462" s="147"/>
      <c r="S462" s="147"/>
      <c r="T462" s="147"/>
      <c r="U462" s="147"/>
      <c r="V462" s="147"/>
      <c r="W462" s="147"/>
      <c r="X462" s="147"/>
      <c r="Y462" s="147"/>
      <c r="Z462" s="147"/>
      <c r="AA462" s="147"/>
      <c r="AB462" s="147"/>
      <c r="AC462" s="147"/>
      <c r="AD462" s="147"/>
      <c r="AE462" s="147"/>
      <c r="AF462" s="147"/>
      <c r="AG462" s="147"/>
    </row>
    <row r="463" spans="1:33" ht="14.4">
      <c r="A463" s="147"/>
      <c r="B463" s="147"/>
      <c r="C463" s="147"/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  <c r="O463" s="147"/>
      <c r="P463" s="147"/>
      <c r="Q463" s="147"/>
      <c r="R463" s="147"/>
      <c r="S463" s="147"/>
      <c r="T463" s="147"/>
      <c r="U463" s="147"/>
      <c r="V463" s="147"/>
      <c r="W463" s="147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</row>
    <row r="464" spans="1:33" ht="14.4">
      <c r="A464" s="147"/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</row>
    <row r="465" spans="1:33" ht="14.4">
      <c r="A465" s="147"/>
      <c r="B465" s="147"/>
      <c r="C465" s="147"/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  <c r="O465" s="147"/>
      <c r="P465" s="147"/>
      <c r="Q465" s="147"/>
      <c r="R465" s="147"/>
      <c r="S465" s="147"/>
      <c r="T465" s="147"/>
      <c r="U465" s="147"/>
      <c r="V465" s="147"/>
      <c r="W465" s="147"/>
      <c r="X465" s="147"/>
      <c r="Y465" s="147"/>
      <c r="Z465" s="147"/>
      <c r="AA465" s="147"/>
      <c r="AB465" s="147"/>
      <c r="AC465" s="147"/>
      <c r="AD465" s="147"/>
      <c r="AE465" s="147"/>
      <c r="AF465" s="147"/>
      <c r="AG465" s="147"/>
    </row>
    <row r="466" spans="1:33" ht="14.4">
      <c r="A466" s="147"/>
      <c r="B466" s="147"/>
      <c r="C466" s="147"/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  <c r="P466" s="147"/>
      <c r="Q466" s="147"/>
      <c r="R466" s="147"/>
      <c r="S466" s="147"/>
      <c r="T466" s="147"/>
      <c r="U466" s="147"/>
      <c r="V466" s="147"/>
      <c r="W466" s="147"/>
      <c r="X466" s="147"/>
      <c r="Y466" s="147"/>
      <c r="Z466" s="147"/>
      <c r="AA466" s="147"/>
      <c r="AB466" s="147"/>
      <c r="AC466" s="147"/>
      <c r="AD466" s="147"/>
      <c r="AE466" s="147"/>
      <c r="AF466" s="147"/>
      <c r="AG466" s="147"/>
    </row>
    <row r="467" spans="1:33" ht="14.4">
      <c r="A467" s="147"/>
      <c r="B467" s="147"/>
      <c r="C467" s="147"/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  <c r="O467" s="147"/>
      <c r="P467" s="147"/>
      <c r="Q467" s="147"/>
      <c r="R467" s="147"/>
      <c r="S467" s="147"/>
      <c r="T467" s="147"/>
      <c r="U467" s="147"/>
      <c r="V467" s="147"/>
      <c r="W467" s="147"/>
      <c r="X467" s="147"/>
      <c r="Y467" s="147"/>
      <c r="Z467" s="147"/>
      <c r="AA467" s="147"/>
      <c r="AB467" s="147"/>
      <c r="AC467" s="147"/>
      <c r="AD467" s="147"/>
      <c r="AE467" s="147"/>
      <c r="AF467" s="147"/>
      <c r="AG467" s="147"/>
    </row>
    <row r="468" spans="1:33" ht="14.4">
      <c r="A468" s="147"/>
      <c r="B468" s="147"/>
      <c r="C468" s="147"/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  <c r="O468" s="147"/>
      <c r="P468" s="147"/>
      <c r="Q468" s="147"/>
      <c r="R468" s="147"/>
      <c r="S468" s="147"/>
      <c r="T468" s="147"/>
      <c r="U468" s="147"/>
      <c r="V468" s="147"/>
      <c r="W468" s="147"/>
      <c r="X468" s="147"/>
      <c r="Y468" s="147"/>
      <c r="Z468" s="147"/>
      <c r="AA468" s="147"/>
      <c r="AB468" s="147"/>
      <c r="AC468" s="147"/>
      <c r="AD468" s="147"/>
      <c r="AE468" s="147"/>
      <c r="AF468" s="147"/>
      <c r="AG468" s="147"/>
    </row>
    <row r="469" spans="1:33" ht="14.4">
      <c r="A469" s="147"/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47"/>
      <c r="P469" s="147"/>
      <c r="Q469" s="147"/>
      <c r="R469" s="147"/>
      <c r="S469" s="147"/>
      <c r="T469" s="147"/>
      <c r="U469" s="147"/>
      <c r="V469" s="147"/>
      <c r="W469" s="147"/>
      <c r="X469" s="147"/>
      <c r="Y469" s="147"/>
      <c r="Z469" s="147"/>
      <c r="AA469" s="147"/>
      <c r="AB469" s="147"/>
      <c r="AC469" s="147"/>
      <c r="AD469" s="147"/>
      <c r="AE469" s="147"/>
      <c r="AF469" s="147"/>
      <c r="AG469" s="147"/>
    </row>
    <row r="470" spans="1:33" ht="14.4">
      <c r="A470" s="147"/>
      <c r="B470" s="147"/>
      <c r="C470" s="147"/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  <c r="O470" s="147"/>
      <c r="P470" s="147"/>
      <c r="Q470" s="147"/>
      <c r="R470" s="147"/>
      <c r="S470" s="147"/>
      <c r="T470" s="147"/>
      <c r="U470" s="147"/>
      <c r="V470" s="147"/>
      <c r="W470" s="147"/>
      <c r="X470" s="147"/>
      <c r="Y470" s="147"/>
      <c r="Z470" s="147"/>
      <c r="AA470" s="147"/>
      <c r="AB470" s="147"/>
      <c r="AC470" s="147"/>
      <c r="AD470" s="147"/>
      <c r="AE470" s="147"/>
      <c r="AF470" s="147"/>
      <c r="AG470" s="147"/>
    </row>
    <row r="471" spans="1:33" ht="14.4">
      <c r="A471" s="147"/>
      <c r="B471" s="147"/>
      <c r="C471" s="147"/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</row>
    <row r="472" spans="1:33" ht="14.4">
      <c r="A472" s="147"/>
      <c r="B472" s="147"/>
      <c r="C472" s="147"/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</row>
    <row r="473" spans="1:33" ht="14.4">
      <c r="A473" s="147"/>
      <c r="B473" s="147"/>
      <c r="C473" s="147"/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  <c r="O473" s="147"/>
      <c r="P473" s="147"/>
      <c r="Q473" s="147"/>
      <c r="R473" s="147"/>
      <c r="S473" s="147"/>
      <c r="T473" s="147"/>
      <c r="U473" s="147"/>
      <c r="V473" s="147"/>
      <c r="W473" s="147"/>
      <c r="X473" s="147"/>
      <c r="Y473" s="147"/>
      <c r="Z473" s="147"/>
      <c r="AA473" s="147"/>
      <c r="AB473" s="147"/>
      <c r="AC473" s="147"/>
      <c r="AD473" s="147"/>
      <c r="AE473" s="147"/>
      <c r="AF473" s="147"/>
      <c r="AG473" s="147"/>
    </row>
    <row r="474" spans="1:33" ht="14.4">
      <c r="A474" s="147"/>
      <c r="B474" s="147"/>
      <c r="C474" s="147"/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  <c r="O474" s="147"/>
      <c r="P474" s="147"/>
      <c r="Q474" s="147"/>
      <c r="R474" s="147"/>
      <c r="S474" s="147"/>
      <c r="T474" s="147"/>
      <c r="U474" s="147"/>
      <c r="V474" s="147"/>
      <c r="W474" s="147"/>
      <c r="X474" s="147"/>
      <c r="Y474" s="147"/>
      <c r="Z474" s="147"/>
      <c r="AA474" s="147"/>
      <c r="AB474" s="147"/>
      <c r="AC474" s="147"/>
      <c r="AD474" s="147"/>
      <c r="AE474" s="147"/>
      <c r="AF474" s="147"/>
      <c r="AG474" s="147"/>
    </row>
    <row r="475" spans="1:33" ht="14.4">
      <c r="A475" s="147"/>
      <c r="B475" s="147"/>
      <c r="C475" s="147"/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  <c r="O475" s="147"/>
      <c r="P475" s="147"/>
      <c r="Q475" s="147"/>
      <c r="R475" s="147"/>
      <c r="S475" s="147"/>
      <c r="T475" s="147"/>
      <c r="U475" s="147"/>
      <c r="V475" s="147"/>
      <c r="W475" s="147"/>
      <c r="X475" s="147"/>
      <c r="Y475" s="147"/>
      <c r="Z475" s="147"/>
      <c r="AA475" s="147"/>
      <c r="AB475" s="147"/>
      <c r="AC475" s="147"/>
      <c r="AD475" s="147"/>
      <c r="AE475" s="147"/>
      <c r="AF475" s="147"/>
      <c r="AG475" s="147"/>
    </row>
    <row r="476" spans="1:33" ht="14.4">
      <c r="A476" s="147"/>
      <c r="B476" s="147"/>
      <c r="C476" s="147"/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  <c r="O476" s="147"/>
      <c r="P476" s="147"/>
      <c r="Q476" s="147"/>
      <c r="R476" s="147"/>
      <c r="S476" s="147"/>
      <c r="T476" s="147"/>
      <c r="U476" s="147"/>
      <c r="V476" s="147"/>
      <c r="W476" s="147"/>
      <c r="X476" s="147"/>
      <c r="Y476" s="147"/>
      <c r="Z476" s="147"/>
      <c r="AA476" s="147"/>
      <c r="AB476" s="147"/>
      <c r="AC476" s="147"/>
      <c r="AD476" s="147"/>
      <c r="AE476" s="147"/>
      <c r="AF476" s="147"/>
      <c r="AG476" s="147"/>
    </row>
    <row r="477" spans="1:33" ht="14.4">
      <c r="A477" s="147"/>
      <c r="B477" s="147"/>
      <c r="C477" s="147"/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  <c r="O477" s="147"/>
      <c r="P477" s="147"/>
      <c r="Q477" s="147"/>
      <c r="R477" s="147"/>
      <c r="S477" s="147"/>
      <c r="T477" s="147"/>
      <c r="U477" s="147"/>
      <c r="V477" s="147"/>
      <c r="W477" s="147"/>
      <c r="X477" s="147"/>
      <c r="Y477" s="147"/>
      <c r="Z477" s="147"/>
      <c r="AA477" s="147"/>
      <c r="AB477" s="147"/>
      <c r="AC477" s="147"/>
      <c r="AD477" s="147"/>
      <c r="AE477" s="147"/>
      <c r="AF477" s="147"/>
      <c r="AG477" s="147"/>
    </row>
    <row r="478" spans="1:33" ht="14.4">
      <c r="A478" s="147"/>
      <c r="B478" s="147"/>
      <c r="C478" s="147"/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  <c r="O478" s="147"/>
      <c r="P478" s="147"/>
      <c r="Q478" s="147"/>
      <c r="R478" s="147"/>
      <c r="S478" s="147"/>
      <c r="T478" s="147"/>
      <c r="U478" s="147"/>
      <c r="V478" s="147"/>
      <c r="W478" s="147"/>
      <c r="X478" s="147"/>
      <c r="Y478" s="147"/>
      <c r="Z478" s="147"/>
      <c r="AA478" s="147"/>
      <c r="AB478" s="147"/>
      <c r="AC478" s="147"/>
      <c r="AD478" s="147"/>
      <c r="AE478" s="147"/>
      <c r="AF478" s="147"/>
      <c r="AG478" s="147"/>
    </row>
    <row r="479" spans="1:33" ht="14.4">
      <c r="A479" s="147"/>
      <c r="B479" s="147"/>
      <c r="C479" s="147"/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  <c r="P479" s="147"/>
      <c r="Q479" s="147"/>
      <c r="R479" s="147"/>
      <c r="S479" s="147"/>
      <c r="T479" s="147"/>
      <c r="U479" s="147"/>
      <c r="V479" s="147"/>
      <c r="W479" s="147"/>
      <c r="X479" s="147"/>
      <c r="Y479" s="147"/>
      <c r="Z479" s="147"/>
      <c r="AA479" s="147"/>
      <c r="AB479" s="147"/>
      <c r="AC479" s="147"/>
      <c r="AD479" s="147"/>
      <c r="AE479" s="147"/>
      <c r="AF479" s="147"/>
      <c r="AG479" s="147"/>
    </row>
    <row r="480" spans="1:33" ht="14.4">
      <c r="A480" s="147"/>
      <c r="B480" s="147"/>
      <c r="C480" s="147"/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  <c r="O480" s="147"/>
      <c r="P480" s="147"/>
      <c r="Q480" s="147"/>
      <c r="R480" s="147"/>
      <c r="S480" s="147"/>
      <c r="T480" s="147"/>
      <c r="U480" s="147"/>
      <c r="V480" s="147"/>
      <c r="W480" s="147"/>
      <c r="X480" s="147"/>
      <c r="Y480" s="147"/>
      <c r="Z480" s="147"/>
      <c r="AA480" s="147"/>
      <c r="AB480" s="147"/>
      <c r="AC480" s="147"/>
      <c r="AD480" s="147"/>
      <c r="AE480" s="147"/>
      <c r="AF480" s="147"/>
      <c r="AG480" s="147"/>
    </row>
    <row r="481" spans="1:33" ht="14.4">
      <c r="A481" s="147"/>
      <c r="B481" s="147"/>
      <c r="C481" s="147"/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  <c r="O481" s="147"/>
      <c r="P481" s="147"/>
      <c r="Q481" s="147"/>
      <c r="R481" s="147"/>
      <c r="S481" s="147"/>
      <c r="T481" s="147"/>
      <c r="U481" s="147"/>
      <c r="V481" s="147"/>
      <c r="W481" s="147"/>
      <c r="X481" s="147"/>
      <c r="Y481" s="147"/>
      <c r="Z481" s="147"/>
      <c r="AA481" s="147"/>
      <c r="AB481" s="147"/>
      <c r="AC481" s="147"/>
      <c r="AD481" s="147"/>
      <c r="AE481" s="147"/>
      <c r="AF481" s="147"/>
      <c r="AG481" s="147"/>
    </row>
    <row r="482" spans="1:33" ht="14.4">
      <c r="A482" s="147"/>
      <c r="B482" s="147"/>
      <c r="C482" s="147"/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  <c r="O482" s="147"/>
      <c r="P482" s="147"/>
      <c r="Q482" s="147"/>
      <c r="R482" s="147"/>
      <c r="S482" s="147"/>
      <c r="T482" s="147"/>
      <c r="U482" s="147"/>
      <c r="V482" s="147"/>
      <c r="W482" s="147"/>
      <c r="X482" s="147"/>
      <c r="Y482" s="147"/>
      <c r="Z482" s="147"/>
      <c r="AA482" s="147"/>
      <c r="AB482" s="147"/>
      <c r="AC482" s="147"/>
      <c r="AD482" s="147"/>
      <c r="AE482" s="147"/>
      <c r="AF482" s="147"/>
      <c r="AG482" s="147"/>
    </row>
    <row r="483" spans="1:33" ht="14.4">
      <c r="A483" s="147"/>
      <c r="B483" s="147"/>
      <c r="C483" s="147"/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  <c r="O483" s="147"/>
      <c r="P483" s="147"/>
      <c r="Q483" s="147"/>
      <c r="R483" s="147"/>
      <c r="S483" s="147"/>
      <c r="T483" s="147"/>
      <c r="U483" s="147"/>
      <c r="V483" s="147"/>
      <c r="W483" s="147"/>
      <c r="X483" s="147"/>
      <c r="Y483" s="147"/>
      <c r="Z483" s="147"/>
      <c r="AA483" s="147"/>
      <c r="AB483" s="147"/>
      <c r="AC483" s="147"/>
      <c r="AD483" s="147"/>
      <c r="AE483" s="147"/>
      <c r="AF483" s="147"/>
      <c r="AG483" s="147"/>
    </row>
    <row r="484" spans="1:33" ht="14.4">
      <c r="A484" s="147"/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147"/>
      <c r="R484" s="147"/>
      <c r="S484" s="147"/>
      <c r="T484" s="147"/>
      <c r="U484" s="147"/>
      <c r="V484" s="147"/>
      <c r="W484" s="147"/>
      <c r="X484" s="147"/>
      <c r="Y484" s="147"/>
      <c r="Z484" s="147"/>
      <c r="AA484" s="147"/>
      <c r="AB484" s="147"/>
      <c r="AC484" s="147"/>
      <c r="AD484" s="147"/>
      <c r="AE484" s="147"/>
      <c r="AF484" s="147"/>
      <c r="AG484" s="147"/>
    </row>
    <row r="485" spans="1:33" ht="14.4">
      <c r="A485" s="147"/>
      <c r="B485" s="147"/>
      <c r="C485" s="147"/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  <c r="O485" s="147"/>
      <c r="P485" s="147"/>
      <c r="Q485" s="147"/>
      <c r="R485" s="147"/>
      <c r="S485" s="147"/>
      <c r="T485" s="147"/>
      <c r="U485" s="147"/>
      <c r="V485" s="147"/>
      <c r="W485" s="147"/>
      <c r="X485" s="147"/>
      <c r="Y485" s="147"/>
      <c r="Z485" s="147"/>
      <c r="AA485" s="147"/>
      <c r="AB485" s="147"/>
      <c r="AC485" s="147"/>
      <c r="AD485" s="147"/>
      <c r="AE485" s="147"/>
      <c r="AF485" s="147"/>
      <c r="AG485" s="147"/>
    </row>
    <row r="486" spans="1:33" ht="14.4">
      <c r="A486" s="147"/>
      <c r="B486" s="147"/>
      <c r="C486" s="147"/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  <c r="O486" s="147"/>
      <c r="P486" s="147"/>
      <c r="Q486" s="147"/>
      <c r="R486" s="147"/>
      <c r="S486" s="147"/>
      <c r="T486" s="147"/>
      <c r="U486" s="147"/>
      <c r="V486" s="147"/>
      <c r="W486" s="147"/>
      <c r="X486" s="147"/>
      <c r="Y486" s="147"/>
      <c r="Z486" s="147"/>
      <c r="AA486" s="147"/>
      <c r="AB486" s="147"/>
      <c r="AC486" s="147"/>
      <c r="AD486" s="147"/>
      <c r="AE486" s="147"/>
      <c r="AF486" s="147"/>
      <c r="AG486" s="147"/>
    </row>
    <row r="487" spans="1:33" ht="14.4">
      <c r="A487" s="147"/>
      <c r="B487" s="147"/>
      <c r="C487" s="147"/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  <c r="O487" s="147"/>
      <c r="P487" s="147"/>
      <c r="Q487" s="147"/>
      <c r="R487" s="147"/>
      <c r="S487" s="147"/>
      <c r="T487" s="147"/>
      <c r="U487" s="147"/>
      <c r="V487" s="147"/>
      <c r="W487" s="147"/>
      <c r="X487" s="147"/>
      <c r="Y487" s="147"/>
      <c r="Z487" s="147"/>
      <c r="AA487" s="147"/>
      <c r="AB487" s="147"/>
      <c r="AC487" s="147"/>
      <c r="AD487" s="147"/>
      <c r="AE487" s="147"/>
      <c r="AF487" s="147"/>
      <c r="AG487" s="147"/>
    </row>
    <row r="488" spans="1:33" ht="14.4">
      <c r="A488" s="147"/>
      <c r="B488" s="147"/>
      <c r="C488" s="147"/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  <c r="O488" s="147"/>
      <c r="P488" s="147"/>
      <c r="Q488" s="147"/>
      <c r="R488" s="147"/>
      <c r="S488" s="147"/>
      <c r="T488" s="147"/>
      <c r="U488" s="147"/>
      <c r="V488" s="147"/>
      <c r="W488" s="147"/>
      <c r="X488" s="147"/>
      <c r="Y488" s="147"/>
      <c r="Z488" s="147"/>
      <c r="AA488" s="147"/>
      <c r="AB488" s="147"/>
      <c r="AC488" s="147"/>
      <c r="AD488" s="147"/>
      <c r="AE488" s="147"/>
      <c r="AF488" s="147"/>
      <c r="AG488" s="147"/>
    </row>
    <row r="489" spans="1:33" ht="14.4">
      <c r="A489" s="147"/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147"/>
      <c r="Q489" s="147"/>
      <c r="R489" s="147"/>
      <c r="S489" s="147"/>
      <c r="T489" s="147"/>
      <c r="U489" s="147"/>
      <c r="V489" s="147"/>
      <c r="W489" s="147"/>
      <c r="X489" s="147"/>
      <c r="Y489" s="147"/>
      <c r="Z489" s="147"/>
      <c r="AA489" s="147"/>
      <c r="AB489" s="147"/>
      <c r="AC489" s="147"/>
      <c r="AD489" s="147"/>
      <c r="AE489" s="147"/>
      <c r="AF489" s="147"/>
      <c r="AG489" s="147"/>
    </row>
    <row r="490" spans="1:33" ht="14.4">
      <c r="A490" s="147"/>
      <c r="B490" s="147"/>
      <c r="C490" s="147"/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  <c r="O490" s="147"/>
      <c r="P490" s="147"/>
      <c r="Q490" s="147"/>
      <c r="R490" s="147"/>
      <c r="S490" s="147"/>
      <c r="T490" s="147"/>
      <c r="U490" s="147"/>
      <c r="V490" s="147"/>
      <c r="W490" s="147"/>
      <c r="X490" s="147"/>
      <c r="Y490" s="147"/>
      <c r="Z490" s="147"/>
      <c r="AA490" s="147"/>
      <c r="AB490" s="147"/>
      <c r="AC490" s="147"/>
      <c r="AD490" s="147"/>
      <c r="AE490" s="147"/>
      <c r="AF490" s="147"/>
      <c r="AG490" s="147"/>
    </row>
    <row r="491" spans="1:33" ht="14.4">
      <c r="A491" s="147"/>
      <c r="B491" s="147"/>
      <c r="C491" s="147"/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  <c r="O491" s="147"/>
      <c r="P491" s="147"/>
      <c r="Q491" s="147"/>
      <c r="R491" s="147"/>
      <c r="S491" s="147"/>
      <c r="T491" s="147"/>
      <c r="U491" s="147"/>
      <c r="V491" s="147"/>
      <c r="W491" s="147"/>
      <c r="X491" s="147"/>
      <c r="Y491" s="147"/>
      <c r="Z491" s="147"/>
      <c r="AA491" s="147"/>
      <c r="AB491" s="147"/>
      <c r="AC491" s="147"/>
      <c r="AD491" s="147"/>
      <c r="AE491" s="147"/>
      <c r="AF491" s="147"/>
      <c r="AG491" s="147"/>
    </row>
    <row r="492" spans="1:33" ht="14.4">
      <c r="A492" s="147"/>
      <c r="B492" s="147"/>
      <c r="C492" s="147"/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  <c r="P492" s="147"/>
      <c r="Q492" s="147"/>
      <c r="R492" s="147"/>
      <c r="S492" s="147"/>
      <c r="T492" s="147"/>
      <c r="U492" s="147"/>
      <c r="V492" s="147"/>
      <c r="W492" s="147"/>
      <c r="X492" s="147"/>
      <c r="Y492" s="147"/>
      <c r="Z492" s="147"/>
      <c r="AA492" s="147"/>
      <c r="AB492" s="147"/>
      <c r="AC492" s="147"/>
      <c r="AD492" s="147"/>
      <c r="AE492" s="147"/>
      <c r="AF492" s="147"/>
      <c r="AG492" s="147"/>
    </row>
    <row r="493" spans="1:33" ht="14.4">
      <c r="A493" s="147"/>
      <c r="B493" s="147"/>
      <c r="C493" s="147"/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  <c r="O493" s="147"/>
      <c r="P493" s="147"/>
      <c r="Q493" s="147"/>
      <c r="R493" s="147"/>
      <c r="S493" s="147"/>
      <c r="T493" s="147"/>
      <c r="U493" s="147"/>
      <c r="V493" s="147"/>
      <c r="W493" s="147"/>
      <c r="X493" s="147"/>
      <c r="Y493" s="147"/>
      <c r="Z493" s="147"/>
      <c r="AA493" s="147"/>
      <c r="AB493" s="147"/>
      <c r="AC493" s="147"/>
      <c r="AD493" s="147"/>
      <c r="AE493" s="147"/>
      <c r="AF493" s="147"/>
      <c r="AG493" s="147"/>
    </row>
    <row r="494" spans="1:33" ht="14.4">
      <c r="A494" s="147"/>
      <c r="B494" s="147"/>
      <c r="C494" s="147"/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  <c r="O494" s="147"/>
      <c r="P494" s="147"/>
      <c r="Q494" s="147"/>
      <c r="R494" s="147"/>
      <c r="S494" s="147"/>
      <c r="T494" s="147"/>
      <c r="U494" s="147"/>
      <c r="V494" s="147"/>
      <c r="W494" s="147"/>
      <c r="X494" s="147"/>
      <c r="Y494" s="147"/>
      <c r="Z494" s="147"/>
      <c r="AA494" s="147"/>
      <c r="AB494" s="147"/>
      <c r="AC494" s="147"/>
      <c r="AD494" s="147"/>
      <c r="AE494" s="147"/>
      <c r="AF494" s="147"/>
      <c r="AG494" s="147"/>
    </row>
    <row r="495" spans="1:33" ht="14.4">
      <c r="A495" s="147"/>
      <c r="B495" s="147"/>
      <c r="C495" s="147"/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  <c r="O495" s="147"/>
      <c r="P495" s="147"/>
      <c r="Q495" s="147"/>
      <c r="R495" s="147"/>
      <c r="S495" s="147"/>
      <c r="T495" s="147"/>
      <c r="U495" s="147"/>
      <c r="V495" s="147"/>
      <c r="W495" s="147"/>
      <c r="X495" s="147"/>
      <c r="Y495" s="147"/>
      <c r="Z495" s="147"/>
      <c r="AA495" s="147"/>
      <c r="AB495" s="147"/>
      <c r="AC495" s="147"/>
      <c r="AD495" s="147"/>
      <c r="AE495" s="147"/>
      <c r="AF495" s="147"/>
      <c r="AG495" s="147"/>
    </row>
    <row r="496" spans="1:33" ht="14.4">
      <c r="A496" s="147"/>
      <c r="B496" s="147"/>
      <c r="C496" s="147"/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  <c r="O496" s="147"/>
      <c r="P496" s="147"/>
      <c r="Q496" s="147"/>
      <c r="R496" s="147"/>
      <c r="S496" s="147"/>
      <c r="T496" s="147"/>
      <c r="U496" s="147"/>
      <c r="V496" s="147"/>
      <c r="W496" s="147"/>
      <c r="X496" s="147"/>
      <c r="Y496" s="147"/>
      <c r="Z496" s="147"/>
      <c r="AA496" s="147"/>
      <c r="AB496" s="147"/>
      <c r="AC496" s="147"/>
      <c r="AD496" s="147"/>
      <c r="AE496" s="147"/>
      <c r="AF496" s="147"/>
      <c r="AG496" s="147"/>
    </row>
    <row r="497" spans="1:33" ht="14.4">
      <c r="A497" s="147"/>
      <c r="B497" s="147"/>
      <c r="C497" s="147"/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  <c r="O497" s="147"/>
      <c r="P497" s="147"/>
      <c r="Q497" s="147"/>
      <c r="R497" s="147"/>
      <c r="S497" s="147"/>
      <c r="T497" s="147"/>
      <c r="U497" s="147"/>
      <c r="V497" s="147"/>
      <c r="W497" s="147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</row>
    <row r="498" spans="1:33" ht="14.4">
      <c r="A498" s="147"/>
      <c r="B498" s="147"/>
      <c r="C498" s="147"/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  <c r="O498" s="147"/>
      <c r="P498" s="147"/>
      <c r="Q498" s="147"/>
      <c r="R498" s="147"/>
      <c r="S498" s="147"/>
      <c r="T498" s="147"/>
      <c r="U498" s="147"/>
      <c r="V498" s="147"/>
      <c r="W498" s="147"/>
      <c r="X498" s="147"/>
      <c r="Y498" s="147"/>
      <c r="Z498" s="147"/>
      <c r="AA498" s="147"/>
      <c r="AB498" s="147"/>
      <c r="AC498" s="147"/>
      <c r="AD498" s="147"/>
      <c r="AE498" s="147"/>
      <c r="AF498" s="147"/>
      <c r="AG498" s="147"/>
    </row>
    <row r="499" spans="1:33" ht="14.4">
      <c r="A499" s="147"/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47"/>
      <c r="P499" s="147"/>
      <c r="Q499" s="147"/>
      <c r="R499" s="147"/>
      <c r="S499" s="147"/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</row>
    <row r="500" spans="1:33" ht="14.4">
      <c r="A500" s="147"/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147"/>
      <c r="Q500" s="147"/>
      <c r="R500" s="147"/>
      <c r="S500" s="147"/>
      <c r="T500" s="147"/>
      <c r="U500" s="147"/>
      <c r="V500" s="147"/>
      <c r="W500" s="147"/>
      <c r="X500" s="147"/>
      <c r="Y500" s="147"/>
      <c r="Z500" s="147"/>
      <c r="AA500" s="147"/>
      <c r="AB500" s="147"/>
      <c r="AC500" s="147"/>
      <c r="AD500" s="147"/>
      <c r="AE500" s="147"/>
      <c r="AF500" s="147"/>
      <c r="AG500" s="147"/>
    </row>
    <row r="501" spans="1:33" ht="14.4">
      <c r="A501" s="147"/>
      <c r="B501" s="147"/>
      <c r="C501" s="147"/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  <c r="O501" s="147"/>
      <c r="P501" s="147"/>
      <c r="Q501" s="147"/>
      <c r="R501" s="147"/>
      <c r="S501" s="147"/>
      <c r="T501" s="147"/>
      <c r="U501" s="147"/>
      <c r="V501" s="147"/>
      <c r="W501" s="147"/>
      <c r="X501" s="147"/>
      <c r="Y501" s="147"/>
      <c r="Z501" s="147"/>
      <c r="AA501" s="147"/>
      <c r="AB501" s="147"/>
      <c r="AC501" s="147"/>
      <c r="AD501" s="147"/>
      <c r="AE501" s="147"/>
      <c r="AF501" s="147"/>
      <c r="AG501" s="147"/>
    </row>
    <row r="502" spans="1:33" ht="14.4">
      <c r="A502" s="147"/>
      <c r="B502" s="147"/>
      <c r="C502" s="147"/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  <c r="O502" s="147"/>
      <c r="P502" s="147"/>
      <c r="Q502" s="147"/>
      <c r="R502" s="147"/>
      <c r="S502" s="147"/>
      <c r="T502" s="147"/>
      <c r="U502" s="147"/>
      <c r="V502" s="147"/>
      <c r="W502" s="147"/>
      <c r="X502" s="147"/>
      <c r="Y502" s="147"/>
      <c r="Z502" s="147"/>
      <c r="AA502" s="147"/>
      <c r="AB502" s="147"/>
      <c r="AC502" s="147"/>
      <c r="AD502" s="147"/>
      <c r="AE502" s="147"/>
      <c r="AF502" s="147"/>
      <c r="AG502" s="147"/>
    </row>
    <row r="503" spans="1:33" ht="14.4">
      <c r="A503" s="147"/>
      <c r="B503" s="147"/>
      <c r="C503" s="147"/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  <c r="O503" s="147"/>
      <c r="P503" s="147"/>
      <c r="Q503" s="147"/>
      <c r="R503" s="147"/>
      <c r="S503" s="147"/>
      <c r="T503" s="147"/>
      <c r="U503" s="147"/>
      <c r="V503" s="147"/>
      <c r="W503" s="147"/>
      <c r="X503" s="147"/>
      <c r="Y503" s="147"/>
      <c r="Z503" s="147"/>
      <c r="AA503" s="147"/>
      <c r="AB503" s="147"/>
      <c r="AC503" s="147"/>
      <c r="AD503" s="147"/>
      <c r="AE503" s="147"/>
      <c r="AF503" s="147"/>
      <c r="AG503" s="147"/>
    </row>
    <row r="504" spans="1:33" ht="14.4">
      <c r="A504" s="147"/>
      <c r="B504" s="147"/>
      <c r="C504" s="147"/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  <c r="O504" s="147"/>
      <c r="P504" s="147"/>
      <c r="Q504" s="147"/>
      <c r="R504" s="147"/>
      <c r="S504" s="147"/>
      <c r="T504" s="147"/>
      <c r="U504" s="147"/>
      <c r="V504" s="147"/>
      <c r="W504" s="147"/>
      <c r="X504" s="147"/>
      <c r="Y504" s="147"/>
      <c r="Z504" s="147"/>
      <c r="AA504" s="147"/>
      <c r="AB504" s="147"/>
      <c r="AC504" s="147"/>
      <c r="AD504" s="147"/>
      <c r="AE504" s="147"/>
      <c r="AF504" s="147"/>
      <c r="AG504" s="147"/>
    </row>
    <row r="505" spans="1:33" ht="14.4">
      <c r="A505" s="147"/>
      <c r="B505" s="147"/>
      <c r="C505" s="147"/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  <c r="P505" s="147"/>
      <c r="Q505" s="147"/>
      <c r="R505" s="147"/>
      <c r="S505" s="147"/>
      <c r="T505" s="147"/>
      <c r="U505" s="147"/>
      <c r="V505" s="147"/>
      <c r="W505" s="147"/>
      <c r="X505" s="147"/>
      <c r="Y505" s="147"/>
      <c r="Z505" s="147"/>
      <c r="AA505" s="147"/>
      <c r="AB505" s="147"/>
      <c r="AC505" s="147"/>
      <c r="AD505" s="147"/>
      <c r="AE505" s="147"/>
      <c r="AF505" s="147"/>
      <c r="AG505" s="147"/>
    </row>
    <row r="506" spans="1:33" ht="14.4">
      <c r="A506" s="147"/>
      <c r="B506" s="147"/>
      <c r="C506" s="147"/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  <c r="O506" s="147"/>
      <c r="P506" s="147"/>
      <c r="Q506" s="147"/>
      <c r="R506" s="147"/>
      <c r="S506" s="147"/>
      <c r="T506" s="147"/>
      <c r="U506" s="147"/>
      <c r="V506" s="147"/>
      <c r="W506" s="147"/>
      <c r="X506" s="147"/>
      <c r="Y506" s="147"/>
      <c r="Z506" s="147"/>
      <c r="AA506" s="147"/>
      <c r="AB506" s="147"/>
      <c r="AC506" s="147"/>
      <c r="AD506" s="147"/>
      <c r="AE506" s="147"/>
      <c r="AF506" s="147"/>
      <c r="AG506" s="147"/>
    </row>
    <row r="507" spans="1:33" ht="14.4">
      <c r="A507" s="147"/>
      <c r="B507" s="147"/>
      <c r="C507" s="147"/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  <c r="O507" s="147"/>
      <c r="P507" s="147"/>
      <c r="Q507" s="147"/>
      <c r="R507" s="147"/>
      <c r="S507" s="147"/>
      <c r="T507" s="147"/>
      <c r="U507" s="147"/>
      <c r="V507" s="147"/>
      <c r="W507" s="147"/>
      <c r="X507" s="147"/>
      <c r="Y507" s="147"/>
      <c r="Z507" s="147"/>
      <c r="AA507" s="147"/>
      <c r="AB507" s="147"/>
      <c r="AC507" s="147"/>
      <c r="AD507" s="147"/>
      <c r="AE507" s="147"/>
      <c r="AF507" s="147"/>
      <c r="AG507" s="147"/>
    </row>
    <row r="508" spans="1:33" ht="14.4">
      <c r="A508" s="147"/>
      <c r="B508" s="147"/>
      <c r="C508" s="147"/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  <c r="O508" s="147"/>
      <c r="P508" s="147"/>
      <c r="Q508" s="147"/>
      <c r="R508" s="147"/>
      <c r="S508" s="147"/>
      <c r="T508" s="147"/>
      <c r="U508" s="147"/>
      <c r="V508" s="147"/>
      <c r="W508" s="147"/>
      <c r="X508" s="147"/>
      <c r="Y508" s="147"/>
      <c r="Z508" s="147"/>
      <c r="AA508" s="147"/>
      <c r="AB508" s="147"/>
      <c r="AC508" s="147"/>
      <c r="AD508" s="147"/>
      <c r="AE508" s="147"/>
      <c r="AF508" s="147"/>
      <c r="AG508" s="147"/>
    </row>
    <row r="509" spans="1:33" ht="14.4">
      <c r="A509" s="147"/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47"/>
      <c r="P509" s="147"/>
      <c r="Q509" s="147"/>
      <c r="R509" s="147"/>
      <c r="S509" s="147"/>
      <c r="T509" s="147"/>
      <c r="U509" s="147"/>
      <c r="V509" s="147"/>
      <c r="W509" s="147"/>
      <c r="X509" s="147"/>
      <c r="Y509" s="147"/>
      <c r="Z509" s="147"/>
      <c r="AA509" s="147"/>
      <c r="AB509" s="147"/>
      <c r="AC509" s="147"/>
      <c r="AD509" s="147"/>
      <c r="AE509" s="147"/>
      <c r="AF509" s="147"/>
      <c r="AG509" s="147"/>
    </row>
    <row r="510" spans="1:33" ht="14.4">
      <c r="A510" s="147"/>
      <c r="B510" s="147"/>
      <c r="C510" s="147"/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  <c r="O510" s="147"/>
      <c r="P510" s="147"/>
      <c r="Q510" s="147"/>
      <c r="R510" s="147"/>
      <c r="S510" s="147"/>
      <c r="T510" s="147"/>
      <c r="U510" s="147"/>
      <c r="V510" s="147"/>
      <c r="W510" s="147"/>
      <c r="X510" s="147"/>
      <c r="Y510" s="147"/>
      <c r="Z510" s="147"/>
      <c r="AA510" s="147"/>
      <c r="AB510" s="147"/>
      <c r="AC510" s="147"/>
      <c r="AD510" s="147"/>
      <c r="AE510" s="147"/>
      <c r="AF510" s="147"/>
      <c r="AG510" s="147"/>
    </row>
    <row r="511" spans="1:33" ht="14.4">
      <c r="A511" s="147"/>
      <c r="B511" s="147"/>
      <c r="C511" s="147"/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  <c r="O511" s="147"/>
      <c r="P511" s="147"/>
      <c r="Q511" s="147"/>
      <c r="R511" s="147"/>
      <c r="S511" s="147"/>
      <c r="T511" s="147"/>
      <c r="U511" s="147"/>
      <c r="V511" s="147"/>
      <c r="W511" s="147"/>
      <c r="X511" s="147"/>
      <c r="Y511" s="147"/>
      <c r="Z511" s="147"/>
      <c r="AA511" s="147"/>
      <c r="AB511" s="147"/>
      <c r="AC511" s="147"/>
      <c r="AD511" s="147"/>
      <c r="AE511" s="147"/>
      <c r="AF511" s="147"/>
      <c r="AG511" s="147"/>
    </row>
    <row r="512" spans="1:33" ht="14.4">
      <c r="A512" s="147"/>
      <c r="B512" s="147"/>
      <c r="C512" s="147"/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  <c r="O512" s="147"/>
      <c r="P512" s="147"/>
      <c r="Q512" s="147"/>
      <c r="R512" s="147"/>
      <c r="S512" s="147"/>
      <c r="T512" s="147"/>
      <c r="U512" s="147"/>
      <c r="V512" s="147"/>
      <c r="W512" s="147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</row>
    <row r="513" spans="1:33" ht="14.4">
      <c r="A513" s="147"/>
      <c r="B513" s="147"/>
      <c r="C513" s="147"/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  <c r="O513" s="147"/>
      <c r="P513" s="147"/>
      <c r="Q513" s="147"/>
      <c r="R513" s="147"/>
      <c r="S513" s="147"/>
      <c r="T513" s="147"/>
      <c r="U513" s="147"/>
      <c r="V513" s="147"/>
      <c r="W513" s="147"/>
      <c r="X513" s="147"/>
      <c r="Y513" s="147"/>
      <c r="Z513" s="147"/>
      <c r="AA513" s="147"/>
      <c r="AB513" s="147"/>
      <c r="AC513" s="147"/>
      <c r="AD513" s="147"/>
      <c r="AE513" s="147"/>
      <c r="AF513" s="147"/>
      <c r="AG513" s="147"/>
    </row>
    <row r="514" spans="1:33" ht="14.4">
      <c r="A514" s="147"/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</row>
    <row r="515" spans="1:33" ht="14.4">
      <c r="A515" s="147"/>
      <c r="B515" s="147"/>
      <c r="C515" s="147"/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  <c r="O515" s="147"/>
      <c r="P515" s="147"/>
      <c r="Q515" s="147"/>
      <c r="R515" s="147"/>
      <c r="S515" s="147"/>
      <c r="T515" s="147"/>
      <c r="U515" s="147"/>
      <c r="V515" s="147"/>
      <c r="W515" s="147"/>
      <c r="X515" s="147"/>
      <c r="Y515" s="147"/>
      <c r="Z515" s="147"/>
      <c r="AA515" s="147"/>
      <c r="AB515" s="147"/>
      <c r="AC515" s="147"/>
      <c r="AD515" s="147"/>
      <c r="AE515" s="147"/>
      <c r="AF515" s="147"/>
      <c r="AG515" s="147"/>
    </row>
    <row r="516" spans="1:33" ht="14.4">
      <c r="A516" s="147"/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7"/>
      <c r="P516" s="147"/>
      <c r="Q516" s="147"/>
      <c r="R516" s="147"/>
      <c r="S516" s="147"/>
      <c r="T516" s="147"/>
      <c r="U516" s="147"/>
      <c r="V516" s="147"/>
      <c r="W516" s="147"/>
      <c r="X516" s="147"/>
      <c r="Y516" s="147"/>
      <c r="Z516" s="147"/>
      <c r="AA516" s="147"/>
      <c r="AB516" s="147"/>
      <c r="AC516" s="147"/>
      <c r="AD516" s="147"/>
      <c r="AE516" s="147"/>
      <c r="AF516" s="147"/>
      <c r="AG516" s="147"/>
    </row>
    <row r="517" spans="1:33" ht="14.4">
      <c r="A517" s="147"/>
      <c r="B517" s="147"/>
      <c r="C517" s="147"/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  <c r="O517" s="147"/>
      <c r="P517" s="147"/>
      <c r="Q517" s="147"/>
      <c r="R517" s="147"/>
      <c r="S517" s="147"/>
      <c r="T517" s="147"/>
      <c r="U517" s="147"/>
      <c r="V517" s="147"/>
      <c r="W517" s="147"/>
      <c r="X517" s="147"/>
      <c r="Y517" s="147"/>
      <c r="Z517" s="147"/>
      <c r="AA517" s="147"/>
      <c r="AB517" s="147"/>
      <c r="AC517" s="147"/>
      <c r="AD517" s="147"/>
      <c r="AE517" s="147"/>
      <c r="AF517" s="147"/>
      <c r="AG517" s="147"/>
    </row>
    <row r="518" spans="1:33" ht="14.4">
      <c r="A518" s="147"/>
      <c r="B518" s="147"/>
      <c r="C518" s="147"/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  <c r="P518" s="147"/>
      <c r="Q518" s="147"/>
      <c r="R518" s="147"/>
      <c r="S518" s="147"/>
      <c r="T518" s="147"/>
      <c r="U518" s="147"/>
      <c r="V518" s="147"/>
      <c r="W518" s="147"/>
      <c r="X518" s="147"/>
      <c r="Y518" s="147"/>
      <c r="Z518" s="147"/>
      <c r="AA518" s="147"/>
      <c r="AB518" s="147"/>
      <c r="AC518" s="147"/>
      <c r="AD518" s="147"/>
      <c r="AE518" s="147"/>
      <c r="AF518" s="147"/>
      <c r="AG518" s="147"/>
    </row>
    <row r="519" spans="1:33" ht="14.4">
      <c r="A519" s="147"/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47"/>
      <c r="P519" s="147"/>
      <c r="Q519" s="147"/>
      <c r="R519" s="147"/>
      <c r="S519" s="147"/>
      <c r="T519" s="147"/>
      <c r="U519" s="147"/>
      <c r="V519" s="147"/>
      <c r="W519" s="147"/>
      <c r="X519" s="147"/>
      <c r="Y519" s="147"/>
      <c r="Z519" s="147"/>
      <c r="AA519" s="147"/>
      <c r="AB519" s="147"/>
      <c r="AC519" s="147"/>
      <c r="AD519" s="147"/>
      <c r="AE519" s="147"/>
      <c r="AF519" s="147"/>
      <c r="AG519" s="147"/>
    </row>
    <row r="520" spans="1:33" ht="14.4">
      <c r="A520" s="147"/>
      <c r="B520" s="147"/>
      <c r="C520" s="147"/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  <c r="O520" s="147"/>
      <c r="P520" s="147"/>
      <c r="Q520" s="147"/>
      <c r="R520" s="147"/>
      <c r="S520" s="147"/>
      <c r="T520" s="147"/>
      <c r="U520" s="147"/>
      <c r="V520" s="147"/>
      <c r="W520" s="147"/>
      <c r="X520" s="147"/>
      <c r="Y520" s="147"/>
      <c r="Z520" s="147"/>
      <c r="AA520" s="147"/>
      <c r="AB520" s="147"/>
      <c r="AC520" s="147"/>
      <c r="AD520" s="147"/>
      <c r="AE520" s="147"/>
      <c r="AF520" s="147"/>
      <c r="AG520" s="147"/>
    </row>
    <row r="521" spans="1:33" ht="14.4">
      <c r="A521" s="147"/>
      <c r="B521" s="147"/>
      <c r="C521" s="147"/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  <c r="O521" s="147"/>
      <c r="P521" s="147"/>
      <c r="Q521" s="147"/>
      <c r="R521" s="147"/>
      <c r="S521" s="147"/>
      <c r="T521" s="147"/>
      <c r="U521" s="147"/>
      <c r="V521" s="147"/>
      <c r="W521" s="147"/>
      <c r="X521" s="147"/>
      <c r="Y521" s="147"/>
      <c r="Z521" s="147"/>
      <c r="AA521" s="147"/>
      <c r="AB521" s="147"/>
      <c r="AC521" s="147"/>
      <c r="AD521" s="147"/>
      <c r="AE521" s="147"/>
      <c r="AF521" s="147"/>
      <c r="AG521" s="147"/>
    </row>
    <row r="522" spans="1:33" ht="14.4">
      <c r="A522" s="147"/>
      <c r="B522" s="147"/>
      <c r="C522" s="147"/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  <c r="O522" s="147"/>
      <c r="P522" s="147"/>
      <c r="Q522" s="147"/>
      <c r="R522" s="147"/>
      <c r="S522" s="147"/>
      <c r="T522" s="147"/>
      <c r="U522" s="147"/>
      <c r="V522" s="147"/>
      <c r="W522" s="147"/>
      <c r="X522" s="147"/>
      <c r="Y522" s="147"/>
      <c r="Z522" s="147"/>
      <c r="AA522" s="147"/>
      <c r="AB522" s="147"/>
      <c r="AC522" s="147"/>
      <c r="AD522" s="147"/>
      <c r="AE522" s="147"/>
      <c r="AF522" s="147"/>
      <c r="AG522" s="147"/>
    </row>
    <row r="523" spans="1:33" ht="14.4">
      <c r="A523" s="147"/>
      <c r="B523" s="147"/>
      <c r="C523" s="147"/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  <c r="O523" s="147"/>
      <c r="P523" s="147"/>
      <c r="Q523" s="147"/>
      <c r="R523" s="147"/>
      <c r="S523" s="147"/>
      <c r="T523" s="147"/>
      <c r="U523" s="147"/>
      <c r="V523" s="147"/>
      <c r="W523" s="147"/>
      <c r="X523" s="147"/>
      <c r="Y523" s="147"/>
      <c r="Z523" s="147"/>
      <c r="AA523" s="147"/>
      <c r="AB523" s="147"/>
      <c r="AC523" s="147"/>
      <c r="AD523" s="147"/>
      <c r="AE523" s="147"/>
      <c r="AF523" s="147"/>
      <c r="AG523" s="147"/>
    </row>
    <row r="524" spans="1:33" ht="14.4">
      <c r="A524" s="147"/>
      <c r="B524" s="147"/>
      <c r="C524" s="147"/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  <c r="O524" s="147"/>
      <c r="P524" s="147"/>
      <c r="Q524" s="147"/>
      <c r="R524" s="147"/>
      <c r="S524" s="147"/>
      <c r="T524" s="147"/>
      <c r="U524" s="147"/>
      <c r="V524" s="147"/>
      <c r="W524" s="147"/>
      <c r="X524" s="147"/>
      <c r="Y524" s="147"/>
      <c r="Z524" s="147"/>
      <c r="AA524" s="147"/>
      <c r="AB524" s="147"/>
      <c r="AC524" s="147"/>
      <c r="AD524" s="147"/>
      <c r="AE524" s="147"/>
      <c r="AF524" s="147"/>
      <c r="AG524" s="147"/>
    </row>
    <row r="525" spans="1:33" ht="14.4">
      <c r="A525" s="147"/>
      <c r="B525" s="147"/>
      <c r="C525" s="147"/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  <c r="O525" s="147"/>
      <c r="P525" s="147"/>
      <c r="Q525" s="147"/>
      <c r="R525" s="147"/>
      <c r="S525" s="147"/>
      <c r="T525" s="147"/>
      <c r="U525" s="147"/>
      <c r="V525" s="147"/>
      <c r="W525" s="147"/>
      <c r="X525" s="147"/>
      <c r="Y525" s="147"/>
      <c r="Z525" s="147"/>
      <c r="AA525" s="147"/>
      <c r="AB525" s="147"/>
      <c r="AC525" s="147"/>
      <c r="AD525" s="147"/>
      <c r="AE525" s="147"/>
      <c r="AF525" s="147"/>
      <c r="AG525" s="147"/>
    </row>
    <row r="526" spans="1:33" ht="14.4">
      <c r="A526" s="147"/>
      <c r="B526" s="147"/>
      <c r="C526" s="147"/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  <c r="O526" s="147"/>
      <c r="P526" s="147"/>
      <c r="Q526" s="147"/>
      <c r="R526" s="147"/>
      <c r="S526" s="147"/>
      <c r="T526" s="147"/>
      <c r="U526" s="147"/>
      <c r="V526" s="147"/>
      <c r="W526" s="147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</row>
    <row r="527" spans="1:33" ht="14.4">
      <c r="A527" s="147"/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147"/>
      <c r="Q527" s="147"/>
      <c r="R527" s="147"/>
      <c r="S527" s="147"/>
      <c r="T527" s="147"/>
      <c r="U527" s="147"/>
      <c r="V527" s="147"/>
      <c r="W527" s="147"/>
      <c r="X527" s="147"/>
      <c r="Y527" s="147"/>
      <c r="Z527" s="147"/>
      <c r="AA527" s="147"/>
      <c r="AB527" s="147"/>
      <c r="AC527" s="147"/>
      <c r="AD527" s="147"/>
      <c r="AE527" s="147"/>
      <c r="AF527" s="147"/>
      <c r="AG527" s="147"/>
    </row>
    <row r="528" spans="1:33" ht="14.4">
      <c r="A528" s="147"/>
      <c r="B528" s="147"/>
      <c r="C528" s="147"/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</row>
    <row r="529" spans="1:33" ht="14.4">
      <c r="A529" s="147"/>
      <c r="B529" s="147"/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7"/>
      <c r="S529" s="147"/>
      <c r="T529" s="147"/>
      <c r="U529" s="147"/>
      <c r="V529" s="147"/>
      <c r="W529" s="147"/>
      <c r="X529" s="147"/>
      <c r="Y529" s="147"/>
      <c r="Z529" s="147"/>
      <c r="AA529" s="147"/>
      <c r="AB529" s="147"/>
      <c r="AC529" s="147"/>
      <c r="AD529" s="147"/>
      <c r="AE529" s="147"/>
      <c r="AF529" s="147"/>
      <c r="AG529" s="147"/>
    </row>
    <row r="530" spans="1:33" ht="14.4">
      <c r="A530" s="147"/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147"/>
      <c r="Q530" s="147"/>
      <c r="R530" s="147"/>
      <c r="S530" s="147"/>
      <c r="T530" s="147"/>
      <c r="U530" s="147"/>
      <c r="V530" s="147"/>
      <c r="W530" s="147"/>
      <c r="X530" s="147"/>
      <c r="Y530" s="147"/>
      <c r="Z530" s="147"/>
      <c r="AA530" s="147"/>
      <c r="AB530" s="147"/>
      <c r="AC530" s="147"/>
      <c r="AD530" s="147"/>
      <c r="AE530" s="147"/>
      <c r="AF530" s="147"/>
      <c r="AG530" s="147"/>
    </row>
    <row r="531" spans="1:33" ht="14.4">
      <c r="A531" s="147"/>
      <c r="B531" s="147"/>
      <c r="C531" s="147"/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  <c r="P531" s="147"/>
      <c r="Q531" s="147"/>
      <c r="R531" s="147"/>
      <c r="S531" s="147"/>
      <c r="T531" s="147"/>
      <c r="U531" s="147"/>
      <c r="V531" s="147"/>
      <c r="W531" s="147"/>
      <c r="X531" s="147"/>
      <c r="Y531" s="147"/>
      <c r="Z531" s="147"/>
      <c r="AA531" s="147"/>
      <c r="AB531" s="147"/>
      <c r="AC531" s="147"/>
      <c r="AD531" s="147"/>
      <c r="AE531" s="147"/>
      <c r="AF531" s="147"/>
      <c r="AG531" s="147"/>
    </row>
    <row r="532" spans="1:33" ht="14.4">
      <c r="A532" s="147"/>
      <c r="B532" s="147"/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7"/>
      <c r="S532" s="147"/>
      <c r="T532" s="147"/>
      <c r="U532" s="147"/>
      <c r="V532" s="147"/>
      <c r="W532" s="147"/>
      <c r="X532" s="147"/>
      <c r="Y532" s="147"/>
      <c r="Z532" s="147"/>
      <c r="AA532" s="147"/>
      <c r="AB532" s="147"/>
      <c r="AC532" s="147"/>
      <c r="AD532" s="147"/>
      <c r="AE532" s="147"/>
      <c r="AF532" s="147"/>
      <c r="AG532" s="147"/>
    </row>
    <row r="533" spans="1:33" ht="14.4">
      <c r="A533" s="147"/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147"/>
      <c r="Q533" s="147"/>
      <c r="R533" s="147"/>
      <c r="S533" s="147"/>
      <c r="T533" s="147"/>
      <c r="U533" s="147"/>
      <c r="V533" s="147"/>
      <c r="W533" s="147"/>
      <c r="X533" s="147"/>
      <c r="Y533" s="147"/>
      <c r="Z533" s="147"/>
      <c r="AA533" s="147"/>
      <c r="AB533" s="147"/>
      <c r="AC533" s="147"/>
      <c r="AD533" s="147"/>
      <c r="AE533" s="147"/>
      <c r="AF533" s="147"/>
      <c r="AG533" s="147"/>
    </row>
    <row r="534" spans="1:33" ht="14.4">
      <c r="A534" s="147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7"/>
      <c r="P534" s="147"/>
      <c r="Q534" s="147"/>
      <c r="R534" s="147"/>
      <c r="S534" s="147"/>
      <c r="T534" s="147"/>
      <c r="U534" s="147"/>
      <c r="V534" s="147"/>
      <c r="W534" s="147"/>
      <c r="X534" s="147"/>
      <c r="Y534" s="147"/>
      <c r="Z534" s="147"/>
      <c r="AA534" s="147"/>
      <c r="AB534" s="147"/>
      <c r="AC534" s="147"/>
      <c r="AD534" s="147"/>
      <c r="AE534" s="147"/>
      <c r="AF534" s="147"/>
      <c r="AG534" s="147"/>
    </row>
    <row r="535" spans="1:33" ht="14.4">
      <c r="A535" s="147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7"/>
      <c r="P535" s="147"/>
      <c r="Q535" s="147"/>
      <c r="R535" s="147"/>
      <c r="S535" s="147"/>
      <c r="T535" s="147"/>
      <c r="U535" s="147"/>
      <c r="V535" s="147"/>
      <c r="W535" s="147"/>
      <c r="X535" s="147"/>
      <c r="Y535" s="147"/>
      <c r="Z535" s="147"/>
      <c r="AA535" s="147"/>
      <c r="AB535" s="147"/>
      <c r="AC535" s="147"/>
      <c r="AD535" s="147"/>
      <c r="AE535" s="147"/>
      <c r="AF535" s="147"/>
      <c r="AG535" s="147"/>
    </row>
    <row r="536" spans="1:33" ht="14.4">
      <c r="A536" s="147"/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147"/>
      <c r="Q536" s="147"/>
      <c r="R536" s="147"/>
      <c r="S536" s="147"/>
      <c r="T536" s="147"/>
      <c r="U536" s="147"/>
      <c r="V536" s="147"/>
      <c r="W536" s="147"/>
      <c r="X536" s="147"/>
      <c r="Y536" s="147"/>
      <c r="Z536" s="147"/>
      <c r="AA536" s="147"/>
      <c r="AB536" s="147"/>
      <c r="AC536" s="147"/>
      <c r="AD536" s="147"/>
      <c r="AE536" s="147"/>
      <c r="AF536" s="147"/>
      <c r="AG536" s="147"/>
    </row>
    <row r="537" spans="1:33" ht="14.4">
      <c r="A537" s="147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  <c r="AG537" s="147"/>
    </row>
    <row r="538" spans="1:33" ht="14.4">
      <c r="A538" s="147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7"/>
      <c r="P538" s="147"/>
      <c r="Q538" s="147"/>
      <c r="R538" s="147"/>
      <c r="S538" s="147"/>
      <c r="T538" s="147"/>
      <c r="U538" s="147"/>
      <c r="V538" s="147"/>
      <c r="W538" s="147"/>
      <c r="X538" s="147"/>
      <c r="Y538" s="147"/>
      <c r="Z538" s="147"/>
      <c r="AA538" s="147"/>
      <c r="AB538" s="147"/>
      <c r="AC538" s="147"/>
      <c r="AD538" s="147"/>
      <c r="AE538" s="147"/>
      <c r="AF538" s="147"/>
      <c r="AG538" s="147"/>
    </row>
    <row r="539" spans="1:33" ht="14.4">
      <c r="A539" s="147"/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147"/>
      <c r="Q539" s="147"/>
      <c r="R539" s="147"/>
      <c r="S539" s="147"/>
      <c r="T539" s="147"/>
      <c r="U539" s="147"/>
      <c r="V539" s="147"/>
      <c r="W539" s="147"/>
      <c r="X539" s="147"/>
      <c r="Y539" s="147"/>
      <c r="Z539" s="147"/>
      <c r="AA539" s="147"/>
      <c r="AB539" s="147"/>
      <c r="AC539" s="147"/>
      <c r="AD539" s="147"/>
      <c r="AE539" s="147"/>
      <c r="AF539" s="147"/>
      <c r="AG539" s="147"/>
    </row>
    <row r="540" spans="1:33" ht="14.4">
      <c r="A540" s="147"/>
      <c r="B540" s="147"/>
      <c r="C540" s="147"/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  <c r="O540" s="147"/>
      <c r="P540" s="147"/>
      <c r="Q540" s="147"/>
      <c r="R540" s="147"/>
      <c r="S540" s="147"/>
      <c r="T540" s="147"/>
      <c r="U540" s="147"/>
      <c r="V540" s="147"/>
      <c r="W540" s="147"/>
      <c r="X540" s="147"/>
      <c r="Y540" s="147"/>
      <c r="Z540" s="147"/>
      <c r="AA540" s="147"/>
      <c r="AB540" s="147"/>
      <c r="AC540" s="147"/>
      <c r="AD540" s="147"/>
      <c r="AE540" s="147"/>
      <c r="AF540" s="147"/>
      <c r="AG540" s="147"/>
    </row>
    <row r="541" spans="1:33" ht="14.4">
      <c r="A541" s="147"/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</row>
    <row r="542" spans="1:33" ht="14.4">
      <c r="A542" s="147"/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  <c r="AG542" s="147"/>
    </row>
    <row r="543" spans="1:33" ht="14.4">
      <c r="A543" s="147"/>
      <c r="B543" s="147"/>
      <c r="C543" s="147"/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  <c r="O543" s="147"/>
      <c r="P543" s="147"/>
      <c r="Q543" s="147"/>
      <c r="R543" s="147"/>
      <c r="S543" s="147"/>
      <c r="T543" s="147"/>
      <c r="U543" s="147"/>
      <c r="V543" s="147"/>
      <c r="W543" s="147"/>
      <c r="X543" s="147"/>
      <c r="Y543" s="147"/>
      <c r="Z543" s="147"/>
      <c r="AA543" s="147"/>
      <c r="AB543" s="147"/>
      <c r="AC543" s="147"/>
      <c r="AD543" s="147"/>
      <c r="AE543" s="147"/>
      <c r="AF543" s="147"/>
      <c r="AG543" s="147"/>
    </row>
    <row r="544" spans="1:33" ht="14.4">
      <c r="A544" s="147"/>
      <c r="B544" s="147"/>
      <c r="C544" s="147"/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  <c r="P544" s="147"/>
      <c r="Q544" s="147"/>
      <c r="R544" s="147"/>
      <c r="S544" s="147"/>
      <c r="T544" s="147"/>
      <c r="U544" s="147"/>
      <c r="V544" s="147"/>
      <c r="W544" s="147"/>
      <c r="X544" s="147"/>
      <c r="Y544" s="147"/>
      <c r="Z544" s="147"/>
      <c r="AA544" s="147"/>
      <c r="AB544" s="147"/>
      <c r="AC544" s="147"/>
      <c r="AD544" s="147"/>
      <c r="AE544" s="147"/>
      <c r="AF544" s="147"/>
      <c r="AG544" s="147"/>
    </row>
    <row r="545" spans="1:33" ht="14.4">
      <c r="A545" s="147"/>
      <c r="B545" s="147"/>
      <c r="C545" s="147"/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  <c r="O545" s="147"/>
      <c r="P545" s="147"/>
      <c r="Q545" s="147"/>
      <c r="R545" s="147"/>
      <c r="S545" s="147"/>
      <c r="T545" s="147"/>
      <c r="U545" s="147"/>
      <c r="V545" s="147"/>
      <c r="W545" s="147"/>
      <c r="X545" s="147"/>
      <c r="Y545" s="147"/>
      <c r="Z545" s="147"/>
      <c r="AA545" s="147"/>
      <c r="AB545" s="147"/>
      <c r="AC545" s="147"/>
      <c r="AD545" s="147"/>
      <c r="AE545" s="147"/>
      <c r="AF545" s="147"/>
      <c r="AG545" s="147"/>
    </row>
    <row r="546" spans="1:33" ht="14.4">
      <c r="A546" s="147"/>
      <c r="B546" s="147"/>
      <c r="C546" s="147"/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  <c r="O546" s="147"/>
      <c r="P546" s="147"/>
      <c r="Q546" s="147"/>
      <c r="R546" s="147"/>
      <c r="S546" s="147"/>
      <c r="T546" s="147"/>
      <c r="U546" s="147"/>
      <c r="V546" s="147"/>
      <c r="W546" s="147"/>
      <c r="X546" s="147"/>
      <c r="Y546" s="147"/>
      <c r="Z546" s="147"/>
      <c r="AA546" s="147"/>
      <c r="AB546" s="147"/>
      <c r="AC546" s="147"/>
      <c r="AD546" s="147"/>
      <c r="AE546" s="147"/>
      <c r="AF546" s="147"/>
      <c r="AG546" s="147"/>
    </row>
    <row r="547" spans="1:33" ht="14.4">
      <c r="A547" s="147"/>
      <c r="B547" s="147"/>
      <c r="C547" s="147"/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  <c r="O547" s="147"/>
      <c r="P547" s="147"/>
      <c r="Q547" s="147"/>
      <c r="R547" s="147"/>
      <c r="S547" s="147"/>
      <c r="T547" s="147"/>
      <c r="U547" s="147"/>
      <c r="V547" s="147"/>
      <c r="W547" s="147"/>
      <c r="X547" s="147"/>
      <c r="Y547" s="147"/>
      <c r="Z547" s="147"/>
      <c r="AA547" s="147"/>
      <c r="AB547" s="147"/>
      <c r="AC547" s="147"/>
      <c r="AD547" s="147"/>
      <c r="AE547" s="147"/>
      <c r="AF547" s="147"/>
      <c r="AG547" s="147"/>
    </row>
    <row r="548" spans="1:33" ht="14.4">
      <c r="A548" s="147"/>
      <c r="B548" s="147"/>
      <c r="C548" s="147"/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  <c r="O548" s="147"/>
      <c r="P548" s="147"/>
      <c r="Q548" s="147"/>
      <c r="R548" s="147"/>
      <c r="S548" s="147"/>
      <c r="T548" s="147"/>
      <c r="U548" s="147"/>
      <c r="V548" s="147"/>
      <c r="W548" s="147"/>
      <c r="X548" s="147"/>
      <c r="Y548" s="147"/>
      <c r="Z548" s="147"/>
      <c r="AA548" s="147"/>
      <c r="AB548" s="147"/>
      <c r="AC548" s="147"/>
      <c r="AD548" s="147"/>
      <c r="AE548" s="147"/>
      <c r="AF548" s="147"/>
      <c r="AG548" s="147"/>
    </row>
    <row r="549" spans="1:33" ht="14.4">
      <c r="A549" s="147"/>
      <c r="B549" s="147"/>
      <c r="C549" s="147"/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  <c r="O549" s="147"/>
      <c r="P549" s="147"/>
      <c r="Q549" s="147"/>
      <c r="R549" s="147"/>
      <c r="S549" s="147"/>
      <c r="T549" s="147"/>
      <c r="U549" s="147"/>
      <c r="V549" s="147"/>
      <c r="W549" s="147"/>
      <c r="X549" s="147"/>
      <c r="Y549" s="147"/>
      <c r="Z549" s="147"/>
      <c r="AA549" s="147"/>
      <c r="AB549" s="147"/>
      <c r="AC549" s="147"/>
      <c r="AD549" s="147"/>
      <c r="AE549" s="147"/>
      <c r="AF549" s="147"/>
      <c r="AG549" s="147"/>
    </row>
    <row r="550" spans="1:33" ht="14.4">
      <c r="A550" s="147"/>
      <c r="B550" s="147"/>
      <c r="C550" s="147"/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  <c r="O550" s="147"/>
      <c r="P550" s="147"/>
      <c r="Q550" s="147"/>
      <c r="R550" s="147"/>
      <c r="S550" s="147"/>
      <c r="T550" s="147"/>
      <c r="U550" s="147"/>
      <c r="V550" s="147"/>
      <c r="W550" s="147"/>
      <c r="X550" s="147"/>
      <c r="Y550" s="147"/>
      <c r="Z550" s="147"/>
      <c r="AA550" s="147"/>
      <c r="AB550" s="147"/>
      <c r="AC550" s="147"/>
      <c r="AD550" s="147"/>
      <c r="AE550" s="147"/>
      <c r="AF550" s="147"/>
      <c r="AG550" s="147"/>
    </row>
    <row r="551" spans="1:33" ht="14.4">
      <c r="A551" s="147"/>
      <c r="B551" s="147"/>
      <c r="C551" s="147"/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  <c r="O551" s="147"/>
      <c r="P551" s="147"/>
      <c r="Q551" s="147"/>
      <c r="R551" s="147"/>
      <c r="S551" s="147"/>
      <c r="T551" s="147"/>
      <c r="U551" s="147"/>
      <c r="V551" s="147"/>
      <c r="W551" s="147"/>
      <c r="X551" s="147"/>
      <c r="Y551" s="147"/>
      <c r="Z551" s="147"/>
      <c r="AA551" s="147"/>
      <c r="AB551" s="147"/>
      <c r="AC551" s="147"/>
      <c r="AD551" s="147"/>
      <c r="AE551" s="147"/>
      <c r="AF551" s="147"/>
      <c r="AG551" s="147"/>
    </row>
    <row r="552" spans="1:33" ht="14.4">
      <c r="A552" s="147"/>
      <c r="B552" s="147"/>
      <c r="C552" s="147"/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  <c r="O552" s="147"/>
      <c r="P552" s="147"/>
      <c r="Q552" s="147"/>
      <c r="R552" s="147"/>
      <c r="S552" s="147"/>
      <c r="T552" s="147"/>
      <c r="U552" s="147"/>
      <c r="V552" s="147"/>
      <c r="W552" s="147"/>
      <c r="X552" s="147"/>
      <c r="Y552" s="147"/>
      <c r="Z552" s="147"/>
      <c r="AA552" s="147"/>
      <c r="AB552" s="147"/>
      <c r="AC552" s="147"/>
      <c r="AD552" s="147"/>
      <c r="AE552" s="147"/>
      <c r="AF552" s="147"/>
      <c r="AG552" s="147"/>
    </row>
    <row r="553" spans="1:33" ht="14.4">
      <c r="A553" s="147"/>
      <c r="B553" s="147"/>
      <c r="C553" s="147"/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  <c r="O553" s="147"/>
      <c r="P553" s="147"/>
      <c r="Q553" s="147"/>
      <c r="R553" s="147"/>
      <c r="S553" s="147"/>
      <c r="T553" s="147"/>
      <c r="U553" s="147"/>
      <c r="V553" s="147"/>
      <c r="W553" s="147"/>
      <c r="X553" s="147"/>
      <c r="Y553" s="147"/>
      <c r="Z553" s="147"/>
      <c r="AA553" s="147"/>
      <c r="AB553" s="147"/>
      <c r="AC553" s="147"/>
      <c r="AD553" s="147"/>
      <c r="AE553" s="147"/>
      <c r="AF553" s="147"/>
      <c r="AG553" s="147"/>
    </row>
    <row r="554" spans="1:33" ht="14.4">
      <c r="A554" s="147"/>
      <c r="B554" s="147"/>
      <c r="C554" s="147"/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  <c r="O554" s="147"/>
      <c r="P554" s="147"/>
      <c r="Q554" s="147"/>
      <c r="R554" s="147"/>
      <c r="S554" s="147"/>
      <c r="T554" s="147"/>
      <c r="U554" s="147"/>
      <c r="V554" s="147"/>
      <c r="W554" s="147"/>
      <c r="X554" s="147"/>
      <c r="Y554" s="147"/>
      <c r="Z554" s="147"/>
      <c r="AA554" s="147"/>
      <c r="AB554" s="147"/>
      <c r="AC554" s="147"/>
      <c r="AD554" s="147"/>
      <c r="AE554" s="147"/>
      <c r="AF554" s="147"/>
      <c r="AG554" s="147"/>
    </row>
    <row r="555" spans="1:33" ht="14.4">
      <c r="A555" s="147"/>
      <c r="B555" s="147"/>
      <c r="C555" s="147"/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  <c r="O555" s="147"/>
      <c r="P555" s="147"/>
      <c r="Q555" s="147"/>
      <c r="R555" s="147"/>
      <c r="S555" s="147"/>
      <c r="T555" s="147"/>
      <c r="U555" s="147"/>
      <c r="V555" s="147"/>
      <c r="W555" s="147"/>
      <c r="X555" s="147"/>
      <c r="Y555" s="147"/>
      <c r="Z555" s="147"/>
      <c r="AA555" s="147"/>
      <c r="AB555" s="147"/>
      <c r="AC555" s="147"/>
      <c r="AD555" s="147"/>
      <c r="AE555" s="147"/>
      <c r="AF555" s="147"/>
      <c r="AG555" s="147"/>
    </row>
    <row r="556" spans="1:33" ht="14.4">
      <c r="A556" s="147"/>
      <c r="B556" s="147"/>
      <c r="C556" s="147"/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  <c r="O556" s="147"/>
      <c r="P556" s="147"/>
      <c r="Q556" s="147"/>
      <c r="R556" s="147"/>
      <c r="S556" s="147"/>
      <c r="T556" s="147"/>
      <c r="U556" s="147"/>
      <c r="V556" s="147"/>
      <c r="W556" s="147"/>
      <c r="X556" s="147"/>
      <c r="Y556" s="147"/>
      <c r="Z556" s="147"/>
      <c r="AA556" s="147"/>
      <c r="AB556" s="147"/>
      <c r="AC556" s="147"/>
      <c r="AD556" s="147"/>
      <c r="AE556" s="147"/>
      <c r="AF556" s="147"/>
      <c r="AG556" s="147"/>
    </row>
    <row r="557" spans="1:33" ht="14.4">
      <c r="A557" s="147"/>
      <c r="B557" s="147"/>
      <c r="C557" s="147"/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  <c r="P557" s="147"/>
      <c r="Q557" s="147"/>
      <c r="R557" s="147"/>
      <c r="S557" s="147"/>
      <c r="T557" s="147"/>
      <c r="U557" s="147"/>
      <c r="V557" s="147"/>
      <c r="W557" s="147"/>
      <c r="X557" s="147"/>
      <c r="Y557" s="147"/>
      <c r="Z557" s="147"/>
      <c r="AA557" s="147"/>
      <c r="AB557" s="147"/>
      <c r="AC557" s="147"/>
      <c r="AD557" s="147"/>
      <c r="AE557" s="147"/>
      <c r="AF557" s="147"/>
      <c r="AG557" s="147"/>
    </row>
    <row r="558" spans="1:33" ht="14.4">
      <c r="A558" s="147"/>
      <c r="B558" s="147"/>
      <c r="C558" s="147"/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  <c r="O558" s="147"/>
      <c r="P558" s="147"/>
      <c r="Q558" s="147"/>
      <c r="R558" s="147"/>
      <c r="S558" s="147"/>
      <c r="T558" s="147"/>
      <c r="U558" s="147"/>
      <c r="V558" s="147"/>
      <c r="W558" s="147"/>
      <c r="X558" s="147"/>
      <c r="Y558" s="147"/>
      <c r="Z558" s="147"/>
      <c r="AA558" s="147"/>
      <c r="AB558" s="147"/>
      <c r="AC558" s="147"/>
      <c r="AD558" s="147"/>
      <c r="AE558" s="147"/>
      <c r="AF558" s="147"/>
      <c r="AG558" s="147"/>
    </row>
    <row r="559" spans="1:33" ht="14.4">
      <c r="A559" s="147"/>
      <c r="B559" s="147"/>
      <c r="C559" s="147"/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  <c r="O559" s="147"/>
      <c r="P559" s="147"/>
      <c r="Q559" s="147"/>
      <c r="R559" s="147"/>
      <c r="S559" s="147"/>
      <c r="T559" s="147"/>
      <c r="U559" s="147"/>
      <c r="V559" s="147"/>
      <c r="W559" s="147"/>
      <c r="X559" s="147"/>
      <c r="Y559" s="147"/>
      <c r="Z559" s="147"/>
      <c r="AA559" s="147"/>
      <c r="AB559" s="147"/>
      <c r="AC559" s="147"/>
      <c r="AD559" s="147"/>
      <c r="AE559" s="147"/>
      <c r="AF559" s="147"/>
      <c r="AG559" s="147"/>
    </row>
    <row r="560" spans="1:33" ht="14.4">
      <c r="A560" s="147"/>
      <c r="B560" s="147"/>
      <c r="C560" s="147"/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  <c r="O560" s="147"/>
      <c r="P560" s="147"/>
      <c r="Q560" s="147"/>
      <c r="R560" s="147"/>
      <c r="S560" s="147"/>
      <c r="T560" s="147"/>
      <c r="U560" s="147"/>
      <c r="V560" s="147"/>
      <c r="W560" s="147"/>
      <c r="X560" s="147"/>
      <c r="Y560" s="147"/>
      <c r="Z560" s="147"/>
      <c r="AA560" s="147"/>
      <c r="AB560" s="147"/>
      <c r="AC560" s="147"/>
      <c r="AD560" s="147"/>
      <c r="AE560" s="147"/>
      <c r="AF560" s="147"/>
      <c r="AG560" s="147"/>
    </row>
    <row r="561" spans="1:33" ht="14.4">
      <c r="A561" s="147"/>
      <c r="B561" s="147"/>
      <c r="C561" s="147"/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  <c r="O561" s="147"/>
      <c r="P561" s="147"/>
      <c r="Q561" s="147"/>
      <c r="R561" s="147"/>
      <c r="S561" s="147"/>
      <c r="T561" s="147"/>
      <c r="U561" s="147"/>
      <c r="V561" s="147"/>
      <c r="W561" s="147"/>
      <c r="X561" s="147"/>
      <c r="Y561" s="147"/>
      <c r="Z561" s="147"/>
      <c r="AA561" s="147"/>
      <c r="AB561" s="147"/>
      <c r="AC561" s="147"/>
      <c r="AD561" s="147"/>
      <c r="AE561" s="147"/>
      <c r="AF561" s="147"/>
      <c r="AG561" s="147"/>
    </row>
    <row r="562" spans="1:33" ht="14.4">
      <c r="A562" s="147"/>
      <c r="B562" s="147"/>
      <c r="C562" s="147"/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  <c r="O562" s="147"/>
      <c r="P562" s="147"/>
      <c r="Q562" s="147"/>
      <c r="R562" s="147"/>
      <c r="S562" s="147"/>
      <c r="T562" s="147"/>
      <c r="U562" s="147"/>
      <c r="V562" s="147"/>
      <c r="W562" s="147"/>
      <c r="X562" s="147"/>
      <c r="Y562" s="147"/>
      <c r="Z562" s="147"/>
      <c r="AA562" s="147"/>
      <c r="AB562" s="147"/>
      <c r="AC562" s="147"/>
      <c r="AD562" s="147"/>
      <c r="AE562" s="147"/>
      <c r="AF562" s="147"/>
      <c r="AG562" s="147"/>
    </row>
    <row r="563" spans="1:33" ht="14.4">
      <c r="A563" s="147"/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7"/>
      <c r="AF563" s="147"/>
      <c r="AG563" s="147"/>
    </row>
    <row r="564" spans="1:33" ht="14.4">
      <c r="A564" s="147"/>
      <c r="B564" s="147"/>
      <c r="C564" s="147"/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  <c r="O564" s="147"/>
      <c r="P564" s="147"/>
      <c r="Q564" s="147"/>
      <c r="R564" s="147"/>
      <c r="S564" s="147"/>
      <c r="T564" s="147"/>
      <c r="U564" s="147"/>
      <c r="V564" s="147"/>
      <c r="W564" s="147"/>
      <c r="X564" s="147"/>
      <c r="Y564" s="147"/>
      <c r="Z564" s="147"/>
      <c r="AA564" s="147"/>
      <c r="AB564" s="147"/>
      <c r="AC564" s="147"/>
      <c r="AD564" s="147"/>
      <c r="AE564" s="147"/>
      <c r="AF564" s="147"/>
      <c r="AG564" s="147"/>
    </row>
    <row r="565" spans="1:33" ht="14.4">
      <c r="A565" s="147"/>
      <c r="B565" s="147"/>
      <c r="C565" s="147"/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47"/>
      <c r="AF565" s="147"/>
      <c r="AG565" s="147"/>
    </row>
    <row r="566" spans="1:33" ht="14.4">
      <c r="A566" s="147"/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147"/>
      <c r="Q566" s="147"/>
      <c r="R566" s="147"/>
      <c r="S566" s="147"/>
      <c r="T566" s="147"/>
      <c r="U566" s="147"/>
      <c r="V566" s="147"/>
      <c r="W566" s="147"/>
      <c r="X566" s="147"/>
      <c r="Y566" s="147"/>
      <c r="Z566" s="147"/>
      <c r="AA566" s="147"/>
      <c r="AB566" s="147"/>
      <c r="AC566" s="147"/>
      <c r="AD566" s="147"/>
      <c r="AE566" s="147"/>
      <c r="AF566" s="147"/>
      <c r="AG566" s="147"/>
    </row>
    <row r="567" spans="1:33" ht="14.4">
      <c r="A567" s="147"/>
      <c r="B567" s="147"/>
      <c r="C567" s="147"/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  <c r="O567" s="147"/>
      <c r="P567" s="147"/>
      <c r="Q567" s="147"/>
      <c r="R567" s="147"/>
      <c r="S567" s="147"/>
      <c r="T567" s="147"/>
      <c r="U567" s="147"/>
      <c r="V567" s="147"/>
      <c r="W567" s="147"/>
      <c r="X567" s="147"/>
      <c r="Y567" s="147"/>
      <c r="Z567" s="147"/>
      <c r="AA567" s="147"/>
      <c r="AB567" s="147"/>
      <c r="AC567" s="147"/>
      <c r="AD567" s="147"/>
      <c r="AE567" s="147"/>
      <c r="AF567" s="147"/>
      <c r="AG567" s="147"/>
    </row>
    <row r="568" spans="1:33" ht="14.4">
      <c r="A568" s="147"/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</row>
    <row r="569" spans="1:33" ht="14.4">
      <c r="A569" s="147"/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147"/>
      <c r="Q569" s="147"/>
      <c r="R569" s="147"/>
      <c r="S569" s="147"/>
      <c r="T569" s="147"/>
      <c r="U569" s="147"/>
      <c r="V569" s="147"/>
      <c r="W569" s="147"/>
      <c r="X569" s="147"/>
      <c r="Y569" s="147"/>
      <c r="Z569" s="147"/>
      <c r="AA569" s="147"/>
      <c r="AB569" s="147"/>
      <c r="AC569" s="147"/>
      <c r="AD569" s="147"/>
      <c r="AE569" s="147"/>
      <c r="AF569" s="147"/>
      <c r="AG569" s="147"/>
    </row>
    <row r="570" spans="1:33" ht="14.4">
      <c r="A570" s="147"/>
      <c r="B570" s="147"/>
      <c r="C570" s="147"/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  <c r="P570" s="147"/>
      <c r="Q570" s="147"/>
      <c r="R570" s="147"/>
      <c r="S570" s="147"/>
      <c r="T570" s="147"/>
      <c r="U570" s="147"/>
      <c r="V570" s="147"/>
      <c r="W570" s="147"/>
      <c r="X570" s="147"/>
      <c r="Y570" s="147"/>
      <c r="Z570" s="147"/>
      <c r="AA570" s="147"/>
      <c r="AB570" s="147"/>
      <c r="AC570" s="147"/>
      <c r="AD570" s="147"/>
      <c r="AE570" s="147"/>
      <c r="AF570" s="147"/>
      <c r="AG570" s="147"/>
    </row>
    <row r="571" spans="1:33" ht="14.4">
      <c r="A571" s="147"/>
      <c r="B571" s="147"/>
      <c r="C571" s="147"/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  <c r="O571" s="147"/>
      <c r="P571" s="147"/>
      <c r="Q571" s="147"/>
      <c r="R571" s="147"/>
      <c r="S571" s="147"/>
      <c r="T571" s="147"/>
      <c r="U571" s="147"/>
      <c r="V571" s="147"/>
      <c r="W571" s="147"/>
      <c r="X571" s="147"/>
      <c r="Y571" s="147"/>
      <c r="Z571" s="147"/>
      <c r="AA571" s="147"/>
      <c r="AB571" s="147"/>
      <c r="AC571" s="147"/>
      <c r="AD571" s="147"/>
      <c r="AE571" s="147"/>
      <c r="AF571" s="147"/>
      <c r="AG571" s="147"/>
    </row>
    <row r="572" spans="1:33" ht="14.4">
      <c r="A572" s="147"/>
      <c r="B572" s="147"/>
      <c r="C572" s="147"/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  <c r="O572" s="147"/>
      <c r="P572" s="147"/>
      <c r="Q572" s="147"/>
      <c r="R572" s="147"/>
      <c r="S572" s="147"/>
      <c r="T572" s="147"/>
      <c r="U572" s="147"/>
      <c r="V572" s="147"/>
      <c r="W572" s="147"/>
      <c r="X572" s="147"/>
      <c r="Y572" s="147"/>
      <c r="Z572" s="147"/>
      <c r="AA572" s="147"/>
      <c r="AB572" s="147"/>
      <c r="AC572" s="147"/>
      <c r="AD572" s="147"/>
      <c r="AE572" s="147"/>
      <c r="AF572" s="147"/>
      <c r="AG572" s="147"/>
    </row>
    <row r="573" spans="1:33" ht="14.4">
      <c r="A573" s="147"/>
      <c r="B573" s="147"/>
      <c r="C573" s="147"/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  <c r="O573" s="147"/>
      <c r="P573" s="147"/>
      <c r="Q573" s="147"/>
      <c r="R573" s="147"/>
      <c r="S573" s="147"/>
      <c r="T573" s="147"/>
      <c r="U573" s="147"/>
      <c r="V573" s="147"/>
      <c r="W573" s="147"/>
      <c r="X573" s="147"/>
      <c r="Y573" s="147"/>
      <c r="Z573" s="147"/>
      <c r="AA573" s="147"/>
      <c r="AB573" s="147"/>
      <c r="AC573" s="147"/>
      <c r="AD573" s="147"/>
      <c r="AE573" s="147"/>
      <c r="AF573" s="147"/>
      <c r="AG573" s="147"/>
    </row>
    <row r="574" spans="1:33" ht="14.4">
      <c r="A574" s="147"/>
      <c r="B574" s="147"/>
      <c r="C574" s="147"/>
      <c r="D574" s="147"/>
      <c r="E574" s="147"/>
      <c r="F574" s="147"/>
      <c r="G574" s="147"/>
      <c r="H574" s="147"/>
      <c r="I574" s="147"/>
      <c r="J574" s="147"/>
      <c r="K574" s="147"/>
      <c r="L574" s="147"/>
      <c r="M574" s="147"/>
      <c r="N574" s="147"/>
      <c r="O574" s="147"/>
      <c r="P574" s="147"/>
      <c r="Q574" s="147"/>
      <c r="R574" s="147"/>
      <c r="S574" s="147"/>
      <c r="T574" s="147"/>
      <c r="U574" s="147"/>
      <c r="V574" s="147"/>
      <c r="W574" s="147"/>
      <c r="X574" s="147"/>
      <c r="Y574" s="147"/>
      <c r="Z574" s="147"/>
      <c r="AA574" s="147"/>
      <c r="AB574" s="147"/>
      <c r="AC574" s="147"/>
      <c r="AD574" s="147"/>
      <c r="AE574" s="147"/>
      <c r="AF574" s="147"/>
      <c r="AG574" s="147"/>
    </row>
    <row r="575" spans="1:33" ht="14.4">
      <c r="A575" s="147"/>
      <c r="B575" s="147"/>
      <c r="C575" s="147"/>
      <c r="D575" s="147"/>
      <c r="E575" s="147"/>
      <c r="F575" s="147"/>
      <c r="G575" s="147"/>
      <c r="H575" s="147"/>
      <c r="I575" s="147"/>
      <c r="J575" s="147"/>
      <c r="K575" s="147"/>
      <c r="L575" s="147"/>
      <c r="M575" s="147"/>
      <c r="N575" s="147"/>
      <c r="O575" s="147"/>
      <c r="P575" s="147"/>
      <c r="Q575" s="147"/>
      <c r="R575" s="147"/>
      <c r="S575" s="147"/>
      <c r="T575" s="147"/>
      <c r="U575" s="147"/>
      <c r="V575" s="147"/>
      <c r="W575" s="147"/>
      <c r="X575" s="147"/>
      <c r="Y575" s="147"/>
      <c r="Z575" s="147"/>
      <c r="AA575" s="147"/>
      <c r="AB575" s="147"/>
      <c r="AC575" s="147"/>
      <c r="AD575" s="147"/>
      <c r="AE575" s="147"/>
      <c r="AF575" s="147"/>
      <c r="AG575" s="147"/>
    </row>
    <row r="576" spans="1:33" ht="14.4">
      <c r="A576" s="147"/>
      <c r="B576" s="147"/>
      <c r="C576" s="147"/>
      <c r="D576" s="147"/>
      <c r="E576" s="147"/>
      <c r="F576" s="147"/>
      <c r="G576" s="147"/>
      <c r="H576" s="147"/>
      <c r="I576" s="147"/>
      <c r="J576" s="147"/>
      <c r="K576" s="147"/>
      <c r="L576" s="147"/>
      <c r="M576" s="147"/>
      <c r="N576" s="147"/>
      <c r="O576" s="147"/>
      <c r="P576" s="147"/>
      <c r="Q576" s="147"/>
      <c r="R576" s="147"/>
      <c r="S576" s="147"/>
      <c r="T576" s="147"/>
      <c r="U576" s="147"/>
      <c r="V576" s="147"/>
      <c r="W576" s="147"/>
      <c r="X576" s="147"/>
      <c r="Y576" s="147"/>
      <c r="Z576" s="147"/>
      <c r="AA576" s="147"/>
      <c r="AB576" s="147"/>
      <c r="AC576" s="147"/>
      <c r="AD576" s="147"/>
      <c r="AE576" s="147"/>
      <c r="AF576" s="147"/>
      <c r="AG576" s="147"/>
    </row>
    <row r="577" spans="1:33" ht="14.4">
      <c r="A577" s="147"/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  <c r="AG577" s="147"/>
    </row>
    <row r="578" spans="1:33" ht="14.4">
      <c r="A578" s="147"/>
      <c r="B578" s="147"/>
      <c r="C578" s="147"/>
      <c r="D578" s="147"/>
      <c r="E578" s="147"/>
      <c r="F578" s="147"/>
      <c r="G578" s="147"/>
      <c r="H578" s="147"/>
      <c r="I578" s="147"/>
      <c r="J578" s="147"/>
      <c r="K578" s="147"/>
      <c r="L578" s="147"/>
      <c r="M578" s="147"/>
      <c r="N578" s="147"/>
      <c r="O578" s="147"/>
      <c r="P578" s="147"/>
      <c r="Q578" s="147"/>
      <c r="R578" s="147"/>
      <c r="S578" s="147"/>
      <c r="T578" s="147"/>
      <c r="U578" s="147"/>
      <c r="V578" s="147"/>
      <c r="W578" s="147"/>
      <c r="X578" s="147"/>
      <c r="Y578" s="147"/>
      <c r="Z578" s="147"/>
      <c r="AA578" s="147"/>
      <c r="AB578" s="147"/>
      <c r="AC578" s="147"/>
      <c r="AD578" s="147"/>
      <c r="AE578" s="147"/>
      <c r="AF578" s="147"/>
      <c r="AG578" s="147"/>
    </row>
    <row r="579" spans="1:33" ht="14.4">
      <c r="A579" s="147"/>
      <c r="B579" s="147"/>
      <c r="C579" s="147"/>
      <c r="D579" s="147"/>
      <c r="E579" s="147"/>
      <c r="F579" s="147"/>
      <c r="G579" s="147"/>
      <c r="H579" s="147"/>
      <c r="I579" s="147"/>
      <c r="J579" s="147"/>
      <c r="K579" s="147"/>
      <c r="L579" s="147"/>
      <c r="M579" s="147"/>
      <c r="N579" s="147"/>
      <c r="O579" s="147"/>
      <c r="P579" s="147"/>
      <c r="Q579" s="147"/>
      <c r="R579" s="147"/>
      <c r="S579" s="147"/>
      <c r="T579" s="147"/>
      <c r="U579" s="147"/>
      <c r="V579" s="147"/>
      <c r="W579" s="147"/>
      <c r="X579" s="147"/>
      <c r="Y579" s="147"/>
      <c r="Z579" s="147"/>
      <c r="AA579" s="147"/>
      <c r="AB579" s="147"/>
      <c r="AC579" s="147"/>
      <c r="AD579" s="147"/>
      <c r="AE579" s="147"/>
      <c r="AF579" s="147"/>
      <c r="AG579" s="147"/>
    </row>
    <row r="580" spans="1:33" ht="14.4">
      <c r="A580" s="147"/>
      <c r="B580" s="147"/>
      <c r="C580" s="147"/>
      <c r="D580" s="147"/>
      <c r="E580" s="147"/>
      <c r="F580" s="147"/>
      <c r="G580" s="147"/>
      <c r="H580" s="147"/>
      <c r="I580" s="147"/>
      <c r="J580" s="147"/>
      <c r="K580" s="147"/>
      <c r="L580" s="147"/>
      <c r="M580" s="147"/>
      <c r="N580" s="147"/>
      <c r="O580" s="147"/>
      <c r="P580" s="147"/>
      <c r="Q580" s="147"/>
      <c r="R580" s="147"/>
      <c r="S580" s="147"/>
      <c r="T580" s="147"/>
      <c r="U580" s="147"/>
      <c r="V580" s="147"/>
      <c r="W580" s="147"/>
      <c r="X580" s="147"/>
      <c r="Y580" s="147"/>
      <c r="Z580" s="147"/>
      <c r="AA580" s="147"/>
      <c r="AB580" s="147"/>
      <c r="AC580" s="147"/>
      <c r="AD580" s="147"/>
      <c r="AE580" s="147"/>
      <c r="AF580" s="147"/>
      <c r="AG580" s="147"/>
    </row>
    <row r="581" spans="1:33" ht="14.4">
      <c r="A581" s="147"/>
      <c r="B581" s="147"/>
      <c r="C581" s="147"/>
      <c r="D581" s="147"/>
      <c r="E581" s="147"/>
      <c r="F581" s="147"/>
      <c r="G581" s="147"/>
      <c r="H581" s="147"/>
      <c r="I581" s="147"/>
      <c r="J581" s="147"/>
      <c r="K581" s="147"/>
      <c r="L581" s="147"/>
      <c r="M581" s="147"/>
      <c r="N581" s="147"/>
      <c r="O581" s="147"/>
      <c r="P581" s="147"/>
      <c r="Q581" s="147"/>
      <c r="R581" s="147"/>
      <c r="S581" s="147"/>
      <c r="T581" s="147"/>
      <c r="U581" s="147"/>
      <c r="V581" s="147"/>
      <c r="W581" s="147"/>
      <c r="X581" s="147"/>
      <c r="Y581" s="147"/>
      <c r="Z581" s="147"/>
      <c r="AA581" s="147"/>
      <c r="AB581" s="147"/>
      <c r="AC581" s="147"/>
      <c r="AD581" s="147"/>
      <c r="AE581" s="147"/>
      <c r="AF581" s="147"/>
      <c r="AG581" s="147"/>
    </row>
    <row r="582" spans="1:33" ht="14.4">
      <c r="A582" s="147"/>
      <c r="B582" s="147"/>
      <c r="C582" s="147"/>
      <c r="D582" s="147"/>
      <c r="E582" s="147"/>
      <c r="F582" s="147"/>
      <c r="G582" s="147"/>
      <c r="H582" s="147"/>
      <c r="I582" s="147"/>
      <c r="J582" s="147"/>
      <c r="K582" s="147"/>
      <c r="L582" s="147"/>
      <c r="M582" s="147"/>
      <c r="N582" s="147"/>
      <c r="O582" s="147"/>
      <c r="P582" s="147"/>
      <c r="Q582" s="147"/>
      <c r="R582" s="147"/>
      <c r="S582" s="147"/>
      <c r="T582" s="147"/>
      <c r="U582" s="147"/>
      <c r="V582" s="147"/>
      <c r="W582" s="147"/>
      <c r="X582" s="147"/>
      <c r="Y582" s="147"/>
      <c r="Z582" s="147"/>
      <c r="AA582" s="147"/>
      <c r="AB582" s="147"/>
      <c r="AC582" s="147"/>
      <c r="AD582" s="147"/>
      <c r="AE582" s="147"/>
      <c r="AF582" s="147"/>
      <c r="AG582" s="147"/>
    </row>
    <row r="583" spans="1:33" ht="14.4">
      <c r="A583" s="147"/>
      <c r="B583" s="147"/>
      <c r="C583" s="147"/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  <c r="P583" s="147"/>
      <c r="Q583" s="147"/>
      <c r="R583" s="147"/>
      <c r="S583" s="147"/>
      <c r="T583" s="147"/>
      <c r="U583" s="147"/>
      <c r="V583" s="147"/>
      <c r="W583" s="147"/>
      <c r="X583" s="147"/>
      <c r="Y583" s="147"/>
      <c r="Z583" s="147"/>
      <c r="AA583" s="147"/>
      <c r="AB583" s="147"/>
      <c r="AC583" s="147"/>
      <c r="AD583" s="147"/>
      <c r="AE583" s="147"/>
      <c r="AF583" s="147"/>
      <c r="AG583" s="147"/>
    </row>
    <row r="584" spans="1:33" ht="14.4">
      <c r="A584" s="147"/>
      <c r="B584" s="147"/>
      <c r="C584" s="147"/>
      <c r="D584" s="147"/>
      <c r="E584" s="147"/>
      <c r="F584" s="147"/>
      <c r="G584" s="147"/>
      <c r="H584" s="147"/>
      <c r="I584" s="147"/>
      <c r="J584" s="147"/>
      <c r="K584" s="147"/>
      <c r="L584" s="147"/>
      <c r="M584" s="147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</row>
    <row r="585" spans="1:33" ht="14.4">
      <c r="A585" s="147"/>
      <c r="B585" s="147"/>
      <c r="C585" s="147"/>
      <c r="D585" s="147"/>
      <c r="E585" s="147"/>
      <c r="F585" s="147"/>
      <c r="G585" s="147"/>
      <c r="H585" s="147"/>
      <c r="I585" s="147"/>
      <c r="J585" s="147"/>
      <c r="K585" s="147"/>
      <c r="L585" s="147"/>
      <c r="M585" s="147"/>
      <c r="N585" s="147"/>
      <c r="O585" s="147"/>
      <c r="P585" s="147"/>
      <c r="Q585" s="147"/>
      <c r="R585" s="147"/>
      <c r="S585" s="147"/>
      <c r="T585" s="147"/>
      <c r="U585" s="147"/>
      <c r="V585" s="147"/>
      <c r="W585" s="147"/>
      <c r="X585" s="147"/>
      <c r="Y585" s="147"/>
      <c r="Z585" s="147"/>
      <c r="AA585" s="147"/>
      <c r="AB585" s="147"/>
      <c r="AC585" s="147"/>
      <c r="AD585" s="147"/>
      <c r="AE585" s="147"/>
      <c r="AF585" s="147"/>
      <c r="AG585" s="147"/>
    </row>
    <row r="586" spans="1:33" ht="14.4">
      <c r="A586" s="147"/>
      <c r="B586" s="147"/>
      <c r="C586" s="147"/>
      <c r="D586" s="147"/>
      <c r="E586" s="147"/>
      <c r="F586" s="147"/>
      <c r="G586" s="147"/>
      <c r="H586" s="147"/>
      <c r="I586" s="147"/>
      <c r="J586" s="147"/>
      <c r="K586" s="147"/>
      <c r="L586" s="147"/>
      <c r="M586" s="147"/>
      <c r="N586" s="147"/>
      <c r="O586" s="147"/>
      <c r="P586" s="147"/>
      <c r="Q586" s="147"/>
      <c r="R586" s="147"/>
      <c r="S586" s="147"/>
      <c r="T586" s="147"/>
      <c r="U586" s="147"/>
      <c r="V586" s="147"/>
      <c r="W586" s="147"/>
      <c r="X586" s="147"/>
      <c r="Y586" s="147"/>
      <c r="Z586" s="147"/>
      <c r="AA586" s="147"/>
      <c r="AB586" s="147"/>
      <c r="AC586" s="147"/>
      <c r="AD586" s="147"/>
      <c r="AE586" s="147"/>
      <c r="AF586" s="147"/>
      <c r="AG586" s="147"/>
    </row>
    <row r="587" spans="1:33" ht="14.4">
      <c r="A587" s="147"/>
      <c r="B587" s="147"/>
      <c r="C587" s="147"/>
      <c r="D587" s="147"/>
      <c r="E587" s="147"/>
      <c r="F587" s="147"/>
      <c r="G587" s="147"/>
      <c r="H587" s="147"/>
      <c r="I587" s="147"/>
      <c r="J587" s="147"/>
      <c r="K587" s="147"/>
      <c r="L587" s="147"/>
      <c r="M587" s="147"/>
      <c r="N587" s="147"/>
      <c r="O587" s="147"/>
      <c r="P587" s="147"/>
      <c r="Q587" s="147"/>
      <c r="R587" s="147"/>
      <c r="S587" s="147"/>
      <c r="T587" s="147"/>
      <c r="U587" s="147"/>
      <c r="V587" s="147"/>
      <c r="W587" s="147"/>
      <c r="X587" s="147"/>
      <c r="Y587" s="147"/>
      <c r="Z587" s="147"/>
      <c r="AA587" s="147"/>
      <c r="AB587" s="147"/>
      <c r="AC587" s="147"/>
      <c r="AD587" s="147"/>
      <c r="AE587" s="147"/>
      <c r="AF587" s="147"/>
      <c r="AG587" s="147"/>
    </row>
    <row r="588" spans="1:33" ht="14.4">
      <c r="A588" s="147"/>
      <c r="B588" s="147"/>
      <c r="C588" s="147"/>
      <c r="D588" s="147"/>
      <c r="E588" s="147"/>
      <c r="F588" s="147"/>
      <c r="G588" s="147"/>
      <c r="H588" s="147"/>
      <c r="I588" s="147"/>
      <c r="J588" s="147"/>
      <c r="K588" s="147"/>
      <c r="L588" s="147"/>
      <c r="M588" s="147"/>
      <c r="N588" s="147"/>
      <c r="O588" s="147"/>
      <c r="P588" s="147"/>
      <c r="Q588" s="147"/>
      <c r="R588" s="147"/>
      <c r="S588" s="147"/>
      <c r="T588" s="147"/>
      <c r="U588" s="147"/>
      <c r="V588" s="147"/>
      <c r="W588" s="147"/>
      <c r="X588" s="147"/>
      <c r="Y588" s="147"/>
      <c r="Z588" s="147"/>
      <c r="AA588" s="147"/>
      <c r="AB588" s="147"/>
      <c r="AC588" s="147"/>
      <c r="AD588" s="147"/>
      <c r="AE588" s="147"/>
      <c r="AF588" s="147"/>
      <c r="AG588" s="147"/>
    </row>
    <row r="589" spans="1:33" ht="14.4">
      <c r="A589" s="147"/>
      <c r="B589" s="147"/>
      <c r="C589" s="147"/>
      <c r="D589" s="147"/>
      <c r="E589" s="147"/>
      <c r="F589" s="147"/>
      <c r="G589" s="147"/>
      <c r="H589" s="147"/>
      <c r="I589" s="147"/>
      <c r="J589" s="147"/>
      <c r="K589" s="147"/>
      <c r="L589" s="147"/>
      <c r="M589" s="147"/>
      <c r="N589" s="147"/>
      <c r="O589" s="147"/>
      <c r="P589" s="147"/>
      <c r="Q589" s="147"/>
      <c r="R589" s="147"/>
      <c r="S589" s="147"/>
      <c r="T589" s="147"/>
      <c r="U589" s="147"/>
      <c r="V589" s="147"/>
      <c r="W589" s="147"/>
      <c r="X589" s="147"/>
      <c r="Y589" s="147"/>
      <c r="Z589" s="147"/>
      <c r="AA589" s="147"/>
      <c r="AB589" s="147"/>
      <c r="AC589" s="147"/>
      <c r="AD589" s="147"/>
      <c r="AE589" s="147"/>
      <c r="AF589" s="147"/>
      <c r="AG589" s="147"/>
    </row>
    <row r="590" spans="1:33" ht="14.4">
      <c r="A590" s="147"/>
      <c r="B590" s="147"/>
      <c r="C590" s="147"/>
      <c r="D590" s="147"/>
      <c r="E590" s="147"/>
      <c r="F590" s="147"/>
      <c r="G590" s="147"/>
      <c r="H590" s="147"/>
      <c r="I590" s="147"/>
      <c r="J590" s="147"/>
      <c r="K590" s="147"/>
      <c r="L590" s="147"/>
      <c r="M590" s="147"/>
      <c r="N590" s="147"/>
      <c r="O590" s="147"/>
      <c r="P590" s="147"/>
      <c r="Q590" s="147"/>
      <c r="R590" s="147"/>
      <c r="S590" s="147"/>
      <c r="T590" s="147"/>
      <c r="U590" s="147"/>
      <c r="V590" s="147"/>
      <c r="W590" s="147"/>
      <c r="X590" s="147"/>
      <c r="Y590" s="147"/>
      <c r="Z590" s="147"/>
      <c r="AA590" s="147"/>
      <c r="AB590" s="147"/>
      <c r="AC590" s="147"/>
      <c r="AD590" s="147"/>
      <c r="AE590" s="147"/>
      <c r="AF590" s="147"/>
      <c r="AG590" s="147"/>
    </row>
    <row r="591" spans="1:33" ht="14.4">
      <c r="A591" s="147"/>
      <c r="B591" s="147"/>
      <c r="C591" s="147"/>
      <c r="D591" s="147"/>
      <c r="E591" s="147"/>
      <c r="F591" s="147"/>
      <c r="G591" s="147"/>
      <c r="H591" s="147"/>
      <c r="I591" s="147"/>
      <c r="J591" s="147"/>
      <c r="K591" s="147"/>
      <c r="L591" s="147"/>
      <c r="M591" s="147"/>
      <c r="N591" s="147"/>
      <c r="O591" s="147"/>
      <c r="P591" s="147"/>
      <c r="Q591" s="147"/>
      <c r="R591" s="147"/>
      <c r="S591" s="147"/>
      <c r="T591" s="147"/>
      <c r="U591" s="147"/>
      <c r="V591" s="147"/>
      <c r="W591" s="147"/>
      <c r="X591" s="147"/>
      <c r="Y591" s="147"/>
      <c r="Z591" s="147"/>
      <c r="AA591" s="147"/>
      <c r="AB591" s="147"/>
      <c r="AC591" s="147"/>
      <c r="AD591" s="147"/>
      <c r="AE591" s="147"/>
      <c r="AF591" s="147"/>
      <c r="AG591" s="147"/>
    </row>
    <row r="592" spans="1:33" ht="14.4">
      <c r="A592" s="147"/>
      <c r="B592" s="147"/>
      <c r="C592" s="147"/>
      <c r="D592" s="147"/>
      <c r="E592" s="147"/>
      <c r="F592" s="147"/>
      <c r="G592" s="147"/>
      <c r="H592" s="147"/>
      <c r="I592" s="147"/>
      <c r="J592" s="147"/>
      <c r="K592" s="147"/>
      <c r="L592" s="147"/>
      <c r="M592" s="147"/>
      <c r="N592" s="147"/>
      <c r="O592" s="147"/>
      <c r="P592" s="147"/>
      <c r="Q592" s="147"/>
      <c r="R592" s="147"/>
      <c r="S592" s="147"/>
      <c r="T592" s="147"/>
      <c r="U592" s="147"/>
      <c r="V592" s="147"/>
      <c r="W592" s="147"/>
      <c r="X592" s="147"/>
      <c r="Y592" s="147"/>
      <c r="Z592" s="147"/>
      <c r="AA592" s="147"/>
      <c r="AB592" s="147"/>
      <c r="AC592" s="147"/>
      <c r="AD592" s="147"/>
      <c r="AE592" s="147"/>
      <c r="AF592" s="147"/>
      <c r="AG592" s="147"/>
    </row>
    <row r="593" spans="1:33" ht="14.4">
      <c r="A593" s="147"/>
      <c r="B593" s="147"/>
      <c r="C593" s="147"/>
      <c r="D593" s="147"/>
      <c r="E593" s="147"/>
      <c r="F593" s="147"/>
      <c r="G593" s="147"/>
      <c r="H593" s="147"/>
      <c r="I593" s="147"/>
      <c r="J593" s="147"/>
      <c r="K593" s="147"/>
      <c r="L593" s="147"/>
      <c r="M593" s="147"/>
      <c r="N593" s="147"/>
      <c r="O593" s="147"/>
      <c r="P593" s="147"/>
      <c r="Q593" s="147"/>
      <c r="R593" s="147"/>
      <c r="S593" s="147"/>
      <c r="T593" s="147"/>
      <c r="U593" s="147"/>
      <c r="V593" s="147"/>
      <c r="W593" s="147"/>
      <c r="X593" s="147"/>
      <c r="Y593" s="147"/>
      <c r="Z593" s="147"/>
      <c r="AA593" s="147"/>
      <c r="AB593" s="147"/>
      <c r="AC593" s="147"/>
      <c r="AD593" s="147"/>
      <c r="AE593" s="147"/>
      <c r="AF593" s="147"/>
      <c r="AG593" s="147"/>
    </row>
    <row r="594" spans="1:33" ht="14.4">
      <c r="A594" s="147"/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</row>
    <row r="595" spans="1:33" ht="14.4">
      <c r="A595" s="147"/>
      <c r="B595" s="147"/>
      <c r="C595" s="147"/>
      <c r="D595" s="147"/>
      <c r="E595" s="147"/>
      <c r="F595" s="147"/>
      <c r="G595" s="147"/>
      <c r="H595" s="147"/>
      <c r="I595" s="147"/>
      <c r="J595" s="147"/>
      <c r="K595" s="147"/>
      <c r="L595" s="147"/>
      <c r="M595" s="147"/>
      <c r="N595" s="147"/>
      <c r="O595" s="147"/>
      <c r="P595" s="147"/>
      <c r="Q595" s="147"/>
      <c r="R595" s="147"/>
      <c r="S595" s="147"/>
      <c r="T595" s="147"/>
      <c r="U595" s="147"/>
      <c r="V595" s="147"/>
      <c r="W595" s="147"/>
      <c r="X595" s="147"/>
      <c r="Y595" s="147"/>
      <c r="Z595" s="147"/>
      <c r="AA595" s="147"/>
      <c r="AB595" s="147"/>
      <c r="AC595" s="147"/>
      <c r="AD595" s="147"/>
      <c r="AE595" s="147"/>
      <c r="AF595" s="147"/>
      <c r="AG595" s="147"/>
    </row>
    <row r="596" spans="1:33" ht="14.4">
      <c r="A596" s="147"/>
      <c r="B596" s="147"/>
      <c r="C596" s="147"/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  <c r="P596" s="147"/>
      <c r="Q596" s="147"/>
      <c r="R596" s="147"/>
      <c r="S596" s="147"/>
      <c r="T596" s="147"/>
      <c r="U596" s="147"/>
      <c r="V596" s="147"/>
      <c r="W596" s="147"/>
      <c r="X596" s="147"/>
      <c r="Y596" s="147"/>
      <c r="Z596" s="147"/>
      <c r="AA596" s="147"/>
      <c r="AB596" s="147"/>
      <c r="AC596" s="147"/>
      <c r="AD596" s="147"/>
      <c r="AE596" s="147"/>
      <c r="AF596" s="147"/>
      <c r="AG596" s="147"/>
    </row>
    <row r="597" spans="1:33" ht="14.4">
      <c r="A597" s="147"/>
      <c r="B597" s="147"/>
      <c r="C597" s="147"/>
      <c r="D597" s="147"/>
      <c r="E597" s="147"/>
      <c r="F597" s="147"/>
      <c r="G597" s="147"/>
      <c r="H597" s="147"/>
      <c r="I597" s="147"/>
      <c r="J597" s="147"/>
      <c r="K597" s="147"/>
      <c r="L597" s="147"/>
      <c r="M597" s="147"/>
      <c r="N597" s="147"/>
      <c r="O597" s="147"/>
      <c r="P597" s="147"/>
      <c r="Q597" s="147"/>
      <c r="R597" s="147"/>
      <c r="S597" s="147"/>
      <c r="T597" s="147"/>
      <c r="U597" s="147"/>
      <c r="V597" s="147"/>
      <c r="W597" s="147"/>
      <c r="X597" s="147"/>
      <c r="Y597" s="147"/>
      <c r="Z597" s="147"/>
      <c r="AA597" s="147"/>
      <c r="AB597" s="147"/>
      <c r="AC597" s="147"/>
      <c r="AD597" s="147"/>
      <c r="AE597" s="147"/>
      <c r="AF597" s="147"/>
      <c r="AG597" s="147"/>
    </row>
    <row r="598" spans="1:33" ht="14.4">
      <c r="A598" s="147"/>
      <c r="B598" s="147"/>
      <c r="C598" s="147"/>
      <c r="D598" s="147"/>
      <c r="E598" s="147"/>
      <c r="F598" s="147"/>
      <c r="G598" s="147"/>
      <c r="H598" s="147"/>
      <c r="I598" s="147"/>
      <c r="J598" s="147"/>
      <c r="K598" s="147"/>
      <c r="L598" s="147"/>
      <c r="M598" s="147"/>
      <c r="N598" s="147"/>
      <c r="O598" s="147"/>
      <c r="P598" s="147"/>
      <c r="Q598" s="147"/>
      <c r="R598" s="147"/>
      <c r="S598" s="147"/>
      <c r="T598" s="147"/>
      <c r="U598" s="147"/>
      <c r="V598" s="147"/>
      <c r="W598" s="147"/>
      <c r="X598" s="147"/>
      <c r="Y598" s="147"/>
      <c r="Z598" s="147"/>
      <c r="AA598" s="147"/>
      <c r="AB598" s="147"/>
      <c r="AC598" s="147"/>
      <c r="AD598" s="147"/>
      <c r="AE598" s="147"/>
      <c r="AF598" s="147"/>
      <c r="AG598" s="147"/>
    </row>
    <row r="599" spans="1:33" ht="14.4">
      <c r="A599" s="147"/>
      <c r="B599" s="147"/>
      <c r="C599" s="147"/>
      <c r="D599" s="147"/>
      <c r="E599" s="147"/>
      <c r="F599" s="147"/>
      <c r="G599" s="147"/>
      <c r="H599" s="147"/>
      <c r="I599" s="147"/>
      <c r="J599" s="147"/>
      <c r="K599" s="147"/>
      <c r="L599" s="147"/>
      <c r="M599" s="147"/>
      <c r="N599" s="147"/>
      <c r="O599" s="147"/>
      <c r="P599" s="147"/>
      <c r="Q599" s="147"/>
      <c r="R599" s="147"/>
      <c r="S599" s="147"/>
      <c r="T599" s="147"/>
      <c r="U599" s="147"/>
      <c r="V599" s="147"/>
      <c r="W599" s="147"/>
      <c r="X599" s="147"/>
      <c r="Y599" s="147"/>
      <c r="Z599" s="147"/>
      <c r="AA599" s="147"/>
      <c r="AB599" s="147"/>
      <c r="AC599" s="147"/>
      <c r="AD599" s="147"/>
      <c r="AE599" s="147"/>
      <c r="AF599" s="147"/>
      <c r="AG599" s="147"/>
    </row>
    <row r="600" spans="1:33" ht="14.4">
      <c r="A600" s="147"/>
      <c r="B600" s="147"/>
      <c r="C600" s="147"/>
      <c r="D600" s="147"/>
      <c r="E600" s="147"/>
      <c r="F600" s="147"/>
      <c r="G600" s="147"/>
      <c r="H600" s="147"/>
      <c r="I600" s="147"/>
      <c r="J600" s="147"/>
      <c r="K600" s="147"/>
      <c r="L600" s="147"/>
      <c r="M600" s="147"/>
      <c r="N600" s="147"/>
      <c r="O600" s="147"/>
      <c r="P600" s="147"/>
      <c r="Q600" s="147"/>
      <c r="R600" s="147"/>
      <c r="S600" s="147"/>
      <c r="T600" s="147"/>
      <c r="U600" s="147"/>
      <c r="V600" s="147"/>
      <c r="W600" s="147"/>
      <c r="X600" s="147"/>
      <c r="Y600" s="147"/>
      <c r="Z600" s="147"/>
      <c r="AA600" s="147"/>
      <c r="AB600" s="147"/>
      <c r="AC600" s="147"/>
      <c r="AD600" s="147"/>
      <c r="AE600" s="147"/>
      <c r="AF600" s="147"/>
      <c r="AG600" s="147"/>
    </row>
    <row r="601" spans="1:33" ht="14.4">
      <c r="A601" s="147"/>
      <c r="B601" s="147"/>
      <c r="C601" s="147"/>
      <c r="D601" s="147"/>
      <c r="E601" s="147"/>
      <c r="F601" s="147"/>
      <c r="G601" s="147"/>
      <c r="H601" s="147"/>
      <c r="I601" s="147"/>
      <c r="J601" s="147"/>
      <c r="K601" s="147"/>
      <c r="L601" s="147"/>
      <c r="M601" s="147"/>
      <c r="N601" s="147"/>
      <c r="O601" s="147"/>
      <c r="P601" s="147"/>
      <c r="Q601" s="147"/>
      <c r="R601" s="147"/>
      <c r="S601" s="147"/>
      <c r="T601" s="147"/>
      <c r="U601" s="147"/>
      <c r="V601" s="147"/>
      <c r="W601" s="147"/>
      <c r="X601" s="147"/>
      <c r="Y601" s="147"/>
      <c r="Z601" s="147"/>
      <c r="AA601" s="147"/>
      <c r="AB601" s="147"/>
      <c r="AC601" s="147"/>
      <c r="AD601" s="147"/>
      <c r="AE601" s="147"/>
      <c r="AF601" s="147"/>
      <c r="AG601" s="147"/>
    </row>
    <row r="602" spans="1:33" ht="14.4">
      <c r="A602" s="147"/>
      <c r="B602" s="147"/>
      <c r="C602" s="147"/>
      <c r="D602" s="147"/>
      <c r="E602" s="147"/>
      <c r="F602" s="147"/>
      <c r="G602" s="147"/>
      <c r="H602" s="147"/>
      <c r="I602" s="147"/>
      <c r="J602" s="147"/>
      <c r="K602" s="147"/>
      <c r="L602" s="147"/>
      <c r="M602" s="147"/>
      <c r="N602" s="147"/>
      <c r="O602" s="147"/>
      <c r="P602" s="147"/>
      <c r="Q602" s="147"/>
      <c r="R602" s="147"/>
      <c r="S602" s="147"/>
      <c r="T602" s="147"/>
      <c r="U602" s="147"/>
      <c r="V602" s="147"/>
      <c r="W602" s="147"/>
      <c r="X602" s="147"/>
      <c r="Y602" s="147"/>
      <c r="Z602" s="147"/>
      <c r="AA602" s="147"/>
      <c r="AB602" s="147"/>
      <c r="AC602" s="147"/>
      <c r="AD602" s="147"/>
      <c r="AE602" s="147"/>
      <c r="AF602" s="147"/>
      <c r="AG602" s="147"/>
    </row>
    <row r="603" spans="1:33" ht="14.4">
      <c r="A603" s="147"/>
      <c r="B603" s="147"/>
      <c r="C603" s="147"/>
      <c r="D603" s="147"/>
      <c r="E603" s="147"/>
      <c r="F603" s="147"/>
      <c r="G603" s="147"/>
      <c r="H603" s="147"/>
      <c r="I603" s="147"/>
      <c r="J603" s="147"/>
      <c r="K603" s="147"/>
      <c r="L603" s="147"/>
      <c r="M603" s="147"/>
      <c r="N603" s="147"/>
      <c r="O603" s="147"/>
      <c r="P603" s="147"/>
      <c r="Q603" s="147"/>
      <c r="R603" s="147"/>
      <c r="S603" s="147"/>
      <c r="T603" s="147"/>
      <c r="U603" s="147"/>
      <c r="V603" s="147"/>
      <c r="W603" s="147"/>
      <c r="X603" s="147"/>
      <c r="Y603" s="147"/>
      <c r="Z603" s="147"/>
      <c r="AA603" s="147"/>
      <c r="AB603" s="147"/>
      <c r="AC603" s="147"/>
      <c r="AD603" s="147"/>
      <c r="AE603" s="147"/>
      <c r="AF603" s="147"/>
      <c r="AG603" s="147"/>
    </row>
    <row r="604" spans="1:33" ht="14.4">
      <c r="A604" s="147"/>
      <c r="B604" s="147"/>
      <c r="C604" s="147"/>
      <c r="D604" s="147"/>
      <c r="E604" s="147"/>
      <c r="F604" s="147"/>
      <c r="G604" s="147"/>
      <c r="H604" s="147"/>
      <c r="I604" s="147"/>
      <c r="J604" s="147"/>
      <c r="K604" s="147"/>
      <c r="L604" s="147"/>
      <c r="M604" s="147"/>
      <c r="N604" s="147"/>
      <c r="O604" s="147"/>
      <c r="P604" s="147"/>
      <c r="Q604" s="147"/>
      <c r="R604" s="147"/>
      <c r="S604" s="147"/>
      <c r="T604" s="147"/>
      <c r="U604" s="147"/>
      <c r="V604" s="147"/>
      <c r="W604" s="147"/>
      <c r="X604" s="147"/>
      <c r="Y604" s="147"/>
      <c r="Z604" s="147"/>
      <c r="AA604" s="147"/>
      <c r="AB604" s="147"/>
      <c r="AC604" s="147"/>
      <c r="AD604" s="147"/>
      <c r="AE604" s="147"/>
      <c r="AF604" s="147"/>
      <c r="AG604" s="147"/>
    </row>
    <row r="605" spans="1:33" ht="14.4">
      <c r="A605" s="147"/>
      <c r="B605" s="147"/>
      <c r="C605" s="147"/>
      <c r="D605" s="147"/>
      <c r="E605" s="147"/>
      <c r="F605" s="147"/>
      <c r="G605" s="147"/>
      <c r="H605" s="147"/>
      <c r="I605" s="147"/>
      <c r="J605" s="147"/>
      <c r="K605" s="147"/>
      <c r="L605" s="147"/>
      <c r="M605" s="147"/>
      <c r="N605" s="147"/>
      <c r="O605" s="147"/>
      <c r="P605" s="147"/>
      <c r="Q605" s="147"/>
      <c r="R605" s="147"/>
      <c r="S605" s="147"/>
      <c r="T605" s="147"/>
      <c r="U605" s="147"/>
      <c r="V605" s="147"/>
      <c r="W605" s="147"/>
      <c r="X605" s="147"/>
      <c r="Y605" s="147"/>
      <c r="Z605" s="147"/>
      <c r="AA605" s="147"/>
      <c r="AB605" s="147"/>
      <c r="AC605" s="147"/>
      <c r="AD605" s="147"/>
      <c r="AE605" s="147"/>
      <c r="AF605" s="147"/>
      <c r="AG605" s="147"/>
    </row>
    <row r="606" spans="1:33" ht="14.4">
      <c r="A606" s="147"/>
      <c r="B606" s="147"/>
      <c r="C606" s="147"/>
      <c r="D606" s="147"/>
      <c r="E606" s="147"/>
      <c r="F606" s="147"/>
      <c r="G606" s="147"/>
      <c r="H606" s="147"/>
      <c r="I606" s="147"/>
      <c r="J606" s="147"/>
      <c r="K606" s="147"/>
      <c r="L606" s="147"/>
      <c r="M606" s="147"/>
      <c r="N606" s="147"/>
      <c r="O606" s="147"/>
      <c r="P606" s="147"/>
      <c r="Q606" s="147"/>
      <c r="R606" s="147"/>
      <c r="S606" s="147"/>
      <c r="T606" s="147"/>
      <c r="U606" s="147"/>
      <c r="V606" s="147"/>
      <c r="W606" s="147"/>
      <c r="X606" s="147"/>
      <c r="Y606" s="147"/>
      <c r="Z606" s="147"/>
      <c r="AA606" s="147"/>
      <c r="AB606" s="147"/>
      <c r="AC606" s="147"/>
      <c r="AD606" s="147"/>
      <c r="AE606" s="147"/>
      <c r="AF606" s="147"/>
      <c r="AG606" s="147"/>
    </row>
    <row r="607" spans="1:33" ht="14.4">
      <c r="A607" s="147"/>
      <c r="B607" s="147"/>
      <c r="C607" s="147"/>
      <c r="D607" s="147"/>
      <c r="E607" s="147"/>
      <c r="F607" s="147"/>
      <c r="G607" s="147"/>
      <c r="H607" s="147"/>
      <c r="I607" s="147"/>
      <c r="J607" s="147"/>
      <c r="K607" s="147"/>
      <c r="L607" s="147"/>
      <c r="M607" s="147"/>
      <c r="N607" s="147"/>
      <c r="O607" s="147"/>
      <c r="P607" s="147"/>
      <c r="Q607" s="147"/>
      <c r="R607" s="147"/>
      <c r="S607" s="147"/>
      <c r="T607" s="147"/>
      <c r="U607" s="147"/>
      <c r="V607" s="147"/>
      <c r="W607" s="147"/>
      <c r="X607" s="147"/>
      <c r="Y607" s="147"/>
      <c r="Z607" s="147"/>
      <c r="AA607" s="147"/>
      <c r="AB607" s="147"/>
      <c r="AC607" s="147"/>
      <c r="AD607" s="147"/>
      <c r="AE607" s="147"/>
      <c r="AF607" s="147"/>
      <c r="AG607" s="147"/>
    </row>
    <row r="608" spans="1:33" ht="14.4">
      <c r="A608" s="147"/>
      <c r="B608" s="147"/>
      <c r="C608" s="147"/>
      <c r="D608" s="147"/>
      <c r="E608" s="147"/>
      <c r="F608" s="147"/>
      <c r="G608" s="147"/>
      <c r="H608" s="147"/>
      <c r="I608" s="147"/>
      <c r="J608" s="147"/>
      <c r="K608" s="147"/>
      <c r="L608" s="147"/>
      <c r="M608" s="147"/>
      <c r="N608" s="147"/>
      <c r="O608" s="147"/>
      <c r="P608" s="147"/>
      <c r="Q608" s="147"/>
      <c r="R608" s="147"/>
      <c r="S608" s="147"/>
      <c r="T608" s="147"/>
      <c r="U608" s="147"/>
      <c r="V608" s="147"/>
      <c r="W608" s="147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</row>
    <row r="609" spans="1:33" ht="14.4">
      <c r="A609" s="147"/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  <c r="P609" s="147"/>
      <c r="Q609" s="147"/>
      <c r="R609" s="147"/>
      <c r="S609" s="147"/>
      <c r="T609" s="147"/>
      <c r="U609" s="147"/>
      <c r="V609" s="147"/>
      <c r="W609" s="147"/>
      <c r="X609" s="147"/>
      <c r="Y609" s="147"/>
      <c r="Z609" s="147"/>
      <c r="AA609" s="147"/>
      <c r="AB609" s="147"/>
      <c r="AC609" s="147"/>
      <c r="AD609" s="147"/>
      <c r="AE609" s="147"/>
      <c r="AF609" s="147"/>
      <c r="AG609" s="147"/>
    </row>
    <row r="610" spans="1:33" ht="14.4">
      <c r="A610" s="147"/>
      <c r="B610" s="147"/>
      <c r="C610" s="147"/>
      <c r="D610" s="147"/>
      <c r="E610" s="147"/>
      <c r="F610" s="147"/>
      <c r="G610" s="147"/>
      <c r="H610" s="147"/>
      <c r="I610" s="147"/>
      <c r="J610" s="147"/>
      <c r="K610" s="147"/>
      <c r="L610" s="147"/>
      <c r="M610" s="147"/>
      <c r="N610" s="147"/>
      <c r="O610" s="147"/>
      <c r="P610" s="147"/>
      <c r="Q610" s="147"/>
      <c r="R610" s="147"/>
      <c r="S610" s="147"/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</row>
    <row r="611" spans="1:33" ht="14.4">
      <c r="A611" s="147"/>
      <c r="B611" s="147"/>
      <c r="C611" s="147"/>
      <c r="D611" s="147"/>
      <c r="E611" s="147"/>
      <c r="F611" s="147"/>
      <c r="G611" s="147"/>
      <c r="H611" s="147"/>
      <c r="I611" s="147"/>
      <c r="J611" s="147"/>
      <c r="K611" s="147"/>
      <c r="L611" s="147"/>
      <c r="M611" s="147"/>
      <c r="N611" s="147"/>
      <c r="O611" s="147"/>
      <c r="P611" s="147"/>
      <c r="Q611" s="147"/>
      <c r="R611" s="147"/>
      <c r="S611" s="147"/>
      <c r="T611" s="147"/>
      <c r="U611" s="147"/>
      <c r="V611" s="147"/>
      <c r="W611" s="147"/>
      <c r="X611" s="147"/>
      <c r="Y611" s="147"/>
      <c r="Z611" s="147"/>
      <c r="AA611" s="147"/>
      <c r="AB611" s="147"/>
      <c r="AC611" s="147"/>
      <c r="AD611" s="147"/>
      <c r="AE611" s="147"/>
      <c r="AF611" s="147"/>
      <c r="AG611" s="147"/>
    </row>
    <row r="612" spans="1:33" ht="14.4">
      <c r="A612" s="147"/>
      <c r="B612" s="147"/>
      <c r="C612" s="147"/>
      <c r="D612" s="147"/>
      <c r="E612" s="147"/>
      <c r="F612" s="147"/>
      <c r="G612" s="147"/>
      <c r="H612" s="147"/>
      <c r="I612" s="147"/>
      <c r="J612" s="147"/>
      <c r="K612" s="147"/>
      <c r="L612" s="147"/>
      <c r="M612" s="147"/>
      <c r="N612" s="147"/>
      <c r="O612" s="147"/>
      <c r="P612" s="147"/>
      <c r="Q612" s="147"/>
      <c r="R612" s="147"/>
      <c r="S612" s="147"/>
      <c r="T612" s="147"/>
      <c r="U612" s="147"/>
      <c r="V612" s="147"/>
      <c r="W612" s="147"/>
      <c r="X612" s="147"/>
      <c r="Y612" s="147"/>
      <c r="Z612" s="147"/>
      <c r="AA612" s="147"/>
      <c r="AB612" s="147"/>
      <c r="AC612" s="147"/>
      <c r="AD612" s="147"/>
      <c r="AE612" s="147"/>
      <c r="AF612" s="147"/>
      <c r="AG612" s="147"/>
    </row>
    <row r="613" spans="1:33" ht="14.4">
      <c r="A613" s="147"/>
      <c r="B613" s="147"/>
      <c r="C613" s="147"/>
      <c r="D613" s="147"/>
      <c r="E613" s="147"/>
      <c r="F613" s="147"/>
      <c r="G613" s="147"/>
      <c r="H613" s="147"/>
      <c r="I613" s="147"/>
      <c r="J613" s="147"/>
      <c r="K613" s="147"/>
      <c r="L613" s="147"/>
      <c r="M613" s="147"/>
      <c r="N613" s="147"/>
      <c r="O613" s="147"/>
      <c r="P613" s="147"/>
      <c r="Q613" s="147"/>
      <c r="R613" s="147"/>
      <c r="S613" s="147"/>
      <c r="T613" s="147"/>
      <c r="U613" s="147"/>
      <c r="V613" s="147"/>
      <c r="W613" s="147"/>
      <c r="X613" s="147"/>
      <c r="Y613" s="147"/>
      <c r="Z613" s="147"/>
      <c r="AA613" s="147"/>
      <c r="AB613" s="147"/>
      <c r="AC613" s="147"/>
      <c r="AD613" s="147"/>
      <c r="AE613" s="147"/>
      <c r="AF613" s="147"/>
      <c r="AG613" s="147"/>
    </row>
    <row r="614" spans="1:33" ht="14.4">
      <c r="A614" s="147"/>
      <c r="B614" s="147"/>
      <c r="C614" s="147"/>
      <c r="D614" s="147"/>
      <c r="E614" s="147"/>
      <c r="F614" s="147"/>
      <c r="G614" s="147"/>
      <c r="H614" s="147"/>
      <c r="I614" s="147"/>
      <c r="J614" s="147"/>
      <c r="K614" s="147"/>
      <c r="L614" s="147"/>
      <c r="M614" s="147"/>
      <c r="N614" s="147"/>
      <c r="O614" s="147"/>
      <c r="P614" s="147"/>
      <c r="Q614" s="147"/>
      <c r="R614" s="147"/>
      <c r="S614" s="147"/>
      <c r="T614" s="147"/>
      <c r="U614" s="147"/>
      <c r="V614" s="147"/>
      <c r="W614" s="147"/>
      <c r="X614" s="147"/>
      <c r="Y614" s="147"/>
      <c r="Z614" s="147"/>
      <c r="AA614" s="147"/>
      <c r="AB614" s="147"/>
      <c r="AC614" s="147"/>
      <c r="AD614" s="147"/>
      <c r="AE614" s="147"/>
      <c r="AF614" s="147"/>
      <c r="AG614" s="147"/>
    </row>
    <row r="615" spans="1:33" ht="14.4">
      <c r="A615" s="147"/>
      <c r="B615" s="147"/>
      <c r="C615" s="147"/>
      <c r="D615" s="147"/>
      <c r="E615" s="147"/>
      <c r="F615" s="147"/>
      <c r="G615" s="147"/>
      <c r="H615" s="147"/>
      <c r="I615" s="147"/>
      <c r="J615" s="147"/>
      <c r="K615" s="147"/>
      <c r="L615" s="147"/>
      <c r="M615" s="147"/>
      <c r="N615" s="147"/>
      <c r="O615" s="147"/>
      <c r="P615" s="147"/>
      <c r="Q615" s="147"/>
      <c r="R615" s="147"/>
      <c r="S615" s="147"/>
      <c r="T615" s="147"/>
      <c r="U615" s="147"/>
      <c r="V615" s="147"/>
      <c r="W615" s="147"/>
      <c r="X615" s="147"/>
      <c r="Y615" s="147"/>
      <c r="Z615" s="147"/>
      <c r="AA615" s="147"/>
      <c r="AB615" s="147"/>
      <c r="AC615" s="147"/>
      <c r="AD615" s="147"/>
      <c r="AE615" s="147"/>
      <c r="AF615" s="147"/>
      <c r="AG615" s="147"/>
    </row>
    <row r="616" spans="1:33" ht="14.4">
      <c r="A616" s="147"/>
      <c r="B616" s="147"/>
      <c r="C616" s="147"/>
      <c r="D616" s="147"/>
      <c r="E616" s="147"/>
      <c r="F616" s="147"/>
      <c r="G616" s="147"/>
      <c r="H616" s="147"/>
      <c r="I616" s="147"/>
      <c r="J616" s="147"/>
      <c r="K616" s="147"/>
      <c r="L616" s="147"/>
      <c r="M616" s="147"/>
      <c r="N616" s="147"/>
      <c r="O616" s="147"/>
      <c r="P616" s="147"/>
      <c r="Q616" s="147"/>
      <c r="R616" s="147"/>
      <c r="S616" s="147"/>
      <c r="T616" s="147"/>
      <c r="U616" s="147"/>
      <c r="V616" s="147"/>
      <c r="W616" s="147"/>
      <c r="X616" s="147"/>
      <c r="Y616" s="147"/>
      <c r="Z616" s="147"/>
      <c r="AA616" s="147"/>
      <c r="AB616" s="147"/>
      <c r="AC616" s="147"/>
      <c r="AD616" s="147"/>
      <c r="AE616" s="147"/>
      <c r="AF616" s="147"/>
      <c r="AG616" s="147"/>
    </row>
    <row r="617" spans="1:33" ht="14.4">
      <c r="A617" s="147"/>
      <c r="B617" s="147"/>
      <c r="C617" s="147"/>
      <c r="D617" s="147"/>
      <c r="E617" s="147"/>
      <c r="F617" s="147"/>
      <c r="G617" s="147"/>
      <c r="H617" s="147"/>
      <c r="I617" s="147"/>
      <c r="J617" s="147"/>
      <c r="K617" s="147"/>
      <c r="L617" s="147"/>
      <c r="M617" s="147"/>
      <c r="N617" s="147"/>
      <c r="O617" s="147"/>
      <c r="P617" s="147"/>
      <c r="Q617" s="147"/>
      <c r="R617" s="147"/>
      <c r="S617" s="147"/>
      <c r="T617" s="147"/>
      <c r="U617" s="147"/>
      <c r="V617" s="147"/>
      <c r="W617" s="147"/>
      <c r="X617" s="147"/>
      <c r="Y617" s="147"/>
      <c r="Z617" s="147"/>
      <c r="AA617" s="147"/>
      <c r="AB617" s="147"/>
      <c r="AC617" s="147"/>
      <c r="AD617" s="147"/>
      <c r="AE617" s="147"/>
      <c r="AF617" s="147"/>
      <c r="AG617" s="147"/>
    </row>
    <row r="618" spans="1:33" ht="14.4">
      <c r="A618" s="147"/>
      <c r="B618" s="147"/>
      <c r="C618" s="147"/>
      <c r="D618" s="147"/>
      <c r="E618" s="147"/>
      <c r="F618" s="147"/>
      <c r="G618" s="147"/>
      <c r="H618" s="147"/>
      <c r="I618" s="147"/>
      <c r="J618" s="147"/>
      <c r="K618" s="147"/>
      <c r="L618" s="147"/>
      <c r="M618" s="147"/>
      <c r="N618" s="147"/>
      <c r="O618" s="147"/>
      <c r="P618" s="147"/>
      <c r="Q618" s="147"/>
      <c r="R618" s="147"/>
      <c r="S618" s="147"/>
      <c r="T618" s="147"/>
      <c r="U618" s="147"/>
      <c r="V618" s="147"/>
      <c r="W618" s="147"/>
      <c r="X618" s="147"/>
      <c r="Y618" s="147"/>
      <c r="Z618" s="147"/>
      <c r="AA618" s="147"/>
      <c r="AB618" s="147"/>
      <c r="AC618" s="147"/>
      <c r="AD618" s="147"/>
      <c r="AE618" s="147"/>
      <c r="AF618" s="147"/>
      <c r="AG618" s="147"/>
    </row>
    <row r="619" spans="1:33" ht="14.4">
      <c r="A619" s="147"/>
      <c r="B619" s="147"/>
      <c r="C619" s="147"/>
      <c r="D619" s="147"/>
      <c r="E619" s="147"/>
      <c r="F619" s="147"/>
      <c r="G619" s="147"/>
      <c r="H619" s="147"/>
      <c r="I619" s="147"/>
      <c r="J619" s="147"/>
      <c r="K619" s="147"/>
      <c r="L619" s="147"/>
      <c r="M619" s="147"/>
      <c r="N619" s="147"/>
      <c r="O619" s="147"/>
      <c r="P619" s="147"/>
      <c r="Q619" s="147"/>
      <c r="R619" s="147"/>
      <c r="S619" s="147"/>
      <c r="T619" s="147"/>
      <c r="U619" s="147"/>
      <c r="V619" s="147"/>
      <c r="W619" s="147"/>
      <c r="X619" s="147"/>
      <c r="Y619" s="147"/>
      <c r="Z619" s="147"/>
      <c r="AA619" s="147"/>
      <c r="AB619" s="147"/>
      <c r="AC619" s="147"/>
      <c r="AD619" s="147"/>
      <c r="AE619" s="147"/>
      <c r="AF619" s="147"/>
      <c r="AG619" s="147"/>
    </row>
    <row r="620" spans="1:33" ht="14.4">
      <c r="A620" s="147"/>
      <c r="B620" s="147"/>
      <c r="C620" s="147"/>
      <c r="D620" s="147"/>
      <c r="E620" s="147"/>
      <c r="F620" s="147"/>
      <c r="G620" s="147"/>
      <c r="H620" s="147"/>
      <c r="I620" s="147"/>
      <c r="J620" s="147"/>
      <c r="K620" s="147"/>
      <c r="L620" s="147"/>
      <c r="M620" s="147"/>
      <c r="N620" s="147"/>
      <c r="O620" s="147"/>
      <c r="P620" s="147"/>
      <c r="Q620" s="147"/>
      <c r="R620" s="147"/>
      <c r="S620" s="147"/>
      <c r="T620" s="147"/>
      <c r="U620" s="147"/>
      <c r="V620" s="147"/>
      <c r="W620" s="147"/>
      <c r="X620" s="147"/>
      <c r="Y620" s="147"/>
      <c r="Z620" s="147"/>
      <c r="AA620" s="147"/>
      <c r="AB620" s="147"/>
      <c r="AC620" s="147"/>
      <c r="AD620" s="147"/>
      <c r="AE620" s="147"/>
      <c r="AF620" s="147"/>
      <c r="AG620" s="147"/>
    </row>
    <row r="621" spans="1:33" ht="14.4">
      <c r="A621" s="147"/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</row>
    <row r="622" spans="1:33" ht="14.4">
      <c r="A622" s="147"/>
      <c r="B622" s="147"/>
      <c r="C622" s="147"/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  <c r="P622" s="147"/>
      <c r="Q622" s="147"/>
      <c r="R622" s="147"/>
      <c r="S622" s="147"/>
      <c r="T622" s="147"/>
      <c r="U622" s="147"/>
      <c r="V622" s="147"/>
      <c r="W622" s="147"/>
      <c r="X622" s="147"/>
      <c r="Y622" s="147"/>
      <c r="Z622" s="147"/>
      <c r="AA622" s="147"/>
      <c r="AB622" s="147"/>
      <c r="AC622" s="147"/>
      <c r="AD622" s="147"/>
      <c r="AE622" s="147"/>
      <c r="AF622" s="147"/>
      <c r="AG622" s="147"/>
    </row>
    <row r="623" spans="1:33" ht="14.4">
      <c r="A623" s="147"/>
      <c r="B623" s="147"/>
      <c r="C623" s="147"/>
      <c r="D623" s="147"/>
      <c r="E623" s="147"/>
      <c r="F623" s="147"/>
      <c r="G623" s="147"/>
      <c r="H623" s="147"/>
      <c r="I623" s="147"/>
      <c r="J623" s="147"/>
      <c r="K623" s="147"/>
      <c r="L623" s="147"/>
      <c r="M623" s="147"/>
      <c r="N623" s="147"/>
      <c r="O623" s="147"/>
      <c r="P623" s="147"/>
      <c r="Q623" s="147"/>
      <c r="R623" s="147"/>
      <c r="S623" s="147"/>
      <c r="T623" s="147"/>
      <c r="U623" s="147"/>
      <c r="V623" s="147"/>
      <c r="W623" s="147"/>
      <c r="X623" s="147"/>
      <c r="Y623" s="147"/>
      <c r="Z623" s="147"/>
      <c r="AA623" s="147"/>
      <c r="AB623" s="147"/>
      <c r="AC623" s="147"/>
      <c r="AD623" s="147"/>
      <c r="AE623" s="147"/>
      <c r="AF623" s="147"/>
      <c r="AG623" s="147"/>
    </row>
    <row r="624" spans="1:33" ht="14.4">
      <c r="A624" s="147"/>
      <c r="B624" s="147"/>
      <c r="C624" s="147"/>
      <c r="D624" s="147"/>
      <c r="E624" s="147"/>
      <c r="F624" s="147"/>
      <c r="G624" s="147"/>
      <c r="H624" s="147"/>
      <c r="I624" s="147"/>
      <c r="J624" s="147"/>
      <c r="K624" s="147"/>
      <c r="L624" s="147"/>
      <c r="M624" s="147"/>
      <c r="N624" s="147"/>
      <c r="O624" s="147"/>
      <c r="P624" s="147"/>
      <c r="Q624" s="147"/>
      <c r="R624" s="147"/>
      <c r="S624" s="147"/>
      <c r="T624" s="147"/>
      <c r="U624" s="147"/>
      <c r="V624" s="147"/>
      <c r="W624" s="147"/>
      <c r="X624" s="147"/>
      <c r="Y624" s="147"/>
      <c r="Z624" s="147"/>
      <c r="AA624" s="147"/>
      <c r="AB624" s="147"/>
      <c r="AC624" s="147"/>
      <c r="AD624" s="147"/>
      <c r="AE624" s="147"/>
      <c r="AF624" s="147"/>
      <c r="AG624" s="147"/>
    </row>
    <row r="625" spans="1:33" ht="14.4">
      <c r="A625" s="147"/>
      <c r="B625" s="147"/>
      <c r="C625" s="147"/>
      <c r="D625" s="147"/>
      <c r="E625" s="147"/>
      <c r="F625" s="147"/>
      <c r="G625" s="147"/>
      <c r="H625" s="147"/>
      <c r="I625" s="147"/>
      <c r="J625" s="147"/>
      <c r="K625" s="147"/>
      <c r="L625" s="147"/>
      <c r="M625" s="147"/>
      <c r="N625" s="147"/>
      <c r="O625" s="147"/>
      <c r="P625" s="147"/>
      <c r="Q625" s="147"/>
      <c r="R625" s="147"/>
      <c r="S625" s="147"/>
      <c r="T625" s="147"/>
      <c r="U625" s="147"/>
      <c r="V625" s="147"/>
      <c r="W625" s="147"/>
      <c r="X625" s="147"/>
      <c r="Y625" s="147"/>
      <c r="Z625" s="147"/>
      <c r="AA625" s="147"/>
      <c r="AB625" s="147"/>
      <c r="AC625" s="147"/>
      <c r="AD625" s="147"/>
      <c r="AE625" s="147"/>
      <c r="AF625" s="147"/>
      <c r="AG625" s="147"/>
    </row>
    <row r="626" spans="1:33" ht="14.4">
      <c r="A626" s="147"/>
      <c r="B626" s="147"/>
      <c r="C626" s="147"/>
      <c r="D626" s="147"/>
      <c r="E626" s="147"/>
      <c r="F626" s="147"/>
      <c r="G626" s="147"/>
      <c r="H626" s="147"/>
      <c r="I626" s="147"/>
      <c r="J626" s="147"/>
      <c r="K626" s="147"/>
      <c r="L626" s="147"/>
      <c r="M626" s="147"/>
      <c r="N626" s="147"/>
      <c r="O626" s="147"/>
      <c r="P626" s="147"/>
      <c r="Q626" s="147"/>
      <c r="R626" s="147"/>
      <c r="S626" s="147"/>
      <c r="T626" s="147"/>
      <c r="U626" s="147"/>
      <c r="V626" s="147"/>
      <c r="W626" s="147"/>
      <c r="X626" s="147"/>
      <c r="Y626" s="147"/>
      <c r="Z626" s="147"/>
      <c r="AA626" s="147"/>
      <c r="AB626" s="147"/>
      <c r="AC626" s="147"/>
      <c r="AD626" s="147"/>
      <c r="AE626" s="147"/>
      <c r="AF626" s="147"/>
      <c r="AG626" s="147"/>
    </row>
    <row r="627" spans="1:33" ht="14.4">
      <c r="A627" s="147"/>
      <c r="B627" s="147"/>
      <c r="C627" s="147"/>
      <c r="D627" s="147"/>
      <c r="E627" s="147"/>
      <c r="F627" s="147"/>
      <c r="G627" s="147"/>
      <c r="H627" s="147"/>
      <c r="I627" s="147"/>
      <c r="J627" s="147"/>
      <c r="K627" s="147"/>
      <c r="L627" s="147"/>
      <c r="M627" s="147"/>
      <c r="N627" s="147"/>
      <c r="O627" s="147"/>
      <c r="P627" s="147"/>
      <c r="Q627" s="147"/>
      <c r="R627" s="147"/>
      <c r="S627" s="147"/>
      <c r="T627" s="147"/>
      <c r="U627" s="147"/>
      <c r="V627" s="147"/>
      <c r="W627" s="147"/>
      <c r="X627" s="147"/>
      <c r="Y627" s="147"/>
      <c r="Z627" s="147"/>
      <c r="AA627" s="147"/>
      <c r="AB627" s="147"/>
      <c r="AC627" s="147"/>
      <c r="AD627" s="147"/>
      <c r="AE627" s="147"/>
      <c r="AF627" s="147"/>
      <c r="AG627" s="147"/>
    </row>
    <row r="628" spans="1:33" ht="14.4">
      <c r="A628" s="147"/>
      <c r="B628" s="147"/>
      <c r="C628" s="147"/>
      <c r="D628" s="147"/>
      <c r="E628" s="147"/>
      <c r="F628" s="147"/>
      <c r="G628" s="147"/>
      <c r="H628" s="147"/>
      <c r="I628" s="147"/>
      <c r="J628" s="147"/>
      <c r="K628" s="147"/>
      <c r="L628" s="147"/>
      <c r="M628" s="147"/>
      <c r="N628" s="147"/>
      <c r="O628" s="147"/>
      <c r="P628" s="147"/>
      <c r="Q628" s="147"/>
      <c r="R628" s="147"/>
      <c r="S628" s="147"/>
      <c r="T628" s="147"/>
      <c r="U628" s="147"/>
      <c r="V628" s="147"/>
      <c r="W628" s="147"/>
      <c r="X628" s="147"/>
      <c r="Y628" s="147"/>
      <c r="Z628" s="147"/>
      <c r="AA628" s="147"/>
      <c r="AB628" s="147"/>
      <c r="AC628" s="147"/>
      <c r="AD628" s="147"/>
      <c r="AE628" s="147"/>
      <c r="AF628" s="147"/>
      <c r="AG628" s="147"/>
    </row>
    <row r="629" spans="1:33" ht="14.4">
      <c r="A629" s="147"/>
      <c r="B629" s="147"/>
      <c r="C629" s="147"/>
      <c r="D629" s="147"/>
      <c r="E629" s="147"/>
      <c r="F629" s="147"/>
      <c r="G629" s="147"/>
      <c r="H629" s="147"/>
      <c r="I629" s="147"/>
      <c r="J629" s="147"/>
      <c r="K629" s="147"/>
      <c r="L629" s="147"/>
      <c r="M629" s="147"/>
      <c r="N629" s="147"/>
      <c r="O629" s="147"/>
      <c r="P629" s="147"/>
      <c r="Q629" s="147"/>
      <c r="R629" s="147"/>
      <c r="S629" s="147"/>
      <c r="T629" s="147"/>
      <c r="U629" s="147"/>
      <c r="V629" s="147"/>
      <c r="W629" s="147"/>
      <c r="X629" s="147"/>
      <c r="Y629" s="147"/>
      <c r="Z629" s="147"/>
      <c r="AA629" s="147"/>
      <c r="AB629" s="147"/>
      <c r="AC629" s="147"/>
      <c r="AD629" s="147"/>
      <c r="AE629" s="147"/>
      <c r="AF629" s="147"/>
      <c r="AG629" s="147"/>
    </row>
    <row r="630" spans="1:33" ht="14.4">
      <c r="A630" s="147"/>
      <c r="B630" s="147"/>
      <c r="C630" s="147"/>
      <c r="D630" s="147"/>
      <c r="E630" s="147"/>
      <c r="F630" s="147"/>
      <c r="G630" s="147"/>
      <c r="H630" s="147"/>
      <c r="I630" s="147"/>
      <c r="J630" s="147"/>
      <c r="K630" s="147"/>
      <c r="L630" s="147"/>
      <c r="M630" s="147"/>
      <c r="N630" s="147"/>
      <c r="O630" s="147"/>
      <c r="P630" s="147"/>
      <c r="Q630" s="147"/>
      <c r="R630" s="147"/>
      <c r="S630" s="147"/>
      <c r="T630" s="147"/>
      <c r="U630" s="147"/>
      <c r="V630" s="147"/>
      <c r="W630" s="147"/>
      <c r="X630" s="147"/>
      <c r="Y630" s="147"/>
      <c r="Z630" s="147"/>
      <c r="AA630" s="147"/>
      <c r="AB630" s="147"/>
      <c r="AC630" s="147"/>
      <c r="AD630" s="147"/>
      <c r="AE630" s="147"/>
      <c r="AF630" s="147"/>
      <c r="AG630" s="147"/>
    </row>
    <row r="631" spans="1:33" ht="14.4">
      <c r="A631" s="147"/>
      <c r="B631" s="147"/>
      <c r="C631" s="147"/>
      <c r="D631" s="147"/>
      <c r="E631" s="147"/>
      <c r="F631" s="147"/>
      <c r="G631" s="147"/>
      <c r="H631" s="147"/>
      <c r="I631" s="147"/>
      <c r="J631" s="147"/>
      <c r="K631" s="147"/>
      <c r="L631" s="147"/>
      <c r="M631" s="147"/>
      <c r="N631" s="147"/>
      <c r="O631" s="147"/>
      <c r="P631" s="147"/>
      <c r="Q631" s="147"/>
      <c r="R631" s="147"/>
      <c r="S631" s="147"/>
      <c r="T631" s="147"/>
      <c r="U631" s="147"/>
      <c r="V631" s="147"/>
      <c r="W631" s="147"/>
      <c r="X631" s="147"/>
      <c r="Y631" s="147"/>
      <c r="Z631" s="147"/>
      <c r="AA631" s="147"/>
      <c r="AB631" s="147"/>
      <c r="AC631" s="147"/>
      <c r="AD631" s="147"/>
      <c r="AE631" s="147"/>
      <c r="AF631" s="147"/>
      <c r="AG631" s="147"/>
    </row>
    <row r="632" spans="1:33" ht="14.4">
      <c r="A632" s="147"/>
      <c r="B632" s="147"/>
      <c r="C632" s="147"/>
      <c r="D632" s="147"/>
      <c r="E632" s="147"/>
      <c r="F632" s="147"/>
      <c r="G632" s="147"/>
      <c r="H632" s="147"/>
      <c r="I632" s="147"/>
      <c r="J632" s="147"/>
      <c r="K632" s="147"/>
      <c r="L632" s="147"/>
      <c r="M632" s="147"/>
      <c r="N632" s="147"/>
      <c r="O632" s="147"/>
      <c r="P632" s="147"/>
      <c r="Q632" s="147"/>
      <c r="R632" s="147"/>
      <c r="S632" s="147"/>
      <c r="T632" s="147"/>
      <c r="U632" s="147"/>
      <c r="V632" s="147"/>
      <c r="W632" s="147"/>
      <c r="X632" s="147"/>
      <c r="Y632" s="147"/>
      <c r="Z632" s="147"/>
      <c r="AA632" s="147"/>
      <c r="AB632" s="147"/>
      <c r="AC632" s="147"/>
      <c r="AD632" s="147"/>
      <c r="AE632" s="147"/>
      <c r="AF632" s="147"/>
      <c r="AG632" s="147"/>
    </row>
    <row r="633" spans="1:33" ht="14.4">
      <c r="A633" s="147"/>
      <c r="B633" s="147"/>
      <c r="C633" s="147"/>
      <c r="D633" s="147"/>
      <c r="E633" s="147"/>
      <c r="F633" s="147"/>
      <c r="G633" s="147"/>
      <c r="H633" s="147"/>
      <c r="I633" s="147"/>
      <c r="J633" s="147"/>
      <c r="K633" s="147"/>
      <c r="L633" s="147"/>
      <c r="M633" s="147"/>
      <c r="N633" s="147"/>
      <c r="O633" s="147"/>
      <c r="P633" s="147"/>
      <c r="Q633" s="147"/>
      <c r="R633" s="147"/>
      <c r="S633" s="147"/>
      <c r="T633" s="147"/>
      <c r="U633" s="147"/>
      <c r="V633" s="147"/>
      <c r="W633" s="147"/>
      <c r="X633" s="147"/>
      <c r="Y633" s="147"/>
      <c r="Z633" s="147"/>
      <c r="AA633" s="147"/>
      <c r="AB633" s="147"/>
      <c r="AC633" s="147"/>
      <c r="AD633" s="147"/>
      <c r="AE633" s="147"/>
      <c r="AF633" s="147"/>
      <c r="AG633" s="147"/>
    </row>
    <row r="634" spans="1:33" ht="14.4">
      <c r="A634" s="147"/>
      <c r="B634" s="147"/>
      <c r="C634" s="147"/>
      <c r="D634" s="147"/>
      <c r="E634" s="147"/>
      <c r="F634" s="147"/>
      <c r="G634" s="147"/>
      <c r="H634" s="147"/>
      <c r="I634" s="147"/>
      <c r="J634" s="147"/>
      <c r="K634" s="147"/>
      <c r="L634" s="147"/>
      <c r="M634" s="147"/>
      <c r="N634" s="147"/>
      <c r="O634" s="147"/>
      <c r="P634" s="147"/>
      <c r="Q634" s="147"/>
      <c r="R634" s="147"/>
      <c r="S634" s="147"/>
      <c r="T634" s="147"/>
      <c r="U634" s="147"/>
      <c r="V634" s="147"/>
      <c r="W634" s="147"/>
      <c r="X634" s="147"/>
      <c r="Y634" s="147"/>
      <c r="Z634" s="147"/>
      <c r="AA634" s="147"/>
      <c r="AB634" s="147"/>
      <c r="AC634" s="147"/>
      <c r="AD634" s="147"/>
      <c r="AE634" s="147"/>
      <c r="AF634" s="147"/>
      <c r="AG634" s="147"/>
    </row>
    <row r="635" spans="1:33" ht="14.4">
      <c r="A635" s="147"/>
      <c r="B635" s="147"/>
      <c r="C635" s="147"/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  <c r="P635" s="147"/>
      <c r="Q635" s="147"/>
      <c r="R635" s="147"/>
      <c r="S635" s="147"/>
      <c r="T635" s="147"/>
      <c r="U635" s="147"/>
      <c r="V635" s="147"/>
      <c r="W635" s="147"/>
      <c r="X635" s="147"/>
      <c r="Y635" s="147"/>
      <c r="Z635" s="147"/>
      <c r="AA635" s="147"/>
      <c r="AB635" s="147"/>
      <c r="AC635" s="147"/>
      <c r="AD635" s="147"/>
      <c r="AE635" s="147"/>
      <c r="AF635" s="147"/>
      <c r="AG635" s="147"/>
    </row>
    <row r="636" spans="1:33" ht="14.4">
      <c r="A636" s="147"/>
      <c r="B636" s="147"/>
      <c r="C636" s="147"/>
      <c r="D636" s="147"/>
      <c r="E636" s="147"/>
      <c r="F636" s="147"/>
      <c r="G636" s="147"/>
      <c r="H636" s="147"/>
      <c r="I636" s="147"/>
      <c r="J636" s="147"/>
      <c r="K636" s="147"/>
      <c r="L636" s="147"/>
      <c r="M636" s="147"/>
      <c r="N636" s="147"/>
      <c r="O636" s="147"/>
      <c r="P636" s="147"/>
      <c r="Q636" s="147"/>
      <c r="R636" s="147"/>
      <c r="S636" s="147"/>
      <c r="T636" s="147"/>
      <c r="U636" s="147"/>
      <c r="V636" s="147"/>
      <c r="W636" s="147"/>
      <c r="X636" s="147"/>
      <c r="Y636" s="147"/>
      <c r="Z636" s="147"/>
      <c r="AA636" s="147"/>
      <c r="AB636" s="147"/>
      <c r="AC636" s="147"/>
      <c r="AD636" s="147"/>
      <c r="AE636" s="147"/>
      <c r="AF636" s="147"/>
      <c r="AG636" s="147"/>
    </row>
    <row r="637" spans="1:33" ht="14.4">
      <c r="A637" s="147"/>
      <c r="B637" s="147"/>
      <c r="C637" s="147"/>
      <c r="D637" s="147"/>
      <c r="E637" s="147"/>
      <c r="F637" s="147"/>
      <c r="G637" s="147"/>
      <c r="H637" s="147"/>
      <c r="I637" s="147"/>
      <c r="J637" s="147"/>
      <c r="K637" s="147"/>
      <c r="L637" s="147"/>
      <c r="M637" s="147"/>
      <c r="N637" s="147"/>
      <c r="O637" s="147"/>
      <c r="P637" s="147"/>
      <c r="Q637" s="147"/>
      <c r="R637" s="147"/>
      <c r="S637" s="147"/>
      <c r="T637" s="147"/>
      <c r="U637" s="147"/>
      <c r="V637" s="147"/>
      <c r="W637" s="147"/>
      <c r="X637" s="147"/>
      <c r="Y637" s="147"/>
      <c r="Z637" s="147"/>
      <c r="AA637" s="147"/>
      <c r="AB637" s="147"/>
      <c r="AC637" s="147"/>
      <c r="AD637" s="147"/>
      <c r="AE637" s="147"/>
      <c r="AF637" s="147"/>
      <c r="AG637" s="147"/>
    </row>
    <row r="638" spans="1:33" ht="14.4">
      <c r="A638" s="147"/>
      <c r="B638" s="147"/>
      <c r="C638" s="147"/>
      <c r="D638" s="147"/>
      <c r="E638" s="147"/>
      <c r="F638" s="147"/>
      <c r="G638" s="147"/>
      <c r="H638" s="147"/>
      <c r="I638" s="147"/>
      <c r="J638" s="147"/>
      <c r="K638" s="147"/>
      <c r="L638" s="147"/>
      <c r="M638" s="147"/>
      <c r="N638" s="147"/>
      <c r="O638" s="147"/>
      <c r="P638" s="147"/>
      <c r="Q638" s="147"/>
      <c r="R638" s="147"/>
      <c r="S638" s="147"/>
      <c r="T638" s="147"/>
      <c r="U638" s="147"/>
      <c r="V638" s="147"/>
      <c r="W638" s="147"/>
      <c r="X638" s="147"/>
      <c r="Y638" s="147"/>
      <c r="Z638" s="147"/>
      <c r="AA638" s="147"/>
      <c r="AB638" s="147"/>
      <c r="AC638" s="147"/>
      <c r="AD638" s="147"/>
      <c r="AE638" s="147"/>
      <c r="AF638" s="147"/>
      <c r="AG638" s="147"/>
    </row>
    <row r="639" spans="1:33" ht="14.4">
      <c r="A639" s="147"/>
      <c r="B639" s="147"/>
      <c r="C639" s="147"/>
      <c r="D639" s="147"/>
      <c r="E639" s="147"/>
      <c r="F639" s="147"/>
      <c r="G639" s="147"/>
      <c r="H639" s="147"/>
      <c r="I639" s="147"/>
      <c r="J639" s="147"/>
      <c r="K639" s="147"/>
      <c r="L639" s="147"/>
      <c r="M639" s="147"/>
      <c r="N639" s="147"/>
      <c r="O639" s="147"/>
      <c r="P639" s="147"/>
      <c r="Q639" s="147"/>
      <c r="R639" s="147"/>
      <c r="S639" s="147"/>
      <c r="T639" s="147"/>
      <c r="U639" s="147"/>
      <c r="V639" s="147"/>
      <c r="W639" s="147"/>
      <c r="X639" s="147"/>
      <c r="Y639" s="147"/>
      <c r="Z639" s="147"/>
      <c r="AA639" s="147"/>
      <c r="AB639" s="147"/>
      <c r="AC639" s="147"/>
      <c r="AD639" s="147"/>
      <c r="AE639" s="147"/>
      <c r="AF639" s="147"/>
      <c r="AG639" s="147"/>
    </row>
    <row r="640" spans="1:33" ht="14.4">
      <c r="A640" s="147"/>
      <c r="B640" s="147"/>
      <c r="C640" s="147"/>
      <c r="D640" s="147"/>
      <c r="E640" s="147"/>
      <c r="F640" s="147"/>
      <c r="G640" s="147"/>
      <c r="H640" s="147"/>
      <c r="I640" s="147"/>
      <c r="J640" s="147"/>
      <c r="K640" s="147"/>
      <c r="L640" s="147"/>
      <c r="M640" s="147"/>
      <c r="N640" s="147"/>
      <c r="O640" s="147"/>
      <c r="P640" s="147"/>
      <c r="Q640" s="147"/>
      <c r="R640" s="147"/>
      <c r="S640" s="147"/>
      <c r="T640" s="147"/>
      <c r="U640" s="147"/>
      <c r="V640" s="147"/>
      <c r="W640" s="147"/>
      <c r="X640" s="147"/>
      <c r="Y640" s="147"/>
      <c r="Z640" s="147"/>
      <c r="AA640" s="147"/>
      <c r="AB640" s="147"/>
      <c r="AC640" s="147"/>
      <c r="AD640" s="147"/>
      <c r="AE640" s="147"/>
      <c r="AF640" s="147"/>
      <c r="AG640" s="147"/>
    </row>
    <row r="641" spans="1:33" ht="14.4">
      <c r="A641" s="147"/>
      <c r="B641" s="147"/>
      <c r="C641" s="147"/>
      <c r="D641" s="147"/>
      <c r="E641" s="147"/>
      <c r="F641" s="147"/>
      <c r="G641" s="147"/>
      <c r="H641" s="147"/>
      <c r="I641" s="147"/>
      <c r="J641" s="147"/>
      <c r="K641" s="147"/>
      <c r="L641" s="147"/>
      <c r="M641" s="147"/>
      <c r="N641" s="147"/>
      <c r="O641" s="147"/>
      <c r="P641" s="147"/>
      <c r="Q641" s="147"/>
      <c r="R641" s="147"/>
      <c r="S641" s="147"/>
      <c r="T641" s="147"/>
      <c r="U641" s="147"/>
      <c r="V641" s="147"/>
      <c r="W641" s="147"/>
      <c r="X641" s="147"/>
      <c r="Y641" s="147"/>
      <c r="Z641" s="147"/>
      <c r="AA641" s="147"/>
      <c r="AB641" s="147"/>
      <c r="AC641" s="147"/>
      <c r="AD641" s="147"/>
      <c r="AE641" s="147"/>
      <c r="AF641" s="147"/>
      <c r="AG641" s="147"/>
    </row>
    <row r="642" spans="1:33" ht="14.4">
      <c r="A642" s="147"/>
      <c r="B642" s="147"/>
      <c r="C642" s="147"/>
      <c r="D642" s="147"/>
      <c r="E642" s="147"/>
      <c r="F642" s="147"/>
      <c r="G642" s="147"/>
      <c r="H642" s="147"/>
      <c r="I642" s="147"/>
      <c r="J642" s="147"/>
      <c r="K642" s="147"/>
      <c r="L642" s="147"/>
      <c r="M642" s="147"/>
      <c r="N642" s="147"/>
      <c r="O642" s="147"/>
      <c r="P642" s="147"/>
      <c r="Q642" s="147"/>
      <c r="R642" s="147"/>
      <c r="S642" s="147"/>
      <c r="T642" s="147"/>
      <c r="U642" s="147"/>
      <c r="V642" s="147"/>
      <c r="W642" s="147"/>
      <c r="X642" s="147"/>
      <c r="Y642" s="147"/>
      <c r="Z642" s="147"/>
      <c r="AA642" s="147"/>
      <c r="AB642" s="147"/>
      <c r="AC642" s="147"/>
      <c r="AD642" s="147"/>
      <c r="AE642" s="147"/>
      <c r="AF642" s="147"/>
      <c r="AG642" s="147"/>
    </row>
    <row r="643" spans="1:33" ht="14.4">
      <c r="A643" s="147"/>
      <c r="B643" s="147"/>
      <c r="C643" s="147"/>
      <c r="D643" s="147"/>
      <c r="E643" s="147"/>
      <c r="F643" s="147"/>
      <c r="G643" s="147"/>
      <c r="H643" s="147"/>
      <c r="I643" s="147"/>
      <c r="J643" s="147"/>
      <c r="K643" s="147"/>
      <c r="L643" s="147"/>
      <c r="M643" s="147"/>
      <c r="N643" s="147"/>
      <c r="O643" s="147"/>
      <c r="P643" s="147"/>
      <c r="Q643" s="147"/>
      <c r="R643" s="147"/>
      <c r="S643" s="147"/>
      <c r="T643" s="147"/>
      <c r="U643" s="147"/>
      <c r="V643" s="147"/>
      <c r="W643" s="147"/>
      <c r="X643" s="147"/>
      <c r="Y643" s="147"/>
      <c r="Z643" s="147"/>
      <c r="AA643" s="147"/>
      <c r="AB643" s="147"/>
      <c r="AC643" s="147"/>
      <c r="AD643" s="147"/>
      <c r="AE643" s="147"/>
      <c r="AF643" s="147"/>
      <c r="AG643" s="147"/>
    </row>
    <row r="644" spans="1:33" ht="14.4">
      <c r="A644" s="147"/>
      <c r="B644" s="147"/>
      <c r="C644" s="147"/>
      <c r="D644" s="147"/>
      <c r="E644" s="147"/>
      <c r="F644" s="147"/>
      <c r="G644" s="147"/>
      <c r="H644" s="147"/>
      <c r="I644" s="147"/>
      <c r="J644" s="147"/>
      <c r="K644" s="147"/>
      <c r="L644" s="147"/>
      <c r="M644" s="147"/>
      <c r="N644" s="147"/>
      <c r="O644" s="147"/>
      <c r="P644" s="147"/>
      <c r="Q644" s="147"/>
      <c r="R644" s="147"/>
      <c r="S644" s="147"/>
      <c r="T644" s="147"/>
      <c r="U644" s="147"/>
      <c r="V644" s="147"/>
      <c r="W644" s="147"/>
      <c r="X644" s="147"/>
      <c r="Y644" s="147"/>
      <c r="Z644" s="147"/>
      <c r="AA644" s="147"/>
      <c r="AB644" s="147"/>
      <c r="AC644" s="147"/>
      <c r="AD644" s="147"/>
      <c r="AE644" s="147"/>
      <c r="AF644" s="147"/>
      <c r="AG644" s="147"/>
    </row>
    <row r="645" spans="1:33" ht="14.4">
      <c r="A645" s="147"/>
      <c r="B645" s="147"/>
      <c r="C645" s="147"/>
      <c r="D645" s="147"/>
      <c r="E645" s="147"/>
      <c r="F645" s="147"/>
      <c r="G645" s="147"/>
      <c r="H645" s="147"/>
      <c r="I645" s="147"/>
      <c r="J645" s="147"/>
      <c r="K645" s="147"/>
      <c r="L645" s="147"/>
      <c r="M645" s="147"/>
      <c r="N645" s="147"/>
      <c r="O645" s="147"/>
      <c r="P645" s="147"/>
      <c r="Q645" s="147"/>
      <c r="R645" s="147"/>
      <c r="S645" s="147"/>
      <c r="T645" s="147"/>
      <c r="U645" s="147"/>
      <c r="V645" s="147"/>
      <c r="W645" s="147"/>
      <c r="X645" s="147"/>
      <c r="Y645" s="147"/>
      <c r="Z645" s="147"/>
      <c r="AA645" s="147"/>
      <c r="AB645" s="147"/>
      <c r="AC645" s="147"/>
      <c r="AD645" s="147"/>
      <c r="AE645" s="147"/>
      <c r="AF645" s="147"/>
      <c r="AG645" s="147"/>
    </row>
    <row r="646" spans="1:33" ht="14.4">
      <c r="A646" s="147"/>
      <c r="B646" s="147"/>
      <c r="C646" s="147"/>
      <c r="D646" s="147"/>
      <c r="E646" s="147"/>
      <c r="F646" s="147"/>
      <c r="G646" s="147"/>
      <c r="H646" s="147"/>
      <c r="I646" s="147"/>
      <c r="J646" s="147"/>
      <c r="K646" s="147"/>
      <c r="L646" s="147"/>
      <c r="M646" s="147"/>
      <c r="N646" s="147"/>
      <c r="O646" s="147"/>
      <c r="P646" s="147"/>
      <c r="Q646" s="147"/>
      <c r="R646" s="147"/>
      <c r="S646" s="147"/>
      <c r="T646" s="147"/>
      <c r="U646" s="147"/>
      <c r="V646" s="147"/>
      <c r="W646" s="147"/>
      <c r="X646" s="147"/>
      <c r="Y646" s="147"/>
      <c r="Z646" s="147"/>
      <c r="AA646" s="147"/>
      <c r="AB646" s="147"/>
      <c r="AC646" s="147"/>
      <c r="AD646" s="147"/>
      <c r="AE646" s="147"/>
      <c r="AF646" s="147"/>
      <c r="AG646" s="147"/>
    </row>
    <row r="647" spans="1:33" ht="14.4">
      <c r="A647" s="147"/>
      <c r="B647" s="147"/>
      <c r="C647" s="147"/>
      <c r="D647" s="147"/>
      <c r="E647" s="147"/>
      <c r="F647" s="147"/>
      <c r="G647" s="147"/>
      <c r="H647" s="147"/>
      <c r="I647" s="147"/>
      <c r="J647" s="147"/>
      <c r="K647" s="147"/>
      <c r="L647" s="147"/>
      <c r="M647" s="147"/>
      <c r="N647" s="147"/>
      <c r="O647" s="147"/>
      <c r="P647" s="147"/>
      <c r="Q647" s="147"/>
      <c r="R647" s="147"/>
      <c r="S647" s="147"/>
      <c r="T647" s="147"/>
      <c r="U647" s="147"/>
      <c r="V647" s="147"/>
      <c r="W647" s="147"/>
      <c r="X647" s="147"/>
      <c r="Y647" s="147"/>
      <c r="Z647" s="147"/>
      <c r="AA647" s="147"/>
      <c r="AB647" s="147"/>
      <c r="AC647" s="147"/>
      <c r="AD647" s="147"/>
      <c r="AE647" s="147"/>
      <c r="AF647" s="147"/>
      <c r="AG647" s="147"/>
    </row>
    <row r="648" spans="1:33" ht="14.4">
      <c r="A648" s="147"/>
      <c r="B648" s="147"/>
      <c r="C648" s="147"/>
      <c r="D648" s="147"/>
      <c r="E648" s="147"/>
      <c r="F648" s="147"/>
      <c r="G648" s="147"/>
      <c r="H648" s="147"/>
      <c r="I648" s="147"/>
      <c r="J648" s="147"/>
      <c r="K648" s="147"/>
      <c r="L648" s="147"/>
      <c r="M648" s="147"/>
      <c r="N648" s="147"/>
      <c r="O648" s="147"/>
      <c r="P648" s="147"/>
      <c r="Q648" s="147"/>
      <c r="R648" s="147"/>
      <c r="S648" s="147"/>
      <c r="T648" s="147"/>
      <c r="U648" s="147"/>
      <c r="V648" s="147"/>
      <c r="W648" s="147"/>
      <c r="X648" s="147"/>
      <c r="Y648" s="147"/>
      <c r="Z648" s="147"/>
      <c r="AA648" s="147"/>
      <c r="AB648" s="147"/>
      <c r="AC648" s="147"/>
      <c r="AD648" s="147"/>
      <c r="AE648" s="147"/>
      <c r="AF648" s="147"/>
      <c r="AG648" s="147"/>
    </row>
    <row r="649" spans="1:33" ht="14.4">
      <c r="A649" s="147"/>
      <c r="B649" s="147"/>
      <c r="C649" s="147"/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  <c r="P649" s="147"/>
      <c r="Q649" s="147"/>
      <c r="R649" s="147"/>
      <c r="S649" s="147"/>
      <c r="T649" s="147"/>
      <c r="U649" s="147"/>
      <c r="V649" s="147"/>
      <c r="W649" s="147"/>
      <c r="X649" s="147"/>
      <c r="Y649" s="147"/>
      <c r="Z649" s="147"/>
      <c r="AA649" s="147"/>
      <c r="AB649" s="147"/>
      <c r="AC649" s="147"/>
      <c r="AD649" s="147"/>
      <c r="AE649" s="147"/>
      <c r="AF649" s="147"/>
      <c r="AG649" s="147"/>
    </row>
    <row r="650" spans="1:33" ht="14.4">
      <c r="A650" s="147"/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</row>
    <row r="651" spans="1:33" ht="14.4">
      <c r="A651" s="147"/>
      <c r="B651" s="147"/>
      <c r="C651" s="147"/>
      <c r="D651" s="147"/>
      <c r="E651" s="147"/>
      <c r="F651" s="147"/>
      <c r="G651" s="147"/>
      <c r="H651" s="147"/>
      <c r="I651" s="147"/>
      <c r="J651" s="147"/>
      <c r="K651" s="147"/>
      <c r="L651" s="147"/>
      <c r="M651" s="147"/>
      <c r="N651" s="147"/>
      <c r="O651" s="147"/>
      <c r="P651" s="147"/>
      <c r="Q651" s="147"/>
      <c r="R651" s="147"/>
      <c r="S651" s="147"/>
      <c r="T651" s="147"/>
      <c r="U651" s="147"/>
      <c r="V651" s="147"/>
      <c r="W651" s="147"/>
      <c r="X651" s="147"/>
      <c r="Y651" s="147"/>
      <c r="Z651" s="147"/>
      <c r="AA651" s="147"/>
      <c r="AB651" s="147"/>
      <c r="AC651" s="147"/>
      <c r="AD651" s="147"/>
      <c r="AE651" s="147"/>
      <c r="AF651" s="147"/>
      <c r="AG651" s="147"/>
    </row>
    <row r="652" spans="1:33" ht="14.4">
      <c r="A652" s="147"/>
      <c r="B652" s="147"/>
      <c r="C652" s="147"/>
      <c r="D652" s="147"/>
      <c r="E652" s="147"/>
      <c r="F652" s="147"/>
      <c r="G652" s="147"/>
      <c r="H652" s="147"/>
      <c r="I652" s="147"/>
      <c r="J652" s="147"/>
      <c r="K652" s="147"/>
      <c r="L652" s="147"/>
      <c r="M652" s="147"/>
      <c r="N652" s="147"/>
      <c r="O652" s="147"/>
      <c r="P652" s="147"/>
      <c r="Q652" s="147"/>
      <c r="R652" s="147"/>
      <c r="S652" s="147"/>
      <c r="T652" s="147"/>
      <c r="U652" s="147"/>
      <c r="V652" s="147"/>
      <c r="W652" s="147"/>
      <c r="X652" s="147"/>
      <c r="Y652" s="147"/>
      <c r="Z652" s="147"/>
      <c r="AA652" s="147"/>
      <c r="AB652" s="147"/>
      <c r="AC652" s="147"/>
      <c r="AD652" s="147"/>
      <c r="AE652" s="147"/>
      <c r="AF652" s="147"/>
      <c r="AG652" s="147"/>
    </row>
    <row r="653" spans="1:33" ht="14.4">
      <c r="A653" s="147"/>
      <c r="B653" s="147"/>
      <c r="C653" s="147"/>
      <c r="D653" s="147"/>
      <c r="E653" s="147"/>
      <c r="F653" s="147"/>
      <c r="G653" s="147"/>
      <c r="H653" s="147"/>
      <c r="I653" s="147"/>
      <c r="J653" s="147"/>
      <c r="K653" s="147"/>
      <c r="L653" s="147"/>
      <c r="M653" s="147"/>
      <c r="N653" s="147"/>
      <c r="O653" s="147"/>
      <c r="P653" s="147"/>
      <c r="Q653" s="147"/>
      <c r="R653" s="147"/>
      <c r="S653" s="147"/>
      <c r="T653" s="147"/>
      <c r="U653" s="147"/>
      <c r="V653" s="147"/>
      <c r="W653" s="147"/>
      <c r="X653" s="147"/>
      <c r="Y653" s="147"/>
      <c r="Z653" s="147"/>
      <c r="AA653" s="147"/>
      <c r="AB653" s="147"/>
      <c r="AC653" s="147"/>
      <c r="AD653" s="147"/>
      <c r="AE653" s="147"/>
      <c r="AF653" s="147"/>
      <c r="AG653" s="147"/>
    </row>
    <row r="654" spans="1:33" ht="14.4">
      <c r="A654" s="147"/>
      <c r="B654" s="147"/>
      <c r="C654" s="147"/>
      <c r="D654" s="147"/>
      <c r="E654" s="147"/>
      <c r="F654" s="147"/>
      <c r="G654" s="147"/>
      <c r="H654" s="147"/>
      <c r="I654" s="147"/>
      <c r="J654" s="147"/>
      <c r="K654" s="147"/>
      <c r="L654" s="147"/>
      <c r="M654" s="147"/>
      <c r="N654" s="147"/>
      <c r="O654" s="147"/>
      <c r="P654" s="147"/>
      <c r="Q654" s="147"/>
      <c r="R654" s="147"/>
      <c r="S654" s="147"/>
      <c r="T654" s="147"/>
      <c r="U654" s="147"/>
      <c r="V654" s="147"/>
      <c r="W654" s="147"/>
      <c r="X654" s="147"/>
      <c r="Y654" s="147"/>
      <c r="Z654" s="147"/>
      <c r="AA654" s="147"/>
      <c r="AB654" s="147"/>
      <c r="AC654" s="147"/>
      <c r="AD654" s="147"/>
      <c r="AE654" s="147"/>
      <c r="AF654" s="147"/>
      <c r="AG654" s="147"/>
    </row>
    <row r="655" spans="1:33" ht="14.4">
      <c r="A655" s="147"/>
      <c r="B655" s="147"/>
      <c r="C655" s="147"/>
      <c r="D655" s="147"/>
      <c r="E655" s="147"/>
      <c r="F655" s="147"/>
      <c r="G655" s="147"/>
      <c r="H655" s="147"/>
      <c r="I655" s="147"/>
      <c r="J655" s="147"/>
      <c r="K655" s="147"/>
      <c r="L655" s="147"/>
      <c r="M655" s="147"/>
      <c r="N655" s="147"/>
      <c r="O655" s="147"/>
      <c r="P655" s="147"/>
      <c r="Q655" s="147"/>
      <c r="R655" s="147"/>
      <c r="S655" s="147"/>
      <c r="T655" s="147"/>
      <c r="U655" s="147"/>
      <c r="V655" s="147"/>
      <c r="W655" s="147"/>
      <c r="X655" s="147"/>
      <c r="Y655" s="147"/>
      <c r="Z655" s="147"/>
      <c r="AA655" s="147"/>
      <c r="AB655" s="147"/>
      <c r="AC655" s="147"/>
      <c r="AD655" s="147"/>
      <c r="AE655" s="147"/>
      <c r="AF655" s="147"/>
      <c r="AG655" s="147"/>
    </row>
    <row r="656" spans="1:33" ht="14.4">
      <c r="A656" s="147"/>
      <c r="B656" s="147"/>
      <c r="C656" s="147"/>
      <c r="D656" s="147"/>
      <c r="E656" s="147"/>
      <c r="F656" s="147"/>
      <c r="G656" s="147"/>
      <c r="H656" s="147"/>
      <c r="I656" s="147"/>
      <c r="J656" s="147"/>
      <c r="K656" s="147"/>
      <c r="L656" s="147"/>
      <c r="M656" s="147"/>
      <c r="N656" s="147"/>
      <c r="O656" s="147"/>
      <c r="P656" s="147"/>
      <c r="Q656" s="147"/>
      <c r="R656" s="147"/>
      <c r="S656" s="147"/>
      <c r="T656" s="147"/>
      <c r="U656" s="147"/>
      <c r="V656" s="147"/>
      <c r="W656" s="147"/>
      <c r="X656" s="147"/>
      <c r="Y656" s="147"/>
      <c r="Z656" s="147"/>
      <c r="AA656" s="147"/>
      <c r="AB656" s="147"/>
      <c r="AC656" s="147"/>
      <c r="AD656" s="147"/>
      <c r="AE656" s="147"/>
      <c r="AF656" s="147"/>
      <c r="AG656" s="147"/>
    </row>
    <row r="657" spans="1:33" ht="14.4">
      <c r="A657" s="147"/>
      <c r="B657" s="147"/>
      <c r="C657" s="147"/>
      <c r="D657" s="147"/>
      <c r="E657" s="147"/>
      <c r="F657" s="147"/>
      <c r="G657" s="147"/>
      <c r="H657" s="147"/>
      <c r="I657" s="147"/>
      <c r="J657" s="147"/>
      <c r="K657" s="147"/>
      <c r="L657" s="147"/>
      <c r="M657" s="147"/>
      <c r="N657" s="147"/>
      <c r="O657" s="147"/>
      <c r="P657" s="147"/>
      <c r="Q657" s="147"/>
      <c r="R657" s="147"/>
      <c r="S657" s="147"/>
      <c r="T657" s="147"/>
      <c r="U657" s="147"/>
      <c r="V657" s="147"/>
      <c r="W657" s="147"/>
      <c r="X657" s="147"/>
      <c r="Y657" s="147"/>
      <c r="Z657" s="147"/>
      <c r="AA657" s="147"/>
      <c r="AB657" s="147"/>
      <c r="AC657" s="147"/>
      <c r="AD657" s="147"/>
      <c r="AE657" s="147"/>
      <c r="AF657" s="147"/>
      <c r="AG657" s="147"/>
    </row>
    <row r="658" spans="1:33" ht="14.4">
      <c r="A658" s="147"/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  <c r="AG658" s="147"/>
    </row>
    <row r="659" spans="1:33" ht="14.4">
      <c r="A659" s="147"/>
      <c r="B659" s="147"/>
      <c r="C659" s="147"/>
      <c r="D659" s="147"/>
      <c r="E659" s="147"/>
      <c r="F659" s="147"/>
      <c r="G659" s="147"/>
      <c r="H659" s="147"/>
      <c r="I659" s="147"/>
      <c r="J659" s="147"/>
      <c r="K659" s="147"/>
      <c r="L659" s="147"/>
      <c r="M659" s="147"/>
      <c r="N659" s="147"/>
      <c r="O659" s="147"/>
      <c r="P659" s="147"/>
      <c r="Q659" s="147"/>
      <c r="R659" s="147"/>
      <c r="S659" s="147"/>
      <c r="T659" s="147"/>
      <c r="U659" s="147"/>
      <c r="V659" s="147"/>
      <c r="W659" s="147"/>
      <c r="X659" s="147"/>
      <c r="Y659" s="147"/>
      <c r="Z659" s="147"/>
      <c r="AA659" s="147"/>
      <c r="AB659" s="147"/>
      <c r="AC659" s="147"/>
      <c r="AD659" s="147"/>
      <c r="AE659" s="147"/>
      <c r="AF659" s="147"/>
      <c r="AG659" s="147"/>
    </row>
    <row r="660" spans="1:33" ht="14.4">
      <c r="A660" s="147"/>
      <c r="B660" s="147"/>
      <c r="C660" s="147"/>
      <c r="D660" s="147"/>
      <c r="E660" s="147"/>
      <c r="F660" s="147"/>
      <c r="G660" s="147"/>
      <c r="H660" s="147"/>
      <c r="I660" s="147"/>
      <c r="J660" s="147"/>
      <c r="K660" s="147"/>
      <c r="L660" s="147"/>
      <c r="M660" s="147"/>
      <c r="N660" s="147"/>
      <c r="O660" s="147"/>
      <c r="P660" s="147"/>
      <c r="Q660" s="147"/>
      <c r="R660" s="147"/>
      <c r="S660" s="147"/>
      <c r="T660" s="147"/>
      <c r="U660" s="147"/>
      <c r="V660" s="147"/>
      <c r="W660" s="147"/>
      <c r="X660" s="147"/>
      <c r="Y660" s="147"/>
      <c r="Z660" s="147"/>
      <c r="AA660" s="147"/>
      <c r="AB660" s="147"/>
      <c r="AC660" s="147"/>
      <c r="AD660" s="147"/>
      <c r="AE660" s="147"/>
      <c r="AF660" s="147"/>
      <c r="AG660" s="147"/>
    </row>
    <row r="661" spans="1:33" ht="14.4">
      <c r="A661" s="147"/>
      <c r="B661" s="147"/>
      <c r="C661" s="147"/>
      <c r="D661" s="147"/>
      <c r="E661" s="147"/>
      <c r="F661" s="147"/>
      <c r="G661" s="147"/>
      <c r="H661" s="147"/>
      <c r="I661" s="147"/>
      <c r="J661" s="147"/>
      <c r="K661" s="147"/>
      <c r="L661" s="147"/>
      <c r="M661" s="147"/>
      <c r="N661" s="147"/>
      <c r="O661" s="147"/>
      <c r="P661" s="147"/>
      <c r="Q661" s="147"/>
      <c r="R661" s="147"/>
      <c r="S661" s="147"/>
      <c r="T661" s="147"/>
      <c r="U661" s="147"/>
      <c r="V661" s="147"/>
      <c r="W661" s="147"/>
      <c r="X661" s="147"/>
      <c r="Y661" s="147"/>
      <c r="Z661" s="147"/>
      <c r="AA661" s="147"/>
      <c r="AB661" s="147"/>
      <c r="AC661" s="147"/>
      <c r="AD661" s="147"/>
      <c r="AE661" s="147"/>
      <c r="AF661" s="147"/>
      <c r="AG661" s="147"/>
    </row>
    <row r="662" spans="1:33" ht="14.4">
      <c r="A662" s="147"/>
      <c r="B662" s="147"/>
      <c r="C662" s="147"/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  <c r="P662" s="147"/>
      <c r="Q662" s="147"/>
      <c r="R662" s="147"/>
      <c r="S662" s="147"/>
      <c r="T662" s="147"/>
      <c r="U662" s="147"/>
      <c r="V662" s="147"/>
      <c r="W662" s="147"/>
      <c r="X662" s="147"/>
      <c r="Y662" s="147"/>
      <c r="Z662" s="147"/>
      <c r="AA662" s="147"/>
      <c r="AB662" s="147"/>
      <c r="AC662" s="147"/>
      <c r="AD662" s="147"/>
      <c r="AE662" s="147"/>
      <c r="AF662" s="147"/>
      <c r="AG662" s="147"/>
    </row>
    <row r="663" spans="1:33" ht="14.4">
      <c r="A663" s="147"/>
      <c r="B663" s="147"/>
      <c r="C663" s="147"/>
      <c r="D663" s="147"/>
      <c r="E663" s="147"/>
      <c r="F663" s="147"/>
      <c r="G663" s="147"/>
      <c r="H663" s="147"/>
      <c r="I663" s="147"/>
      <c r="J663" s="147"/>
      <c r="K663" s="147"/>
      <c r="L663" s="147"/>
      <c r="M663" s="147"/>
      <c r="N663" s="147"/>
      <c r="O663" s="147"/>
      <c r="P663" s="147"/>
      <c r="Q663" s="147"/>
      <c r="R663" s="147"/>
      <c r="S663" s="147"/>
      <c r="T663" s="147"/>
      <c r="U663" s="147"/>
      <c r="V663" s="147"/>
      <c r="W663" s="147"/>
      <c r="X663" s="147"/>
      <c r="Y663" s="147"/>
      <c r="Z663" s="147"/>
      <c r="AA663" s="147"/>
      <c r="AB663" s="147"/>
      <c r="AC663" s="147"/>
      <c r="AD663" s="147"/>
      <c r="AE663" s="147"/>
      <c r="AF663" s="147"/>
      <c r="AG663" s="147"/>
    </row>
    <row r="664" spans="1:33" ht="14.4">
      <c r="A664" s="147"/>
      <c r="B664" s="147"/>
      <c r="C664" s="147"/>
      <c r="D664" s="147"/>
      <c r="E664" s="147"/>
      <c r="F664" s="147"/>
      <c r="G664" s="147"/>
      <c r="H664" s="147"/>
      <c r="I664" s="147"/>
      <c r="J664" s="147"/>
      <c r="K664" s="147"/>
      <c r="L664" s="147"/>
      <c r="M664" s="147"/>
      <c r="N664" s="147"/>
      <c r="O664" s="147"/>
      <c r="P664" s="147"/>
      <c r="Q664" s="147"/>
      <c r="R664" s="147"/>
      <c r="S664" s="147"/>
      <c r="T664" s="147"/>
      <c r="U664" s="147"/>
      <c r="V664" s="147"/>
      <c r="W664" s="147"/>
      <c r="X664" s="147"/>
      <c r="Y664" s="147"/>
      <c r="Z664" s="147"/>
      <c r="AA664" s="147"/>
      <c r="AB664" s="147"/>
      <c r="AC664" s="147"/>
      <c r="AD664" s="147"/>
      <c r="AE664" s="147"/>
      <c r="AF664" s="147"/>
      <c r="AG664" s="147"/>
    </row>
    <row r="665" spans="1:33" ht="14.4">
      <c r="A665" s="147"/>
      <c r="B665" s="147"/>
      <c r="C665" s="147"/>
      <c r="D665" s="147"/>
      <c r="E665" s="147"/>
      <c r="F665" s="147"/>
      <c r="G665" s="147"/>
      <c r="H665" s="147"/>
      <c r="I665" s="147"/>
      <c r="J665" s="147"/>
      <c r="K665" s="147"/>
      <c r="L665" s="147"/>
      <c r="M665" s="147"/>
      <c r="N665" s="147"/>
      <c r="O665" s="147"/>
      <c r="P665" s="147"/>
      <c r="Q665" s="147"/>
      <c r="R665" s="147"/>
      <c r="S665" s="147"/>
      <c r="T665" s="147"/>
      <c r="U665" s="147"/>
      <c r="V665" s="147"/>
      <c r="W665" s="147"/>
      <c r="X665" s="147"/>
      <c r="Y665" s="147"/>
      <c r="Z665" s="147"/>
      <c r="AA665" s="147"/>
      <c r="AB665" s="147"/>
      <c r="AC665" s="147"/>
      <c r="AD665" s="147"/>
      <c r="AE665" s="147"/>
      <c r="AF665" s="147"/>
      <c r="AG665" s="147"/>
    </row>
    <row r="666" spans="1:33" ht="14.4">
      <c r="A666" s="147"/>
      <c r="B666" s="147"/>
      <c r="C666" s="147"/>
      <c r="D666" s="147"/>
      <c r="E666" s="147"/>
      <c r="F666" s="147"/>
      <c r="G666" s="147"/>
      <c r="H666" s="147"/>
      <c r="I666" s="147"/>
      <c r="J666" s="147"/>
      <c r="K666" s="147"/>
      <c r="L666" s="147"/>
      <c r="M666" s="147"/>
      <c r="N666" s="147"/>
      <c r="O666" s="147"/>
      <c r="P666" s="147"/>
      <c r="Q666" s="147"/>
      <c r="R666" s="147"/>
      <c r="S666" s="147"/>
      <c r="T666" s="147"/>
      <c r="U666" s="147"/>
      <c r="V666" s="147"/>
      <c r="W666" s="147"/>
      <c r="X666" s="147"/>
      <c r="Y666" s="147"/>
      <c r="Z666" s="147"/>
      <c r="AA666" s="147"/>
      <c r="AB666" s="147"/>
      <c r="AC666" s="147"/>
      <c r="AD666" s="147"/>
      <c r="AE666" s="147"/>
      <c r="AF666" s="147"/>
      <c r="AG666" s="147"/>
    </row>
    <row r="667" spans="1:33" ht="14.4">
      <c r="A667" s="147"/>
      <c r="B667" s="147"/>
      <c r="C667" s="147"/>
      <c r="D667" s="147"/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7"/>
      <c r="R667" s="147"/>
      <c r="S667" s="147"/>
      <c r="T667" s="147"/>
      <c r="U667" s="147"/>
      <c r="V667" s="147"/>
      <c r="W667" s="147"/>
      <c r="X667" s="147"/>
      <c r="Y667" s="147"/>
      <c r="Z667" s="147"/>
      <c r="AA667" s="147"/>
      <c r="AB667" s="147"/>
      <c r="AC667" s="147"/>
      <c r="AD667" s="147"/>
      <c r="AE667" s="147"/>
      <c r="AF667" s="147"/>
      <c r="AG667" s="147"/>
    </row>
    <row r="668" spans="1:33" ht="14.4">
      <c r="A668" s="147"/>
      <c r="B668" s="147"/>
      <c r="C668" s="147"/>
      <c r="D668" s="147"/>
      <c r="E668" s="147"/>
      <c r="F668" s="147"/>
      <c r="G668" s="147"/>
      <c r="H668" s="147"/>
      <c r="I668" s="147"/>
      <c r="J668" s="147"/>
      <c r="K668" s="147"/>
      <c r="L668" s="147"/>
      <c r="M668" s="147"/>
      <c r="N668" s="147"/>
      <c r="O668" s="147"/>
      <c r="P668" s="147"/>
      <c r="Q668" s="147"/>
      <c r="R668" s="147"/>
      <c r="S668" s="147"/>
      <c r="T668" s="147"/>
      <c r="U668" s="147"/>
      <c r="V668" s="147"/>
      <c r="W668" s="147"/>
      <c r="X668" s="147"/>
      <c r="Y668" s="147"/>
      <c r="Z668" s="147"/>
      <c r="AA668" s="147"/>
      <c r="AB668" s="147"/>
      <c r="AC668" s="147"/>
      <c r="AD668" s="147"/>
      <c r="AE668" s="147"/>
      <c r="AF668" s="147"/>
      <c r="AG668" s="147"/>
    </row>
    <row r="669" spans="1:33" ht="14.4">
      <c r="A669" s="147"/>
      <c r="B669" s="147"/>
      <c r="C669" s="147"/>
      <c r="D669" s="147"/>
      <c r="E669" s="147"/>
      <c r="F669" s="147"/>
      <c r="G669" s="147"/>
      <c r="H669" s="147"/>
      <c r="I669" s="147"/>
      <c r="J669" s="147"/>
      <c r="K669" s="147"/>
      <c r="L669" s="147"/>
      <c r="M669" s="147"/>
      <c r="N669" s="147"/>
      <c r="O669" s="147"/>
      <c r="P669" s="147"/>
      <c r="Q669" s="147"/>
      <c r="R669" s="147"/>
      <c r="S669" s="147"/>
      <c r="T669" s="147"/>
      <c r="U669" s="147"/>
      <c r="V669" s="147"/>
      <c r="W669" s="147"/>
      <c r="X669" s="147"/>
      <c r="Y669" s="147"/>
      <c r="Z669" s="147"/>
      <c r="AA669" s="147"/>
      <c r="AB669" s="147"/>
      <c r="AC669" s="147"/>
      <c r="AD669" s="147"/>
      <c r="AE669" s="147"/>
      <c r="AF669" s="147"/>
      <c r="AG669" s="147"/>
    </row>
    <row r="670" spans="1:33" ht="14.4">
      <c r="A670" s="147"/>
      <c r="B670" s="147"/>
      <c r="C670" s="147"/>
      <c r="D670" s="147"/>
      <c r="E670" s="147"/>
      <c r="F670" s="147"/>
      <c r="G670" s="147"/>
      <c r="H670" s="147"/>
      <c r="I670" s="147"/>
      <c r="J670" s="147"/>
      <c r="K670" s="147"/>
      <c r="L670" s="147"/>
      <c r="M670" s="147"/>
      <c r="N670" s="147"/>
      <c r="O670" s="147"/>
      <c r="P670" s="147"/>
      <c r="Q670" s="147"/>
      <c r="R670" s="147"/>
      <c r="S670" s="147"/>
      <c r="T670" s="147"/>
      <c r="U670" s="147"/>
      <c r="V670" s="147"/>
      <c r="W670" s="147"/>
      <c r="X670" s="147"/>
      <c r="Y670" s="147"/>
      <c r="Z670" s="147"/>
      <c r="AA670" s="147"/>
      <c r="AB670" s="147"/>
      <c r="AC670" s="147"/>
      <c r="AD670" s="147"/>
      <c r="AE670" s="147"/>
      <c r="AF670" s="147"/>
      <c r="AG670" s="147"/>
    </row>
    <row r="671" spans="1:33" ht="14.4">
      <c r="A671" s="147"/>
      <c r="B671" s="147"/>
      <c r="C671" s="147"/>
      <c r="D671" s="147"/>
      <c r="E671" s="147"/>
      <c r="F671" s="147"/>
      <c r="G671" s="147"/>
      <c r="H671" s="147"/>
      <c r="I671" s="147"/>
      <c r="J671" s="147"/>
      <c r="K671" s="147"/>
      <c r="L671" s="147"/>
      <c r="M671" s="147"/>
      <c r="N671" s="147"/>
      <c r="O671" s="147"/>
      <c r="P671" s="147"/>
      <c r="Q671" s="147"/>
      <c r="R671" s="147"/>
      <c r="S671" s="147"/>
      <c r="T671" s="147"/>
      <c r="U671" s="147"/>
      <c r="V671" s="147"/>
      <c r="W671" s="147"/>
      <c r="X671" s="147"/>
      <c r="Y671" s="147"/>
      <c r="Z671" s="147"/>
      <c r="AA671" s="147"/>
      <c r="AB671" s="147"/>
      <c r="AC671" s="147"/>
      <c r="AD671" s="147"/>
      <c r="AE671" s="147"/>
      <c r="AF671" s="147"/>
      <c r="AG671" s="147"/>
    </row>
    <row r="672" spans="1:33" ht="14.4">
      <c r="A672" s="147"/>
      <c r="B672" s="147"/>
      <c r="C672" s="147"/>
      <c r="D672" s="147"/>
      <c r="E672" s="147"/>
      <c r="F672" s="147"/>
      <c r="G672" s="147"/>
      <c r="H672" s="147"/>
      <c r="I672" s="147"/>
      <c r="J672" s="147"/>
      <c r="K672" s="147"/>
      <c r="L672" s="147"/>
      <c r="M672" s="147"/>
      <c r="N672" s="147"/>
      <c r="O672" s="147"/>
      <c r="P672" s="147"/>
      <c r="Q672" s="147"/>
      <c r="R672" s="147"/>
      <c r="S672" s="147"/>
      <c r="T672" s="147"/>
      <c r="U672" s="147"/>
      <c r="V672" s="147"/>
      <c r="W672" s="147"/>
      <c r="X672" s="147"/>
      <c r="Y672" s="147"/>
      <c r="Z672" s="147"/>
      <c r="AA672" s="147"/>
      <c r="AB672" s="147"/>
      <c r="AC672" s="147"/>
      <c r="AD672" s="147"/>
      <c r="AE672" s="147"/>
      <c r="AF672" s="147"/>
      <c r="AG672" s="147"/>
    </row>
    <row r="673" spans="1:33" ht="14.4">
      <c r="A673" s="147"/>
      <c r="B673" s="147"/>
      <c r="C673" s="147"/>
      <c r="D673" s="147"/>
      <c r="E673" s="147"/>
      <c r="F673" s="147"/>
      <c r="G673" s="147"/>
      <c r="H673" s="147"/>
      <c r="I673" s="147"/>
      <c r="J673" s="147"/>
      <c r="K673" s="147"/>
      <c r="L673" s="147"/>
      <c r="M673" s="147"/>
      <c r="N673" s="147"/>
      <c r="O673" s="147"/>
      <c r="P673" s="147"/>
      <c r="Q673" s="147"/>
      <c r="R673" s="147"/>
      <c r="S673" s="147"/>
      <c r="T673" s="147"/>
      <c r="U673" s="147"/>
      <c r="V673" s="147"/>
      <c r="W673" s="147"/>
      <c r="X673" s="147"/>
      <c r="Y673" s="147"/>
      <c r="Z673" s="147"/>
      <c r="AA673" s="147"/>
      <c r="AB673" s="147"/>
      <c r="AC673" s="147"/>
      <c r="AD673" s="147"/>
      <c r="AE673" s="147"/>
      <c r="AF673" s="147"/>
      <c r="AG673" s="147"/>
    </row>
    <row r="674" spans="1:33" ht="14.4">
      <c r="A674" s="147"/>
      <c r="B674" s="147"/>
      <c r="C674" s="147"/>
      <c r="D674" s="147"/>
      <c r="E674" s="147"/>
      <c r="F674" s="147"/>
      <c r="G674" s="147"/>
      <c r="H674" s="147"/>
      <c r="I674" s="147"/>
      <c r="J674" s="147"/>
      <c r="K674" s="147"/>
      <c r="L674" s="147"/>
      <c r="M674" s="147"/>
      <c r="N674" s="147"/>
      <c r="O674" s="147"/>
      <c r="P674" s="147"/>
      <c r="Q674" s="147"/>
      <c r="R674" s="147"/>
      <c r="S674" s="147"/>
      <c r="T674" s="147"/>
      <c r="U674" s="147"/>
      <c r="V674" s="147"/>
      <c r="W674" s="147"/>
      <c r="X674" s="147"/>
      <c r="Y674" s="147"/>
      <c r="Z674" s="147"/>
      <c r="AA674" s="147"/>
      <c r="AB674" s="147"/>
      <c r="AC674" s="147"/>
      <c r="AD674" s="147"/>
      <c r="AE674" s="147"/>
      <c r="AF674" s="147"/>
      <c r="AG674" s="147"/>
    </row>
    <row r="675" spans="1:33" ht="14.4">
      <c r="A675" s="147"/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</row>
    <row r="676" spans="1:33" ht="14.4">
      <c r="A676" s="147"/>
      <c r="B676" s="147"/>
      <c r="C676" s="147"/>
      <c r="D676" s="147"/>
      <c r="E676" s="147"/>
      <c r="F676" s="147"/>
      <c r="G676" s="147"/>
      <c r="H676" s="147"/>
      <c r="I676" s="147"/>
      <c r="J676" s="147"/>
      <c r="K676" s="147"/>
      <c r="L676" s="147"/>
      <c r="M676" s="147"/>
      <c r="N676" s="147"/>
      <c r="O676" s="147"/>
      <c r="P676" s="147"/>
      <c r="Q676" s="147"/>
      <c r="R676" s="147"/>
      <c r="S676" s="147"/>
      <c r="T676" s="147"/>
      <c r="U676" s="147"/>
      <c r="V676" s="147"/>
      <c r="W676" s="147"/>
      <c r="X676" s="147"/>
      <c r="Y676" s="147"/>
      <c r="Z676" s="147"/>
      <c r="AA676" s="147"/>
      <c r="AB676" s="147"/>
      <c r="AC676" s="147"/>
      <c r="AD676" s="147"/>
      <c r="AE676" s="147"/>
      <c r="AF676" s="147"/>
      <c r="AG676" s="147"/>
    </row>
    <row r="677" spans="1:33" ht="14.4">
      <c r="A677" s="147"/>
      <c r="B677" s="147"/>
      <c r="C677" s="147"/>
      <c r="D677" s="147"/>
      <c r="E677" s="147"/>
      <c r="F677" s="147"/>
      <c r="G677" s="147"/>
      <c r="H677" s="147"/>
      <c r="I677" s="147"/>
      <c r="J677" s="147"/>
      <c r="K677" s="147"/>
      <c r="L677" s="147"/>
      <c r="M677" s="147"/>
      <c r="N677" s="147"/>
      <c r="O677" s="147"/>
      <c r="P677" s="147"/>
      <c r="Q677" s="147"/>
      <c r="R677" s="147"/>
      <c r="S677" s="147"/>
      <c r="T677" s="147"/>
      <c r="U677" s="147"/>
      <c r="V677" s="147"/>
      <c r="W677" s="147"/>
      <c r="X677" s="147"/>
      <c r="Y677" s="147"/>
      <c r="Z677" s="147"/>
      <c r="AA677" s="147"/>
      <c r="AB677" s="147"/>
      <c r="AC677" s="147"/>
      <c r="AD677" s="147"/>
      <c r="AE677" s="147"/>
      <c r="AF677" s="147"/>
      <c r="AG677" s="147"/>
    </row>
    <row r="678" spans="1:33" ht="14.4">
      <c r="A678" s="147"/>
      <c r="B678" s="147"/>
      <c r="C678" s="147"/>
      <c r="D678" s="147"/>
      <c r="E678" s="147"/>
      <c r="F678" s="147"/>
      <c r="G678" s="147"/>
      <c r="H678" s="147"/>
      <c r="I678" s="147"/>
      <c r="J678" s="147"/>
      <c r="K678" s="147"/>
      <c r="L678" s="147"/>
      <c r="M678" s="147"/>
      <c r="N678" s="147"/>
      <c r="O678" s="147"/>
      <c r="P678" s="147"/>
      <c r="Q678" s="147"/>
      <c r="R678" s="147"/>
      <c r="S678" s="147"/>
      <c r="T678" s="147"/>
      <c r="U678" s="147"/>
      <c r="V678" s="147"/>
      <c r="W678" s="147"/>
      <c r="X678" s="147"/>
      <c r="Y678" s="147"/>
      <c r="Z678" s="147"/>
      <c r="AA678" s="147"/>
      <c r="AB678" s="147"/>
      <c r="AC678" s="147"/>
      <c r="AD678" s="147"/>
      <c r="AE678" s="147"/>
      <c r="AF678" s="147"/>
      <c r="AG678" s="147"/>
    </row>
    <row r="679" spans="1:33" ht="14.4">
      <c r="A679" s="147"/>
      <c r="B679" s="147"/>
      <c r="C679" s="147"/>
      <c r="D679" s="147"/>
      <c r="E679" s="147"/>
      <c r="F679" s="147"/>
      <c r="G679" s="147"/>
      <c r="H679" s="147"/>
      <c r="I679" s="147"/>
      <c r="J679" s="147"/>
      <c r="K679" s="147"/>
      <c r="L679" s="147"/>
      <c r="M679" s="147"/>
      <c r="N679" s="147"/>
      <c r="O679" s="147"/>
      <c r="P679" s="147"/>
      <c r="Q679" s="147"/>
      <c r="R679" s="147"/>
      <c r="S679" s="147"/>
      <c r="T679" s="147"/>
      <c r="U679" s="147"/>
      <c r="V679" s="147"/>
      <c r="W679" s="147"/>
      <c r="X679" s="147"/>
      <c r="Y679" s="147"/>
      <c r="Z679" s="147"/>
      <c r="AA679" s="147"/>
      <c r="AB679" s="147"/>
      <c r="AC679" s="147"/>
      <c r="AD679" s="147"/>
      <c r="AE679" s="147"/>
      <c r="AF679" s="147"/>
      <c r="AG679" s="147"/>
    </row>
    <row r="680" spans="1:33" ht="14.4">
      <c r="A680" s="147"/>
      <c r="B680" s="147"/>
      <c r="C680" s="147"/>
      <c r="D680" s="147"/>
      <c r="E680" s="147"/>
      <c r="F680" s="147"/>
      <c r="G680" s="147"/>
      <c r="H680" s="147"/>
      <c r="I680" s="147"/>
      <c r="J680" s="147"/>
      <c r="K680" s="147"/>
      <c r="L680" s="147"/>
      <c r="M680" s="147"/>
      <c r="N680" s="147"/>
      <c r="O680" s="147"/>
      <c r="P680" s="147"/>
      <c r="Q680" s="147"/>
      <c r="R680" s="147"/>
      <c r="S680" s="147"/>
      <c r="T680" s="147"/>
      <c r="U680" s="147"/>
      <c r="V680" s="147"/>
      <c r="W680" s="147"/>
      <c r="X680" s="147"/>
      <c r="Y680" s="147"/>
      <c r="Z680" s="147"/>
      <c r="AA680" s="147"/>
      <c r="AB680" s="147"/>
      <c r="AC680" s="147"/>
      <c r="AD680" s="147"/>
      <c r="AE680" s="147"/>
      <c r="AF680" s="147"/>
      <c r="AG680" s="147"/>
    </row>
    <row r="681" spans="1:33" ht="14.4">
      <c r="A681" s="147"/>
      <c r="B681" s="147"/>
      <c r="C681" s="147"/>
      <c r="D681" s="147"/>
      <c r="E681" s="147"/>
      <c r="F681" s="147"/>
      <c r="G681" s="147"/>
      <c r="H681" s="147"/>
      <c r="I681" s="147"/>
      <c r="J681" s="147"/>
      <c r="K681" s="147"/>
      <c r="L681" s="147"/>
      <c r="M681" s="147"/>
      <c r="N681" s="147"/>
      <c r="O681" s="147"/>
      <c r="P681" s="147"/>
      <c r="Q681" s="147"/>
      <c r="R681" s="147"/>
      <c r="S681" s="147"/>
      <c r="T681" s="147"/>
      <c r="U681" s="147"/>
      <c r="V681" s="147"/>
      <c r="W681" s="147"/>
      <c r="X681" s="147"/>
      <c r="Y681" s="147"/>
      <c r="Z681" s="147"/>
      <c r="AA681" s="147"/>
      <c r="AB681" s="147"/>
      <c r="AC681" s="147"/>
      <c r="AD681" s="147"/>
      <c r="AE681" s="147"/>
      <c r="AF681" s="147"/>
      <c r="AG681" s="147"/>
    </row>
    <row r="682" spans="1:33" ht="14.4">
      <c r="A682" s="147"/>
      <c r="B682" s="147"/>
      <c r="C682" s="147"/>
      <c r="D682" s="147"/>
      <c r="E682" s="147"/>
      <c r="F682" s="147"/>
      <c r="G682" s="147"/>
      <c r="H682" s="147"/>
      <c r="I682" s="147"/>
      <c r="J682" s="147"/>
      <c r="K682" s="147"/>
      <c r="L682" s="147"/>
      <c r="M682" s="147"/>
      <c r="N682" s="147"/>
      <c r="O682" s="147"/>
      <c r="P682" s="147"/>
      <c r="Q682" s="147"/>
      <c r="R682" s="147"/>
      <c r="S682" s="147"/>
      <c r="T682" s="147"/>
      <c r="U682" s="147"/>
      <c r="V682" s="147"/>
      <c r="W682" s="147"/>
      <c r="X682" s="147"/>
      <c r="Y682" s="147"/>
      <c r="Z682" s="147"/>
      <c r="AA682" s="147"/>
      <c r="AB682" s="147"/>
      <c r="AC682" s="147"/>
      <c r="AD682" s="147"/>
      <c r="AE682" s="147"/>
      <c r="AF682" s="147"/>
      <c r="AG682" s="147"/>
    </row>
    <row r="683" spans="1:33" ht="14.4">
      <c r="A683" s="147"/>
      <c r="B683" s="147"/>
      <c r="C683" s="147"/>
      <c r="D683" s="147"/>
      <c r="E683" s="147"/>
      <c r="F683" s="147"/>
      <c r="G683" s="147"/>
      <c r="H683" s="147"/>
      <c r="I683" s="147"/>
      <c r="J683" s="147"/>
      <c r="K683" s="147"/>
      <c r="L683" s="147"/>
      <c r="M683" s="147"/>
      <c r="N683" s="147"/>
      <c r="O683" s="147"/>
      <c r="P683" s="147"/>
      <c r="Q683" s="147"/>
      <c r="R683" s="147"/>
      <c r="S683" s="147"/>
      <c r="T683" s="147"/>
      <c r="U683" s="147"/>
      <c r="V683" s="147"/>
      <c r="W683" s="147"/>
      <c r="X683" s="147"/>
      <c r="Y683" s="147"/>
      <c r="Z683" s="147"/>
      <c r="AA683" s="147"/>
      <c r="AB683" s="147"/>
      <c r="AC683" s="147"/>
      <c r="AD683" s="147"/>
      <c r="AE683" s="147"/>
      <c r="AF683" s="147"/>
      <c r="AG683" s="147"/>
    </row>
    <row r="684" spans="1:33" ht="14.4">
      <c r="A684" s="147"/>
      <c r="B684" s="147"/>
      <c r="C684" s="147"/>
      <c r="D684" s="147"/>
      <c r="E684" s="147"/>
      <c r="F684" s="147"/>
      <c r="G684" s="147"/>
      <c r="H684" s="147"/>
      <c r="I684" s="147"/>
      <c r="J684" s="147"/>
      <c r="K684" s="147"/>
      <c r="L684" s="147"/>
      <c r="M684" s="147"/>
      <c r="N684" s="147"/>
      <c r="O684" s="147"/>
      <c r="P684" s="147"/>
      <c r="Q684" s="147"/>
      <c r="R684" s="147"/>
      <c r="S684" s="147"/>
      <c r="T684" s="147"/>
      <c r="U684" s="147"/>
      <c r="V684" s="147"/>
      <c r="W684" s="147"/>
      <c r="X684" s="147"/>
      <c r="Y684" s="147"/>
      <c r="Z684" s="147"/>
      <c r="AA684" s="147"/>
      <c r="AB684" s="147"/>
      <c r="AC684" s="147"/>
      <c r="AD684" s="147"/>
      <c r="AE684" s="147"/>
      <c r="AF684" s="147"/>
      <c r="AG684" s="147"/>
    </row>
    <row r="685" spans="1:33" ht="14.4">
      <c r="A685" s="147"/>
      <c r="B685" s="147"/>
      <c r="C685" s="147"/>
      <c r="D685" s="147"/>
      <c r="E685" s="147"/>
      <c r="F685" s="147"/>
      <c r="G685" s="147"/>
      <c r="H685" s="147"/>
      <c r="I685" s="147"/>
      <c r="J685" s="147"/>
      <c r="K685" s="147"/>
      <c r="L685" s="147"/>
      <c r="M685" s="147"/>
      <c r="N685" s="147"/>
      <c r="O685" s="147"/>
      <c r="P685" s="147"/>
      <c r="Q685" s="147"/>
      <c r="R685" s="147"/>
      <c r="S685" s="147"/>
      <c r="T685" s="147"/>
      <c r="U685" s="147"/>
      <c r="V685" s="147"/>
      <c r="W685" s="147"/>
      <c r="X685" s="147"/>
      <c r="Y685" s="147"/>
      <c r="Z685" s="147"/>
      <c r="AA685" s="147"/>
      <c r="AB685" s="147"/>
      <c r="AC685" s="147"/>
      <c r="AD685" s="147"/>
      <c r="AE685" s="147"/>
      <c r="AF685" s="147"/>
      <c r="AG685" s="147"/>
    </row>
    <row r="686" spans="1:33" ht="14.4">
      <c r="A686" s="147"/>
      <c r="B686" s="147"/>
      <c r="C686" s="147"/>
      <c r="D686" s="147"/>
      <c r="E686" s="147"/>
      <c r="F686" s="147"/>
      <c r="G686" s="147"/>
      <c r="H686" s="147"/>
      <c r="I686" s="147"/>
      <c r="J686" s="147"/>
      <c r="K686" s="147"/>
      <c r="L686" s="147"/>
      <c r="M686" s="147"/>
      <c r="N686" s="147"/>
      <c r="O686" s="147"/>
      <c r="P686" s="147"/>
      <c r="Q686" s="147"/>
      <c r="R686" s="147"/>
      <c r="S686" s="147"/>
      <c r="T686" s="147"/>
      <c r="U686" s="147"/>
      <c r="V686" s="147"/>
      <c r="W686" s="147"/>
      <c r="X686" s="147"/>
      <c r="Y686" s="147"/>
      <c r="Z686" s="147"/>
      <c r="AA686" s="147"/>
      <c r="AB686" s="147"/>
      <c r="AC686" s="147"/>
      <c r="AD686" s="147"/>
      <c r="AE686" s="147"/>
      <c r="AF686" s="147"/>
      <c r="AG686" s="147"/>
    </row>
    <row r="687" spans="1:33" ht="14.4">
      <c r="A687" s="147"/>
      <c r="B687" s="147"/>
      <c r="C687" s="147"/>
      <c r="D687" s="147"/>
      <c r="E687" s="147"/>
      <c r="F687" s="147"/>
      <c r="G687" s="147"/>
      <c r="H687" s="147"/>
      <c r="I687" s="147"/>
      <c r="J687" s="147"/>
      <c r="K687" s="147"/>
      <c r="L687" s="147"/>
      <c r="M687" s="147"/>
      <c r="N687" s="147"/>
      <c r="O687" s="147"/>
      <c r="P687" s="147"/>
      <c r="Q687" s="147"/>
      <c r="R687" s="147"/>
      <c r="S687" s="147"/>
      <c r="T687" s="147"/>
      <c r="U687" s="147"/>
      <c r="V687" s="147"/>
      <c r="W687" s="147"/>
      <c r="X687" s="147"/>
      <c r="Y687" s="147"/>
      <c r="Z687" s="147"/>
      <c r="AA687" s="147"/>
      <c r="AB687" s="147"/>
      <c r="AC687" s="147"/>
      <c r="AD687" s="147"/>
      <c r="AE687" s="147"/>
      <c r="AF687" s="147"/>
      <c r="AG687" s="147"/>
    </row>
    <row r="688" spans="1:33" ht="14.4">
      <c r="A688" s="147"/>
      <c r="B688" s="147"/>
      <c r="C688" s="147"/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  <c r="P688" s="147"/>
      <c r="Q688" s="147"/>
      <c r="R688" s="147"/>
      <c r="S688" s="147"/>
      <c r="T688" s="147"/>
      <c r="U688" s="147"/>
      <c r="V688" s="147"/>
      <c r="W688" s="147"/>
      <c r="X688" s="147"/>
      <c r="Y688" s="147"/>
      <c r="Z688" s="147"/>
      <c r="AA688" s="147"/>
      <c r="AB688" s="147"/>
      <c r="AC688" s="147"/>
      <c r="AD688" s="147"/>
      <c r="AE688" s="147"/>
      <c r="AF688" s="147"/>
      <c r="AG688" s="147"/>
    </row>
    <row r="689" spans="1:33" ht="14.4">
      <c r="A689" s="147"/>
      <c r="B689" s="147"/>
      <c r="C689" s="147"/>
      <c r="D689" s="147"/>
      <c r="E689" s="147"/>
      <c r="F689" s="147"/>
      <c r="G689" s="147"/>
      <c r="H689" s="147"/>
      <c r="I689" s="147"/>
      <c r="J689" s="147"/>
      <c r="K689" s="147"/>
      <c r="L689" s="147"/>
      <c r="M689" s="147"/>
      <c r="N689" s="147"/>
      <c r="O689" s="147"/>
      <c r="P689" s="147"/>
      <c r="Q689" s="147"/>
      <c r="R689" s="147"/>
      <c r="S689" s="147"/>
      <c r="T689" s="147"/>
      <c r="U689" s="147"/>
      <c r="V689" s="147"/>
      <c r="W689" s="147"/>
      <c r="X689" s="147"/>
      <c r="Y689" s="147"/>
      <c r="Z689" s="147"/>
      <c r="AA689" s="147"/>
      <c r="AB689" s="147"/>
      <c r="AC689" s="147"/>
      <c r="AD689" s="147"/>
      <c r="AE689" s="147"/>
      <c r="AF689" s="147"/>
      <c r="AG689" s="147"/>
    </row>
    <row r="690" spans="1:33" ht="14.4">
      <c r="A690" s="147"/>
      <c r="B690" s="147"/>
      <c r="C690" s="147"/>
      <c r="D690" s="147"/>
      <c r="E690" s="147"/>
      <c r="F690" s="147"/>
      <c r="G690" s="147"/>
      <c r="H690" s="147"/>
      <c r="I690" s="147"/>
      <c r="J690" s="147"/>
      <c r="K690" s="147"/>
      <c r="L690" s="147"/>
      <c r="M690" s="147"/>
      <c r="N690" s="147"/>
      <c r="O690" s="147"/>
      <c r="P690" s="147"/>
      <c r="Q690" s="147"/>
      <c r="R690" s="147"/>
      <c r="S690" s="147"/>
      <c r="T690" s="147"/>
      <c r="U690" s="147"/>
      <c r="V690" s="147"/>
      <c r="W690" s="147"/>
      <c r="X690" s="147"/>
      <c r="Y690" s="147"/>
      <c r="Z690" s="147"/>
      <c r="AA690" s="147"/>
      <c r="AB690" s="147"/>
      <c r="AC690" s="147"/>
      <c r="AD690" s="147"/>
      <c r="AE690" s="147"/>
      <c r="AF690" s="147"/>
      <c r="AG690" s="147"/>
    </row>
    <row r="691" spans="1:33" ht="14.4">
      <c r="A691" s="147"/>
      <c r="B691" s="147"/>
      <c r="C691" s="147"/>
      <c r="D691" s="147"/>
      <c r="E691" s="147"/>
      <c r="F691" s="147"/>
      <c r="G691" s="147"/>
      <c r="H691" s="147"/>
      <c r="I691" s="147"/>
      <c r="J691" s="147"/>
      <c r="K691" s="147"/>
      <c r="L691" s="147"/>
      <c r="M691" s="147"/>
      <c r="N691" s="147"/>
      <c r="O691" s="147"/>
      <c r="P691" s="147"/>
      <c r="Q691" s="147"/>
      <c r="R691" s="147"/>
      <c r="S691" s="147"/>
      <c r="T691" s="147"/>
      <c r="U691" s="147"/>
      <c r="V691" s="147"/>
      <c r="W691" s="147"/>
      <c r="X691" s="147"/>
      <c r="Y691" s="147"/>
      <c r="Z691" s="147"/>
      <c r="AA691" s="147"/>
      <c r="AB691" s="147"/>
      <c r="AC691" s="147"/>
      <c r="AD691" s="147"/>
      <c r="AE691" s="147"/>
      <c r="AF691" s="147"/>
      <c r="AG691" s="147"/>
    </row>
    <row r="692" spans="1:33" ht="14.4">
      <c r="A692" s="147"/>
      <c r="B692" s="147"/>
      <c r="C692" s="147"/>
      <c r="D692" s="147"/>
      <c r="E692" s="147"/>
      <c r="F692" s="147"/>
      <c r="G692" s="147"/>
      <c r="H692" s="147"/>
      <c r="I692" s="147"/>
      <c r="J692" s="147"/>
      <c r="K692" s="147"/>
      <c r="L692" s="147"/>
      <c r="M692" s="147"/>
      <c r="N692" s="147"/>
      <c r="O692" s="147"/>
      <c r="P692" s="147"/>
      <c r="Q692" s="147"/>
      <c r="R692" s="147"/>
      <c r="S692" s="147"/>
      <c r="T692" s="147"/>
      <c r="U692" s="147"/>
      <c r="V692" s="147"/>
      <c r="W692" s="147"/>
      <c r="X692" s="147"/>
      <c r="Y692" s="147"/>
      <c r="Z692" s="147"/>
      <c r="AA692" s="147"/>
      <c r="AB692" s="147"/>
      <c r="AC692" s="147"/>
      <c r="AD692" s="147"/>
      <c r="AE692" s="147"/>
      <c r="AF692" s="147"/>
      <c r="AG692" s="147"/>
    </row>
    <row r="693" spans="1:33" ht="14.4">
      <c r="A693" s="147"/>
      <c r="B693" s="147"/>
      <c r="C693" s="147"/>
      <c r="D693" s="147"/>
      <c r="E693" s="147"/>
      <c r="F693" s="147"/>
      <c r="G693" s="147"/>
      <c r="H693" s="147"/>
      <c r="I693" s="147"/>
      <c r="J693" s="147"/>
      <c r="K693" s="147"/>
      <c r="L693" s="147"/>
      <c r="M693" s="147"/>
      <c r="N693" s="147"/>
      <c r="O693" s="147"/>
      <c r="P693" s="147"/>
      <c r="Q693" s="147"/>
      <c r="R693" s="147"/>
      <c r="S693" s="147"/>
      <c r="T693" s="147"/>
      <c r="U693" s="147"/>
      <c r="V693" s="147"/>
      <c r="W693" s="147"/>
      <c r="X693" s="147"/>
      <c r="Y693" s="147"/>
      <c r="Z693" s="147"/>
      <c r="AA693" s="147"/>
      <c r="AB693" s="147"/>
      <c r="AC693" s="147"/>
      <c r="AD693" s="147"/>
      <c r="AE693" s="147"/>
      <c r="AF693" s="147"/>
      <c r="AG693" s="147"/>
    </row>
    <row r="694" spans="1:33" ht="14.4">
      <c r="A694" s="147"/>
      <c r="B694" s="147"/>
      <c r="C694" s="147"/>
      <c r="D694" s="147"/>
      <c r="E694" s="147"/>
      <c r="F694" s="147"/>
      <c r="G694" s="147"/>
      <c r="H694" s="147"/>
      <c r="I694" s="147"/>
      <c r="J694" s="147"/>
      <c r="K694" s="147"/>
      <c r="L694" s="147"/>
      <c r="M694" s="147"/>
      <c r="N694" s="147"/>
      <c r="O694" s="147"/>
      <c r="P694" s="147"/>
      <c r="Q694" s="147"/>
      <c r="R694" s="147"/>
      <c r="S694" s="147"/>
      <c r="T694" s="147"/>
      <c r="U694" s="147"/>
      <c r="V694" s="147"/>
      <c r="W694" s="147"/>
      <c r="X694" s="147"/>
      <c r="Y694" s="147"/>
      <c r="Z694" s="147"/>
      <c r="AA694" s="147"/>
      <c r="AB694" s="147"/>
      <c r="AC694" s="147"/>
      <c r="AD694" s="147"/>
      <c r="AE694" s="147"/>
      <c r="AF694" s="147"/>
      <c r="AG694" s="147"/>
    </row>
    <row r="695" spans="1:33" ht="14.4">
      <c r="A695" s="147"/>
      <c r="B695" s="147"/>
      <c r="C695" s="147"/>
      <c r="D695" s="147"/>
      <c r="E695" s="147"/>
      <c r="F695" s="147"/>
      <c r="G695" s="147"/>
      <c r="H695" s="147"/>
      <c r="I695" s="147"/>
      <c r="J695" s="147"/>
      <c r="K695" s="147"/>
      <c r="L695" s="147"/>
      <c r="M695" s="147"/>
      <c r="N695" s="147"/>
      <c r="O695" s="147"/>
      <c r="P695" s="147"/>
      <c r="Q695" s="147"/>
      <c r="R695" s="147"/>
      <c r="S695" s="147"/>
      <c r="T695" s="147"/>
      <c r="U695" s="147"/>
      <c r="V695" s="147"/>
      <c r="W695" s="147"/>
      <c r="X695" s="147"/>
      <c r="Y695" s="147"/>
      <c r="Z695" s="147"/>
      <c r="AA695" s="147"/>
      <c r="AB695" s="147"/>
      <c r="AC695" s="147"/>
      <c r="AD695" s="147"/>
      <c r="AE695" s="147"/>
      <c r="AF695" s="147"/>
      <c r="AG695" s="147"/>
    </row>
    <row r="696" spans="1:33" ht="14.4">
      <c r="A696" s="147"/>
      <c r="B696" s="147"/>
      <c r="C696" s="147"/>
      <c r="D696" s="147"/>
      <c r="E696" s="147"/>
      <c r="F696" s="147"/>
      <c r="G696" s="147"/>
      <c r="H696" s="147"/>
      <c r="I696" s="147"/>
      <c r="J696" s="147"/>
      <c r="K696" s="147"/>
      <c r="L696" s="147"/>
      <c r="M696" s="147"/>
      <c r="N696" s="147"/>
      <c r="O696" s="147"/>
      <c r="P696" s="147"/>
      <c r="Q696" s="147"/>
      <c r="R696" s="147"/>
      <c r="S696" s="147"/>
      <c r="T696" s="147"/>
      <c r="U696" s="147"/>
      <c r="V696" s="147"/>
      <c r="W696" s="147"/>
      <c r="X696" s="147"/>
      <c r="Y696" s="147"/>
      <c r="Z696" s="147"/>
      <c r="AA696" s="147"/>
      <c r="AB696" s="147"/>
      <c r="AC696" s="147"/>
      <c r="AD696" s="147"/>
      <c r="AE696" s="147"/>
      <c r="AF696" s="147"/>
      <c r="AG696" s="147"/>
    </row>
    <row r="697" spans="1:33" ht="14.4">
      <c r="A697" s="147"/>
      <c r="B697" s="147"/>
      <c r="C697" s="147"/>
      <c r="D697" s="147"/>
      <c r="E697" s="147"/>
      <c r="F697" s="147"/>
      <c r="G697" s="147"/>
      <c r="H697" s="147"/>
      <c r="I697" s="147"/>
      <c r="J697" s="147"/>
      <c r="K697" s="147"/>
      <c r="L697" s="147"/>
      <c r="M697" s="147"/>
      <c r="N697" s="147"/>
      <c r="O697" s="147"/>
      <c r="P697" s="147"/>
      <c r="Q697" s="147"/>
      <c r="R697" s="147"/>
      <c r="S697" s="147"/>
      <c r="T697" s="147"/>
      <c r="U697" s="147"/>
      <c r="V697" s="147"/>
      <c r="W697" s="147"/>
      <c r="X697" s="147"/>
      <c r="Y697" s="147"/>
      <c r="Z697" s="147"/>
      <c r="AA697" s="147"/>
      <c r="AB697" s="147"/>
      <c r="AC697" s="147"/>
      <c r="AD697" s="147"/>
      <c r="AE697" s="147"/>
      <c r="AF697" s="147"/>
      <c r="AG697" s="147"/>
    </row>
    <row r="698" spans="1:33" ht="14.4">
      <c r="A698" s="147"/>
      <c r="B698" s="147"/>
      <c r="C698" s="147"/>
      <c r="D698" s="147"/>
      <c r="E698" s="147"/>
      <c r="F698" s="147"/>
      <c r="G698" s="147"/>
      <c r="H698" s="147"/>
      <c r="I698" s="147"/>
      <c r="J698" s="147"/>
      <c r="K698" s="147"/>
      <c r="L698" s="147"/>
      <c r="M698" s="147"/>
      <c r="N698" s="147"/>
      <c r="O698" s="147"/>
      <c r="P698" s="147"/>
      <c r="Q698" s="147"/>
      <c r="R698" s="147"/>
      <c r="S698" s="147"/>
      <c r="T698" s="147"/>
      <c r="U698" s="147"/>
      <c r="V698" s="147"/>
      <c r="W698" s="147"/>
      <c r="X698" s="147"/>
      <c r="Y698" s="147"/>
      <c r="Z698" s="147"/>
      <c r="AA698" s="147"/>
      <c r="AB698" s="147"/>
      <c r="AC698" s="147"/>
      <c r="AD698" s="147"/>
      <c r="AE698" s="147"/>
      <c r="AF698" s="147"/>
      <c r="AG698" s="147"/>
    </row>
    <row r="699" spans="1:33" ht="14.4">
      <c r="A699" s="147"/>
      <c r="B699" s="147"/>
      <c r="C699" s="147"/>
      <c r="D699" s="147"/>
      <c r="E699" s="147"/>
      <c r="F699" s="147"/>
      <c r="G699" s="147"/>
      <c r="H699" s="147"/>
      <c r="I699" s="147"/>
      <c r="J699" s="147"/>
      <c r="K699" s="147"/>
      <c r="L699" s="147"/>
      <c r="M699" s="147"/>
      <c r="N699" s="147"/>
      <c r="O699" s="147"/>
      <c r="P699" s="147"/>
      <c r="Q699" s="147"/>
      <c r="R699" s="147"/>
      <c r="S699" s="147"/>
      <c r="T699" s="147"/>
      <c r="U699" s="147"/>
      <c r="V699" s="147"/>
      <c r="W699" s="147"/>
      <c r="X699" s="147"/>
      <c r="Y699" s="147"/>
      <c r="Z699" s="147"/>
      <c r="AA699" s="147"/>
      <c r="AB699" s="147"/>
      <c r="AC699" s="147"/>
      <c r="AD699" s="147"/>
      <c r="AE699" s="147"/>
      <c r="AF699" s="147"/>
      <c r="AG699" s="147"/>
    </row>
    <row r="700" spans="1:33" ht="14.4">
      <c r="A700" s="147"/>
      <c r="B700" s="147"/>
      <c r="C700" s="147"/>
      <c r="D700" s="147"/>
      <c r="E700" s="147"/>
      <c r="F700" s="147"/>
      <c r="G700" s="147"/>
      <c r="H700" s="147"/>
      <c r="I700" s="147"/>
      <c r="J700" s="147"/>
      <c r="K700" s="147"/>
      <c r="L700" s="147"/>
      <c r="M700" s="147"/>
      <c r="N700" s="147"/>
      <c r="O700" s="147"/>
      <c r="P700" s="147"/>
      <c r="Q700" s="147"/>
      <c r="R700" s="147"/>
      <c r="S700" s="147"/>
      <c r="T700" s="147"/>
      <c r="U700" s="147"/>
      <c r="V700" s="147"/>
      <c r="W700" s="147"/>
      <c r="X700" s="147"/>
      <c r="Y700" s="147"/>
      <c r="Z700" s="147"/>
      <c r="AA700" s="147"/>
      <c r="AB700" s="147"/>
      <c r="AC700" s="147"/>
      <c r="AD700" s="147"/>
      <c r="AE700" s="147"/>
      <c r="AF700" s="147"/>
      <c r="AG700" s="147"/>
    </row>
    <row r="701" spans="1:33" ht="14.4">
      <c r="A701" s="147"/>
      <c r="B701" s="147"/>
      <c r="C701" s="147"/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  <c r="P701" s="147"/>
      <c r="Q701" s="147"/>
      <c r="R701" s="147"/>
      <c r="S701" s="147"/>
      <c r="T701" s="147"/>
      <c r="U701" s="147"/>
      <c r="V701" s="147"/>
      <c r="W701" s="147"/>
      <c r="X701" s="147"/>
      <c r="Y701" s="147"/>
      <c r="Z701" s="147"/>
      <c r="AA701" s="147"/>
      <c r="AB701" s="147"/>
      <c r="AC701" s="147"/>
      <c r="AD701" s="147"/>
      <c r="AE701" s="147"/>
      <c r="AF701" s="147"/>
      <c r="AG701" s="147"/>
    </row>
    <row r="702" spans="1:33" ht="14.4">
      <c r="A702" s="147"/>
      <c r="B702" s="147"/>
      <c r="C702" s="147"/>
      <c r="D702" s="147"/>
      <c r="E702" s="147"/>
      <c r="F702" s="147"/>
      <c r="G702" s="147"/>
      <c r="H702" s="147"/>
      <c r="I702" s="147"/>
      <c r="J702" s="147"/>
      <c r="K702" s="147"/>
      <c r="L702" s="147"/>
      <c r="M702" s="147"/>
      <c r="N702" s="147"/>
      <c r="O702" s="147"/>
      <c r="P702" s="147"/>
      <c r="Q702" s="147"/>
      <c r="R702" s="147"/>
      <c r="S702" s="147"/>
      <c r="T702" s="147"/>
      <c r="U702" s="147"/>
      <c r="V702" s="147"/>
      <c r="W702" s="147"/>
      <c r="X702" s="147"/>
      <c r="Y702" s="147"/>
      <c r="Z702" s="147"/>
      <c r="AA702" s="147"/>
      <c r="AB702" s="147"/>
      <c r="AC702" s="147"/>
      <c r="AD702" s="147"/>
      <c r="AE702" s="147"/>
      <c r="AF702" s="147"/>
      <c r="AG702" s="147"/>
    </row>
    <row r="703" spans="1:33" ht="14.4">
      <c r="A703" s="147"/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</row>
    <row r="704" spans="1:33" ht="14.4">
      <c r="A704" s="147"/>
      <c r="B704" s="147"/>
      <c r="C704" s="147"/>
      <c r="D704" s="147"/>
      <c r="E704" s="147"/>
      <c r="F704" s="147"/>
      <c r="G704" s="147"/>
      <c r="H704" s="147"/>
      <c r="I704" s="147"/>
      <c r="J704" s="147"/>
      <c r="K704" s="147"/>
      <c r="L704" s="147"/>
      <c r="M704" s="147"/>
      <c r="N704" s="147"/>
      <c r="O704" s="147"/>
      <c r="P704" s="147"/>
      <c r="Q704" s="147"/>
      <c r="R704" s="147"/>
      <c r="S704" s="147"/>
      <c r="T704" s="147"/>
      <c r="U704" s="147"/>
      <c r="V704" s="147"/>
      <c r="W704" s="147"/>
      <c r="X704" s="147"/>
      <c r="Y704" s="147"/>
      <c r="Z704" s="147"/>
      <c r="AA704" s="147"/>
      <c r="AB704" s="147"/>
      <c r="AC704" s="147"/>
      <c r="AD704" s="147"/>
      <c r="AE704" s="147"/>
      <c r="AF704" s="147"/>
      <c r="AG704" s="147"/>
    </row>
    <row r="705" spans="1:33" ht="14.4">
      <c r="A705" s="147"/>
      <c r="B705" s="147"/>
      <c r="C705" s="147"/>
      <c r="D705" s="147"/>
      <c r="E705" s="147"/>
      <c r="F705" s="147"/>
      <c r="G705" s="147"/>
      <c r="H705" s="147"/>
      <c r="I705" s="147"/>
      <c r="J705" s="147"/>
      <c r="K705" s="147"/>
      <c r="L705" s="147"/>
      <c r="M705" s="147"/>
      <c r="N705" s="147"/>
      <c r="O705" s="147"/>
      <c r="P705" s="147"/>
      <c r="Q705" s="147"/>
      <c r="R705" s="147"/>
      <c r="S705" s="147"/>
      <c r="T705" s="147"/>
      <c r="U705" s="147"/>
      <c r="V705" s="147"/>
      <c r="W705" s="147"/>
      <c r="X705" s="147"/>
      <c r="Y705" s="147"/>
      <c r="Z705" s="147"/>
      <c r="AA705" s="147"/>
      <c r="AB705" s="147"/>
      <c r="AC705" s="147"/>
      <c r="AD705" s="147"/>
      <c r="AE705" s="147"/>
      <c r="AF705" s="147"/>
      <c r="AG705" s="147"/>
    </row>
    <row r="706" spans="1:33" ht="14.4">
      <c r="A706" s="147"/>
      <c r="B706" s="147"/>
      <c r="C706" s="147"/>
      <c r="D706" s="147"/>
      <c r="E706" s="147"/>
      <c r="F706" s="147"/>
      <c r="G706" s="147"/>
      <c r="H706" s="147"/>
      <c r="I706" s="147"/>
      <c r="J706" s="147"/>
      <c r="K706" s="147"/>
      <c r="L706" s="147"/>
      <c r="M706" s="147"/>
      <c r="N706" s="147"/>
      <c r="O706" s="147"/>
      <c r="P706" s="147"/>
      <c r="Q706" s="147"/>
      <c r="R706" s="147"/>
      <c r="S706" s="147"/>
      <c r="T706" s="147"/>
      <c r="U706" s="147"/>
      <c r="V706" s="147"/>
      <c r="W706" s="147"/>
      <c r="X706" s="147"/>
      <c r="Y706" s="147"/>
      <c r="Z706" s="147"/>
      <c r="AA706" s="147"/>
      <c r="AB706" s="147"/>
      <c r="AC706" s="147"/>
      <c r="AD706" s="147"/>
      <c r="AE706" s="147"/>
      <c r="AF706" s="147"/>
      <c r="AG706" s="147"/>
    </row>
    <row r="707" spans="1:33" ht="14.4">
      <c r="A707" s="147"/>
      <c r="B707" s="147"/>
      <c r="C707" s="147"/>
      <c r="D707" s="147"/>
      <c r="E707" s="147"/>
      <c r="F707" s="147"/>
      <c r="G707" s="147"/>
      <c r="H707" s="147"/>
      <c r="I707" s="147"/>
      <c r="J707" s="147"/>
      <c r="K707" s="147"/>
      <c r="L707" s="147"/>
      <c r="M707" s="147"/>
      <c r="N707" s="147"/>
      <c r="O707" s="147"/>
      <c r="P707" s="147"/>
      <c r="Q707" s="147"/>
      <c r="R707" s="147"/>
      <c r="S707" s="147"/>
      <c r="T707" s="147"/>
      <c r="U707" s="147"/>
      <c r="V707" s="147"/>
      <c r="W707" s="147"/>
      <c r="X707" s="147"/>
      <c r="Y707" s="147"/>
      <c r="Z707" s="147"/>
      <c r="AA707" s="147"/>
      <c r="AB707" s="147"/>
      <c r="AC707" s="147"/>
      <c r="AD707" s="147"/>
      <c r="AE707" s="147"/>
      <c r="AF707" s="147"/>
      <c r="AG707" s="147"/>
    </row>
    <row r="708" spans="1:33" ht="14.4">
      <c r="A708" s="147"/>
      <c r="B708" s="147"/>
      <c r="C708" s="147"/>
      <c r="D708" s="147"/>
      <c r="E708" s="147"/>
      <c r="F708" s="147"/>
      <c r="G708" s="147"/>
      <c r="H708" s="147"/>
      <c r="I708" s="147"/>
      <c r="J708" s="147"/>
      <c r="K708" s="147"/>
      <c r="L708" s="147"/>
      <c r="M708" s="147"/>
      <c r="N708" s="147"/>
      <c r="O708" s="147"/>
      <c r="P708" s="147"/>
      <c r="Q708" s="147"/>
      <c r="R708" s="147"/>
      <c r="S708" s="147"/>
      <c r="T708" s="147"/>
      <c r="U708" s="147"/>
      <c r="V708" s="147"/>
      <c r="W708" s="147"/>
      <c r="X708" s="147"/>
      <c r="Y708" s="147"/>
      <c r="Z708" s="147"/>
      <c r="AA708" s="147"/>
      <c r="AB708" s="147"/>
      <c r="AC708" s="147"/>
      <c r="AD708" s="147"/>
      <c r="AE708" s="147"/>
      <c r="AF708" s="147"/>
      <c r="AG708" s="147"/>
    </row>
    <row r="709" spans="1:33" ht="14.4">
      <c r="A709" s="147"/>
      <c r="B709" s="147"/>
      <c r="C709" s="147"/>
      <c r="D709" s="147"/>
      <c r="E709" s="147"/>
      <c r="F709" s="147"/>
      <c r="G709" s="147"/>
      <c r="H709" s="147"/>
      <c r="I709" s="147"/>
      <c r="J709" s="147"/>
      <c r="K709" s="147"/>
      <c r="L709" s="147"/>
      <c r="M709" s="147"/>
      <c r="N709" s="147"/>
      <c r="O709" s="147"/>
      <c r="P709" s="147"/>
      <c r="Q709" s="147"/>
      <c r="R709" s="147"/>
      <c r="S709" s="147"/>
      <c r="T709" s="147"/>
      <c r="U709" s="147"/>
      <c r="V709" s="147"/>
      <c r="W709" s="147"/>
      <c r="X709" s="147"/>
      <c r="Y709" s="147"/>
      <c r="Z709" s="147"/>
      <c r="AA709" s="147"/>
      <c r="AB709" s="147"/>
      <c r="AC709" s="147"/>
      <c r="AD709" s="147"/>
      <c r="AE709" s="147"/>
      <c r="AF709" s="147"/>
      <c r="AG709" s="147"/>
    </row>
    <row r="710" spans="1:33" ht="14.4">
      <c r="A710" s="147"/>
      <c r="B710" s="147"/>
      <c r="C710" s="147"/>
      <c r="D710" s="147"/>
      <c r="E710" s="147"/>
      <c r="F710" s="147"/>
      <c r="G710" s="147"/>
      <c r="H710" s="147"/>
      <c r="I710" s="147"/>
      <c r="J710" s="147"/>
      <c r="K710" s="147"/>
      <c r="L710" s="147"/>
      <c r="M710" s="147"/>
      <c r="N710" s="147"/>
      <c r="O710" s="147"/>
      <c r="P710" s="147"/>
      <c r="Q710" s="147"/>
      <c r="R710" s="147"/>
      <c r="S710" s="147"/>
      <c r="T710" s="147"/>
      <c r="U710" s="147"/>
      <c r="V710" s="147"/>
      <c r="W710" s="147"/>
      <c r="X710" s="147"/>
      <c r="Y710" s="147"/>
      <c r="Z710" s="147"/>
      <c r="AA710" s="147"/>
      <c r="AB710" s="147"/>
      <c r="AC710" s="147"/>
      <c r="AD710" s="147"/>
      <c r="AE710" s="147"/>
      <c r="AF710" s="147"/>
      <c r="AG710" s="147"/>
    </row>
    <row r="711" spans="1:33" ht="14.4">
      <c r="A711" s="147"/>
      <c r="B711" s="147"/>
      <c r="C711" s="147"/>
      <c r="D711" s="147"/>
      <c r="E711" s="147"/>
      <c r="F711" s="147"/>
      <c r="G711" s="147"/>
      <c r="H711" s="147"/>
      <c r="I711" s="147"/>
      <c r="J711" s="147"/>
      <c r="K711" s="147"/>
      <c r="L711" s="147"/>
      <c r="M711" s="147"/>
      <c r="N711" s="147"/>
      <c r="O711" s="147"/>
      <c r="P711" s="147"/>
      <c r="Q711" s="147"/>
      <c r="R711" s="147"/>
      <c r="S711" s="147"/>
      <c r="T711" s="147"/>
      <c r="U711" s="147"/>
      <c r="V711" s="147"/>
      <c r="W711" s="147"/>
      <c r="X711" s="147"/>
      <c r="Y711" s="147"/>
      <c r="Z711" s="147"/>
      <c r="AA711" s="147"/>
      <c r="AB711" s="147"/>
      <c r="AC711" s="147"/>
      <c r="AD711" s="147"/>
      <c r="AE711" s="147"/>
      <c r="AF711" s="147"/>
      <c r="AG711" s="147"/>
    </row>
    <row r="712" spans="1:33" ht="14.4">
      <c r="A712" s="147"/>
      <c r="B712" s="147"/>
      <c r="C712" s="147"/>
      <c r="D712" s="147"/>
      <c r="E712" s="147"/>
      <c r="F712" s="147"/>
      <c r="G712" s="147"/>
      <c r="H712" s="147"/>
      <c r="I712" s="147"/>
      <c r="J712" s="147"/>
      <c r="K712" s="147"/>
      <c r="L712" s="147"/>
      <c r="M712" s="147"/>
      <c r="N712" s="147"/>
      <c r="O712" s="147"/>
      <c r="P712" s="147"/>
      <c r="Q712" s="147"/>
      <c r="R712" s="147"/>
      <c r="S712" s="147"/>
      <c r="T712" s="147"/>
      <c r="U712" s="147"/>
      <c r="V712" s="147"/>
      <c r="W712" s="147"/>
      <c r="X712" s="147"/>
      <c r="Y712" s="147"/>
      <c r="Z712" s="147"/>
      <c r="AA712" s="147"/>
      <c r="AB712" s="147"/>
      <c r="AC712" s="147"/>
      <c r="AD712" s="147"/>
      <c r="AE712" s="147"/>
      <c r="AF712" s="147"/>
      <c r="AG712" s="147"/>
    </row>
    <row r="713" spans="1:33" ht="14.4">
      <c r="A713" s="147"/>
      <c r="B713" s="147"/>
      <c r="C713" s="147"/>
      <c r="D713" s="147"/>
      <c r="E713" s="147"/>
      <c r="F713" s="147"/>
      <c r="G713" s="147"/>
      <c r="H713" s="147"/>
      <c r="I713" s="147"/>
      <c r="J713" s="147"/>
      <c r="K713" s="147"/>
      <c r="L713" s="147"/>
      <c r="M713" s="147"/>
      <c r="N713" s="147"/>
      <c r="O713" s="147"/>
      <c r="P713" s="147"/>
      <c r="Q713" s="147"/>
      <c r="R713" s="147"/>
      <c r="S713" s="147"/>
      <c r="T713" s="147"/>
      <c r="U713" s="147"/>
      <c r="V713" s="147"/>
      <c r="W713" s="147"/>
      <c r="X713" s="147"/>
      <c r="Y713" s="147"/>
      <c r="Z713" s="147"/>
      <c r="AA713" s="147"/>
      <c r="AB713" s="147"/>
      <c r="AC713" s="147"/>
      <c r="AD713" s="147"/>
      <c r="AE713" s="147"/>
      <c r="AF713" s="147"/>
      <c r="AG713" s="147"/>
    </row>
    <row r="714" spans="1:33" ht="14.4">
      <c r="A714" s="147"/>
      <c r="B714" s="147"/>
      <c r="C714" s="147"/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  <c r="P714" s="147"/>
      <c r="Q714" s="147"/>
      <c r="R714" s="147"/>
      <c r="S714" s="147"/>
      <c r="T714" s="147"/>
      <c r="U714" s="147"/>
      <c r="V714" s="147"/>
      <c r="W714" s="147"/>
      <c r="X714" s="147"/>
      <c r="Y714" s="147"/>
      <c r="Z714" s="147"/>
      <c r="AA714" s="147"/>
      <c r="AB714" s="147"/>
      <c r="AC714" s="147"/>
      <c r="AD714" s="147"/>
      <c r="AE714" s="147"/>
      <c r="AF714" s="147"/>
      <c r="AG714" s="147"/>
    </row>
    <row r="715" spans="1:33" ht="14.4">
      <c r="A715" s="147"/>
      <c r="B715" s="147"/>
      <c r="C715" s="147"/>
      <c r="D715" s="147"/>
      <c r="E715" s="147"/>
      <c r="F715" s="147"/>
      <c r="G715" s="147"/>
      <c r="H715" s="147"/>
      <c r="I715" s="147"/>
      <c r="J715" s="147"/>
      <c r="K715" s="147"/>
      <c r="L715" s="147"/>
      <c r="M715" s="147"/>
      <c r="N715" s="147"/>
      <c r="O715" s="147"/>
      <c r="P715" s="147"/>
      <c r="Q715" s="147"/>
      <c r="R715" s="147"/>
      <c r="S715" s="147"/>
      <c r="T715" s="147"/>
      <c r="U715" s="147"/>
      <c r="V715" s="147"/>
      <c r="W715" s="147"/>
      <c r="X715" s="147"/>
      <c r="Y715" s="147"/>
      <c r="Z715" s="147"/>
      <c r="AA715" s="147"/>
      <c r="AB715" s="147"/>
      <c r="AC715" s="147"/>
      <c r="AD715" s="147"/>
      <c r="AE715" s="147"/>
      <c r="AF715" s="147"/>
      <c r="AG715" s="147"/>
    </row>
    <row r="716" spans="1:33" ht="14.4">
      <c r="A716" s="147"/>
      <c r="B716" s="147"/>
      <c r="C716" s="147"/>
      <c r="D716" s="147"/>
      <c r="E716" s="147"/>
      <c r="F716" s="147"/>
      <c r="G716" s="147"/>
      <c r="H716" s="147"/>
      <c r="I716" s="147"/>
      <c r="J716" s="147"/>
      <c r="K716" s="147"/>
      <c r="L716" s="147"/>
      <c r="M716" s="147"/>
      <c r="N716" s="147"/>
      <c r="O716" s="147"/>
      <c r="P716" s="147"/>
      <c r="Q716" s="147"/>
      <c r="R716" s="147"/>
      <c r="S716" s="147"/>
      <c r="T716" s="147"/>
      <c r="U716" s="147"/>
      <c r="V716" s="147"/>
      <c r="W716" s="147"/>
      <c r="X716" s="147"/>
      <c r="Y716" s="147"/>
      <c r="Z716" s="147"/>
      <c r="AA716" s="147"/>
      <c r="AB716" s="147"/>
      <c r="AC716" s="147"/>
      <c r="AD716" s="147"/>
      <c r="AE716" s="147"/>
      <c r="AF716" s="147"/>
      <c r="AG716" s="147"/>
    </row>
    <row r="717" spans="1:33" ht="14.4">
      <c r="A717" s="147"/>
      <c r="B717" s="147"/>
      <c r="C717" s="147"/>
      <c r="D717" s="147"/>
      <c r="E717" s="147"/>
      <c r="F717" s="147"/>
      <c r="G717" s="147"/>
      <c r="H717" s="147"/>
      <c r="I717" s="147"/>
      <c r="J717" s="147"/>
      <c r="K717" s="147"/>
      <c r="L717" s="147"/>
      <c r="M717" s="147"/>
      <c r="N717" s="147"/>
      <c r="O717" s="147"/>
      <c r="P717" s="147"/>
      <c r="Q717" s="147"/>
      <c r="R717" s="147"/>
      <c r="S717" s="147"/>
      <c r="T717" s="147"/>
      <c r="U717" s="147"/>
      <c r="V717" s="147"/>
      <c r="W717" s="147"/>
      <c r="X717" s="147"/>
      <c r="Y717" s="147"/>
      <c r="Z717" s="147"/>
      <c r="AA717" s="147"/>
      <c r="AB717" s="147"/>
      <c r="AC717" s="147"/>
      <c r="AD717" s="147"/>
      <c r="AE717" s="147"/>
      <c r="AF717" s="147"/>
      <c r="AG717" s="147"/>
    </row>
    <row r="718" spans="1:33" ht="14.4">
      <c r="A718" s="147"/>
      <c r="B718" s="147"/>
      <c r="C718" s="147"/>
      <c r="D718" s="147"/>
      <c r="E718" s="147"/>
      <c r="F718" s="147"/>
      <c r="G718" s="147"/>
      <c r="H718" s="147"/>
      <c r="I718" s="147"/>
      <c r="J718" s="147"/>
      <c r="K718" s="147"/>
      <c r="L718" s="147"/>
      <c r="M718" s="147"/>
      <c r="N718" s="147"/>
      <c r="O718" s="147"/>
      <c r="P718" s="147"/>
      <c r="Q718" s="147"/>
      <c r="R718" s="147"/>
      <c r="S718" s="147"/>
      <c r="T718" s="147"/>
      <c r="U718" s="147"/>
      <c r="V718" s="147"/>
      <c r="W718" s="147"/>
      <c r="X718" s="147"/>
      <c r="Y718" s="147"/>
      <c r="Z718" s="147"/>
      <c r="AA718" s="147"/>
      <c r="AB718" s="147"/>
      <c r="AC718" s="147"/>
      <c r="AD718" s="147"/>
      <c r="AE718" s="147"/>
      <c r="AF718" s="147"/>
      <c r="AG718" s="147"/>
    </row>
    <row r="719" spans="1:33" ht="14.4">
      <c r="A719" s="147"/>
      <c r="B719" s="147"/>
      <c r="C719" s="147"/>
      <c r="D719" s="147"/>
      <c r="E719" s="147"/>
      <c r="F719" s="147"/>
      <c r="G719" s="147"/>
      <c r="H719" s="147"/>
      <c r="I719" s="147"/>
      <c r="J719" s="147"/>
      <c r="K719" s="147"/>
      <c r="L719" s="147"/>
      <c r="M719" s="147"/>
      <c r="N719" s="147"/>
      <c r="O719" s="147"/>
      <c r="P719" s="147"/>
      <c r="Q719" s="147"/>
      <c r="R719" s="147"/>
      <c r="S719" s="147"/>
      <c r="T719" s="147"/>
      <c r="U719" s="147"/>
      <c r="V719" s="147"/>
      <c r="W719" s="147"/>
      <c r="X719" s="147"/>
      <c r="Y719" s="147"/>
      <c r="Z719" s="147"/>
      <c r="AA719" s="147"/>
      <c r="AB719" s="147"/>
      <c r="AC719" s="147"/>
      <c r="AD719" s="147"/>
      <c r="AE719" s="147"/>
      <c r="AF719" s="147"/>
      <c r="AG719" s="147"/>
    </row>
    <row r="720" spans="1:33" ht="14.4">
      <c r="A720" s="147"/>
      <c r="B720" s="147"/>
      <c r="C720" s="147"/>
      <c r="D720" s="147"/>
      <c r="E720" s="147"/>
      <c r="F720" s="147"/>
      <c r="G720" s="147"/>
      <c r="H720" s="147"/>
      <c r="I720" s="147"/>
      <c r="J720" s="147"/>
      <c r="K720" s="147"/>
      <c r="L720" s="147"/>
      <c r="M720" s="147"/>
      <c r="N720" s="147"/>
      <c r="O720" s="147"/>
      <c r="P720" s="147"/>
      <c r="Q720" s="147"/>
      <c r="R720" s="147"/>
      <c r="S720" s="147"/>
      <c r="T720" s="147"/>
      <c r="U720" s="147"/>
      <c r="V720" s="147"/>
      <c r="W720" s="147"/>
      <c r="X720" s="147"/>
      <c r="Y720" s="147"/>
      <c r="Z720" s="147"/>
      <c r="AA720" s="147"/>
      <c r="AB720" s="147"/>
      <c r="AC720" s="147"/>
      <c r="AD720" s="147"/>
      <c r="AE720" s="147"/>
      <c r="AF720" s="147"/>
      <c r="AG720" s="147"/>
    </row>
    <row r="721" spans="1:33" ht="14.4">
      <c r="A721" s="147"/>
      <c r="B721" s="147"/>
      <c r="C721" s="147"/>
      <c r="D721" s="147"/>
      <c r="E721" s="147"/>
      <c r="F721" s="147"/>
      <c r="G721" s="147"/>
      <c r="H721" s="147"/>
      <c r="I721" s="147"/>
      <c r="J721" s="147"/>
      <c r="K721" s="147"/>
      <c r="L721" s="147"/>
      <c r="M721" s="147"/>
      <c r="N721" s="147"/>
      <c r="O721" s="147"/>
      <c r="P721" s="147"/>
      <c r="Q721" s="147"/>
      <c r="R721" s="147"/>
      <c r="S721" s="147"/>
      <c r="T721" s="147"/>
      <c r="U721" s="147"/>
      <c r="V721" s="147"/>
      <c r="W721" s="147"/>
      <c r="X721" s="147"/>
      <c r="Y721" s="147"/>
      <c r="Z721" s="147"/>
      <c r="AA721" s="147"/>
      <c r="AB721" s="147"/>
      <c r="AC721" s="147"/>
      <c r="AD721" s="147"/>
      <c r="AE721" s="147"/>
      <c r="AF721" s="147"/>
      <c r="AG721" s="147"/>
    </row>
    <row r="722" spans="1:33" ht="14.4">
      <c r="A722" s="147"/>
      <c r="B722" s="147"/>
      <c r="C722" s="147"/>
      <c r="D722" s="147"/>
      <c r="E722" s="147"/>
      <c r="F722" s="147"/>
      <c r="G722" s="147"/>
      <c r="H722" s="147"/>
      <c r="I722" s="147"/>
      <c r="J722" s="147"/>
      <c r="K722" s="147"/>
      <c r="L722" s="147"/>
      <c r="M722" s="147"/>
      <c r="N722" s="147"/>
      <c r="O722" s="147"/>
      <c r="P722" s="147"/>
      <c r="Q722" s="147"/>
      <c r="R722" s="147"/>
      <c r="S722" s="147"/>
      <c r="T722" s="147"/>
      <c r="U722" s="147"/>
      <c r="V722" s="147"/>
      <c r="W722" s="147"/>
      <c r="X722" s="147"/>
      <c r="Y722" s="147"/>
      <c r="Z722" s="147"/>
      <c r="AA722" s="147"/>
      <c r="AB722" s="147"/>
      <c r="AC722" s="147"/>
      <c r="AD722" s="147"/>
      <c r="AE722" s="147"/>
      <c r="AF722" s="147"/>
      <c r="AG722" s="147"/>
    </row>
    <row r="723" spans="1:33" ht="14.4">
      <c r="A723" s="147"/>
      <c r="B723" s="147"/>
      <c r="C723" s="147"/>
      <c r="D723" s="147"/>
      <c r="E723" s="147"/>
      <c r="F723" s="147"/>
      <c r="G723" s="147"/>
      <c r="H723" s="147"/>
      <c r="I723" s="147"/>
      <c r="J723" s="147"/>
      <c r="K723" s="147"/>
      <c r="L723" s="147"/>
      <c r="M723" s="147"/>
      <c r="N723" s="147"/>
      <c r="O723" s="147"/>
      <c r="P723" s="147"/>
      <c r="Q723" s="147"/>
      <c r="R723" s="147"/>
      <c r="S723" s="147"/>
      <c r="T723" s="147"/>
      <c r="U723" s="147"/>
      <c r="V723" s="147"/>
      <c r="W723" s="147"/>
      <c r="X723" s="147"/>
      <c r="Y723" s="147"/>
      <c r="Z723" s="147"/>
      <c r="AA723" s="147"/>
      <c r="AB723" s="147"/>
      <c r="AC723" s="147"/>
      <c r="AD723" s="147"/>
      <c r="AE723" s="147"/>
      <c r="AF723" s="147"/>
      <c r="AG723" s="147"/>
    </row>
    <row r="724" spans="1:33" ht="14.4">
      <c r="A724" s="147"/>
      <c r="B724" s="147"/>
      <c r="C724" s="147"/>
      <c r="D724" s="147"/>
      <c r="E724" s="147"/>
      <c r="F724" s="147"/>
      <c r="G724" s="147"/>
      <c r="H724" s="147"/>
      <c r="I724" s="147"/>
      <c r="J724" s="147"/>
      <c r="K724" s="147"/>
      <c r="L724" s="147"/>
      <c r="M724" s="147"/>
      <c r="N724" s="147"/>
      <c r="O724" s="147"/>
      <c r="P724" s="147"/>
      <c r="Q724" s="147"/>
      <c r="R724" s="147"/>
      <c r="S724" s="147"/>
      <c r="T724" s="147"/>
      <c r="U724" s="147"/>
      <c r="V724" s="147"/>
      <c r="W724" s="147"/>
      <c r="X724" s="147"/>
      <c r="Y724" s="147"/>
      <c r="Z724" s="147"/>
      <c r="AA724" s="147"/>
      <c r="AB724" s="147"/>
      <c r="AC724" s="147"/>
      <c r="AD724" s="147"/>
      <c r="AE724" s="147"/>
      <c r="AF724" s="147"/>
      <c r="AG724" s="147"/>
    </row>
    <row r="725" spans="1:33" ht="14.4">
      <c r="A725" s="147"/>
      <c r="B725" s="147"/>
      <c r="C725" s="147"/>
      <c r="D725" s="147"/>
      <c r="E725" s="147"/>
      <c r="F725" s="147"/>
      <c r="G725" s="147"/>
      <c r="H725" s="147"/>
      <c r="I725" s="147"/>
      <c r="J725" s="147"/>
      <c r="K725" s="147"/>
      <c r="L725" s="147"/>
      <c r="M725" s="147"/>
      <c r="N725" s="147"/>
      <c r="O725" s="147"/>
      <c r="P725" s="147"/>
      <c r="Q725" s="147"/>
      <c r="R725" s="147"/>
      <c r="S725" s="147"/>
      <c r="T725" s="147"/>
      <c r="U725" s="147"/>
      <c r="V725" s="147"/>
      <c r="W725" s="147"/>
      <c r="X725" s="147"/>
      <c r="Y725" s="147"/>
      <c r="Z725" s="147"/>
      <c r="AA725" s="147"/>
      <c r="AB725" s="147"/>
      <c r="AC725" s="147"/>
      <c r="AD725" s="147"/>
      <c r="AE725" s="147"/>
      <c r="AF725" s="147"/>
      <c r="AG725" s="147"/>
    </row>
    <row r="726" spans="1:33" ht="14.4">
      <c r="A726" s="147"/>
      <c r="B726" s="147"/>
      <c r="C726" s="147"/>
      <c r="D726" s="147"/>
      <c r="E726" s="147"/>
      <c r="F726" s="147"/>
      <c r="G726" s="147"/>
      <c r="H726" s="147"/>
      <c r="I726" s="147"/>
      <c r="J726" s="147"/>
      <c r="K726" s="147"/>
      <c r="L726" s="147"/>
      <c r="M726" s="147"/>
      <c r="N726" s="147"/>
      <c r="O726" s="147"/>
      <c r="P726" s="147"/>
      <c r="Q726" s="147"/>
      <c r="R726" s="147"/>
      <c r="S726" s="147"/>
      <c r="T726" s="147"/>
      <c r="U726" s="147"/>
      <c r="V726" s="147"/>
      <c r="W726" s="147"/>
      <c r="X726" s="147"/>
      <c r="Y726" s="147"/>
      <c r="Z726" s="147"/>
      <c r="AA726" s="147"/>
      <c r="AB726" s="147"/>
      <c r="AC726" s="147"/>
      <c r="AD726" s="147"/>
      <c r="AE726" s="147"/>
      <c r="AF726" s="147"/>
      <c r="AG726" s="147"/>
    </row>
    <row r="727" spans="1:33" ht="14.4">
      <c r="A727" s="147"/>
      <c r="B727" s="147"/>
      <c r="C727" s="147"/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  <c r="P727" s="147"/>
      <c r="Q727" s="147"/>
      <c r="R727" s="147"/>
      <c r="S727" s="147"/>
      <c r="T727" s="147"/>
      <c r="U727" s="147"/>
      <c r="V727" s="147"/>
      <c r="W727" s="147"/>
      <c r="X727" s="147"/>
      <c r="Y727" s="147"/>
      <c r="Z727" s="147"/>
      <c r="AA727" s="147"/>
      <c r="AB727" s="147"/>
      <c r="AC727" s="147"/>
      <c r="AD727" s="147"/>
      <c r="AE727" s="147"/>
      <c r="AF727" s="147"/>
      <c r="AG727" s="147"/>
    </row>
    <row r="728" spans="1:33" ht="14.4">
      <c r="A728" s="147"/>
      <c r="B728" s="147"/>
      <c r="C728" s="147"/>
      <c r="D728" s="147"/>
      <c r="E728" s="147"/>
      <c r="F728" s="147"/>
      <c r="G728" s="147"/>
      <c r="H728" s="147"/>
      <c r="I728" s="147"/>
      <c r="J728" s="147"/>
      <c r="K728" s="147"/>
      <c r="L728" s="147"/>
      <c r="M728" s="147"/>
      <c r="N728" s="147"/>
      <c r="O728" s="147"/>
      <c r="P728" s="147"/>
      <c r="Q728" s="147"/>
      <c r="R728" s="147"/>
      <c r="S728" s="147"/>
      <c r="T728" s="147"/>
      <c r="U728" s="147"/>
      <c r="V728" s="147"/>
      <c r="W728" s="147"/>
      <c r="X728" s="147"/>
      <c r="Y728" s="147"/>
      <c r="Z728" s="147"/>
      <c r="AA728" s="147"/>
      <c r="AB728" s="147"/>
      <c r="AC728" s="147"/>
      <c r="AD728" s="147"/>
      <c r="AE728" s="147"/>
      <c r="AF728" s="147"/>
      <c r="AG728" s="147"/>
    </row>
    <row r="729" spans="1:33" ht="14.4">
      <c r="A729" s="147"/>
      <c r="B729" s="147"/>
      <c r="C729" s="147"/>
      <c r="D729" s="147"/>
      <c r="E729" s="147"/>
      <c r="F729" s="147"/>
      <c r="G729" s="147"/>
      <c r="H729" s="147"/>
      <c r="I729" s="147"/>
      <c r="J729" s="147"/>
      <c r="K729" s="147"/>
      <c r="L729" s="147"/>
      <c r="M729" s="147"/>
      <c r="N729" s="147"/>
      <c r="O729" s="147"/>
      <c r="P729" s="147"/>
      <c r="Q729" s="147"/>
      <c r="R729" s="147"/>
      <c r="S729" s="147"/>
      <c r="T729" s="147"/>
      <c r="U729" s="147"/>
      <c r="V729" s="147"/>
      <c r="W729" s="147"/>
      <c r="X729" s="147"/>
      <c r="Y729" s="147"/>
      <c r="Z729" s="147"/>
      <c r="AA729" s="147"/>
      <c r="AB729" s="147"/>
      <c r="AC729" s="147"/>
      <c r="AD729" s="147"/>
      <c r="AE729" s="147"/>
      <c r="AF729" s="147"/>
      <c r="AG729" s="147"/>
    </row>
    <row r="730" spans="1:33" ht="14.4">
      <c r="A730" s="147"/>
      <c r="B730" s="147"/>
      <c r="C730" s="147"/>
      <c r="D730" s="147"/>
      <c r="E730" s="147"/>
      <c r="F730" s="147"/>
      <c r="G730" s="147"/>
      <c r="H730" s="147"/>
      <c r="I730" s="147"/>
      <c r="J730" s="147"/>
      <c r="K730" s="147"/>
      <c r="L730" s="147"/>
      <c r="M730" s="147"/>
      <c r="N730" s="147"/>
      <c r="O730" s="147"/>
      <c r="P730" s="147"/>
      <c r="Q730" s="147"/>
      <c r="R730" s="147"/>
      <c r="S730" s="147"/>
      <c r="T730" s="147"/>
      <c r="U730" s="147"/>
      <c r="V730" s="147"/>
      <c r="W730" s="147"/>
      <c r="X730" s="147"/>
      <c r="Y730" s="147"/>
      <c r="Z730" s="147"/>
      <c r="AA730" s="147"/>
      <c r="AB730" s="147"/>
      <c r="AC730" s="147"/>
      <c r="AD730" s="147"/>
      <c r="AE730" s="147"/>
      <c r="AF730" s="147"/>
      <c r="AG730" s="147"/>
    </row>
    <row r="731" spans="1:33" ht="14.4">
      <c r="A731" s="147"/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</row>
    <row r="732" spans="1:33" ht="14.4">
      <c r="A732" s="147"/>
      <c r="B732" s="147"/>
      <c r="C732" s="147"/>
      <c r="D732" s="147"/>
      <c r="E732" s="147"/>
      <c r="F732" s="147"/>
      <c r="G732" s="147"/>
      <c r="H732" s="147"/>
      <c r="I732" s="147"/>
      <c r="J732" s="147"/>
      <c r="K732" s="147"/>
      <c r="L732" s="147"/>
      <c r="M732" s="147"/>
      <c r="N732" s="147"/>
      <c r="O732" s="147"/>
      <c r="P732" s="147"/>
      <c r="Q732" s="147"/>
      <c r="R732" s="147"/>
      <c r="S732" s="147"/>
      <c r="T732" s="147"/>
      <c r="U732" s="147"/>
      <c r="V732" s="147"/>
      <c r="W732" s="147"/>
      <c r="X732" s="147"/>
      <c r="Y732" s="147"/>
      <c r="Z732" s="147"/>
      <c r="AA732" s="147"/>
      <c r="AB732" s="147"/>
      <c r="AC732" s="147"/>
      <c r="AD732" s="147"/>
      <c r="AE732" s="147"/>
      <c r="AF732" s="147"/>
      <c r="AG732" s="147"/>
    </row>
    <row r="733" spans="1:33" ht="14.4">
      <c r="A733" s="147"/>
      <c r="B733" s="147"/>
      <c r="C733" s="147"/>
      <c r="D733" s="147"/>
      <c r="E733" s="147"/>
      <c r="F733" s="147"/>
      <c r="G733" s="147"/>
      <c r="H733" s="147"/>
      <c r="I733" s="147"/>
      <c r="J733" s="147"/>
      <c r="K733" s="147"/>
      <c r="L733" s="147"/>
      <c r="M733" s="147"/>
      <c r="N733" s="147"/>
      <c r="O733" s="147"/>
      <c r="P733" s="147"/>
      <c r="Q733" s="147"/>
      <c r="R733" s="147"/>
      <c r="S733" s="147"/>
      <c r="T733" s="147"/>
      <c r="U733" s="147"/>
      <c r="V733" s="147"/>
      <c r="W733" s="147"/>
      <c r="X733" s="147"/>
      <c r="Y733" s="147"/>
      <c r="Z733" s="147"/>
      <c r="AA733" s="147"/>
      <c r="AB733" s="147"/>
      <c r="AC733" s="147"/>
      <c r="AD733" s="147"/>
      <c r="AE733" s="147"/>
      <c r="AF733" s="147"/>
      <c r="AG733" s="147"/>
    </row>
    <row r="734" spans="1:33" ht="14.4">
      <c r="A734" s="147"/>
      <c r="B734" s="147"/>
      <c r="C734" s="147"/>
      <c r="D734" s="147"/>
      <c r="E734" s="147"/>
      <c r="F734" s="147"/>
      <c r="G734" s="147"/>
      <c r="H734" s="147"/>
      <c r="I734" s="147"/>
      <c r="J734" s="147"/>
      <c r="K734" s="147"/>
      <c r="L734" s="147"/>
      <c r="M734" s="147"/>
      <c r="N734" s="147"/>
      <c r="O734" s="147"/>
      <c r="P734" s="147"/>
      <c r="Q734" s="147"/>
      <c r="R734" s="147"/>
      <c r="S734" s="147"/>
      <c r="T734" s="147"/>
      <c r="U734" s="147"/>
      <c r="V734" s="147"/>
      <c r="W734" s="147"/>
      <c r="X734" s="147"/>
      <c r="Y734" s="147"/>
      <c r="Z734" s="147"/>
      <c r="AA734" s="147"/>
      <c r="AB734" s="147"/>
      <c r="AC734" s="147"/>
      <c r="AD734" s="147"/>
      <c r="AE734" s="147"/>
      <c r="AF734" s="147"/>
      <c r="AG734" s="147"/>
    </row>
    <row r="735" spans="1:33" ht="14.4">
      <c r="A735" s="147"/>
      <c r="B735" s="147"/>
      <c r="C735" s="147"/>
      <c r="D735" s="147"/>
      <c r="E735" s="147"/>
      <c r="F735" s="147"/>
      <c r="G735" s="147"/>
      <c r="H735" s="147"/>
      <c r="I735" s="147"/>
      <c r="J735" s="147"/>
      <c r="K735" s="147"/>
      <c r="L735" s="147"/>
      <c r="M735" s="147"/>
      <c r="N735" s="147"/>
      <c r="O735" s="147"/>
      <c r="P735" s="147"/>
      <c r="Q735" s="147"/>
      <c r="R735" s="147"/>
      <c r="S735" s="147"/>
      <c r="T735" s="147"/>
      <c r="U735" s="147"/>
      <c r="V735" s="147"/>
      <c r="W735" s="147"/>
      <c r="X735" s="147"/>
      <c r="Y735" s="147"/>
      <c r="Z735" s="147"/>
      <c r="AA735" s="147"/>
      <c r="AB735" s="147"/>
      <c r="AC735" s="147"/>
      <c r="AD735" s="147"/>
      <c r="AE735" s="147"/>
      <c r="AF735" s="147"/>
      <c r="AG735" s="147"/>
    </row>
    <row r="736" spans="1:33" ht="14.4">
      <c r="A736" s="147"/>
      <c r="B736" s="147"/>
      <c r="C736" s="147"/>
      <c r="D736" s="147"/>
      <c r="E736" s="147"/>
      <c r="F736" s="147"/>
      <c r="G736" s="147"/>
      <c r="H736" s="147"/>
      <c r="I736" s="147"/>
      <c r="J736" s="147"/>
      <c r="K736" s="147"/>
      <c r="L736" s="147"/>
      <c r="M736" s="147"/>
      <c r="N736" s="147"/>
      <c r="O736" s="147"/>
      <c r="P736" s="147"/>
      <c r="Q736" s="147"/>
      <c r="R736" s="147"/>
      <c r="S736" s="147"/>
      <c r="T736" s="147"/>
      <c r="U736" s="147"/>
      <c r="V736" s="147"/>
      <c r="W736" s="147"/>
      <c r="X736" s="147"/>
      <c r="Y736" s="147"/>
      <c r="Z736" s="147"/>
      <c r="AA736" s="147"/>
      <c r="AB736" s="147"/>
      <c r="AC736" s="147"/>
      <c r="AD736" s="147"/>
      <c r="AE736" s="147"/>
      <c r="AF736" s="147"/>
      <c r="AG736" s="147"/>
    </row>
    <row r="737" spans="1:33" ht="14.4">
      <c r="A737" s="147"/>
      <c r="B737" s="147"/>
      <c r="C737" s="147"/>
      <c r="D737" s="147"/>
      <c r="E737" s="147"/>
      <c r="F737" s="147"/>
      <c r="G737" s="147"/>
      <c r="H737" s="147"/>
      <c r="I737" s="147"/>
      <c r="J737" s="147"/>
      <c r="K737" s="147"/>
      <c r="L737" s="147"/>
      <c r="M737" s="147"/>
      <c r="N737" s="147"/>
      <c r="O737" s="147"/>
      <c r="P737" s="147"/>
      <c r="Q737" s="147"/>
      <c r="R737" s="147"/>
      <c r="S737" s="147"/>
      <c r="T737" s="147"/>
      <c r="U737" s="147"/>
      <c r="V737" s="147"/>
      <c r="W737" s="147"/>
      <c r="X737" s="147"/>
      <c r="Y737" s="147"/>
      <c r="Z737" s="147"/>
      <c r="AA737" s="147"/>
      <c r="AB737" s="147"/>
      <c r="AC737" s="147"/>
      <c r="AD737" s="147"/>
      <c r="AE737" s="147"/>
      <c r="AF737" s="147"/>
      <c r="AG737" s="147"/>
    </row>
    <row r="738" spans="1:33" ht="14.4">
      <c r="A738" s="147"/>
      <c r="B738" s="147"/>
      <c r="C738" s="147"/>
      <c r="D738" s="147"/>
      <c r="E738" s="147"/>
      <c r="F738" s="147"/>
      <c r="G738" s="147"/>
      <c r="H738" s="147"/>
      <c r="I738" s="147"/>
      <c r="J738" s="147"/>
      <c r="K738" s="147"/>
      <c r="L738" s="147"/>
      <c r="M738" s="147"/>
      <c r="N738" s="147"/>
      <c r="O738" s="147"/>
      <c r="P738" s="147"/>
      <c r="Q738" s="147"/>
      <c r="R738" s="147"/>
      <c r="S738" s="147"/>
      <c r="T738" s="147"/>
      <c r="U738" s="147"/>
      <c r="V738" s="147"/>
      <c r="W738" s="147"/>
      <c r="X738" s="147"/>
      <c r="Y738" s="147"/>
      <c r="Z738" s="147"/>
      <c r="AA738" s="147"/>
      <c r="AB738" s="147"/>
      <c r="AC738" s="147"/>
      <c r="AD738" s="147"/>
      <c r="AE738" s="147"/>
      <c r="AF738" s="147"/>
      <c r="AG738" s="147"/>
    </row>
    <row r="739" spans="1:33" ht="14.4">
      <c r="A739" s="147"/>
      <c r="B739" s="147"/>
      <c r="C739" s="147"/>
      <c r="D739" s="147"/>
      <c r="E739" s="147"/>
      <c r="F739" s="147"/>
      <c r="G739" s="147"/>
      <c r="H739" s="147"/>
      <c r="I739" s="147"/>
      <c r="J739" s="147"/>
      <c r="K739" s="147"/>
      <c r="L739" s="147"/>
      <c r="M739" s="147"/>
      <c r="N739" s="147"/>
      <c r="O739" s="147"/>
      <c r="P739" s="147"/>
      <c r="Q739" s="147"/>
      <c r="R739" s="147"/>
      <c r="S739" s="147"/>
      <c r="T739" s="147"/>
      <c r="U739" s="147"/>
      <c r="V739" s="147"/>
      <c r="W739" s="147"/>
      <c r="X739" s="147"/>
      <c r="Y739" s="147"/>
      <c r="Z739" s="147"/>
      <c r="AA739" s="147"/>
      <c r="AB739" s="147"/>
      <c r="AC739" s="147"/>
      <c r="AD739" s="147"/>
      <c r="AE739" s="147"/>
      <c r="AF739" s="147"/>
      <c r="AG739" s="147"/>
    </row>
    <row r="740" spans="1:33" ht="14.4">
      <c r="A740" s="147"/>
      <c r="B740" s="147"/>
      <c r="C740" s="147"/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  <c r="P740" s="147"/>
      <c r="Q740" s="147"/>
      <c r="R740" s="147"/>
      <c r="S740" s="147"/>
      <c r="T740" s="147"/>
      <c r="U740" s="147"/>
      <c r="V740" s="147"/>
      <c r="W740" s="147"/>
      <c r="X740" s="147"/>
      <c r="Y740" s="147"/>
      <c r="Z740" s="147"/>
      <c r="AA740" s="147"/>
      <c r="AB740" s="147"/>
      <c r="AC740" s="147"/>
      <c r="AD740" s="147"/>
      <c r="AE740" s="147"/>
      <c r="AF740" s="147"/>
      <c r="AG740" s="147"/>
    </row>
    <row r="741" spans="1:33" ht="14.4">
      <c r="A741" s="147"/>
      <c r="B741" s="147"/>
      <c r="C741" s="147"/>
      <c r="D741" s="147"/>
      <c r="E741" s="147"/>
      <c r="F741" s="147"/>
      <c r="G741" s="147"/>
      <c r="H741" s="147"/>
      <c r="I741" s="147"/>
      <c r="J741" s="147"/>
      <c r="K741" s="147"/>
      <c r="L741" s="147"/>
      <c r="M741" s="147"/>
      <c r="N741" s="147"/>
      <c r="O741" s="147"/>
      <c r="P741" s="147"/>
      <c r="Q741" s="147"/>
      <c r="R741" s="147"/>
      <c r="S741" s="147"/>
      <c r="T741" s="147"/>
      <c r="U741" s="147"/>
      <c r="V741" s="147"/>
      <c r="W741" s="147"/>
      <c r="X741" s="147"/>
      <c r="Y741" s="147"/>
      <c r="Z741" s="147"/>
      <c r="AA741" s="147"/>
      <c r="AB741" s="147"/>
      <c r="AC741" s="147"/>
      <c r="AD741" s="147"/>
      <c r="AE741" s="147"/>
      <c r="AF741" s="147"/>
      <c r="AG741" s="147"/>
    </row>
    <row r="742" spans="1:33" ht="14.4">
      <c r="A742" s="147"/>
      <c r="B742" s="147"/>
      <c r="C742" s="147"/>
      <c r="D742" s="147"/>
      <c r="E742" s="147"/>
      <c r="F742" s="147"/>
      <c r="G742" s="147"/>
      <c r="H742" s="147"/>
      <c r="I742" s="147"/>
      <c r="J742" s="147"/>
      <c r="K742" s="147"/>
      <c r="L742" s="147"/>
      <c r="M742" s="147"/>
      <c r="N742" s="147"/>
      <c r="O742" s="147"/>
      <c r="P742" s="147"/>
      <c r="Q742" s="147"/>
      <c r="R742" s="147"/>
      <c r="S742" s="147"/>
      <c r="T742" s="147"/>
      <c r="U742" s="147"/>
      <c r="V742" s="147"/>
      <c r="W742" s="147"/>
      <c r="X742" s="147"/>
      <c r="Y742" s="147"/>
      <c r="Z742" s="147"/>
      <c r="AA742" s="147"/>
      <c r="AB742" s="147"/>
      <c r="AC742" s="147"/>
      <c r="AD742" s="147"/>
      <c r="AE742" s="147"/>
      <c r="AF742" s="147"/>
      <c r="AG742" s="147"/>
    </row>
    <row r="743" spans="1:33" ht="14.4">
      <c r="A743" s="147"/>
      <c r="B743" s="147"/>
      <c r="C743" s="147"/>
      <c r="D743" s="147"/>
      <c r="E743" s="147"/>
      <c r="F743" s="147"/>
      <c r="G743" s="147"/>
      <c r="H743" s="147"/>
      <c r="I743" s="147"/>
      <c r="J743" s="147"/>
      <c r="K743" s="147"/>
      <c r="L743" s="147"/>
      <c r="M743" s="147"/>
      <c r="N743" s="147"/>
      <c r="O743" s="147"/>
      <c r="P743" s="147"/>
      <c r="Q743" s="147"/>
      <c r="R743" s="147"/>
      <c r="S743" s="147"/>
      <c r="T743" s="147"/>
      <c r="U743" s="147"/>
      <c r="V743" s="147"/>
      <c r="W743" s="147"/>
      <c r="X743" s="147"/>
      <c r="Y743" s="147"/>
      <c r="Z743" s="147"/>
      <c r="AA743" s="147"/>
      <c r="AB743" s="147"/>
      <c r="AC743" s="147"/>
      <c r="AD743" s="147"/>
      <c r="AE743" s="147"/>
      <c r="AF743" s="147"/>
      <c r="AG743" s="147"/>
    </row>
    <row r="744" spans="1:33" ht="14.4">
      <c r="A744" s="147"/>
      <c r="B744" s="147"/>
      <c r="C744" s="147"/>
      <c r="D744" s="147"/>
      <c r="E744" s="147"/>
      <c r="F744" s="147"/>
      <c r="G744" s="147"/>
      <c r="H744" s="147"/>
      <c r="I744" s="147"/>
      <c r="J744" s="147"/>
      <c r="K744" s="147"/>
      <c r="L744" s="147"/>
      <c r="M744" s="147"/>
      <c r="N744" s="147"/>
      <c r="O744" s="147"/>
      <c r="P744" s="147"/>
      <c r="Q744" s="147"/>
      <c r="R744" s="147"/>
      <c r="S744" s="147"/>
      <c r="T744" s="147"/>
      <c r="U744" s="147"/>
      <c r="V744" s="147"/>
      <c r="W744" s="147"/>
      <c r="X744" s="147"/>
      <c r="Y744" s="147"/>
      <c r="Z744" s="147"/>
      <c r="AA744" s="147"/>
      <c r="AB744" s="147"/>
      <c r="AC744" s="147"/>
      <c r="AD744" s="147"/>
      <c r="AE744" s="147"/>
      <c r="AF744" s="147"/>
      <c r="AG744" s="147"/>
    </row>
    <row r="745" spans="1:33" ht="14.4">
      <c r="A745" s="147"/>
      <c r="B745" s="147"/>
      <c r="C745" s="147"/>
      <c r="D745" s="147"/>
      <c r="E745" s="147"/>
      <c r="F745" s="147"/>
      <c r="G745" s="147"/>
      <c r="H745" s="147"/>
      <c r="I745" s="147"/>
      <c r="J745" s="147"/>
      <c r="K745" s="147"/>
      <c r="L745" s="147"/>
      <c r="M745" s="147"/>
      <c r="N745" s="147"/>
      <c r="O745" s="147"/>
      <c r="P745" s="147"/>
      <c r="Q745" s="147"/>
      <c r="R745" s="147"/>
      <c r="S745" s="147"/>
      <c r="T745" s="147"/>
      <c r="U745" s="147"/>
      <c r="V745" s="147"/>
      <c r="W745" s="147"/>
      <c r="X745" s="147"/>
      <c r="Y745" s="147"/>
      <c r="Z745" s="147"/>
      <c r="AA745" s="147"/>
      <c r="AB745" s="147"/>
      <c r="AC745" s="147"/>
      <c r="AD745" s="147"/>
      <c r="AE745" s="147"/>
      <c r="AF745" s="147"/>
      <c r="AG745" s="147"/>
    </row>
    <row r="746" spans="1:33" ht="14.4">
      <c r="A746" s="147"/>
      <c r="B746" s="147"/>
      <c r="C746" s="147"/>
      <c r="D746" s="147"/>
      <c r="E746" s="147"/>
      <c r="F746" s="147"/>
      <c r="G746" s="147"/>
      <c r="H746" s="147"/>
      <c r="I746" s="147"/>
      <c r="J746" s="147"/>
      <c r="K746" s="147"/>
      <c r="L746" s="147"/>
      <c r="M746" s="147"/>
      <c r="N746" s="147"/>
      <c r="O746" s="147"/>
      <c r="P746" s="147"/>
      <c r="Q746" s="147"/>
      <c r="R746" s="147"/>
      <c r="S746" s="147"/>
      <c r="T746" s="147"/>
      <c r="U746" s="147"/>
      <c r="V746" s="147"/>
      <c r="W746" s="147"/>
      <c r="X746" s="147"/>
      <c r="Y746" s="147"/>
      <c r="Z746" s="147"/>
      <c r="AA746" s="147"/>
      <c r="AB746" s="147"/>
      <c r="AC746" s="147"/>
      <c r="AD746" s="147"/>
      <c r="AE746" s="147"/>
      <c r="AF746" s="147"/>
      <c r="AG746" s="147"/>
    </row>
    <row r="747" spans="1:33" ht="14.4">
      <c r="A747" s="147"/>
      <c r="B747" s="147"/>
      <c r="C747" s="147"/>
      <c r="D747" s="147"/>
      <c r="E747" s="147"/>
      <c r="F747" s="147"/>
      <c r="G747" s="147"/>
      <c r="H747" s="147"/>
      <c r="I747" s="147"/>
      <c r="J747" s="147"/>
      <c r="K747" s="147"/>
      <c r="L747" s="147"/>
      <c r="M747" s="147"/>
      <c r="N747" s="147"/>
      <c r="O747" s="147"/>
      <c r="P747" s="147"/>
      <c r="Q747" s="147"/>
      <c r="R747" s="147"/>
      <c r="S747" s="147"/>
      <c r="T747" s="147"/>
      <c r="U747" s="147"/>
      <c r="V747" s="147"/>
      <c r="W747" s="147"/>
      <c r="X747" s="147"/>
      <c r="Y747" s="147"/>
      <c r="Z747" s="147"/>
      <c r="AA747" s="147"/>
      <c r="AB747" s="147"/>
      <c r="AC747" s="147"/>
      <c r="AD747" s="147"/>
      <c r="AE747" s="147"/>
      <c r="AF747" s="147"/>
      <c r="AG747" s="147"/>
    </row>
    <row r="748" spans="1:33" ht="14.4">
      <c r="A748" s="147"/>
      <c r="B748" s="147"/>
      <c r="C748" s="147"/>
      <c r="D748" s="147"/>
      <c r="E748" s="147"/>
      <c r="F748" s="147"/>
      <c r="G748" s="147"/>
      <c r="H748" s="147"/>
      <c r="I748" s="147"/>
      <c r="J748" s="147"/>
      <c r="K748" s="147"/>
      <c r="L748" s="147"/>
      <c r="M748" s="147"/>
      <c r="N748" s="147"/>
      <c r="O748" s="147"/>
      <c r="P748" s="147"/>
      <c r="Q748" s="147"/>
      <c r="R748" s="147"/>
      <c r="S748" s="147"/>
      <c r="T748" s="147"/>
      <c r="U748" s="147"/>
      <c r="V748" s="147"/>
      <c r="W748" s="147"/>
      <c r="X748" s="147"/>
      <c r="Y748" s="147"/>
      <c r="Z748" s="147"/>
      <c r="AA748" s="147"/>
      <c r="AB748" s="147"/>
      <c r="AC748" s="147"/>
      <c r="AD748" s="147"/>
      <c r="AE748" s="147"/>
      <c r="AF748" s="147"/>
      <c r="AG748" s="147"/>
    </row>
    <row r="749" spans="1:33" ht="14.4">
      <c r="A749" s="147"/>
      <c r="B749" s="147"/>
      <c r="C749" s="147"/>
      <c r="D749" s="147"/>
      <c r="E749" s="147"/>
      <c r="F749" s="147"/>
      <c r="G749" s="147"/>
      <c r="H749" s="147"/>
      <c r="I749" s="147"/>
      <c r="J749" s="147"/>
      <c r="K749" s="147"/>
      <c r="L749" s="147"/>
      <c r="M749" s="147"/>
      <c r="N749" s="147"/>
      <c r="O749" s="147"/>
      <c r="P749" s="147"/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7"/>
      <c r="AB749" s="147"/>
      <c r="AC749" s="147"/>
      <c r="AD749" s="147"/>
      <c r="AE749" s="147"/>
      <c r="AF749" s="147"/>
      <c r="AG749" s="147"/>
    </row>
    <row r="750" spans="1:33" ht="14.4">
      <c r="A750" s="147"/>
      <c r="B750" s="147"/>
      <c r="C750" s="147"/>
      <c r="D750" s="147"/>
      <c r="E750" s="147"/>
      <c r="F750" s="147"/>
      <c r="G750" s="147"/>
      <c r="H750" s="147"/>
      <c r="I750" s="147"/>
      <c r="J750" s="147"/>
      <c r="K750" s="147"/>
      <c r="L750" s="147"/>
      <c r="M750" s="147"/>
      <c r="N750" s="147"/>
      <c r="O750" s="147"/>
      <c r="P750" s="147"/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7"/>
      <c r="AB750" s="147"/>
      <c r="AC750" s="147"/>
      <c r="AD750" s="147"/>
      <c r="AE750" s="147"/>
      <c r="AF750" s="147"/>
      <c r="AG750" s="147"/>
    </row>
    <row r="751" spans="1:33" ht="14.4">
      <c r="A751" s="147"/>
      <c r="B751" s="147"/>
      <c r="C751" s="147"/>
      <c r="D751" s="147"/>
      <c r="E751" s="147"/>
      <c r="F751" s="147"/>
      <c r="G751" s="147"/>
      <c r="H751" s="147"/>
      <c r="I751" s="147"/>
      <c r="J751" s="147"/>
      <c r="K751" s="147"/>
      <c r="L751" s="147"/>
      <c r="M751" s="147"/>
      <c r="N751" s="147"/>
      <c r="O751" s="147"/>
      <c r="P751" s="147"/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7"/>
      <c r="AB751" s="147"/>
      <c r="AC751" s="147"/>
      <c r="AD751" s="147"/>
      <c r="AE751" s="147"/>
      <c r="AF751" s="147"/>
      <c r="AG751" s="147"/>
    </row>
    <row r="752" spans="1:33" ht="14.4">
      <c r="A752" s="147"/>
      <c r="B752" s="147"/>
      <c r="C752" s="147"/>
      <c r="D752" s="147"/>
      <c r="E752" s="147"/>
      <c r="F752" s="147"/>
      <c r="G752" s="147"/>
      <c r="H752" s="147"/>
      <c r="I752" s="147"/>
      <c r="J752" s="147"/>
      <c r="K752" s="147"/>
      <c r="L752" s="147"/>
      <c r="M752" s="147"/>
      <c r="N752" s="147"/>
      <c r="O752" s="147"/>
      <c r="P752" s="147"/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7"/>
      <c r="AB752" s="147"/>
      <c r="AC752" s="147"/>
      <c r="AD752" s="147"/>
      <c r="AE752" s="147"/>
      <c r="AF752" s="147"/>
      <c r="AG752" s="147"/>
    </row>
    <row r="753" spans="1:33" ht="14.4">
      <c r="A753" s="147"/>
      <c r="B753" s="147"/>
      <c r="C753" s="147"/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  <c r="P753" s="147"/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7"/>
      <c r="AB753" s="147"/>
      <c r="AC753" s="147"/>
      <c r="AD753" s="147"/>
      <c r="AE753" s="147"/>
      <c r="AF753" s="147"/>
      <c r="AG753" s="147"/>
    </row>
    <row r="754" spans="1:33" ht="14.4">
      <c r="A754" s="147"/>
      <c r="B754" s="147"/>
      <c r="C754" s="147"/>
      <c r="D754" s="147"/>
      <c r="E754" s="147"/>
      <c r="F754" s="147"/>
      <c r="G754" s="147"/>
      <c r="H754" s="147"/>
      <c r="I754" s="147"/>
      <c r="J754" s="147"/>
      <c r="K754" s="147"/>
      <c r="L754" s="147"/>
      <c r="M754" s="147"/>
      <c r="N754" s="147"/>
      <c r="O754" s="147"/>
      <c r="P754" s="147"/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7"/>
      <c r="AB754" s="147"/>
      <c r="AC754" s="147"/>
      <c r="AD754" s="147"/>
      <c r="AE754" s="147"/>
      <c r="AF754" s="147"/>
      <c r="AG754" s="147"/>
    </row>
    <row r="755" spans="1:33" ht="14.4">
      <c r="A755" s="147"/>
      <c r="B755" s="147"/>
      <c r="C755" s="147"/>
      <c r="D755" s="147"/>
      <c r="E755" s="147"/>
      <c r="F755" s="147"/>
      <c r="G755" s="147"/>
      <c r="H755" s="147"/>
      <c r="I755" s="147"/>
      <c r="J755" s="147"/>
      <c r="K755" s="147"/>
      <c r="L755" s="147"/>
      <c r="M755" s="147"/>
      <c r="N755" s="147"/>
      <c r="O755" s="147"/>
      <c r="P755" s="147"/>
      <c r="Q755" s="147"/>
      <c r="R755" s="147"/>
      <c r="S755" s="147"/>
      <c r="T755" s="147"/>
      <c r="U755" s="147"/>
      <c r="V755" s="147"/>
      <c r="W755" s="147"/>
      <c r="X755" s="147"/>
      <c r="Y755" s="147"/>
      <c r="Z755" s="147"/>
      <c r="AA755" s="147"/>
      <c r="AB755" s="147"/>
      <c r="AC755" s="147"/>
      <c r="AD755" s="147"/>
      <c r="AE755" s="147"/>
      <c r="AF755" s="147"/>
      <c r="AG755" s="147"/>
    </row>
    <row r="756" spans="1:33" ht="14.4">
      <c r="A756" s="147"/>
      <c r="B756" s="147"/>
      <c r="C756" s="147"/>
      <c r="D756" s="147"/>
      <c r="E756" s="147"/>
      <c r="F756" s="147"/>
      <c r="G756" s="147"/>
      <c r="H756" s="147"/>
      <c r="I756" s="147"/>
      <c r="J756" s="147"/>
      <c r="K756" s="147"/>
      <c r="L756" s="147"/>
      <c r="M756" s="147"/>
      <c r="N756" s="147"/>
      <c r="O756" s="147"/>
      <c r="P756" s="147"/>
      <c r="Q756" s="147"/>
      <c r="R756" s="147"/>
      <c r="S756" s="147"/>
      <c r="T756" s="147"/>
      <c r="U756" s="147"/>
      <c r="V756" s="147"/>
      <c r="W756" s="147"/>
      <c r="X756" s="147"/>
      <c r="Y756" s="147"/>
      <c r="Z756" s="147"/>
      <c r="AA756" s="147"/>
      <c r="AB756" s="147"/>
      <c r="AC756" s="147"/>
      <c r="AD756" s="147"/>
      <c r="AE756" s="147"/>
      <c r="AF756" s="147"/>
      <c r="AG756" s="147"/>
    </row>
    <row r="757" spans="1:33" ht="14.4">
      <c r="A757" s="147"/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</row>
    <row r="758" spans="1:33" ht="14.4">
      <c r="A758" s="147"/>
      <c r="B758" s="147"/>
      <c r="C758" s="147"/>
      <c r="D758" s="147"/>
      <c r="E758" s="147"/>
      <c r="F758" s="147"/>
      <c r="G758" s="147"/>
      <c r="H758" s="147"/>
      <c r="I758" s="147"/>
      <c r="J758" s="147"/>
      <c r="K758" s="147"/>
      <c r="L758" s="147"/>
      <c r="M758" s="147"/>
      <c r="N758" s="147"/>
      <c r="O758" s="147"/>
      <c r="P758" s="147"/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7"/>
      <c r="AB758" s="147"/>
      <c r="AC758" s="147"/>
      <c r="AD758" s="147"/>
      <c r="AE758" s="147"/>
      <c r="AF758" s="147"/>
      <c r="AG758" s="147"/>
    </row>
    <row r="759" spans="1:33" ht="14.4">
      <c r="A759" s="147"/>
      <c r="B759" s="147"/>
      <c r="C759" s="147"/>
      <c r="D759" s="147"/>
      <c r="E759" s="147"/>
      <c r="F759" s="147"/>
      <c r="G759" s="147"/>
      <c r="H759" s="147"/>
      <c r="I759" s="147"/>
      <c r="J759" s="147"/>
      <c r="K759" s="147"/>
      <c r="L759" s="147"/>
      <c r="M759" s="147"/>
      <c r="N759" s="147"/>
      <c r="O759" s="147"/>
      <c r="P759" s="147"/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7"/>
      <c r="AB759" s="147"/>
      <c r="AC759" s="147"/>
      <c r="AD759" s="147"/>
      <c r="AE759" s="147"/>
      <c r="AF759" s="147"/>
      <c r="AG759" s="147"/>
    </row>
    <row r="760" spans="1:33" ht="14.4">
      <c r="A760" s="147"/>
      <c r="B760" s="147"/>
      <c r="C760" s="147"/>
      <c r="D760" s="147"/>
      <c r="E760" s="147"/>
      <c r="F760" s="147"/>
      <c r="G760" s="147"/>
      <c r="H760" s="147"/>
      <c r="I760" s="147"/>
      <c r="J760" s="147"/>
      <c r="K760" s="147"/>
      <c r="L760" s="147"/>
      <c r="M760" s="147"/>
      <c r="N760" s="147"/>
      <c r="O760" s="147"/>
      <c r="P760" s="147"/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7"/>
      <c r="AB760" s="147"/>
      <c r="AC760" s="147"/>
      <c r="AD760" s="147"/>
      <c r="AE760" s="147"/>
      <c r="AF760" s="147"/>
      <c r="AG760" s="147"/>
    </row>
    <row r="761" spans="1:33" ht="14.4">
      <c r="A761" s="147"/>
      <c r="B761" s="147"/>
      <c r="C761" s="147"/>
      <c r="D761" s="147"/>
      <c r="E761" s="147"/>
      <c r="F761" s="147"/>
      <c r="G761" s="147"/>
      <c r="H761" s="147"/>
      <c r="I761" s="147"/>
      <c r="J761" s="147"/>
      <c r="K761" s="147"/>
      <c r="L761" s="147"/>
      <c r="M761" s="147"/>
      <c r="N761" s="147"/>
      <c r="O761" s="147"/>
      <c r="P761" s="147"/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7"/>
      <c r="AB761" s="147"/>
      <c r="AC761" s="147"/>
      <c r="AD761" s="147"/>
      <c r="AE761" s="147"/>
      <c r="AF761" s="147"/>
      <c r="AG761" s="147"/>
    </row>
    <row r="762" spans="1:33" ht="14.4">
      <c r="A762" s="147"/>
      <c r="B762" s="147"/>
      <c r="C762" s="147"/>
      <c r="D762" s="147"/>
      <c r="E762" s="147"/>
      <c r="F762" s="147"/>
      <c r="G762" s="147"/>
      <c r="H762" s="147"/>
      <c r="I762" s="147"/>
      <c r="J762" s="147"/>
      <c r="K762" s="147"/>
      <c r="L762" s="147"/>
      <c r="M762" s="147"/>
      <c r="N762" s="147"/>
      <c r="O762" s="147"/>
      <c r="P762" s="147"/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7"/>
      <c r="AB762" s="147"/>
      <c r="AC762" s="147"/>
      <c r="AD762" s="147"/>
      <c r="AE762" s="147"/>
      <c r="AF762" s="147"/>
      <c r="AG762" s="147"/>
    </row>
    <row r="763" spans="1:33" ht="14.4">
      <c r="A763" s="147"/>
      <c r="B763" s="147"/>
      <c r="C763" s="147"/>
      <c r="D763" s="147"/>
      <c r="E763" s="147"/>
      <c r="F763" s="147"/>
      <c r="G763" s="147"/>
      <c r="H763" s="147"/>
      <c r="I763" s="147"/>
      <c r="J763" s="147"/>
      <c r="K763" s="147"/>
      <c r="L763" s="147"/>
      <c r="M763" s="147"/>
      <c r="N763" s="147"/>
      <c r="O763" s="147"/>
      <c r="P763" s="147"/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7"/>
      <c r="AB763" s="147"/>
      <c r="AC763" s="147"/>
      <c r="AD763" s="147"/>
      <c r="AE763" s="147"/>
      <c r="AF763" s="147"/>
      <c r="AG763" s="147"/>
    </row>
    <row r="764" spans="1:33" ht="14.4">
      <c r="A764" s="147"/>
      <c r="B764" s="147"/>
      <c r="C764" s="147"/>
      <c r="D764" s="147"/>
      <c r="E764" s="147"/>
      <c r="F764" s="147"/>
      <c r="G764" s="147"/>
      <c r="H764" s="147"/>
      <c r="I764" s="147"/>
      <c r="J764" s="147"/>
      <c r="K764" s="147"/>
      <c r="L764" s="147"/>
      <c r="M764" s="147"/>
      <c r="N764" s="147"/>
      <c r="O764" s="147"/>
      <c r="P764" s="147"/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7"/>
      <c r="AB764" s="147"/>
      <c r="AC764" s="147"/>
      <c r="AD764" s="147"/>
      <c r="AE764" s="147"/>
      <c r="AF764" s="147"/>
      <c r="AG764" s="147"/>
    </row>
    <row r="765" spans="1:33" ht="14.4">
      <c r="A765" s="147"/>
      <c r="B765" s="147"/>
      <c r="C765" s="147"/>
      <c r="D765" s="147"/>
      <c r="E765" s="147"/>
      <c r="F765" s="147"/>
      <c r="G765" s="147"/>
      <c r="H765" s="147"/>
      <c r="I765" s="147"/>
      <c r="J765" s="147"/>
      <c r="K765" s="147"/>
      <c r="L765" s="147"/>
      <c r="M765" s="147"/>
      <c r="N765" s="147"/>
      <c r="O765" s="147"/>
      <c r="P765" s="147"/>
      <c r="Q765" s="147"/>
      <c r="R765" s="147"/>
      <c r="S765" s="147"/>
      <c r="T765" s="147"/>
      <c r="U765" s="147"/>
      <c r="V765" s="147"/>
      <c r="W765" s="147"/>
      <c r="X765" s="147"/>
      <c r="Y765" s="147"/>
      <c r="Z765" s="147"/>
      <c r="AA765" s="147"/>
      <c r="AB765" s="147"/>
      <c r="AC765" s="147"/>
      <c r="AD765" s="147"/>
      <c r="AE765" s="147"/>
      <c r="AF765" s="147"/>
      <c r="AG765" s="147"/>
    </row>
    <row r="766" spans="1:33" ht="14.4">
      <c r="A766" s="147"/>
      <c r="B766" s="147"/>
      <c r="C766" s="147"/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  <c r="P766" s="147"/>
      <c r="Q766" s="147"/>
      <c r="R766" s="147"/>
      <c r="S766" s="147"/>
      <c r="T766" s="147"/>
      <c r="U766" s="147"/>
      <c r="V766" s="147"/>
      <c r="W766" s="147"/>
      <c r="X766" s="147"/>
      <c r="Y766" s="147"/>
      <c r="Z766" s="147"/>
      <c r="AA766" s="147"/>
      <c r="AB766" s="147"/>
      <c r="AC766" s="147"/>
      <c r="AD766" s="147"/>
      <c r="AE766" s="147"/>
      <c r="AF766" s="147"/>
      <c r="AG766" s="147"/>
    </row>
    <row r="767" spans="1:33" ht="14.4">
      <c r="A767" s="147"/>
      <c r="B767" s="147"/>
      <c r="C767" s="147"/>
      <c r="D767" s="147"/>
      <c r="E767" s="147"/>
      <c r="F767" s="147"/>
      <c r="G767" s="147"/>
      <c r="H767" s="147"/>
      <c r="I767" s="147"/>
      <c r="J767" s="147"/>
      <c r="K767" s="147"/>
      <c r="L767" s="147"/>
      <c r="M767" s="147"/>
      <c r="N767" s="147"/>
      <c r="O767" s="147"/>
      <c r="P767" s="147"/>
      <c r="Q767" s="147"/>
      <c r="R767" s="147"/>
      <c r="S767" s="147"/>
      <c r="T767" s="147"/>
      <c r="U767" s="147"/>
      <c r="V767" s="147"/>
      <c r="W767" s="147"/>
      <c r="X767" s="147"/>
      <c r="Y767" s="147"/>
      <c r="Z767" s="147"/>
      <c r="AA767" s="147"/>
      <c r="AB767" s="147"/>
      <c r="AC767" s="147"/>
      <c r="AD767" s="147"/>
      <c r="AE767" s="147"/>
      <c r="AF767" s="147"/>
      <c r="AG767" s="147"/>
    </row>
    <row r="768" spans="1:33" ht="14.4">
      <c r="A768" s="147"/>
      <c r="B768" s="147"/>
      <c r="C768" s="147"/>
      <c r="D768" s="147"/>
      <c r="E768" s="147"/>
      <c r="F768" s="147"/>
      <c r="G768" s="147"/>
      <c r="H768" s="147"/>
      <c r="I768" s="147"/>
      <c r="J768" s="147"/>
      <c r="K768" s="147"/>
      <c r="L768" s="147"/>
      <c r="M768" s="147"/>
      <c r="N768" s="147"/>
      <c r="O768" s="147"/>
      <c r="P768" s="147"/>
      <c r="Q768" s="147"/>
      <c r="R768" s="147"/>
      <c r="S768" s="147"/>
      <c r="T768" s="147"/>
      <c r="U768" s="147"/>
      <c r="V768" s="147"/>
      <c r="W768" s="147"/>
      <c r="X768" s="147"/>
      <c r="Y768" s="147"/>
      <c r="Z768" s="147"/>
      <c r="AA768" s="147"/>
      <c r="AB768" s="147"/>
      <c r="AC768" s="147"/>
      <c r="AD768" s="147"/>
      <c r="AE768" s="147"/>
      <c r="AF768" s="147"/>
      <c r="AG768" s="147"/>
    </row>
    <row r="769" spans="1:33" ht="14.4">
      <c r="A769" s="147"/>
      <c r="B769" s="147"/>
      <c r="C769" s="147"/>
      <c r="D769" s="147"/>
      <c r="E769" s="147"/>
      <c r="F769" s="147"/>
      <c r="G769" s="147"/>
      <c r="H769" s="147"/>
      <c r="I769" s="147"/>
      <c r="J769" s="147"/>
      <c r="K769" s="147"/>
      <c r="L769" s="147"/>
      <c r="M769" s="147"/>
      <c r="N769" s="147"/>
      <c r="O769" s="147"/>
      <c r="P769" s="147"/>
      <c r="Q769" s="147"/>
      <c r="R769" s="147"/>
      <c r="S769" s="147"/>
      <c r="T769" s="147"/>
      <c r="U769" s="147"/>
      <c r="V769" s="147"/>
      <c r="W769" s="147"/>
      <c r="X769" s="147"/>
      <c r="Y769" s="147"/>
      <c r="Z769" s="147"/>
      <c r="AA769" s="147"/>
      <c r="AB769" s="147"/>
      <c r="AC769" s="147"/>
      <c r="AD769" s="147"/>
      <c r="AE769" s="147"/>
      <c r="AF769" s="147"/>
      <c r="AG769" s="147"/>
    </row>
    <row r="770" spans="1:33" ht="14.4">
      <c r="A770" s="147"/>
      <c r="B770" s="147"/>
      <c r="C770" s="147"/>
      <c r="D770" s="147"/>
      <c r="E770" s="147"/>
      <c r="F770" s="147"/>
      <c r="G770" s="147"/>
      <c r="H770" s="147"/>
      <c r="I770" s="147"/>
      <c r="J770" s="147"/>
      <c r="K770" s="147"/>
      <c r="L770" s="147"/>
      <c r="M770" s="147"/>
      <c r="N770" s="147"/>
      <c r="O770" s="147"/>
      <c r="P770" s="147"/>
      <c r="Q770" s="147"/>
      <c r="R770" s="147"/>
      <c r="S770" s="147"/>
      <c r="T770" s="147"/>
      <c r="U770" s="147"/>
      <c r="V770" s="147"/>
      <c r="W770" s="147"/>
      <c r="X770" s="147"/>
      <c r="Y770" s="147"/>
      <c r="Z770" s="147"/>
      <c r="AA770" s="147"/>
      <c r="AB770" s="147"/>
      <c r="AC770" s="147"/>
      <c r="AD770" s="147"/>
      <c r="AE770" s="147"/>
      <c r="AF770" s="147"/>
      <c r="AG770" s="147"/>
    </row>
    <row r="771" spans="1:33" ht="14.4">
      <c r="A771" s="147"/>
      <c r="B771" s="147"/>
      <c r="C771" s="147"/>
      <c r="D771" s="147"/>
      <c r="E771" s="147"/>
      <c r="F771" s="147"/>
      <c r="G771" s="147"/>
      <c r="H771" s="147"/>
      <c r="I771" s="147"/>
      <c r="J771" s="147"/>
      <c r="K771" s="147"/>
      <c r="L771" s="147"/>
      <c r="M771" s="147"/>
      <c r="N771" s="147"/>
      <c r="O771" s="147"/>
      <c r="P771" s="147"/>
      <c r="Q771" s="147"/>
      <c r="R771" s="147"/>
      <c r="S771" s="147"/>
      <c r="T771" s="147"/>
      <c r="U771" s="147"/>
      <c r="V771" s="147"/>
      <c r="W771" s="147"/>
      <c r="X771" s="147"/>
      <c r="Y771" s="147"/>
      <c r="Z771" s="147"/>
      <c r="AA771" s="147"/>
      <c r="AB771" s="147"/>
      <c r="AC771" s="147"/>
      <c r="AD771" s="147"/>
      <c r="AE771" s="147"/>
      <c r="AF771" s="147"/>
      <c r="AG771" s="147"/>
    </row>
    <row r="772" spans="1:33" ht="14.4">
      <c r="A772" s="147"/>
      <c r="B772" s="147"/>
      <c r="C772" s="147"/>
      <c r="D772" s="147"/>
      <c r="E772" s="147"/>
      <c r="F772" s="147"/>
      <c r="G772" s="147"/>
      <c r="H772" s="147"/>
      <c r="I772" s="147"/>
      <c r="J772" s="147"/>
      <c r="K772" s="147"/>
      <c r="L772" s="147"/>
      <c r="M772" s="147"/>
      <c r="N772" s="147"/>
      <c r="O772" s="147"/>
      <c r="P772" s="147"/>
      <c r="Q772" s="147"/>
      <c r="R772" s="147"/>
      <c r="S772" s="147"/>
      <c r="T772" s="147"/>
      <c r="U772" s="147"/>
      <c r="V772" s="147"/>
      <c r="W772" s="147"/>
      <c r="X772" s="147"/>
      <c r="Y772" s="147"/>
      <c r="Z772" s="147"/>
      <c r="AA772" s="147"/>
      <c r="AB772" s="147"/>
      <c r="AC772" s="147"/>
      <c r="AD772" s="147"/>
      <c r="AE772" s="147"/>
      <c r="AF772" s="147"/>
      <c r="AG772" s="147"/>
    </row>
    <row r="773" spans="1:33" ht="14.4">
      <c r="A773" s="147"/>
      <c r="B773" s="147"/>
      <c r="C773" s="147"/>
      <c r="D773" s="147"/>
      <c r="E773" s="147"/>
      <c r="F773" s="147"/>
      <c r="G773" s="147"/>
      <c r="H773" s="147"/>
      <c r="I773" s="147"/>
      <c r="J773" s="147"/>
      <c r="K773" s="147"/>
      <c r="L773" s="147"/>
      <c r="M773" s="147"/>
      <c r="N773" s="147"/>
      <c r="O773" s="147"/>
      <c r="P773" s="147"/>
      <c r="Q773" s="147"/>
      <c r="R773" s="147"/>
      <c r="S773" s="147"/>
      <c r="T773" s="147"/>
      <c r="U773" s="147"/>
      <c r="V773" s="147"/>
      <c r="W773" s="147"/>
      <c r="X773" s="147"/>
      <c r="Y773" s="147"/>
      <c r="Z773" s="147"/>
      <c r="AA773" s="147"/>
      <c r="AB773" s="147"/>
      <c r="AC773" s="147"/>
      <c r="AD773" s="147"/>
      <c r="AE773" s="147"/>
      <c r="AF773" s="147"/>
      <c r="AG773" s="147"/>
    </row>
    <row r="774" spans="1:33" ht="14.4">
      <c r="A774" s="147"/>
      <c r="B774" s="147"/>
      <c r="C774" s="147"/>
      <c r="D774" s="147"/>
      <c r="E774" s="147"/>
      <c r="F774" s="147"/>
      <c r="G774" s="147"/>
      <c r="H774" s="147"/>
      <c r="I774" s="147"/>
      <c r="J774" s="147"/>
      <c r="K774" s="147"/>
      <c r="L774" s="147"/>
      <c r="M774" s="147"/>
      <c r="N774" s="147"/>
      <c r="O774" s="147"/>
      <c r="P774" s="147"/>
      <c r="Q774" s="147"/>
      <c r="R774" s="147"/>
      <c r="S774" s="147"/>
      <c r="T774" s="147"/>
      <c r="U774" s="147"/>
      <c r="V774" s="147"/>
      <c r="W774" s="147"/>
      <c r="X774" s="147"/>
      <c r="Y774" s="147"/>
      <c r="Z774" s="147"/>
      <c r="AA774" s="147"/>
      <c r="AB774" s="147"/>
      <c r="AC774" s="147"/>
      <c r="AD774" s="147"/>
      <c r="AE774" s="147"/>
      <c r="AF774" s="147"/>
      <c r="AG774" s="147"/>
    </row>
    <row r="775" spans="1:33" ht="14.4">
      <c r="A775" s="147"/>
      <c r="B775" s="147"/>
      <c r="C775" s="147"/>
      <c r="D775" s="147"/>
      <c r="E775" s="147"/>
      <c r="F775" s="147"/>
      <c r="G775" s="147"/>
      <c r="H775" s="147"/>
      <c r="I775" s="147"/>
      <c r="J775" s="147"/>
      <c r="K775" s="147"/>
      <c r="L775" s="147"/>
      <c r="M775" s="147"/>
      <c r="N775" s="147"/>
      <c r="O775" s="147"/>
      <c r="P775" s="147"/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7"/>
      <c r="AB775" s="147"/>
      <c r="AC775" s="147"/>
      <c r="AD775" s="147"/>
      <c r="AE775" s="147"/>
      <c r="AF775" s="147"/>
      <c r="AG775" s="147"/>
    </row>
    <row r="776" spans="1:33" ht="14.4">
      <c r="A776" s="147"/>
      <c r="B776" s="147"/>
      <c r="C776" s="147"/>
      <c r="D776" s="147"/>
      <c r="E776" s="147"/>
      <c r="F776" s="147"/>
      <c r="G776" s="147"/>
      <c r="H776" s="147"/>
      <c r="I776" s="147"/>
      <c r="J776" s="147"/>
      <c r="K776" s="147"/>
      <c r="L776" s="147"/>
      <c r="M776" s="147"/>
      <c r="N776" s="147"/>
      <c r="O776" s="147"/>
      <c r="P776" s="147"/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7"/>
      <c r="AB776" s="147"/>
      <c r="AC776" s="147"/>
      <c r="AD776" s="147"/>
      <c r="AE776" s="147"/>
      <c r="AF776" s="147"/>
      <c r="AG776" s="147"/>
    </row>
    <row r="777" spans="1:33" ht="14.4">
      <c r="A777" s="147"/>
      <c r="B777" s="147"/>
      <c r="C777" s="147"/>
      <c r="D777" s="147"/>
      <c r="E777" s="147"/>
      <c r="F777" s="147"/>
      <c r="G777" s="147"/>
      <c r="H777" s="147"/>
      <c r="I777" s="147"/>
      <c r="J777" s="147"/>
      <c r="K777" s="147"/>
      <c r="L777" s="147"/>
      <c r="M777" s="147"/>
      <c r="N777" s="147"/>
      <c r="O777" s="147"/>
      <c r="P777" s="147"/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7"/>
      <c r="AB777" s="147"/>
      <c r="AC777" s="147"/>
      <c r="AD777" s="147"/>
      <c r="AE777" s="147"/>
      <c r="AF777" s="147"/>
      <c r="AG777" s="147"/>
    </row>
    <row r="778" spans="1:33" ht="14.4">
      <c r="A778" s="147"/>
      <c r="B778" s="147"/>
      <c r="C778" s="147"/>
      <c r="D778" s="147"/>
      <c r="E778" s="147"/>
      <c r="F778" s="147"/>
      <c r="G778" s="147"/>
      <c r="H778" s="147"/>
      <c r="I778" s="147"/>
      <c r="J778" s="147"/>
      <c r="K778" s="147"/>
      <c r="L778" s="147"/>
      <c r="M778" s="147"/>
      <c r="N778" s="147"/>
      <c r="O778" s="147"/>
      <c r="P778" s="147"/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7"/>
      <c r="AB778" s="147"/>
      <c r="AC778" s="147"/>
      <c r="AD778" s="147"/>
      <c r="AE778" s="147"/>
      <c r="AF778" s="147"/>
      <c r="AG778" s="147"/>
    </row>
    <row r="779" spans="1:33" ht="14.4">
      <c r="A779" s="147"/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  <c r="P779" s="147"/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7"/>
      <c r="AB779" s="147"/>
      <c r="AC779" s="147"/>
      <c r="AD779" s="147"/>
      <c r="AE779" s="147"/>
      <c r="AF779" s="147"/>
      <c r="AG779" s="147"/>
    </row>
    <row r="780" spans="1:33" ht="14.4">
      <c r="A780" s="147"/>
      <c r="B780" s="147"/>
      <c r="C780" s="147"/>
      <c r="D780" s="147"/>
      <c r="E780" s="147"/>
      <c r="F780" s="147"/>
      <c r="G780" s="147"/>
      <c r="H780" s="147"/>
      <c r="I780" s="147"/>
      <c r="J780" s="147"/>
      <c r="K780" s="147"/>
      <c r="L780" s="147"/>
      <c r="M780" s="147"/>
      <c r="N780" s="147"/>
      <c r="O780" s="147"/>
      <c r="P780" s="147"/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7"/>
      <c r="AB780" s="147"/>
      <c r="AC780" s="147"/>
      <c r="AD780" s="147"/>
      <c r="AE780" s="147"/>
      <c r="AF780" s="147"/>
      <c r="AG780" s="147"/>
    </row>
    <row r="781" spans="1:33" ht="14.4">
      <c r="A781" s="147"/>
      <c r="B781" s="147"/>
      <c r="C781" s="147"/>
      <c r="D781" s="147"/>
      <c r="E781" s="147"/>
      <c r="F781" s="147"/>
      <c r="G781" s="147"/>
      <c r="H781" s="147"/>
      <c r="I781" s="147"/>
      <c r="J781" s="147"/>
      <c r="K781" s="147"/>
      <c r="L781" s="147"/>
      <c r="M781" s="147"/>
      <c r="N781" s="147"/>
      <c r="O781" s="147"/>
      <c r="P781" s="147"/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7"/>
      <c r="AB781" s="147"/>
      <c r="AC781" s="147"/>
      <c r="AD781" s="147"/>
      <c r="AE781" s="147"/>
      <c r="AF781" s="147"/>
      <c r="AG781" s="147"/>
    </row>
    <row r="782" spans="1:33" ht="14.4">
      <c r="A782" s="147"/>
      <c r="B782" s="147"/>
      <c r="C782" s="147"/>
      <c r="D782" s="147"/>
      <c r="E782" s="147"/>
      <c r="F782" s="147"/>
      <c r="G782" s="147"/>
      <c r="H782" s="147"/>
      <c r="I782" s="147"/>
      <c r="J782" s="147"/>
      <c r="K782" s="147"/>
      <c r="L782" s="147"/>
      <c r="M782" s="147"/>
      <c r="N782" s="147"/>
      <c r="O782" s="147"/>
      <c r="P782" s="147"/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7"/>
      <c r="AB782" s="147"/>
      <c r="AC782" s="147"/>
      <c r="AD782" s="147"/>
      <c r="AE782" s="147"/>
      <c r="AF782" s="147"/>
      <c r="AG782" s="147"/>
    </row>
    <row r="783" spans="1:33" ht="14.4">
      <c r="A783" s="147"/>
      <c r="B783" s="147"/>
      <c r="C783" s="147"/>
      <c r="D783" s="147"/>
      <c r="E783" s="147"/>
      <c r="F783" s="147"/>
      <c r="G783" s="147"/>
      <c r="H783" s="147"/>
      <c r="I783" s="147"/>
      <c r="J783" s="147"/>
      <c r="K783" s="147"/>
      <c r="L783" s="147"/>
      <c r="M783" s="147"/>
      <c r="N783" s="147"/>
      <c r="O783" s="147"/>
      <c r="P783" s="147"/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7"/>
      <c r="AB783" s="147"/>
      <c r="AC783" s="147"/>
      <c r="AD783" s="147"/>
      <c r="AE783" s="147"/>
      <c r="AF783" s="147"/>
      <c r="AG783" s="147"/>
    </row>
    <row r="784" spans="1:33" ht="14.4">
      <c r="A784" s="147"/>
      <c r="B784" s="147"/>
      <c r="C784" s="147"/>
      <c r="D784" s="147"/>
      <c r="E784" s="147"/>
      <c r="F784" s="147"/>
      <c r="G784" s="147"/>
      <c r="H784" s="147"/>
      <c r="I784" s="147"/>
      <c r="J784" s="147"/>
      <c r="K784" s="147"/>
      <c r="L784" s="147"/>
      <c r="M784" s="147"/>
      <c r="N784" s="147"/>
      <c r="O784" s="147"/>
      <c r="P784" s="147"/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7"/>
      <c r="AB784" s="147"/>
      <c r="AC784" s="147"/>
      <c r="AD784" s="147"/>
      <c r="AE784" s="147"/>
      <c r="AF784" s="147"/>
      <c r="AG784" s="147"/>
    </row>
    <row r="785" spans="1:33" ht="14.4">
      <c r="A785" s="147"/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</row>
    <row r="786" spans="1:33" ht="14.4">
      <c r="A786" s="147"/>
      <c r="B786" s="147"/>
      <c r="C786" s="147"/>
      <c r="D786" s="147"/>
      <c r="E786" s="147"/>
      <c r="F786" s="147"/>
      <c r="G786" s="147"/>
      <c r="H786" s="147"/>
      <c r="I786" s="147"/>
      <c r="J786" s="147"/>
      <c r="K786" s="147"/>
      <c r="L786" s="147"/>
      <c r="M786" s="147"/>
      <c r="N786" s="147"/>
      <c r="O786" s="147"/>
      <c r="P786" s="147"/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7"/>
      <c r="AB786" s="147"/>
      <c r="AC786" s="147"/>
      <c r="AD786" s="147"/>
      <c r="AE786" s="147"/>
      <c r="AF786" s="147"/>
      <c r="AG786" s="147"/>
    </row>
    <row r="787" spans="1:33" ht="14.4">
      <c r="A787" s="147"/>
      <c r="B787" s="147"/>
      <c r="C787" s="147"/>
      <c r="D787" s="147"/>
      <c r="E787" s="147"/>
      <c r="F787" s="147"/>
      <c r="G787" s="147"/>
      <c r="H787" s="147"/>
      <c r="I787" s="147"/>
      <c r="J787" s="147"/>
      <c r="K787" s="147"/>
      <c r="L787" s="147"/>
      <c r="M787" s="147"/>
      <c r="N787" s="147"/>
      <c r="O787" s="147"/>
      <c r="P787" s="147"/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7"/>
      <c r="AB787" s="147"/>
      <c r="AC787" s="147"/>
      <c r="AD787" s="147"/>
      <c r="AE787" s="147"/>
      <c r="AF787" s="147"/>
      <c r="AG787" s="147"/>
    </row>
    <row r="788" spans="1:33" ht="14.4">
      <c r="A788" s="147"/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  <c r="AG788" s="147"/>
    </row>
    <row r="789" spans="1:33" ht="14.4">
      <c r="A789" s="147"/>
      <c r="B789" s="147"/>
      <c r="C789" s="147"/>
      <c r="D789" s="147"/>
      <c r="E789" s="147"/>
      <c r="F789" s="147"/>
      <c r="G789" s="147"/>
      <c r="H789" s="147"/>
      <c r="I789" s="147"/>
      <c r="J789" s="147"/>
      <c r="K789" s="147"/>
      <c r="L789" s="147"/>
      <c r="M789" s="147"/>
      <c r="N789" s="147"/>
      <c r="O789" s="147"/>
      <c r="P789" s="147"/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7"/>
      <c r="AB789" s="147"/>
      <c r="AC789" s="147"/>
      <c r="AD789" s="147"/>
      <c r="AE789" s="147"/>
      <c r="AF789" s="147"/>
      <c r="AG789" s="147"/>
    </row>
    <row r="790" spans="1:33" ht="14.4">
      <c r="A790" s="147"/>
      <c r="B790" s="147"/>
      <c r="C790" s="147"/>
      <c r="D790" s="147"/>
      <c r="E790" s="147"/>
      <c r="F790" s="147"/>
      <c r="G790" s="147"/>
      <c r="H790" s="147"/>
      <c r="I790" s="147"/>
      <c r="J790" s="147"/>
      <c r="K790" s="147"/>
      <c r="L790" s="147"/>
      <c r="M790" s="147"/>
      <c r="N790" s="147"/>
      <c r="O790" s="147"/>
      <c r="P790" s="147"/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7"/>
      <c r="AB790" s="147"/>
      <c r="AC790" s="147"/>
      <c r="AD790" s="147"/>
      <c r="AE790" s="147"/>
      <c r="AF790" s="147"/>
      <c r="AG790" s="147"/>
    </row>
    <row r="791" spans="1:33" ht="14.4">
      <c r="A791" s="147"/>
      <c r="B791" s="147"/>
      <c r="C791" s="147"/>
      <c r="D791" s="147"/>
      <c r="E791" s="147"/>
      <c r="F791" s="147"/>
      <c r="G791" s="147"/>
      <c r="H791" s="147"/>
      <c r="I791" s="147"/>
      <c r="J791" s="147"/>
      <c r="K791" s="147"/>
      <c r="L791" s="147"/>
      <c r="M791" s="147"/>
      <c r="N791" s="147"/>
      <c r="O791" s="147"/>
      <c r="P791" s="147"/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7"/>
      <c r="AB791" s="147"/>
      <c r="AC791" s="147"/>
      <c r="AD791" s="147"/>
      <c r="AE791" s="147"/>
      <c r="AF791" s="147"/>
      <c r="AG791" s="147"/>
    </row>
    <row r="792" spans="1:33" ht="14.4">
      <c r="A792" s="147"/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  <c r="P792" s="147"/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7"/>
      <c r="AB792" s="147"/>
      <c r="AC792" s="147"/>
      <c r="AD792" s="147"/>
      <c r="AE792" s="147"/>
      <c r="AF792" s="147"/>
      <c r="AG792" s="147"/>
    </row>
    <row r="793" spans="1:33" ht="14.4">
      <c r="A793" s="147"/>
      <c r="B793" s="147"/>
      <c r="C793" s="147"/>
      <c r="D793" s="147"/>
      <c r="E793" s="147"/>
      <c r="F793" s="147"/>
      <c r="G793" s="147"/>
      <c r="H793" s="147"/>
      <c r="I793" s="147"/>
      <c r="J793" s="147"/>
      <c r="K793" s="147"/>
      <c r="L793" s="147"/>
      <c r="M793" s="147"/>
      <c r="N793" s="147"/>
      <c r="O793" s="147"/>
      <c r="P793" s="147"/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7"/>
      <c r="AB793" s="147"/>
      <c r="AC793" s="147"/>
      <c r="AD793" s="147"/>
      <c r="AE793" s="147"/>
      <c r="AF793" s="147"/>
      <c r="AG793" s="147"/>
    </row>
    <row r="794" spans="1:33" ht="14.4">
      <c r="A794" s="147"/>
      <c r="B794" s="147"/>
      <c r="C794" s="147"/>
      <c r="D794" s="147"/>
      <c r="E794" s="147"/>
      <c r="F794" s="147"/>
      <c r="G794" s="147"/>
      <c r="H794" s="147"/>
      <c r="I794" s="147"/>
      <c r="J794" s="147"/>
      <c r="K794" s="147"/>
      <c r="L794" s="147"/>
      <c r="M794" s="147"/>
      <c r="N794" s="147"/>
      <c r="O794" s="147"/>
      <c r="P794" s="147"/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7"/>
      <c r="AB794" s="147"/>
      <c r="AC794" s="147"/>
      <c r="AD794" s="147"/>
      <c r="AE794" s="147"/>
      <c r="AF794" s="147"/>
      <c r="AG794" s="147"/>
    </row>
    <row r="795" spans="1:33" ht="14.4">
      <c r="A795" s="147"/>
      <c r="B795" s="147"/>
      <c r="C795" s="147"/>
      <c r="D795" s="147"/>
      <c r="E795" s="147"/>
      <c r="F795" s="147"/>
      <c r="G795" s="147"/>
      <c r="H795" s="147"/>
      <c r="I795" s="147"/>
      <c r="J795" s="147"/>
      <c r="K795" s="147"/>
      <c r="L795" s="147"/>
      <c r="M795" s="147"/>
      <c r="N795" s="147"/>
      <c r="O795" s="147"/>
      <c r="P795" s="147"/>
      <c r="Q795" s="147"/>
      <c r="R795" s="147"/>
      <c r="S795" s="147"/>
      <c r="T795" s="147"/>
      <c r="U795" s="147"/>
      <c r="V795" s="147"/>
      <c r="W795" s="147"/>
      <c r="X795" s="147"/>
      <c r="Y795" s="147"/>
      <c r="Z795" s="147"/>
      <c r="AA795" s="147"/>
      <c r="AB795" s="147"/>
      <c r="AC795" s="147"/>
      <c r="AD795" s="147"/>
      <c r="AE795" s="147"/>
      <c r="AF795" s="147"/>
      <c r="AG795" s="147"/>
    </row>
    <row r="796" spans="1:33" ht="14.4">
      <c r="A796" s="147"/>
      <c r="B796" s="147"/>
      <c r="C796" s="147"/>
      <c r="D796" s="147"/>
      <c r="E796" s="147"/>
      <c r="F796" s="147"/>
      <c r="G796" s="147"/>
      <c r="H796" s="147"/>
      <c r="I796" s="147"/>
      <c r="J796" s="147"/>
      <c r="K796" s="147"/>
      <c r="L796" s="147"/>
      <c r="M796" s="147"/>
      <c r="N796" s="147"/>
      <c r="O796" s="147"/>
      <c r="P796" s="147"/>
      <c r="Q796" s="147"/>
      <c r="R796" s="147"/>
      <c r="S796" s="147"/>
      <c r="T796" s="147"/>
      <c r="U796" s="147"/>
      <c r="V796" s="147"/>
      <c r="W796" s="147"/>
      <c r="X796" s="147"/>
      <c r="Y796" s="147"/>
      <c r="Z796" s="147"/>
      <c r="AA796" s="147"/>
      <c r="AB796" s="147"/>
      <c r="AC796" s="147"/>
      <c r="AD796" s="147"/>
      <c r="AE796" s="147"/>
      <c r="AF796" s="147"/>
      <c r="AG796" s="147"/>
    </row>
    <row r="797" spans="1:33" ht="14.4">
      <c r="A797" s="147"/>
      <c r="B797" s="147"/>
      <c r="C797" s="147"/>
      <c r="D797" s="147"/>
      <c r="E797" s="147"/>
      <c r="F797" s="147"/>
      <c r="G797" s="147"/>
      <c r="H797" s="147"/>
      <c r="I797" s="147"/>
      <c r="J797" s="147"/>
      <c r="K797" s="147"/>
      <c r="L797" s="147"/>
      <c r="M797" s="147"/>
      <c r="N797" s="147"/>
      <c r="O797" s="147"/>
      <c r="P797" s="147"/>
      <c r="Q797" s="147"/>
      <c r="R797" s="147"/>
      <c r="S797" s="147"/>
      <c r="T797" s="147"/>
      <c r="U797" s="147"/>
      <c r="V797" s="147"/>
      <c r="W797" s="147"/>
      <c r="X797" s="147"/>
      <c r="Y797" s="147"/>
      <c r="Z797" s="147"/>
      <c r="AA797" s="147"/>
      <c r="AB797" s="147"/>
      <c r="AC797" s="147"/>
      <c r="AD797" s="147"/>
      <c r="AE797" s="147"/>
      <c r="AF797" s="147"/>
      <c r="AG797" s="147"/>
    </row>
    <row r="798" spans="1:33" ht="14.4">
      <c r="A798" s="147"/>
      <c r="B798" s="147"/>
      <c r="C798" s="147"/>
      <c r="D798" s="147"/>
      <c r="E798" s="147"/>
      <c r="F798" s="147"/>
      <c r="G798" s="147"/>
      <c r="H798" s="147"/>
      <c r="I798" s="147"/>
      <c r="J798" s="147"/>
      <c r="K798" s="147"/>
      <c r="L798" s="147"/>
      <c r="M798" s="147"/>
      <c r="N798" s="147"/>
      <c r="O798" s="147"/>
      <c r="P798" s="147"/>
      <c r="Q798" s="147"/>
      <c r="R798" s="147"/>
      <c r="S798" s="147"/>
      <c r="T798" s="147"/>
      <c r="U798" s="147"/>
      <c r="V798" s="147"/>
      <c r="W798" s="147"/>
      <c r="X798" s="147"/>
      <c r="Y798" s="147"/>
      <c r="Z798" s="147"/>
      <c r="AA798" s="147"/>
      <c r="AB798" s="147"/>
      <c r="AC798" s="147"/>
      <c r="AD798" s="147"/>
      <c r="AE798" s="147"/>
      <c r="AF798" s="147"/>
      <c r="AG798" s="147"/>
    </row>
    <row r="799" spans="1:33" ht="14.4">
      <c r="A799" s="147"/>
      <c r="B799" s="147"/>
      <c r="C799" s="147"/>
      <c r="D799" s="147"/>
      <c r="E799" s="147"/>
      <c r="F799" s="147"/>
      <c r="G799" s="147"/>
      <c r="H799" s="147"/>
      <c r="I799" s="147"/>
      <c r="J799" s="147"/>
      <c r="K799" s="147"/>
      <c r="L799" s="147"/>
      <c r="M799" s="147"/>
      <c r="N799" s="147"/>
      <c r="O799" s="147"/>
      <c r="P799" s="147"/>
      <c r="Q799" s="147"/>
      <c r="R799" s="147"/>
      <c r="S799" s="147"/>
      <c r="T799" s="147"/>
      <c r="U799" s="147"/>
      <c r="V799" s="147"/>
      <c r="W799" s="147"/>
      <c r="X799" s="147"/>
      <c r="Y799" s="147"/>
      <c r="Z799" s="147"/>
      <c r="AA799" s="147"/>
      <c r="AB799" s="147"/>
      <c r="AC799" s="147"/>
      <c r="AD799" s="147"/>
      <c r="AE799" s="147"/>
      <c r="AF799" s="147"/>
      <c r="AG799" s="147"/>
    </row>
    <row r="800" spans="1:33" ht="14.4">
      <c r="A800" s="147"/>
      <c r="B800" s="147"/>
      <c r="C800" s="147"/>
      <c r="D800" s="147"/>
      <c r="E800" s="147"/>
      <c r="F800" s="147"/>
      <c r="G800" s="147"/>
      <c r="H800" s="147"/>
      <c r="I800" s="147"/>
      <c r="J800" s="147"/>
      <c r="K800" s="147"/>
      <c r="L800" s="147"/>
      <c r="M800" s="147"/>
      <c r="N800" s="147"/>
      <c r="O800" s="147"/>
      <c r="P800" s="147"/>
      <c r="Q800" s="147"/>
      <c r="R800" s="147"/>
      <c r="S800" s="147"/>
      <c r="T800" s="147"/>
      <c r="U800" s="147"/>
      <c r="V800" s="147"/>
      <c r="W800" s="147"/>
      <c r="X800" s="147"/>
      <c r="Y800" s="147"/>
      <c r="Z800" s="147"/>
      <c r="AA800" s="147"/>
      <c r="AB800" s="147"/>
      <c r="AC800" s="147"/>
      <c r="AD800" s="147"/>
      <c r="AE800" s="147"/>
      <c r="AF800" s="147"/>
      <c r="AG800" s="147"/>
    </row>
    <row r="801" spans="1:33" ht="14.4">
      <c r="A801" s="147"/>
      <c r="B801" s="147"/>
      <c r="C801" s="147"/>
      <c r="D801" s="147"/>
      <c r="E801" s="147"/>
      <c r="F801" s="147"/>
      <c r="G801" s="147"/>
      <c r="H801" s="147"/>
      <c r="I801" s="147"/>
      <c r="J801" s="147"/>
      <c r="K801" s="147"/>
      <c r="L801" s="147"/>
      <c r="M801" s="147"/>
      <c r="N801" s="147"/>
      <c r="O801" s="147"/>
      <c r="P801" s="147"/>
      <c r="Q801" s="147"/>
      <c r="R801" s="147"/>
      <c r="S801" s="147"/>
      <c r="T801" s="147"/>
      <c r="U801" s="147"/>
      <c r="V801" s="147"/>
      <c r="W801" s="147"/>
      <c r="X801" s="147"/>
      <c r="Y801" s="147"/>
      <c r="Z801" s="147"/>
      <c r="AA801" s="147"/>
      <c r="AB801" s="147"/>
      <c r="AC801" s="147"/>
      <c r="AD801" s="147"/>
      <c r="AE801" s="147"/>
      <c r="AF801" s="147"/>
      <c r="AG801" s="147"/>
    </row>
    <row r="802" spans="1:33" ht="14.4">
      <c r="A802" s="147"/>
      <c r="B802" s="147"/>
      <c r="C802" s="147"/>
      <c r="D802" s="147"/>
      <c r="E802" s="147"/>
      <c r="F802" s="147"/>
      <c r="G802" s="147"/>
      <c r="H802" s="147"/>
      <c r="I802" s="147"/>
      <c r="J802" s="147"/>
      <c r="K802" s="147"/>
      <c r="L802" s="147"/>
      <c r="M802" s="147"/>
      <c r="N802" s="147"/>
      <c r="O802" s="147"/>
      <c r="P802" s="147"/>
      <c r="Q802" s="147"/>
      <c r="R802" s="147"/>
      <c r="S802" s="147"/>
      <c r="T802" s="147"/>
      <c r="U802" s="147"/>
      <c r="V802" s="147"/>
      <c r="W802" s="147"/>
      <c r="X802" s="147"/>
      <c r="Y802" s="147"/>
      <c r="Z802" s="147"/>
      <c r="AA802" s="147"/>
      <c r="AB802" s="147"/>
      <c r="AC802" s="147"/>
      <c r="AD802" s="147"/>
      <c r="AE802" s="147"/>
      <c r="AF802" s="147"/>
      <c r="AG802" s="147"/>
    </row>
    <row r="803" spans="1:33" ht="14.4">
      <c r="A803" s="147"/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47"/>
      <c r="P803" s="147"/>
      <c r="Q803" s="147"/>
      <c r="R803" s="147"/>
      <c r="S803" s="147"/>
      <c r="T803" s="147"/>
      <c r="U803" s="147"/>
      <c r="V803" s="147"/>
      <c r="W803" s="147"/>
      <c r="X803" s="147"/>
      <c r="Y803" s="147"/>
      <c r="Z803" s="147"/>
      <c r="AA803" s="147"/>
      <c r="AB803" s="147"/>
      <c r="AC803" s="147"/>
      <c r="AD803" s="147"/>
      <c r="AE803" s="147"/>
      <c r="AF803" s="147"/>
      <c r="AG803" s="147"/>
    </row>
    <row r="804" spans="1:33" ht="14.4">
      <c r="A804" s="147"/>
      <c r="B804" s="147"/>
      <c r="C804" s="147"/>
      <c r="D804" s="147"/>
      <c r="E804" s="147"/>
      <c r="F804" s="147"/>
      <c r="G804" s="147"/>
      <c r="H804" s="147"/>
      <c r="I804" s="147"/>
      <c r="J804" s="147"/>
      <c r="K804" s="147"/>
      <c r="L804" s="147"/>
      <c r="M804" s="147"/>
      <c r="N804" s="147"/>
      <c r="O804" s="147"/>
      <c r="P804" s="147"/>
      <c r="Q804" s="147"/>
      <c r="R804" s="147"/>
      <c r="S804" s="147"/>
      <c r="T804" s="147"/>
      <c r="U804" s="147"/>
      <c r="V804" s="147"/>
      <c r="W804" s="147"/>
      <c r="X804" s="147"/>
      <c r="Y804" s="147"/>
      <c r="Z804" s="147"/>
      <c r="AA804" s="147"/>
      <c r="AB804" s="147"/>
      <c r="AC804" s="147"/>
      <c r="AD804" s="147"/>
      <c r="AE804" s="147"/>
      <c r="AF804" s="147"/>
      <c r="AG804" s="147"/>
    </row>
    <row r="805" spans="1:33" ht="14.4">
      <c r="A805" s="147"/>
      <c r="B805" s="147"/>
      <c r="C805" s="147"/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  <c r="P805" s="147"/>
      <c r="Q805" s="147"/>
      <c r="R805" s="147"/>
      <c r="S805" s="147"/>
      <c r="T805" s="147"/>
      <c r="U805" s="147"/>
      <c r="V805" s="147"/>
      <c r="W805" s="147"/>
      <c r="X805" s="147"/>
      <c r="Y805" s="147"/>
      <c r="Z805" s="147"/>
      <c r="AA805" s="147"/>
      <c r="AB805" s="147"/>
      <c r="AC805" s="147"/>
      <c r="AD805" s="147"/>
      <c r="AE805" s="147"/>
      <c r="AF805" s="147"/>
      <c r="AG805" s="147"/>
    </row>
    <row r="806" spans="1:33" ht="14.4">
      <c r="A806" s="147"/>
      <c r="B806" s="147"/>
      <c r="C806" s="147"/>
      <c r="D806" s="147"/>
      <c r="E806" s="147"/>
      <c r="F806" s="147"/>
      <c r="G806" s="147"/>
      <c r="H806" s="147"/>
      <c r="I806" s="147"/>
      <c r="J806" s="147"/>
      <c r="K806" s="147"/>
      <c r="L806" s="147"/>
      <c r="M806" s="147"/>
      <c r="N806" s="147"/>
      <c r="O806" s="147"/>
      <c r="P806" s="147"/>
      <c r="Q806" s="147"/>
      <c r="R806" s="147"/>
      <c r="S806" s="147"/>
      <c r="T806" s="147"/>
      <c r="U806" s="147"/>
      <c r="V806" s="147"/>
      <c r="W806" s="147"/>
      <c r="X806" s="147"/>
      <c r="Y806" s="147"/>
      <c r="Z806" s="147"/>
      <c r="AA806" s="147"/>
      <c r="AB806" s="147"/>
      <c r="AC806" s="147"/>
      <c r="AD806" s="147"/>
      <c r="AE806" s="147"/>
      <c r="AF806" s="147"/>
      <c r="AG806" s="147"/>
    </row>
    <row r="807" spans="1:33" ht="14.4">
      <c r="A807" s="147"/>
      <c r="B807" s="147"/>
      <c r="C807" s="147"/>
      <c r="D807" s="147"/>
      <c r="E807" s="147"/>
      <c r="F807" s="147"/>
      <c r="G807" s="147"/>
      <c r="H807" s="147"/>
      <c r="I807" s="147"/>
      <c r="J807" s="147"/>
      <c r="K807" s="147"/>
      <c r="L807" s="147"/>
      <c r="M807" s="147"/>
      <c r="N807" s="147"/>
      <c r="O807" s="147"/>
      <c r="P807" s="147"/>
      <c r="Q807" s="147"/>
      <c r="R807" s="147"/>
      <c r="S807" s="147"/>
      <c r="T807" s="147"/>
      <c r="U807" s="147"/>
      <c r="V807" s="147"/>
      <c r="W807" s="147"/>
      <c r="X807" s="147"/>
      <c r="Y807" s="147"/>
      <c r="Z807" s="147"/>
      <c r="AA807" s="147"/>
      <c r="AB807" s="147"/>
      <c r="AC807" s="147"/>
      <c r="AD807" s="147"/>
      <c r="AE807" s="147"/>
      <c r="AF807" s="147"/>
      <c r="AG807" s="147"/>
    </row>
    <row r="808" spans="1:33" ht="14.4">
      <c r="A808" s="147"/>
      <c r="B808" s="147"/>
      <c r="C808" s="147"/>
      <c r="D808" s="147"/>
      <c r="E808" s="147"/>
      <c r="F808" s="147"/>
      <c r="G808" s="147"/>
      <c r="H808" s="147"/>
      <c r="I808" s="147"/>
      <c r="J808" s="147"/>
      <c r="K808" s="147"/>
      <c r="L808" s="147"/>
      <c r="M808" s="147"/>
      <c r="N808" s="147"/>
      <c r="O808" s="147"/>
      <c r="P808" s="147"/>
      <c r="Q808" s="147"/>
      <c r="R808" s="147"/>
      <c r="S808" s="147"/>
      <c r="T808" s="147"/>
      <c r="U808" s="147"/>
      <c r="V808" s="147"/>
      <c r="W808" s="147"/>
      <c r="X808" s="147"/>
      <c r="Y808" s="147"/>
      <c r="Z808" s="147"/>
      <c r="AA808" s="147"/>
      <c r="AB808" s="147"/>
      <c r="AC808" s="147"/>
      <c r="AD808" s="147"/>
      <c r="AE808" s="147"/>
      <c r="AF808" s="147"/>
      <c r="AG808" s="147"/>
    </row>
    <row r="809" spans="1:33" ht="14.4">
      <c r="A809" s="147"/>
      <c r="B809" s="147"/>
      <c r="C809" s="147"/>
      <c r="D809" s="147"/>
      <c r="E809" s="147"/>
      <c r="F809" s="147"/>
      <c r="G809" s="147"/>
      <c r="H809" s="147"/>
      <c r="I809" s="147"/>
      <c r="J809" s="147"/>
      <c r="K809" s="147"/>
      <c r="L809" s="147"/>
      <c r="M809" s="147"/>
      <c r="N809" s="147"/>
      <c r="O809" s="147"/>
      <c r="P809" s="147"/>
      <c r="Q809" s="147"/>
      <c r="R809" s="147"/>
      <c r="S809" s="147"/>
      <c r="T809" s="147"/>
      <c r="U809" s="147"/>
      <c r="V809" s="147"/>
      <c r="W809" s="147"/>
      <c r="X809" s="147"/>
      <c r="Y809" s="147"/>
      <c r="Z809" s="147"/>
      <c r="AA809" s="147"/>
      <c r="AB809" s="147"/>
      <c r="AC809" s="147"/>
      <c r="AD809" s="147"/>
      <c r="AE809" s="147"/>
      <c r="AF809" s="147"/>
      <c r="AG809" s="147"/>
    </row>
    <row r="810" spans="1:33" ht="14.4">
      <c r="A810" s="147"/>
      <c r="B810" s="147"/>
      <c r="C810" s="147"/>
      <c r="D810" s="147"/>
      <c r="E810" s="147"/>
      <c r="F810" s="147"/>
      <c r="G810" s="147"/>
      <c r="H810" s="147"/>
      <c r="I810" s="147"/>
      <c r="J810" s="147"/>
      <c r="K810" s="147"/>
      <c r="L810" s="147"/>
      <c r="M810" s="147"/>
      <c r="N810" s="147"/>
      <c r="O810" s="147"/>
      <c r="P810" s="147"/>
      <c r="Q810" s="147"/>
      <c r="R810" s="147"/>
      <c r="S810" s="147"/>
      <c r="T810" s="147"/>
      <c r="U810" s="147"/>
      <c r="V810" s="147"/>
      <c r="W810" s="147"/>
      <c r="X810" s="147"/>
      <c r="Y810" s="147"/>
      <c r="Z810" s="147"/>
      <c r="AA810" s="147"/>
      <c r="AB810" s="147"/>
      <c r="AC810" s="147"/>
      <c r="AD810" s="147"/>
      <c r="AE810" s="147"/>
      <c r="AF810" s="147"/>
      <c r="AG810" s="147"/>
    </row>
    <row r="811" spans="1:33" ht="14.4">
      <c r="A811" s="147"/>
      <c r="B811" s="147"/>
      <c r="C811" s="147"/>
      <c r="D811" s="147"/>
      <c r="E811" s="147"/>
      <c r="F811" s="147"/>
      <c r="G811" s="147"/>
      <c r="H811" s="147"/>
      <c r="I811" s="147"/>
      <c r="J811" s="147"/>
      <c r="K811" s="147"/>
      <c r="L811" s="147"/>
      <c r="M811" s="147"/>
      <c r="N811" s="147"/>
      <c r="O811" s="147"/>
      <c r="P811" s="147"/>
      <c r="Q811" s="147"/>
      <c r="R811" s="147"/>
      <c r="S811" s="147"/>
      <c r="T811" s="147"/>
      <c r="U811" s="147"/>
      <c r="V811" s="147"/>
      <c r="W811" s="147"/>
      <c r="X811" s="147"/>
      <c r="Y811" s="147"/>
      <c r="Z811" s="147"/>
      <c r="AA811" s="147"/>
      <c r="AB811" s="147"/>
      <c r="AC811" s="147"/>
      <c r="AD811" s="147"/>
      <c r="AE811" s="147"/>
      <c r="AF811" s="147"/>
      <c r="AG811" s="147"/>
    </row>
    <row r="812" spans="1:33" ht="14.4">
      <c r="A812" s="147"/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</row>
    <row r="813" spans="1:33" ht="14.4">
      <c r="A813" s="147"/>
      <c r="B813" s="147"/>
      <c r="C813" s="147"/>
      <c r="D813" s="147"/>
      <c r="E813" s="147"/>
      <c r="F813" s="147"/>
      <c r="G813" s="147"/>
      <c r="H813" s="147"/>
      <c r="I813" s="147"/>
      <c r="J813" s="147"/>
      <c r="K813" s="147"/>
      <c r="L813" s="147"/>
      <c r="M813" s="147"/>
      <c r="N813" s="147"/>
      <c r="O813" s="147"/>
      <c r="P813" s="147"/>
      <c r="Q813" s="147"/>
      <c r="R813" s="147"/>
      <c r="S813" s="147"/>
      <c r="T813" s="147"/>
      <c r="U813" s="147"/>
      <c r="V813" s="147"/>
      <c r="W813" s="147"/>
      <c r="X813" s="147"/>
      <c r="Y813" s="147"/>
      <c r="Z813" s="147"/>
      <c r="AA813" s="147"/>
      <c r="AB813" s="147"/>
      <c r="AC813" s="147"/>
      <c r="AD813" s="147"/>
      <c r="AE813" s="147"/>
      <c r="AF813" s="147"/>
      <c r="AG813" s="147"/>
    </row>
    <row r="814" spans="1:33" ht="14.4">
      <c r="A814" s="147"/>
      <c r="B814" s="147"/>
      <c r="C814" s="147"/>
      <c r="D814" s="147"/>
      <c r="E814" s="147"/>
      <c r="F814" s="147"/>
      <c r="G814" s="147"/>
      <c r="H814" s="147"/>
      <c r="I814" s="147"/>
      <c r="J814" s="147"/>
      <c r="K814" s="147"/>
      <c r="L814" s="147"/>
      <c r="M814" s="147"/>
      <c r="N814" s="147"/>
      <c r="O814" s="147"/>
      <c r="P814" s="147"/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7"/>
      <c r="AB814" s="147"/>
      <c r="AC814" s="147"/>
      <c r="AD814" s="147"/>
      <c r="AE814" s="147"/>
      <c r="AF814" s="147"/>
      <c r="AG814" s="147"/>
    </row>
    <row r="815" spans="1:33" ht="14.4">
      <c r="A815" s="147"/>
      <c r="B815" s="147"/>
      <c r="C815" s="147"/>
      <c r="D815" s="147"/>
      <c r="E815" s="147"/>
      <c r="F815" s="147"/>
      <c r="G815" s="147"/>
      <c r="H815" s="147"/>
      <c r="I815" s="147"/>
      <c r="J815" s="147"/>
      <c r="K815" s="147"/>
      <c r="L815" s="147"/>
      <c r="M815" s="147"/>
      <c r="N815" s="147"/>
      <c r="O815" s="147"/>
      <c r="P815" s="147"/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7"/>
      <c r="AB815" s="147"/>
      <c r="AC815" s="147"/>
      <c r="AD815" s="147"/>
      <c r="AE815" s="147"/>
      <c r="AF815" s="147"/>
      <c r="AG815" s="147"/>
    </row>
    <row r="816" spans="1:33" ht="14.4">
      <c r="A816" s="147"/>
      <c r="B816" s="147"/>
      <c r="C816" s="147"/>
      <c r="D816" s="147"/>
      <c r="E816" s="147"/>
      <c r="F816" s="147"/>
      <c r="G816" s="147"/>
      <c r="H816" s="147"/>
      <c r="I816" s="147"/>
      <c r="J816" s="147"/>
      <c r="K816" s="147"/>
      <c r="L816" s="147"/>
      <c r="M816" s="147"/>
      <c r="N816" s="147"/>
      <c r="O816" s="147"/>
      <c r="P816" s="147"/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7"/>
      <c r="AB816" s="147"/>
      <c r="AC816" s="147"/>
      <c r="AD816" s="147"/>
      <c r="AE816" s="147"/>
      <c r="AF816" s="147"/>
      <c r="AG816" s="147"/>
    </row>
    <row r="817" spans="1:33" ht="14.4">
      <c r="A817" s="147"/>
      <c r="B817" s="147"/>
      <c r="C817" s="147"/>
      <c r="D817" s="147"/>
      <c r="E817" s="147"/>
      <c r="F817" s="147"/>
      <c r="G817" s="147"/>
      <c r="H817" s="147"/>
      <c r="I817" s="147"/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</row>
    <row r="818" spans="1:33" ht="14.4">
      <c r="A818" s="147"/>
      <c r="B818" s="147"/>
      <c r="C818" s="147"/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  <c r="P818" s="147"/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7"/>
      <c r="AB818" s="147"/>
      <c r="AC818" s="147"/>
      <c r="AD818" s="147"/>
      <c r="AE818" s="147"/>
      <c r="AF818" s="147"/>
      <c r="AG818" s="147"/>
    </row>
    <row r="819" spans="1:33" ht="14.4">
      <c r="A819" s="147"/>
      <c r="B819" s="147"/>
      <c r="C819" s="147"/>
      <c r="D819" s="147"/>
      <c r="E819" s="147"/>
      <c r="F819" s="147"/>
      <c r="G819" s="147"/>
      <c r="H819" s="147"/>
      <c r="I819" s="147"/>
      <c r="J819" s="147"/>
      <c r="K819" s="147"/>
      <c r="L819" s="147"/>
      <c r="M819" s="147"/>
      <c r="N819" s="147"/>
      <c r="O819" s="147"/>
      <c r="P819" s="147"/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7"/>
      <c r="AB819" s="147"/>
      <c r="AC819" s="147"/>
      <c r="AD819" s="147"/>
      <c r="AE819" s="147"/>
      <c r="AF819" s="147"/>
      <c r="AG819" s="147"/>
    </row>
    <row r="820" spans="1:33" ht="14.4">
      <c r="A820" s="147"/>
      <c r="B820" s="147"/>
      <c r="C820" s="147"/>
      <c r="D820" s="147"/>
      <c r="E820" s="147"/>
      <c r="F820" s="147"/>
      <c r="G820" s="147"/>
      <c r="H820" s="147"/>
      <c r="I820" s="147"/>
      <c r="J820" s="147"/>
      <c r="K820" s="147"/>
      <c r="L820" s="147"/>
      <c r="M820" s="147"/>
      <c r="N820" s="147"/>
      <c r="O820" s="147"/>
      <c r="P820" s="147"/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7"/>
      <c r="AB820" s="147"/>
      <c r="AC820" s="147"/>
      <c r="AD820" s="147"/>
      <c r="AE820" s="147"/>
      <c r="AF820" s="147"/>
      <c r="AG820" s="147"/>
    </row>
    <row r="821" spans="1:33" ht="14.4">
      <c r="A821" s="147"/>
      <c r="B821" s="147"/>
      <c r="C821" s="147"/>
      <c r="D821" s="147"/>
      <c r="E821" s="147"/>
      <c r="F821" s="147"/>
      <c r="G821" s="147"/>
      <c r="H821" s="147"/>
      <c r="I821" s="147"/>
      <c r="J821" s="147"/>
      <c r="K821" s="147"/>
      <c r="L821" s="147"/>
      <c r="M821" s="147"/>
      <c r="N821" s="147"/>
      <c r="O821" s="147"/>
      <c r="P821" s="147"/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7"/>
      <c r="AB821" s="147"/>
      <c r="AC821" s="147"/>
      <c r="AD821" s="147"/>
      <c r="AE821" s="147"/>
      <c r="AF821" s="147"/>
      <c r="AG821" s="147"/>
    </row>
    <row r="822" spans="1:33" ht="14.4">
      <c r="A822" s="147"/>
      <c r="B822" s="147"/>
      <c r="C822" s="147"/>
      <c r="D822" s="147"/>
      <c r="E822" s="147"/>
      <c r="F822" s="147"/>
      <c r="G822" s="147"/>
      <c r="H822" s="147"/>
      <c r="I822" s="147"/>
      <c r="J822" s="147"/>
      <c r="K822" s="147"/>
      <c r="L822" s="147"/>
      <c r="M822" s="147"/>
      <c r="N822" s="147"/>
      <c r="O822" s="147"/>
      <c r="P822" s="147"/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7"/>
      <c r="AB822" s="147"/>
      <c r="AC822" s="147"/>
      <c r="AD822" s="147"/>
      <c r="AE822" s="147"/>
      <c r="AF822" s="147"/>
      <c r="AG822" s="147"/>
    </row>
    <row r="823" spans="1:33" ht="14.4">
      <c r="A823" s="147"/>
      <c r="B823" s="147"/>
      <c r="C823" s="147"/>
      <c r="D823" s="147"/>
      <c r="E823" s="147"/>
      <c r="F823" s="147"/>
      <c r="G823" s="147"/>
      <c r="H823" s="147"/>
      <c r="I823" s="147"/>
      <c r="J823" s="147"/>
      <c r="K823" s="147"/>
      <c r="L823" s="147"/>
      <c r="M823" s="147"/>
      <c r="N823" s="147"/>
      <c r="O823" s="147"/>
      <c r="P823" s="147"/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7"/>
      <c r="AB823" s="147"/>
      <c r="AC823" s="147"/>
      <c r="AD823" s="147"/>
      <c r="AE823" s="147"/>
      <c r="AF823" s="147"/>
      <c r="AG823" s="147"/>
    </row>
    <row r="824" spans="1:33" ht="14.4">
      <c r="A824" s="147"/>
      <c r="B824" s="147"/>
      <c r="C824" s="147"/>
      <c r="D824" s="147"/>
      <c r="E824" s="147"/>
      <c r="F824" s="147"/>
      <c r="G824" s="147"/>
      <c r="H824" s="147"/>
      <c r="I824" s="147"/>
      <c r="J824" s="147"/>
      <c r="K824" s="147"/>
      <c r="L824" s="147"/>
      <c r="M824" s="147"/>
      <c r="N824" s="147"/>
      <c r="O824" s="147"/>
      <c r="P824" s="147"/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7"/>
      <c r="AB824" s="147"/>
      <c r="AC824" s="147"/>
      <c r="AD824" s="147"/>
      <c r="AE824" s="147"/>
      <c r="AF824" s="147"/>
      <c r="AG824" s="147"/>
    </row>
    <row r="825" spans="1:33" ht="14.4">
      <c r="A825" s="147"/>
      <c r="B825" s="147"/>
      <c r="C825" s="147"/>
      <c r="D825" s="147"/>
      <c r="E825" s="147"/>
      <c r="F825" s="147"/>
      <c r="G825" s="147"/>
      <c r="H825" s="147"/>
      <c r="I825" s="147"/>
      <c r="J825" s="147"/>
      <c r="K825" s="147"/>
      <c r="L825" s="147"/>
      <c r="M825" s="147"/>
      <c r="N825" s="147"/>
      <c r="O825" s="147"/>
      <c r="P825" s="147"/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7"/>
      <c r="AB825" s="147"/>
      <c r="AC825" s="147"/>
      <c r="AD825" s="147"/>
      <c r="AE825" s="147"/>
      <c r="AF825" s="147"/>
      <c r="AG825" s="147"/>
    </row>
    <row r="826" spans="1:33" ht="14.4">
      <c r="A826" s="147"/>
      <c r="B826" s="147"/>
      <c r="C826" s="147"/>
      <c r="D826" s="147"/>
      <c r="E826" s="147"/>
      <c r="F826" s="147"/>
      <c r="G826" s="147"/>
      <c r="H826" s="147"/>
      <c r="I826" s="147"/>
      <c r="J826" s="147"/>
      <c r="K826" s="147"/>
      <c r="L826" s="147"/>
      <c r="M826" s="147"/>
      <c r="N826" s="147"/>
      <c r="O826" s="147"/>
      <c r="P826" s="147"/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7"/>
      <c r="AB826" s="147"/>
      <c r="AC826" s="147"/>
      <c r="AD826" s="147"/>
      <c r="AE826" s="147"/>
      <c r="AF826" s="147"/>
      <c r="AG826" s="147"/>
    </row>
    <row r="827" spans="1:33" ht="14.4">
      <c r="A827" s="147"/>
      <c r="B827" s="147"/>
      <c r="C827" s="147"/>
      <c r="D827" s="147"/>
      <c r="E827" s="147"/>
      <c r="F827" s="147"/>
      <c r="G827" s="147"/>
      <c r="H827" s="147"/>
      <c r="I827" s="147"/>
      <c r="J827" s="147"/>
      <c r="K827" s="147"/>
      <c r="L827" s="147"/>
      <c r="M827" s="147"/>
      <c r="N827" s="147"/>
      <c r="O827" s="147"/>
      <c r="P827" s="147"/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7"/>
      <c r="AB827" s="147"/>
      <c r="AC827" s="147"/>
      <c r="AD827" s="147"/>
      <c r="AE827" s="147"/>
      <c r="AF827" s="147"/>
      <c r="AG827" s="147"/>
    </row>
    <row r="828" spans="1:33" ht="14.4">
      <c r="A828" s="147"/>
      <c r="B828" s="147"/>
      <c r="C828" s="147"/>
      <c r="D828" s="147"/>
      <c r="E828" s="147"/>
      <c r="F828" s="147"/>
      <c r="G828" s="147"/>
      <c r="H828" s="147"/>
      <c r="I828" s="147"/>
      <c r="J828" s="147"/>
      <c r="K828" s="147"/>
      <c r="L828" s="147"/>
      <c r="M828" s="147"/>
      <c r="N828" s="147"/>
      <c r="O828" s="147"/>
      <c r="P828" s="147"/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7"/>
      <c r="AB828" s="147"/>
      <c r="AC828" s="147"/>
      <c r="AD828" s="147"/>
      <c r="AE828" s="147"/>
      <c r="AF828" s="147"/>
      <c r="AG828" s="147"/>
    </row>
    <row r="829" spans="1:33" ht="14.4">
      <c r="A829" s="147"/>
      <c r="B829" s="147"/>
      <c r="C829" s="147"/>
      <c r="D829" s="147"/>
      <c r="E829" s="147"/>
      <c r="F829" s="147"/>
      <c r="G829" s="147"/>
      <c r="H829" s="147"/>
      <c r="I829" s="147"/>
      <c r="J829" s="147"/>
      <c r="K829" s="147"/>
      <c r="L829" s="147"/>
      <c r="M829" s="147"/>
      <c r="N829" s="147"/>
      <c r="O829" s="147"/>
      <c r="P829" s="147"/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7"/>
      <c r="AB829" s="147"/>
      <c r="AC829" s="147"/>
      <c r="AD829" s="147"/>
      <c r="AE829" s="147"/>
      <c r="AF829" s="147"/>
      <c r="AG829" s="147"/>
    </row>
    <row r="830" spans="1:33" ht="14.4">
      <c r="A830" s="147"/>
      <c r="B830" s="147"/>
      <c r="C830" s="147"/>
      <c r="D830" s="147"/>
      <c r="E830" s="147"/>
      <c r="F830" s="147"/>
      <c r="G830" s="147"/>
      <c r="H830" s="147"/>
      <c r="I830" s="147"/>
      <c r="J830" s="147"/>
      <c r="K830" s="147"/>
      <c r="L830" s="147"/>
      <c r="M830" s="147"/>
      <c r="N830" s="147"/>
      <c r="O830" s="147"/>
      <c r="P830" s="147"/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7"/>
      <c r="AB830" s="147"/>
      <c r="AC830" s="147"/>
      <c r="AD830" s="147"/>
      <c r="AE830" s="147"/>
      <c r="AF830" s="147"/>
      <c r="AG830" s="147"/>
    </row>
    <row r="831" spans="1:33" ht="14.4">
      <c r="A831" s="147"/>
      <c r="B831" s="147"/>
      <c r="C831" s="147"/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  <c r="P831" s="147"/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7"/>
      <c r="AB831" s="147"/>
      <c r="AC831" s="147"/>
      <c r="AD831" s="147"/>
      <c r="AE831" s="147"/>
      <c r="AF831" s="147"/>
      <c r="AG831" s="147"/>
    </row>
    <row r="832" spans="1:33" ht="14.4">
      <c r="A832" s="147"/>
      <c r="B832" s="147"/>
      <c r="C832" s="147"/>
      <c r="D832" s="147"/>
      <c r="E832" s="147"/>
      <c r="F832" s="147"/>
      <c r="G832" s="147"/>
      <c r="H832" s="147"/>
      <c r="I832" s="147"/>
      <c r="J832" s="147"/>
      <c r="K832" s="147"/>
      <c r="L832" s="147"/>
      <c r="M832" s="147"/>
      <c r="N832" s="147"/>
      <c r="O832" s="147"/>
      <c r="P832" s="147"/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7"/>
      <c r="AB832" s="147"/>
      <c r="AC832" s="147"/>
      <c r="AD832" s="147"/>
      <c r="AE832" s="147"/>
      <c r="AF832" s="147"/>
      <c r="AG832" s="147"/>
    </row>
    <row r="833" spans="1:33" ht="14.4">
      <c r="A833" s="147"/>
      <c r="B833" s="147"/>
      <c r="C833" s="147"/>
      <c r="D833" s="147"/>
      <c r="E833" s="147"/>
      <c r="F833" s="147"/>
      <c r="G833" s="147"/>
      <c r="H833" s="147"/>
      <c r="I833" s="147"/>
      <c r="J833" s="147"/>
      <c r="K833" s="147"/>
      <c r="L833" s="147"/>
      <c r="M833" s="147"/>
      <c r="N833" s="147"/>
      <c r="O833" s="147"/>
      <c r="P833" s="147"/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7"/>
      <c r="AB833" s="147"/>
      <c r="AC833" s="147"/>
      <c r="AD833" s="147"/>
      <c r="AE833" s="147"/>
      <c r="AF833" s="147"/>
      <c r="AG833" s="147"/>
    </row>
    <row r="834" spans="1:33" ht="14.4">
      <c r="A834" s="147"/>
      <c r="B834" s="147"/>
      <c r="C834" s="147"/>
      <c r="D834" s="147"/>
      <c r="E834" s="147"/>
      <c r="F834" s="147"/>
      <c r="G834" s="147"/>
      <c r="H834" s="147"/>
      <c r="I834" s="147"/>
      <c r="J834" s="147"/>
      <c r="K834" s="147"/>
      <c r="L834" s="147"/>
      <c r="M834" s="147"/>
      <c r="N834" s="147"/>
      <c r="O834" s="147"/>
      <c r="P834" s="147"/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7"/>
      <c r="AB834" s="147"/>
      <c r="AC834" s="147"/>
      <c r="AD834" s="147"/>
      <c r="AE834" s="147"/>
      <c r="AF834" s="147"/>
      <c r="AG834" s="147"/>
    </row>
    <row r="835" spans="1:33" ht="14.4">
      <c r="A835" s="147"/>
      <c r="B835" s="147"/>
      <c r="C835" s="147"/>
      <c r="D835" s="147"/>
      <c r="E835" s="147"/>
      <c r="F835" s="147"/>
      <c r="G835" s="147"/>
      <c r="H835" s="147"/>
      <c r="I835" s="147"/>
      <c r="J835" s="147"/>
      <c r="K835" s="147"/>
      <c r="L835" s="147"/>
      <c r="M835" s="147"/>
      <c r="N835" s="147"/>
      <c r="O835" s="147"/>
      <c r="P835" s="147"/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7"/>
      <c r="AB835" s="147"/>
      <c r="AC835" s="147"/>
      <c r="AD835" s="147"/>
      <c r="AE835" s="147"/>
      <c r="AF835" s="147"/>
      <c r="AG835" s="147"/>
    </row>
    <row r="836" spans="1:33" ht="14.4">
      <c r="A836" s="147"/>
      <c r="B836" s="147"/>
      <c r="C836" s="147"/>
      <c r="D836" s="147"/>
      <c r="E836" s="147"/>
      <c r="F836" s="147"/>
      <c r="G836" s="147"/>
      <c r="H836" s="147"/>
      <c r="I836" s="147"/>
      <c r="J836" s="147"/>
      <c r="K836" s="147"/>
      <c r="L836" s="147"/>
      <c r="M836" s="147"/>
      <c r="N836" s="147"/>
      <c r="O836" s="147"/>
      <c r="P836" s="147"/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7"/>
      <c r="AB836" s="147"/>
      <c r="AC836" s="147"/>
      <c r="AD836" s="147"/>
      <c r="AE836" s="147"/>
      <c r="AF836" s="147"/>
      <c r="AG836" s="147"/>
    </row>
    <row r="837" spans="1:33" ht="14.4">
      <c r="A837" s="147"/>
      <c r="B837" s="147"/>
      <c r="C837" s="147"/>
      <c r="D837" s="147"/>
      <c r="E837" s="147"/>
      <c r="F837" s="147"/>
      <c r="G837" s="147"/>
      <c r="H837" s="147"/>
      <c r="I837" s="147"/>
      <c r="J837" s="147"/>
      <c r="K837" s="147"/>
      <c r="L837" s="147"/>
      <c r="M837" s="147"/>
      <c r="N837" s="147"/>
      <c r="O837" s="147"/>
      <c r="P837" s="147"/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7"/>
      <c r="AB837" s="147"/>
      <c r="AC837" s="147"/>
      <c r="AD837" s="147"/>
      <c r="AE837" s="147"/>
      <c r="AF837" s="147"/>
      <c r="AG837" s="147"/>
    </row>
    <row r="838" spans="1:33" ht="14.4">
      <c r="A838" s="147"/>
      <c r="B838" s="147"/>
      <c r="C838" s="147"/>
      <c r="D838" s="147"/>
      <c r="E838" s="147"/>
      <c r="F838" s="147"/>
      <c r="G838" s="147"/>
      <c r="H838" s="147"/>
      <c r="I838" s="147"/>
      <c r="J838" s="147"/>
      <c r="K838" s="147"/>
      <c r="L838" s="147"/>
      <c r="M838" s="147"/>
      <c r="N838" s="147"/>
      <c r="O838" s="147"/>
      <c r="P838" s="147"/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7"/>
      <c r="AB838" s="147"/>
      <c r="AC838" s="147"/>
      <c r="AD838" s="147"/>
      <c r="AE838" s="147"/>
      <c r="AF838" s="147"/>
      <c r="AG838" s="147"/>
    </row>
    <row r="839" spans="1:33" ht="14.4">
      <c r="A839" s="147"/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</row>
    <row r="840" spans="1:33" ht="14.4">
      <c r="A840" s="147"/>
      <c r="B840" s="147"/>
      <c r="C840" s="147"/>
      <c r="D840" s="147"/>
      <c r="E840" s="147"/>
      <c r="F840" s="147"/>
      <c r="G840" s="147"/>
      <c r="H840" s="147"/>
      <c r="I840" s="147"/>
      <c r="J840" s="147"/>
      <c r="K840" s="147"/>
      <c r="L840" s="147"/>
      <c r="M840" s="147"/>
      <c r="N840" s="147"/>
      <c r="O840" s="147"/>
      <c r="P840" s="147"/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7"/>
      <c r="AB840" s="147"/>
      <c r="AC840" s="147"/>
      <c r="AD840" s="147"/>
      <c r="AE840" s="147"/>
      <c r="AF840" s="147"/>
      <c r="AG840" s="147"/>
    </row>
    <row r="841" spans="1:33" ht="14.4">
      <c r="A841" s="147"/>
      <c r="B841" s="147"/>
      <c r="C841" s="147"/>
      <c r="D841" s="147"/>
      <c r="E841" s="147"/>
      <c r="F841" s="147"/>
      <c r="G841" s="147"/>
      <c r="H841" s="147"/>
      <c r="I841" s="147"/>
      <c r="J841" s="147"/>
      <c r="K841" s="147"/>
      <c r="L841" s="147"/>
      <c r="M841" s="147"/>
      <c r="N841" s="147"/>
      <c r="O841" s="147"/>
      <c r="P841" s="147"/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7"/>
      <c r="AB841" s="147"/>
      <c r="AC841" s="147"/>
      <c r="AD841" s="147"/>
      <c r="AE841" s="147"/>
      <c r="AF841" s="147"/>
      <c r="AG841" s="147"/>
    </row>
    <row r="842" spans="1:33" ht="14.4">
      <c r="A842" s="147"/>
      <c r="B842" s="147"/>
      <c r="C842" s="147"/>
      <c r="D842" s="147"/>
      <c r="E842" s="147"/>
      <c r="F842" s="147"/>
      <c r="G842" s="147"/>
      <c r="H842" s="147"/>
      <c r="I842" s="147"/>
      <c r="J842" s="147"/>
      <c r="K842" s="147"/>
      <c r="L842" s="147"/>
      <c r="M842" s="147"/>
      <c r="N842" s="147"/>
      <c r="O842" s="147"/>
      <c r="P842" s="147"/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7"/>
      <c r="AB842" s="147"/>
      <c r="AC842" s="147"/>
      <c r="AD842" s="147"/>
      <c r="AE842" s="147"/>
      <c r="AF842" s="147"/>
      <c r="AG842" s="147"/>
    </row>
    <row r="843" spans="1:33" ht="14.4">
      <c r="A843" s="147"/>
      <c r="B843" s="147"/>
      <c r="C843" s="147"/>
      <c r="D843" s="147"/>
      <c r="E843" s="147"/>
      <c r="F843" s="147"/>
      <c r="G843" s="147"/>
      <c r="H843" s="147"/>
      <c r="I843" s="147"/>
      <c r="J843" s="147"/>
      <c r="K843" s="147"/>
      <c r="L843" s="147"/>
      <c r="M843" s="147"/>
      <c r="N843" s="147"/>
      <c r="O843" s="147"/>
      <c r="P843" s="147"/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7"/>
      <c r="AB843" s="147"/>
      <c r="AC843" s="147"/>
      <c r="AD843" s="147"/>
      <c r="AE843" s="147"/>
      <c r="AF843" s="147"/>
      <c r="AG843" s="147"/>
    </row>
    <row r="844" spans="1:33" ht="14.4">
      <c r="A844" s="147"/>
      <c r="B844" s="147"/>
      <c r="C844" s="147"/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  <c r="P844" s="147"/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7"/>
      <c r="AB844" s="147"/>
      <c r="AC844" s="147"/>
      <c r="AD844" s="147"/>
      <c r="AE844" s="147"/>
      <c r="AF844" s="147"/>
      <c r="AG844" s="147"/>
    </row>
    <row r="845" spans="1:33" ht="14.4">
      <c r="A845" s="147"/>
      <c r="B845" s="147"/>
      <c r="C845" s="147"/>
      <c r="D845" s="147"/>
      <c r="E845" s="147"/>
      <c r="F845" s="147"/>
      <c r="G845" s="147"/>
      <c r="H845" s="147"/>
      <c r="I845" s="147"/>
      <c r="J845" s="147"/>
      <c r="K845" s="147"/>
      <c r="L845" s="147"/>
      <c r="M845" s="147"/>
      <c r="N845" s="147"/>
      <c r="O845" s="147"/>
      <c r="P845" s="147"/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7"/>
      <c r="AB845" s="147"/>
      <c r="AC845" s="147"/>
      <c r="AD845" s="147"/>
      <c r="AE845" s="147"/>
      <c r="AF845" s="147"/>
      <c r="AG845" s="147"/>
    </row>
    <row r="846" spans="1:33" ht="14.4">
      <c r="A846" s="147"/>
      <c r="B846" s="147"/>
      <c r="C846" s="147"/>
      <c r="D846" s="147"/>
      <c r="E846" s="147"/>
      <c r="F846" s="147"/>
      <c r="G846" s="147"/>
      <c r="H846" s="147"/>
      <c r="I846" s="147"/>
      <c r="J846" s="147"/>
      <c r="K846" s="147"/>
      <c r="L846" s="147"/>
      <c r="M846" s="147"/>
      <c r="N846" s="147"/>
      <c r="O846" s="147"/>
      <c r="P846" s="147"/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7"/>
      <c r="AB846" s="147"/>
      <c r="AC846" s="147"/>
      <c r="AD846" s="147"/>
      <c r="AE846" s="147"/>
      <c r="AF846" s="147"/>
      <c r="AG846" s="147"/>
    </row>
    <row r="847" spans="1:33" ht="14.4">
      <c r="A847" s="147"/>
      <c r="B847" s="147"/>
      <c r="C847" s="147"/>
      <c r="D847" s="147"/>
      <c r="E847" s="147"/>
      <c r="F847" s="147"/>
      <c r="G847" s="147"/>
      <c r="H847" s="147"/>
      <c r="I847" s="147"/>
      <c r="J847" s="147"/>
      <c r="K847" s="147"/>
      <c r="L847" s="147"/>
      <c r="M847" s="147"/>
      <c r="N847" s="147"/>
      <c r="O847" s="147"/>
      <c r="P847" s="147"/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7"/>
      <c r="AB847" s="147"/>
      <c r="AC847" s="147"/>
      <c r="AD847" s="147"/>
      <c r="AE847" s="147"/>
      <c r="AF847" s="147"/>
      <c r="AG847" s="147"/>
    </row>
    <row r="848" spans="1:33" ht="14.4">
      <c r="A848" s="147"/>
      <c r="B848" s="147"/>
      <c r="C848" s="147"/>
      <c r="D848" s="147"/>
      <c r="E848" s="147"/>
      <c r="F848" s="147"/>
      <c r="G848" s="147"/>
      <c r="H848" s="147"/>
      <c r="I848" s="147"/>
      <c r="J848" s="147"/>
      <c r="K848" s="147"/>
      <c r="L848" s="147"/>
      <c r="M848" s="147"/>
      <c r="N848" s="147"/>
      <c r="O848" s="147"/>
      <c r="P848" s="147"/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7"/>
      <c r="AB848" s="147"/>
      <c r="AC848" s="147"/>
      <c r="AD848" s="147"/>
      <c r="AE848" s="147"/>
      <c r="AF848" s="147"/>
      <c r="AG848" s="147"/>
    </row>
    <row r="849" spans="1:33" ht="14.4">
      <c r="A849" s="147"/>
      <c r="B849" s="147"/>
      <c r="C849" s="147"/>
      <c r="D849" s="147"/>
      <c r="E849" s="147"/>
      <c r="F849" s="147"/>
      <c r="G849" s="147"/>
      <c r="H849" s="147"/>
      <c r="I849" s="147"/>
      <c r="J849" s="147"/>
      <c r="K849" s="147"/>
      <c r="L849" s="147"/>
      <c r="M849" s="147"/>
      <c r="N849" s="147"/>
      <c r="O849" s="147"/>
      <c r="P849" s="147"/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7"/>
      <c r="AB849" s="147"/>
      <c r="AC849" s="147"/>
      <c r="AD849" s="147"/>
      <c r="AE849" s="147"/>
      <c r="AF849" s="147"/>
      <c r="AG849" s="147"/>
    </row>
    <row r="850" spans="1:33" ht="14.4">
      <c r="A850" s="147"/>
      <c r="B850" s="147"/>
      <c r="C850" s="147"/>
      <c r="D850" s="147"/>
      <c r="E850" s="147"/>
      <c r="F850" s="147"/>
      <c r="G850" s="147"/>
      <c r="H850" s="147"/>
      <c r="I850" s="147"/>
      <c r="J850" s="147"/>
      <c r="K850" s="147"/>
      <c r="L850" s="147"/>
      <c r="M850" s="147"/>
      <c r="N850" s="147"/>
      <c r="O850" s="147"/>
      <c r="P850" s="147"/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7"/>
      <c r="AB850" s="147"/>
      <c r="AC850" s="147"/>
      <c r="AD850" s="147"/>
      <c r="AE850" s="147"/>
      <c r="AF850" s="147"/>
      <c r="AG850" s="147"/>
    </row>
    <row r="851" spans="1:33" ht="14.4">
      <c r="A851" s="147"/>
      <c r="B851" s="147"/>
      <c r="C851" s="147"/>
      <c r="D851" s="147"/>
      <c r="E851" s="147"/>
      <c r="F851" s="147"/>
      <c r="G851" s="147"/>
      <c r="H851" s="147"/>
      <c r="I851" s="147"/>
      <c r="J851" s="147"/>
      <c r="K851" s="147"/>
      <c r="L851" s="147"/>
      <c r="M851" s="147"/>
      <c r="N851" s="147"/>
      <c r="O851" s="147"/>
      <c r="P851" s="147"/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7"/>
      <c r="AB851" s="147"/>
      <c r="AC851" s="147"/>
      <c r="AD851" s="147"/>
      <c r="AE851" s="147"/>
      <c r="AF851" s="147"/>
      <c r="AG851" s="147"/>
    </row>
    <row r="852" spans="1:33" ht="14.4">
      <c r="A852" s="147"/>
      <c r="B852" s="147"/>
      <c r="C852" s="147"/>
      <c r="D852" s="147"/>
      <c r="E852" s="147"/>
      <c r="F852" s="147"/>
      <c r="G852" s="147"/>
      <c r="H852" s="147"/>
      <c r="I852" s="147"/>
      <c r="J852" s="147"/>
      <c r="K852" s="147"/>
      <c r="L852" s="147"/>
      <c r="M852" s="147"/>
      <c r="N852" s="147"/>
      <c r="O852" s="147"/>
      <c r="P852" s="147"/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7"/>
      <c r="AB852" s="147"/>
      <c r="AC852" s="147"/>
      <c r="AD852" s="147"/>
      <c r="AE852" s="147"/>
      <c r="AF852" s="147"/>
      <c r="AG852" s="147"/>
    </row>
    <row r="853" spans="1:33" ht="14.4">
      <c r="A853" s="147"/>
      <c r="B853" s="147"/>
      <c r="C853" s="147"/>
      <c r="D853" s="147"/>
      <c r="E853" s="147"/>
      <c r="F853" s="147"/>
      <c r="G853" s="147"/>
      <c r="H853" s="147"/>
      <c r="I853" s="147"/>
      <c r="J853" s="147"/>
      <c r="K853" s="147"/>
      <c r="L853" s="147"/>
      <c r="M853" s="147"/>
      <c r="N853" s="147"/>
      <c r="O853" s="147"/>
      <c r="P853" s="147"/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7"/>
      <c r="AB853" s="147"/>
      <c r="AC853" s="147"/>
      <c r="AD853" s="147"/>
      <c r="AE853" s="147"/>
      <c r="AF853" s="147"/>
      <c r="AG853" s="147"/>
    </row>
    <row r="854" spans="1:33" ht="14.4">
      <c r="A854" s="147"/>
      <c r="B854" s="147"/>
      <c r="C854" s="147"/>
      <c r="D854" s="147"/>
      <c r="E854" s="147"/>
      <c r="F854" s="147"/>
      <c r="G854" s="147"/>
      <c r="H854" s="147"/>
      <c r="I854" s="147"/>
      <c r="J854" s="147"/>
      <c r="K854" s="147"/>
      <c r="L854" s="147"/>
      <c r="M854" s="147"/>
      <c r="N854" s="147"/>
      <c r="O854" s="147"/>
      <c r="P854" s="147"/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7"/>
      <c r="AB854" s="147"/>
      <c r="AC854" s="147"/>
      <c r="AD854" s="147"/>
      <c r="AE854" s="147"/>
      <c r="AF854" s="147"/>
      <c r="AG854" s="147"/>
    </row>
    <row r="855" spans="1:33" ht="14.4">
      <c r="A855" s="147"/>
      <c r="B855" s="147"/>
      <c r="C855" s="147"/>
      <c r="D855" s="147"/>
      <c r="E855" s="147"/>
      <c r="F855" s="147"/>
      <c r="G855" s="147"/>
      <c r="H855" s="147"/>
      <c r="I855" s="147"/>
      <c r="J855" s="147"/>
      <c r="K855" s="147"/>
      <c r="L855" s="147"/>
      <c r="M855" s="147"/>
      <c r="N855" s="147"/>
      <c r="O855" s="147"/>
      <c r="P855" s="147"/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7"/>
      <c r="AB855" s="147"/>
      <c r="AC855" s="147"/>
      <c r="AD855" s="147"/>
      <c r="AE855" s="147"/>
      <c r="AF855" s="147"/>
      <c r="AG855" s="147"/>
    </row>
    <row r="856" spans="1:33" ht="14.4">
      <c r="A856" s="147"/>
      <c r="B856" s="147"/>
      <c r="C856" s="147"/>
      <c r="D856" s="147"/>
      <c r="E856" s="147"/>
      <c r="F856" s="147"/>
      <c r="G856" s="147"/>
      <c r="H856" s="147"/>
      <c r="I856" s="147"/>
      <c r="J856" s="147"/>
      <c r="K856" s="147"/>
      <c r="L856" s="147"/>
      <c r="M856" s="147"/>
      <c r="N856" s="147"/>
      <c r="O856" s="147"/>
      <c r="P856" s="147"/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7"/>
      <c r="AB856" s="147"/>
      <c r="AC856" s="147"/>
      <c r="AD856" s="147"/>
      <c r="AE856" s="147"/>
      <c r="AF856" s="147"/>
      <c r="AG856" s="147"/>
    </row>
    <row r="857" spans="1:33" ht="14.4">
      <c r="A857" s="147"/>
      <c r="B857" s="147"/>
      <c r="C857" s="147"/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  <c r="P857" s="147"/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7"/>
      <c r="AB857" s="147"/>
      <c r="AC857" s="147"/>
      <c r="AD857" s="147"/>
      <c r="AE857" s="147"/>
      <c r="AF857" s="147"/>
      <c r="AG857" s="147"/>
    </row>
    <row r="858" spans="1:33" ht="14.4">
      <c r="A858" s="147"/>
      <c r="B858" s="147"/>
      <c r="C858" s="147"/>
      <c r="D858" s="147"/>
      <c r="E858" s="147"/>
      <c r="F858" s="147"/>
      <c r="G858" s="147"/>
      <c r="H858" s="147"/>
      <c r="I858" s="147"/>
      <c r="J858" s="147"/>
      <c r="K858" s="147"/>
      <c r="L858" s="147"/>
      <c r="M858" s="147"/>
      <c r="N858" s="147"/>
      <c r="O858" s="147"/>
      <c r="P858" s="147"/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7"/>
      <c r="AB858" s="147"/>
      <c r="AC858" s="147"/>
      <c r="AD858" s="147"/>
      <c r="AE858" s="147"/>
      <c r="AF858" s="147"/>
      <c r="AG858" s="147"/>
    </row>
    <row r="859" spans="1:33" ht="14.4">
      <c r="A859" s="147"/>
      <c r="B859" s="147"/>
      <c r="C859" s="147"/>
      <c r="D859" s="147"/>
      <c r="E859" s="147"/>
      <c r="F859" s="147"/>
      <c r="G859" s="147"/>
      <c r="H859" s="147"/>
      <c r="I859" s="147"/>
      <c r="J859" s="147"/>
      <c r="K859" s="147"/>
      <c r="L859" s="147"/>
      <c r="M859" s="147"/>
      <c r="N859" s="147"/>
      <c r="O859" s="147"/>
      <c r="P859" s="147"/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7"/>
      <c r="AB859" s="147"/>
      <c r="AC859" s="147"/>
      <c r="AD859" s="147"/>
      <c r="AE859" s="147"/>
      <c r="AF859" s="147"/>
      <c r="AG859" s="147"/>
    </row>
    <row r="860" spans="1:33" ht="14.4">
      <c r="A860" s="147"/>
      <c r="B860" s="147"/>
      <c r="C860" s="147"/>
      <c r="D860" s="147"/>
      <c r="E860" s="147"/>
      <c r="F860" s="147"/>
      <c r="G860" s="147"/>
      <c r="H860" s="147"/>
      <c r="I860" s="147"/>
      <c r="J860" s="147"/>
      <c r="K860" s="147"/>
      <c r="L860" s="147"/>
      <c r="M860" s="147"/>
      <c r="N860" s="147"/>
      <c r="O860" s="147"/>
      <c r="P860" s="147"/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7"/>
      <c r="AB860" s="147"/>
      <c r="AC860" s="147"/>
      <c r="AD860" s="147"/>
      <c r="AE860" s="147"/>
      <c r="AF860" s="147"/>
      <c r="AG860" s="147"/>
    </row>
    <row r="861" spans="1:33" ht="14.4">
      <c r="A861" s="147"/>
      <c r="B861" s="147"/>
      <c r="C861" s="147"/>
      <c r="D861" s="147"/>
      <c r="E861" s="147"/>
      <c r="F861" s="147"/>
      <c r="G861" s="147"/>
      <c r="H861" s="147"/>
      <c r="I861" s="147"/>
      <c r="J861" s="147"/>
      <c r="K861" s="147"/>
      <c r="L861" s="147"/>
      <c r="M861" s="147"/>
      <c r="N861" s="147"/>
      <c r="O861" s="147"/>
      <c r="P861" s="147"/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7"/>
      <c r="AB861" s="147"/>
      <c r="AC861" s="147"/>
      <c r="AD861" s="147"/>
      <c r="AE861" s="147"/>
      <c r="AF861" s="147"/>
      <c r="AG861" s="147"/>
    </row>
    <row r="862" spans="1:33" ht="14.4">
      <c r="A862" s="147"/>
      <c r="B862" s="147"/>
      <c r="C862" s="147"/>
      <c r="D862" s="147"/>
      <c r="E862" s="147"/>
      <c r="F862" s="147"/>
      <c r="G862" s="147"/>
      <c r="H862" s="147"/>
      <c r="I862" s="147"/>
      <c r="J862" s="147"/>
      <c r="K862" s="147"/>
      <c r="L862" s="147"/>
      <c r="M862" s="147"/>
      <c r="N862" s="147"/>
      <c r="O862" s="147"/>
      <c r="P862" s="147"/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7"/>
      <c r="AB862" s="147"/>
      <c r="AC862" s="147"/>
      <c r="AD862" s="147"/>
      <c r="AE862" s="147"/>
      <c r="AF862" s="147"/>
      <c r="AG862" s="147"/>
    </row>
    <row r="863" spans="1:33" ht="14.4">
      <c r="A863" s="147"/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  <c r="AG863" s="147"/>
    </row>
    <row r="864" spans="1:33" ht="14.4">
      <c r="A864" s="147"/>
      <c r="B864" s="147"/>
      <c r="C864" s="147"/>
      <c r="D864" s="147"/>
      <c r="E864" s="147"/>
      <c r="F864" s="147"/>
      <c r="G864" s="147"/>
      <c r="H864" s="147"/>
      <c r="I864" s="147"/>
      <c r="J864" s="147"/>
      <c r="K864" s="147"/>
      <c r="L864" s="147"/>
      <c r="M864" s="147"/>
      <c r="N864" s="147"/>
      <c r="O864" s="147"/>
      <c r="P864" s="147"/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7"/>
      <c r="AB864" s="147"/>
      <c r="AC864" s="147"/>
      <c r="AD864" s="147"/>
      <c r="AE864" s="147"/>
      <c r="AF864" s="147"/>
      <c r="AG864" s="147"/>
    </row>
    <row r="865" spans="1:33" ht="14.4">
      <c r="A865" s="147"/>
      <c r="B865" s="147"/>
      <c r="C865" s="147"/>
      <c r="D865" s="147"/>
      <c r="E865" s="147"/>
      <c r="F865" s="147"/>
      <c r="G865" s="147"/>
      <c r="H865" s="147"/>
      <c r="I865" s="147"/>
      <c r="J865" s="147"/>
      <c r="K865" s="147"/>
      <c r="L865" s="147"/>
      <c r="M865" s="147"/>
      <c r="N865" s="147"/>
      <c r="O865" s="147"/>
      <c r="P865" s="147"/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7"/>
      <c r="AB865" s="147"/>
      <c r="AC865" s="147"/>
      <c r="AD865" s="147"/>
      <c r="AE865" s="147"/>
      <c r="AF865" s="147"/>
      <c r="AG865" s="147"/>
    </row>
    <row r="866" spans="1:33" ht="14.4">
      <c r="A866" s="147"/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</row>
    <row r="867" spans="1:33" ht="14.4">
      <c r="A867" s="147"/>
      <c r="B867" s="147"/>
      <c r="C867" s="147"/>
      <c r="D867" s="147"/>
      <c r="E867" s="147"/>
      <c r="F867" s="147"/>
      <c r="G867" s="147"/>
      <c r="H867" s="147"/>
      <c r="I867" s="147"/>
      <c r="J867" s="147"/>
      <c r="K867" s="147"/>
      <c r="L867" s="147"/>
      <c r="M867" s="147"/>
      <c r="N867" s="147"/>
      <c r="O867" s="147"/>
      <c r="P867" s="147"/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7"/>
      <c r="AB867" s="147"/>
      <c r="AC867" s="147"/>
      <c r="AD867" s="147"/>
      <c r="AE867" s="147"/>
      <c r="AF867" s="147"/>
      <c r="AG867" s="147"/>
    </row>
    <row r="868" spans="1:33" ht="14.4">
      <c r="A868" s="147"/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47"/>
      <c r="P868" s="147"/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7"/>
      <c r="AB868" s="147"/>
      <c r="AC868" s="147"/>
      <c r="AD868" s="147"/>
      <c r="AE868" s="147"/>
      <c r="AF868" s="147"/>
      <c r="AG868" s="147"/>
    </row>
    <row r="869" spans="1:33" ht="14.4">
      <c r="A869" s="147"/>
      <c r="B869" s="147"/>
      <c r="C869" s="147"/>
      <c r="D869" s="147"/>
      <c r="E869" s="147"/>
      <c r="F869" s="147"/>
      <c r="G869" s="147"/>
      <c r="H869" s="147"/>
      <c r="I869" s="147"/>
      <c r="J869" s="147"/>
      <c r="K869" s="147"/>
      <c r="L869" s="147"/>
      <c r="M869" s="147"/>
      <c r="N869" s="147"/>
      <c r="O869" s="147"/>
      <c r="P869" s="147"/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7"/>
      <c r="AB869" s="147"/>
      <c r="AC869" s="147"/>
      <c r="AD869" s="147"/>
      <c r="AE869" s="147"/>
      <c r="AF869" s="147"/>
      <c r="AG869" s="147"/>
    </row>
    <row r="870" spans="1:33" ht="14.4">
      <c r="A870" s="147"/>
      <c r="B870" s="147"/>
      <c r="C870" s="147"/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  <c r="P870" s="147"/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7"/>
      <c r="AB870" s="147"/>
      <c r="AC870" s="147"/>
      <c r="AD870" s="147"/>
      <c r="AE870" s="147"/>
      <c r="AF870" s="147"/>
      <c r="AG870" s="147"/>
    </row>
    <row r="871" spans="1:33" ht="14.4">
      <c r="A871" s="147"/>
      <c r="B871" s="147"/>
      <c r="C871" s="147"/>
      <c r="D871" s="147"/>
      <c r="E871" s="147"/>
      <c r="F871" s="147"/>
      <c r="G871" s="147"/>
      <c r="H871" s="147"/>
      <c r="I871" s="147"/>
      <c r="J871" s="147"/>
      <c r="K871" s="147"/>
      <c r="L871" s="147"/>
      <c r="M871" s="147"/>
      <c r="N871" s="147"/>
      <c r="O871" s="147"/>
      <c r="P871" s="147"/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7"/>
      <c r="AB871" s="147"/>
      <c r="AC871" s="147"/>
      <c r="AD871" s="147"/>
      <c r="AE871" s="147"/>
      <c r="AF871" s="147"/>
      <c r="AG871" s="147"/>
    </row>
    <row r="872" spans="1:33" ht="14.4">
      <c r="A872" s="147"/>
      <c r="B872" s="147"/>
      <c r="C872" s="147"/>
      <c r="D872" s="147"/>
      <c r="E872" s="147"/>
      <c r="F872" s="147"/>
      <c r="G872" s="147"/>
      <c r="H872" s="147"/>
      <c r="I872" s="147"/>
      <c r="J872" s="147"/>
      <c r="K872" s="147"/>
      <c r="L872" s="147"/>
      <c r="M872" s="147"/>
      <c r="N872" s="147"/>
      <c r="O872" s="147"/>
      <c r="P872" s="147"/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7"/>
      <c r="AB872" s="147"/>
      <c r="AC872" s="147"/>
      <c r="AD872" s="147"/>
      <c r="AE872" s="147"/>
      <c r="AF872" s="147"/>
      <c r="AG872" s="147"/>
    </row>
    <row r="873" spans="1:33" ht="14.4">
      <c r="A873" s="147"/>
      <c r="B873" s="147"/>
      <c r="C873" s="147"/>
      <c r="D873" s="147"/>
      <c r="E873" s="147"/>
      <c r="F873" s="147"/>
      <c r="G873" s="147"/>
      <c r="H873" s="147"/>
      <c r="I873" s="147"/>
      <c r="J873" s="147"/>
      <c r="K873" s="147"/>
      <c r="L873" s="147"/>
      <c r="M873" s="147"/>
      <c r="N873" s="147"/>
      <c r="O873" s="147"/>
      <c r="P873" s="147"/>
      <c r="Q873" s="147"/>
      <c r="R873" s="147"/>
      <c r="S873" s="147"/>
      <c r="T873" s="147"/>
      <c r="U873" s="147"/>
      <c r="V873" s="147"/>
      <c r="W873" s="147"/>
      <c r="X873" s="147"/>
      <c r="Y873" s="147"/>
      <c r="Z873" s="147"/>
      <c r="AA873" s="147"/>
      <c r="AB873" s="147"/>
      <c r="AC873" s="147"/>
      <c r="AD873" s="147"/>
      <c r="AE873" s="147"/>
      <c r="AF873" s="147"/>
      <c r="AG873" s="147"/>
    </row>
    <row r="874" spans="1:33" ht="14.4">
      <c r="A874" s="147"/>
      <c r="B874" s="147"/>
      <c r="C874" s="147"/>
      <c r="D874" s="147"/>
      <c r="E874" s="147"/>
      <c r="F874" s="147"/>
      <c r="G874" s="147"/>
      <c r="H874" s="147"/>
      <c r="I874" s="147"/>
      <c r="J874" s="147"/>
      <c r="K874" s="147"/>
      <c r="L874" s="147"/>
      <c r="M874" s="147"/>
      <c r="N874" s="147"/>
      <c r="O874" s="147"/>
      <c r="P874" s="147"/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7"/>
      <c r="AB874" s="147"/>
      <c r="AC874" s="147"/>
      <c r="AD874" s="147"/>
      <c r="AE874" s="147"/>
      <c r="AF874" s="147"/>
      <c r="AG874" s="147"/>
    </row>
    <row r="875" spans="1:33" ht="14.4">
      <c r="A875" s="147"/>
      <c r="B875" s="147"/>
      <c r="C875" s="147"/>
      <c r="D875" s="147"/>
      <c r="E875" s="147"/>
      <c r="F875" s="147"/>
      <c r="G875" s="147"/>
      <c r="H875" s="147"/>
      <c r="I875" s="147"/>
      <c r="J875" s="147"/>
      <c r="K875" s="147"/>
      <c r="L875" s="147"/>
      <c r="M875" s="147"/>
      <c r="N875" s="147"/>
      <c r="O875" s="147"/>
      <c r="P875" s="147"/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7"/>
      <c r="AB875" s="147"/>
      <c r="AC875" s="147"/>
      <c r="AD875" s="147"/>
      <c r="AE875" s="147"/>
      <c r="AF875" s="147"/>
      <c r="AG875" s="147"/>
    </row>
    <row r="876" spans="1:33" ht="14.4">
      <c r="A876" s="147"/>
      <c r="B876" s="147"/>
      <c r="C876" s="147"/>
      <c r="D876" s="147"/>
      <c r="E876" s="147"/>
      <c r="F876" s="147"/>
      <c r="G876" s="147"/>
      <c r="H876" s="147"/>
      <c r="I876" s="147"/>
      <c r="J876" s="147"/>
      <c r="K876" s="147"/>
      <c r="L876" s="147"/>
      <c r="M876" s="147"/>
      <c r="N876" s="147"/>
      <c r="O876" s="147"/>
      <c r="P876" s="147"/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7"/>
      <c r="AB876" s="147"/>
      <c r="AC876" s="147"/>
      <c r="AD876" s="147"/>
      <c r="AE876" s="147"/>
      <c r="AF876" s="147"/>
      <c r="AG876" s="147"/>
    </row>
    <row r="877" spans="1:33" ht="14.4">
      <c r="A877" s="147"/>
      <c r="B877" s="147"/>
      <c r="C877" s="147"/>
      <c r="D877" s="147"/>
      <c r="E877" s="147"/>
      <c r="F877" s="147"/>
      <c r="G877" s="147"/>
      <c r="H877" s="147"/>
      <c r="I877" s="147"/>
      <c r="J877" s="147"/>
      <c r="K877" s="147"/>
      <c r="L877" s="147"/>
      <c r="M877" s="147"/>
      <c r="N877" s="147"/>
      <c r="O877" s="147"/>
      <c r="P877" s="147"/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7"/>
      <c r="AB877" s="147"/>
      <c r="AC877" s="147"/>
      <c r="AD877" s="147"/>
      <c r="AE877" s="147"/>
      <c r="AF877" s="147"/>
      <c r="AG877" s="147"/>
    </row>
    <row r="878" spans="1:33" ht="14.4">
      <c r="A878" s="147"/>
      <c r="B878" s="147"/>
      <c r="C878" s="147"/>
      <c r="D878" s="147"/>
      <c r="E878" s="147"/>
      <c r="F878" s="147"/>
      <c r="G878" s="147"/>
      <c r="H878" s="147"/>
      <c r="I878" s="147"/>
      <c r="J878" s="147"/>
      <c r="K878" s="147"/>
      <c r="L878" s="147"/>
      <c r="M878" s="147"/>
      <c r="N878" s="147"/>
      <c r="O878" s="147"/>
      <c r="P878" s="147"/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7"/>
      <c r="AB878" s="147"/>
      <c r="AC878" s="147"/>
      <c r="AD878" s="147"/>
      <c r="AE878" s="147"/>
      <c r="AF878" s="147"/>
      <c r="AG878" s="147"/>
    </row>
    <row r="879" spans="1:33" ht="14.4">
      <c r="A879" s="147"/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</row>
    <row r="880" spans="1:33" ht="14.4">
      <c r="A880" s="147"/>
      <c r="B880" s="147"/>
      <c r="C880" s="147"/>
      <c r="D880" s="147"/>
      <c r="E880" s="147"/>
      <c r="F880" s="147"/>
      <c r="G880" s="147"/>
      <c r="H880" s="147"/>
      <c r="I880" s="147"/>
      <c r="J880" s="147"/>
      <c r="K880" s="147"/>
      <c r="L880" s="147"/>
      <c r="M880" s="147"/>
      <c r="N880" s="147"/>
      <c r="O880" s="147"/>
      <c r="P880" s="147"/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7"/>
      <c r="AB880" s="147"/>
      <c r="AC880" s="147"/>
      <c r="AD880" s="147"/>
      <c r="AE880" s="147"/>
      <c r="AF880" s="147"/>
      <c r="AG880" s="147"/>
    </row>
    <row r="881" spans="1:33" ht="14.4">
      <c r="A881" s="147"/>
      <c r="B881" s="147"/>
      <c r="C881" s="147"/>
      <c r="D881" s="147"/>
      <c r="E881" s="147"/>
      <c r="F881" s="147"/>
      <c r="G881" s="147"/>
      <c r="H881" s="147"/>
      <c r="I881" s="147"/>
      <c r="J881" s="147"/>
      <c r="K881" s="147"/>
      <c r="L881" s="147"/>
      <c r="M881" s="147"/>
      <c r="N881" s="147"/>
      <c r="O881" s="147"/>
      <c r="P881" s="147"/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7"/>
      <c r="AB881" s="147"/>
      <c r="AC881" s="147"/>
      <c r="AD881" s="147"/>
      <c r="AE881" s="147"/>
      <c r="AF881" s="147"/>
      <c r="AG881" s="147"/>
    </row>
    <row r="882" spans="1:33" ht="14.4">
      <c r="A882" s="147"/>
      <c r="B882" s="147"/>
      <c r="C882" s="147"/>
      <c r="D882" s="147"/>
      <c r="E882" s="147"/>
      <c r="F882" s="147"/>
      <c r="G882" s="147"/>
      <c r="H882" s="147"/>
      <c r="I882" s="147"/>
      <c r="J882" s="147"/>
      <c r="K882" s="147"/>
      <c r="L882" s="147"/>
      <c r="M882" s="147"/>
      <c r="N882" s="147"/>
      <c r="O882" s="147"/>
      <c r="P882" s="147"/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7"/>
      <c r="AB882" s="147"/>
      <c r="AC882" s="147"/>
      <c r="AD882" s="147"/>
      <c r="AE882" s="147"/>
      <c r="AF882" s="147"/>
      <c r="AG882" s="147"/>
    </row>
    <row r="883" spans="1:33" ht="14.4">
      <c r="A883" s="147"/>
      <c r="B883" s="147"/>
      <c r="C883" s="147"/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  <c r="P883" s="147"/>
      <c r="Q883" s="147"/>
      <c r="R883" s="147"/>
      <c r="S883" s="147"/>
      <c r="T883" s="147"/>
      <c r="U883" s="147"/>
      <c r="V883" s="147"/>
      <c r="W883" s="147"/>
      <c r="X883" s="147"/>
      <c r="Y883" s="147"/>
      <c r="Z883" s="147"/>
      <c r="AA883" s="147"/>
      <c r="AB883" s="147"/>
      <c r="AC883" s="147"/>
      <c r="AD883" s="147"/>
      <c r="AE883" s="147"/>
      <c r="AF883" s="147"/>
      <c r="AG883" s="147"/>
    </row>
    <row r="884" spans="1:33" ht="14.4">
      <c r="A884" s="147"/>
      <c r="B884" s="147"/>
      <c r="C884" s="147"/>
      <c r="D884" s="147"/>
      <c r="E884" s="147"/>
      <c r="F884" s="147"/>
      <c r="G884" s="147"/>
      <c r="H884" s="147"/>
      <c r="I884" s="147"/>
      <c r="J884" s="147"/>
      <c r="K884" s="147"/>
      <c r="L884" s="147"/>
      <c r="M884" s="147"/>
      <c r="N884" s="147"/>
      <c r="O884" s="147"/>
      <c r="P884" s="147"/>
      <c r="Q884" s="147"/>
      <c r="R884" s="147"/>
      <c r="S884" s="147"/>
      <c r="T884" s="147"/>
      <c r="U884" s="147"/>
      <c r="V884" s="147"/>
      <c r="W884" s="147"/>
      <c r="X884" s="147"/>
      <c r="Y884" s="147"/>
      <c r="Z884" s="147"/>
      <c r="AA884" s="147"/>
      <c r="AB884" s="147"/>
      <c r="AC884" s="147"/>
      <c r="AD884" s="147"/>
      <c r="AE884" s="147"/>
      <c r="AF884" s="147"/>
      <c r="AG884" s="147"/>
    </row>
    <row r="885" spans="1:33" ht="14.4">
      <c r="A885" s="147"/>
      <c r="B885" s="147"/>
      <c r="C885" s="147"/>
      <c r="D885" s="147"/>
      <c r="E885" s="147"/>
      <c r="F885" s="147"/>
      <c r="G885" s="147"/>
      <c r="H885" s="147"/>
      <c r="I885" s="147"/>
      <c r="J885" s="147"/>
      <c r="K885" s="147"/>
      <c r="L885" s="147"/>
      <c r="M885" s="147"/>
      <c r="N885" s="147"/>
      <c r="O885" s="147"/>
      <c r="P885" s="147"/>
      <c r="Q885" s="147"/>
      <c r="R885" s="147"/>
      <c r="S885" s="147"/>
      <c r="T885" s="147"/>
      <c r="U885" s="147"/>
      <c r="V885" s="147"/>
      <c r="W885" s="147"/>
      <c r="X885" s="147"/>
      <c r="Y885" s="147"/>
      <c r="Z885" s="147"/>
      <c r="AA885" s="147"/>
      <c r="AB885" s="147"/>
      <c r="AC885" s="147"/>
      <c r="AD885" s="147"/>
      <c r="AE885" s="147"/>
      <c r="AF885" s="147"/>
      <c r="AG885" s="147"/>
    </row>
    <row r="886" spans="1:33" ht="14.4">
      <c r="A886" s="147"/>
      <c r="B886" s="147"/>
      <c r="C886" s="147"/>
      <c r="D886" s="147"/>
      <c r="E886" s="147"/>
      <c r="F886" s="147"/>
      <c r="G886" s="147"/>
      <c r="H886" s="147"/>
      <c r="I886" s="147"/>
      <c r="J886" s="147"/>
      <c r="K886" s="147"/>
      <c r="L886" s="147"/>
      <c r="M886" s="147"/>
      <c r="N886" s="147"/>
      <c r="O886" s="147"/>
      <c r="P886" s="147"/>
      <c r="Q886" s="147"/>
      <c r="R886" s="147"/>
      <c r="S886" s="147"/>
      <c r="T886" s="147"/>
      <c r="U886" s="147"/>
      <c r="V886" s="147"/>
      <c r="W886" s="147"/>
      <c r="X886" s="147"/>
      <c r="Y886" s="147"/>
      <c r="Z886" s="147"/>
      <c r="AA886" s="147"/>
      <c r="AB886" s="147"/>
      <c r="AC886" s="147"/>
      <c r="AD886" s="147"/>
      <c r="AE886" s="147"/>
      <c r="AF886" s="147"/>
      <c r="AG886" s="147"/>
    </row>
    <row r="887" spans="1:33" ht="14.4">
      <c r="A887" s="147"/>
      <c r="B887" s="147"/>
      <c r="C887" s="147"/>
      <c r="D887" s="147"/>
      <c r="E887" s="147"/>
      <c r="F887" s="147"/>
      <c r="G887" s="147"/>
      <c r="H887" s="147"/>
      <c r="I887" s="147"/>
      <c r="J887" s="147"/>
      <c r="K887" s="147"/>
      <c r="L887" s="147"/>
      <c r="M887" s="147"/>
      <c r="N887" s="147"/>
      <c r="O887" s="147"/>
      <c r="P887" s="147"/>
      <c r="Q887" s="147"/>
      <c r="R887" s="147"/>
      <c r="S887" s="147"/>
      <c r="T887" s="147"/>
      <c r="U887" s="147"/>
      <c r="V887" s="147"/>
      <c r="W887" s="147"/>
      <c r="X887" s="147"/>
      <c r="Y887" s="147"/>
      <c r="Z887" s="147"/>
      <c r="AA887" s="147"/>
      <c r="AB887" s="147"/>
      <c r="AC887" s="147"/>
      <c r="AD887" s="147"/>
      <c r="AE887" s="147"/>
      <c r="AF887" s="147"/>
      <c r="AG887" s="147"/>
    </row>
    <row r="888" spans="1:33" ht="14.4">
      <c r="A888" s="147"/>
      <c r="B888" s="147"/>
      <c r="C888" s="147"/>
      <c r="D888" s="147"/>
      <c r="E888" s="147"/>
      <c r="F888" s="147"/>
      <c r="G888" s="147"/>
      <c r="H888" s="147"/>
      <c r="I888" s="147"/>
      <c r="J888" s="147"/>
      <c r="K888" s="147"/>
      <c r="L888" s="147"/>
      <c r="M888" s="147"/>
      <c r="N888" s="147"/>
      <c r="O888" s="147"/>
      <c r="P888" s="147"/>
      <c r="Q888" s="147"/>
      <c r="R888" s="147"/>
      <c r="S888" s="147"/>
      <c r="T888" s="147"/>
      <c r="U888" s="147"/>
      <c r="V888" s="147"/>
      <c r="W888" s="147"/>
      <c r="X888" s="147"/>
      <c r="Y888" s="147"/>
      <c r="Z888" s="147"/>
      <c r="AA888" s="147"/>
      <c r="AB888" s="147"/>
      <c r="AC888" s="147"/>
      <c r="AD888" s="147"/>
      <c r="AE888" s="147"/>
      <c r="AF888" s="147"/>
      <c r="AG888" s="147"/>
    </row>
    <row r="889" spans="1:33" ht="14.4">
      <c r="A889" s="147"/>
      <c r="B889" s="147"/>
      <c r="C889" s="147"/>
      <c r="D889" s="147"/>
      <c r="E889" s="147"/>
      <c r="F889" s="147"/>
      <c r="G889" s="147"/>
      <c r="H889" s="147"/>
      <c r="I889" s="147"/>
      <c r="J889" s="147"/>
      <c r="K889" s="147"/>
      <c r="L889" s="147"/>
      <c r="M889" s="147"/>
      <c r="N889" s="147"/>
      <c r="O889" s="147"/>
      <c r="P889" s="147"/>
      <c r="Q889" s="147"/>
      <c r="R889" s="147"/>
      <c r="S889" s="147"/>
      <c r="T889" s="147"/>
      <c r="U889" s="147"/>
      <c r="V889" s="147"/>
      <c r="W889" s="147"/>
      <c r="X889" s="147"/>
      <c r="Y889" s="147"/>
      <c r="Z889" s="147"/>
      <c r="AA889" s="147"/>
      <c r="AB889" s="147"/>
      <c r="AC889" s="147"/>
      <c r="AD889" s="147"/>
      <c r="AE889" s="147"/>
      <c r="AF889" s="147"/>
      <c r="AG889" s="147"/>
    </row>
    <row r="890" spans="1:33" ht="14.4">
      <c r="A890" s="147"/>
      <c r="B890" s="147"/>
      <c r="C890" s="147"/>
      <c r="D890" s="147"/>
      <c r="E890" s="147"/>
      <c r="F890" s="147"/>
      <c r="G890" s="147"/>
      <c r="H890" s="147"/>
      <c r="I890" s="147"/>
      <c r="J890" s="147"/>
      <c r="K890" s="147"/>
      <c r="L890" s="147"/>
      <c r="M890" s="147"/>
      <c r="N890" s="147"/>
      <c r="O890" s="147"/>
      <c r="P890" s="147"/>
      <c r="Q890" s="147"/>
      <c r="R890" s="147"/>
      <c r="S890" s="147"/>
      <c r="T890" s="147"/>
      <c r="U890" s="147"/>
      <c r="V890" s="147"/>
      <c r="W890" s="147"/>
      <c r="X890" s="147"/>
      <c r="Y890" s="147"/>
      <c r="Z890" s="147"/>
      <c r="AA890" s="147"/>
      <c r="AB890" s="147"/>
      <c r="AC890" s="147"/>
      <c r="AD890" s="147"/>
      <c r="AE890" s="147"/>
      <c r="AF890" s="147"/>
      <c r="AG890" s="147"/>
    </row>
    <row r="891" spans="1:33" ht="14.4">
      <c r="A891" s="147"/>
      <c r="B891" s="147"/>
      <c r="C891" s="147"/>
      <c r="D891" s="147"/>
      <c r="E891" s="147"/>
      <c r="F891" s="147"/>
      <c r="G891" s="147"/>
      <c r="H891" s="147"/>
      <c r="I891" s="147"/>
      <c r="J891" s="147"/>
      <c r="K891" s="147"/>
      <c r="L891" s="147"/>
      <c r="M891" s="147"/>
      <c r="N891" s="147"/>
      <c r="O891" s="147"/>
      <c r="P891" s="147"/>
      <c r="Q891" s="147"/>
      <c r="R891" s="147"/>
      <c r="S891" s="147"/>
      <c r="T891" s="147"/>
      <c r="U891" s="147"/>
      <c r="V891" s="147"/>
      <c r="W891" s="147"/>
      <c r="X891" s="147"/>
      <c r="Y891" s="147"/>
      <c r="Z891" s="147"/>
      <c r="AA891" s="147"/>
      <c r="AB891" s="147"/>
      <c r="AC891" s="147"/>
      <c r="AD891" s="147"/>
      <c r="AE891" s="147"/>
      <c r="AF891" s="147"/>
      <c r="AG891" s="147"/>
    </row>
    <row r="892" spans="1:33" ht="14.4">
      <c r="A892" s="147"/>
      <c r="B892" s="147"/>
      <c r="C892" s="147"/>
      <c r="D892" s="147"/>
      <c r="E892" s="147"/>
      <c r="F892" s="147"/>
      <c r="G892" s="147"/>
      <c r="H892" s="147"/>
      <c r="I892" s="147"/>
      <c r="J892" s="147"/>
      <c r="K892" s="147"/>
      <c r="L892" s="147"/>
      <c r="M892" s="147"/>
      <c r="N892" s="147"/>
      <c r="O892" s="147"/>
      <c r="P892" s="147"/>
      <c r="Q892" s="147"/>
      <c r="R892" s="147"/>
      <c r="S892" s="147"/>
      <c r="T892" s="147"/>
      <c r="U892" s="147"/>
      <c r="V892" s="147"/>
      <c r="W892" s="147"/>
      <c r="X892" s="147"/>
      <c r="Y892" s="147"/>
      <c r="Z892" s="147"/>
      <c r="AA892" s="147"/>
      <c r="AB892" s="147"/>
      <c r="AC892" s="147"/>
      <c r="AD892" s="147"/>
      <c r="AE892" s="147"/>
      <c r="AF892" s="147"/>
      <c r="AG892" s="147"/>
    </row>
    <row r="893" spans="1:33" ht="14.4">
      <c r="A893" s="147"/>
      <c r="B893" s="147"/>
      <c r="C893" s="147"/>
      <c r="D893" s="147"/>
      <c r="E893" s="147"/>
      <c r="F893" s="147"/>
      <c r="G893" s="147"/>
      <c r="H893" s="147"/>
      <c r="I893" s="147"/>
      <c r="J893" s="147"/>
      <c r="K893" s="147"/>
      <c r="L893" s="147"/>
      <c r="M893" s="147"/>
      <c r="N893" s="147"/>
      <c r="O893" s="147"/>
      <c r="P893" s="147"/>
      <c r="Q893" s="147"/>
      <c r="R893" s="147"/>
      <c r="S893" s="147"/>
      <c r="T893" s="147"/>
      <c r="U893" s="147"/>
      <c r="V893" s="147"/>
      <c r="W893" s="147"/>
      <c r="X893" s="147"/>
      <c r="Y893" s="147"/>
      <c r="Z893" s="147"/>
      <c r="AA893" s="147"/>
      <c r="AB893" s="147"/>
      <c r="AC893" s="147"/>
      <c r="AD893" s="147"/>
      <c r="AE893" s="147"/>
      <c r="AF893" s="147"/>
      <c r="AG893" s="147"/>
    </row>
    <row r="894" spans="1:33" ht="14.4">
      <c r="A894" s="147"/>
      <c r="B894" s="147"/>
      <c r="C894" s="147"/>
      <c r="D894" s="147"/>
      <c r="E894" s="147"/>
      <c r="F894" s="147"/>
      <c r="G894" s="147"/>
      <c r="H894" s="147"/>
      <c r="I894" s="147"/>
      <c r="J894" s="147"/>
      <c r="K894" s="147"/>
      <c r="L894" s="147"/>
      <c r="M894" s="147"/>
      <c r="N894" s="147"/>
      <c r="O894" s="147"/>
      <c r="P894" s="147"/>
      <c r="Q894" s="147"/>
      <c r="R894" s="147"/>
      <c r="S894" s="147"/>
      <c r="T894" s="147"/>
      <c r="U894" s="147"/>
      <c r="V894" s="147"/>
      <c r="W894" s="147"/>
      <c r="X894" s="147"/>
      <c r="Y894" s="147"/>
      <c r="Z894" s="147"/>
      <c r="AA894" s="147"/>
      <c r="AB894" s="147"/>
      <c r="AC894" s="147"/>
      <c r="AD894" s="147"/>
      <c r="AE894" s="147"/>
      <c r="AF894" s="147"/>
      <c r="AG894" s="147"/>
    </row>
    <row r="895" spans="1:33" ht="14.4">
      <c r="A895" s="147"/>
      <c r="B895" s="147"/>
      <c r="C895" s="147"/>
      <c r="D895" s="147"/>
      <c r="E895" s="147"/>
      <c r="F895" s="147"/>
      <c r="G895" s="147"/>
      <c r="H895" s="147"/>
      <c r="I895" s="147"/>
      <c r="J895" s="147"/>
      <c r="K895" s="147"/>
      <c r="L895" s="147"/>
      <c r="M895" s="147"/>
      <c r="N895" s="147"/>
      <c r="O895" s="147"/>
      <c r="P895" s="147"/>
      <c r="Q895" s="147"/>
      <c r="R895" s="147"/>
      <c r="S895" s="147"/>
      <c r="T895" s="147"/>
      <c r="U895" s="147"/>
      <c r="V895" s="147"/>
      <c r="W895" s="147"/>
      <c r="X895" s="147"/>
      <c r="Y895" s="147"/>
      <c r="Z895" s="147"/>
      <c r="AA895" s="147"/>
      <c r="AB895" s="147"/>
      <c r="AC895" s="147"/>
      <c r="AD895" s="147"/>
      <c r="AE895" s="147"/>
      <c r="AF895" s="147"/>
      <c r="AG895" s="147"/>
    </row>
    <row r="896" spans="1:33" ht="14.4">
      <c r="A896" s="147"/>
      <c r="B896" s="147"/>
      <c r="C896" s="147"/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  <c r="P896" s="147"/>
      <c r="Q896" s="147"/>
      <c r="R896" s="147"/>
      <c r="S896" s="147"/>
      <c r="T896" s="147"/>
      <c r="U896" s="147"/>
      <c r="V896" s="147"/>
      <c r="W896" s="147"/>
      <c r="X896" s="147"/>
      <c r="Y896" s="147"/>
      <c r="Z896" s="147"/>
      <c r="AA896" s="147"/>
      <c r="AB896" s="147"/>
      <c r="AC896" s="147"/>
      <c r="AD896" s="147"/>
      <c r="AE896" s="147"/>
      <c r="AF896" s="147"/>
      <c r="AG896" s="147"/>
    </row>
    <row r="897" spans="1:33" ht="14.4">
      <c r="A897" s="147"/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</row>
    <row r="898" spans="1:33" ht="14.4">
      <c r="A898" s="147"/>
      <c r="B898" s="147"/>
      <c r="C898" s="147"/>
      <c r="D898" s="147"/>
      <c r="E898" s="147"/>
      <c r="F898" s="147"/>
      <c r="G898" s="147"/>
      <c r="H898" s="147"/>
      <c r="I898" s="147"/>
      <c r="J898" s="147"/>
      <c r="K898" s="147"/>
      <c r="L898" s="147"/>
      <c r="M898" s="147"/>
      <c r="N898" s="147"/>
      <c r="O898" s="147"/>
      <c r="P898" s="147"/>
      <c r="Q898" s="147"/>
      <c r="R898" s="147"/>
      <c r="S898" s="147"/>
      <c r="T898" s="147"/>
      <c r="U898" s="147"/>
      <c r="V898" s="147"/>
      <c r="W898" s="147"/>
      <c r="X898" s="147"/>
      <c r="Y898" s="147"/>
      <c r="Z898" s="147"/>
      <c r="AA898" s="147"/>
      <c r="AB898" s="147"/>
      <c r="AC898" s="147"/>
      <c r="AD898" s="147"/>
      <c r="AE898" s="147"/>
      <c r="AF898" s="147"/>
      <c r="AG898" s="147"/>
    </row>
    <row r="899" spans="1:33" ht="14.4">
      <c r="A899" s="147"/>
      <c r="B899" s="147"/>
      <c r="C899" s="147"/>
      <c r="D899" s="147"/>
      <c r="E899" s="147"/>
      <c r="F899" s="147"/>
      <c r="G899" s="147"/>
      <c r="H899" s="147"/>
      <c r="I899" s="147"/>
      <c r="J899" s="147"/>
      <c r="K899" s="147"/>
      <c r="L899" s="147"/>
      <c r="M899" s="147"/>
      <c r="N899" s="147"/>
      <c r="O899" s="147"/>
      <c r="P899" s="147"/>
      <c r="Q899" s="147"/>
      <c r="R899" s="147"/>
      <c r="S899" s="147"/>
      <c r="T899" s="147"/>
      <c r="U899" s="147"/>
      <c r="V899" s="147"/>
      <c r="W899" s="147"/>
      <c r="X899" s="147"/>
      <c r="Y899" s="147"/>
      <c r="Z899" s="147"/>
      <c r="AA899" s="147"/>
      <c r="AB899" s="147"/>
      <c r="AC899" s="147"/>
      <c r="AD899" s="147"/>
      <c r="AE899" s="147"/>
      <c r="AF899" s="147"/>
      <c r="AG899" s="147"/>
    </row>
    <row r="900" spans="1:33" ht="14.4">
      <c r="A900" s="147"/>
      <c r="B900" s="147"/>
      <c r="C900" s="147"/>
      <c r="D900" s="147"/>
      <c r="E900" s="147"/>
      <c r="F900" s="147"/>
      <c r="G900" s="147"/>
      <c r="H900" s="147"/>
      <c r="I900" s="147"/>
      <c r="J900" s="147"/>
      <c r="K900" s="147"/>
      <c r="L900" s="147"/>
      <c r="M900" s="147"/>
      <c r="N900" s="147"/>
      <c r="O900" s="147"/>
      <c r="P900" s="147"/>
      <c r="Q900" s="147"/>
      <c r="R900" s="147"/>
      <c r="S900" s="147"/>
      <c r="T900" s="147"/>
      <c r="U900" s="147"/>
      <c r="V900" s="147"/>
      <c r="W900" s="147"/>
      <c r="X900" s="147"/>
      <c r="Y900" s="147"/>
      <c r="Z900" s="147"/>
      <c r="AA900" s="147"/>
      <c r="AB900" s="147"/>
      <c r="AC900" s="147"/>
      <c r="AD900" s="147"/>
      <c r="AE900" s="147"/>
      <c r="AF900" s="147"/>
      <c r="AG900" s="147"/>
    </row>
    <row r="901" spans="1:33" ht="14.4">
      <c r="A901" s="147"/>
      <c r="B901" s="147"/>
      <c r="C901" s="147"/>
      <c r="D901" s="147"/>
      <c r="E901" s="147"/>
      <c r="F901" s="147"/>
      <c r="G901" s="147"/>
      <c r="H901" s="147"/>
      <c r="I901" s="147"/>
      <c r="J901" s="147"/>
      <c r="K901" s="147"/>
      <c r="L901" s="147"/>
      <c r="M901" s="147"/>
      <c r="N901" s="147"/>
      <c r="O901" s="147"/>
      <c r="P901" s="147"/>
      <c r="Q901" s="147"/>
      <c r="R901" s="147"/>
      <c r="S901" s="147"/>
      <c r="T901" s="147"/>
      <c r="U901" s="147"/>
      <c r="V901" s="147"/>
      <c r="W901" s="147"/>
      <c r="X901" s="147"/>
      <c r="Y901" s="147"/>
      <c r="Z901" s="147"/>
      <c r="AA901" s="147"/>
      <c r="AB901" s="147"/>
      <c r="AC901" s="147"/>
      <c r="AD901" s="147"/>
      <c r="AE901" s="147"/>
      <c r="AF901" s="147"/>
      <c r="AG901" s="147"/>
    </row>
    <row r="902" spans="1:33" ht="14.4">
      <c r="A902" s="147"/>
      <c r="B902" s="147"/>
      <c r="C902" s="147"/>
      <c r="D902" s="147"/>
      <c r="E902" s="147"/>
      <c r="F902" s="147"/>
      <c r="G902" s="147"/>
      <c r="H902" s="147"/>
      <c r="I902" s="147"/>
      <c r="J902" s="147"/>
      <c r="K902" s="147"/>
      <c r="L902" s="147"/>
      <c r="M902" s="147"/>
      <c r="N902" s="147"/>
      <c r="O902" s="147"/>
      <c r="P902" s="147"/>
      <c r="Q902" s="147"/>
      <c r="R902" s="147"/>
      <c r="S902" s="147"/>
      <c r="T902" s="147"/>
      <c r="U902" s="147"/>
      <c r="V902" s="147"/>
      <c r="W902" s="147"/>
      <c r="X902" s="147"/>
      <c r="Y902" s="147"/>
      <c r="Z902" s="147"/>
      <c r="AA902" s="147"/>
      <c r="AB902" s="147"/>
      <c r="AC902" s="147"/>
      <c r="AD902" s="147"/>
      <c r="AE902" s="147"/>
      <c r="AF902" s="147"/>
      <c r="AG902" s="147"/>
    </row>
    <row r="903" spans="1:33" ht="14.4">
      <c r="A903" s="147"/>
      <c r="B903" s="147"/>
      <c r="C903" s="147"/>
      <c r="D903" s="147"/>
      <c r="E903" s="147"/>
      <c r="F903" s="147"/>
      <c r="G903" s="147"/>
      <c r="H903" s="147"/>
      <c r="I903" s="147"/>
      <c r="J903" s="147"/>
      <c r="K903" s="147"/>
      <c r="L903" s="147"/>
      <c r="M903" s="147"/>
      <c r="N903" s="147"/>
      <c r="O903" s="147"/>
      <c r="P903" s="147"/>
      <c r="Q903" s="147"/>
      <c r="R903" s="147"/>
      <c r="S903" s="147"/>
      <c r="T903" s="147"/>
      <c r="U903" s="147"/>
      <c r="V903" s="147"/>
      <c r="W903" s="147"/>
      <c r="X903" s="147"/>
      <c r="Y903" s="147"/>
      <c r="Z903" s="147"/>
      <c r="AA903" s="147"/>
      <c r="AB903" s="147"/>
      <c r="AC903" s="147"/>
      <c r="AD903" s="147"/>
      <c r="AE903" s="147"/>
      <c r="AF903" s="147"/>
      <c r="AG903" s="147"/>
    </row>
    <row r="904" spans="1:33" ht="14.4">
      <c r="A904" s="147"/>
      <c r="B904" s="147"/>
      <c r="C904" s="147"/>
      <c r="D904" s="147"/>
      <c r="E904" s="147"/>
      <c r="F904" s="147"/>
      <c r="G904" s="147"/>
      <c r="H904" s="147"/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  <c r="AF904" s="147"/>
      <c r="AG904" s="147"/>
    </row>
    <row r="905" spans="1:33" ht="14.4">
      <c r="A905" s="147"/>
      <c r="B905" s="147"/>
      <c r="C905" s="147"/>
      <c r="D905" s="147"/>
      <c r="E905" s="147"/>
      <c r="F905" s="147"/>
      <c r="G905" s="147"/>
      <c r="H905" s="147"/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  <c r="AF905" s="147"/>
      <c r="AG905" s="147"/>
    </row>
    <row r="906" spans="1:33" ht="14.4">
      <c r="A906" s="147"/>
      <c r="B906" s="147"/>
      <c r="C906" s="147"/>
      <c r="D906" s="147"/>
      <c r="E906" s="147"/>
      <c r="F906" s="147"/>
      <c r="G906" s="147"/>
      <c r="H906" s="147"/>
      <c r="I906" s="147"/>
      <c r="J906" s="147"/>
      <c r="K906" s="147"/>
      <c r="L906" s="147"/>
      <c r="M906" s="147"/>
      <c r="N906" s="147"/>
      <c r="O906" s="147"/>
      <c r="P906" s="147"/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7"/>
      <c r="AB906" s="147"/>
      <c r="AC906" s="147"/>
      <c r="AD906" s="147"/>
      <c r="AE906" s="147"/>
      <c r="AF906" s="147"/>
      <c r="AG906" s="147"/>
    </row>
    <row r="907" spans="1:33" ht="14.4">
      <c r="A907" s="147"/>
      <c r="B907" s="147"/>
      <c r="C907" s="147"/>
      <c r="D907" s="147"/>
      <c r="E907" s="147"/>
      <c r="F907" s="147"/>
      <c r="G907" s="147"/>
      <c r="H907" s="147"/>
      <c r="I907" s="147"/>
      <c r="J907" s="147"/>
      <c r="K907" s="147"/>
      <c r="L907" s="147"/>
      <c r="M907" s="147"/>
      <c r="N907" s="147"/>
      <c r="O907" s="147"/>
      <c r="P907" s="147"/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7"/>
      <c r="AB907" s="147"/>
      <c r="AC907" s="147"/>
      <c r="AD907" s="147"/>
      <c r="AE907" s="147"/>
      <c r="AF907" s="147"/>
      <c r="AG907" s="147"/>
    </row>
    <row r="908" spans="1:33" ht="14.4">
      <c r="A908" s="147"/>
      <c r="B908" s="147"/>
      <c r="C908" s="147"/>
      <c r="D908" s="147"/>
      <c r="E908" s="147"/>
      <c r="F908" s="147"/>
      <c r="G908" s="147"/>
      <c r="H908" s="147"/>
      <c r="I908" s="147"/>
      <c r="J908" s="147"/>
      <c r="K908" s="147"/>
      <c r="L908" s="147"/>
      <c r="M908" s="147"/>
      <c r="N908" s="147"/>
      <c r="O908" s="147"/>
      <c r="P908" s="147"/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7"/>
      <c r="AB908" s="147"/>
      <c r="AC908" s="147"/>
      <c r="AD908" s="147"/>
      <c r="AE908" s="147"/>
      <c r="AF908" s="147"/>
      <c r="AG908" s="147"/>
    </row>
    <row r="909" spans="1:33" ht="14.4">
      <c r="A909" s="147"/>
      <c r="B909" s="147"/>
      <c r="C909" s="147"/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  <c r="AF909" s="147"/>
      <c r="AG909" s="147"/>
    </row>
    <row r="910" spans="1:33" ht="14.4">
      <c r="A910" s="147"/>
      <c r="B910" s="147"/>
      <c r="C910" s="147"/>
      <c r="D910" s="147"/>
      <c r="E910" s="147"/>
      <c r="F910" s="147"/>
      <c r="G910" s="147"/>
      <c r="H910" s="147"/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  <c r="AF910" s="147"/>
      <c r="AG910" s="147"/>
    </row>
    <row r="911" spans="1:33" ht="14.4">
      <c r="A911" s="147"/>
      <c r="B911" s="147"/>
      <c r="C911" s="147"/>
      <c r="D911" s="147"/>
      <c r="E911" s="147"/>
      <c r="F911" s="147"/>
      <c r="G911" s="147"/>
      <c r="H911" s="147"/>
      <c r="I911" s="147"/>
      <c r="J911" s="147"/>
      <c r="K911" s="147"/>
      <c r="L911" s="147"/>
      <c r="M911" s="147"/>
      <c r="N911" s="147"/>
      <c r="O911" s="147"/>
      <c r="P911" s="147"/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7"/>
      <c r="AB911" s="147"/>
      <c r="AC911" s="147"/>
      <c r="AD911" s="147"/>
      <c r="AE911" s="147"/>
      <c r="AF911" s="147"/>
      <c r="AG911" s="147"/>
    </row>
    <row r="912" spans="1:33" ht="14.4">
      <c r="A912" s="147"/>
      <c r="B912" s="147"/>
      <c r="C912" s="147"/>
      <c r="D912" s="147"/>
      <c r="E912" s="147"/>
      <c r="F912" s="147"/>
      <c r="G912" s="147"/>
      <c r="H912" s="147"/>
      <c r="I912" s="147"/>
      <c r="J912" s="147"/>
      <c r="K912" s="147"/>
      <c r="L912" s="147"/>
      <c r="M912" s="147"/>
      <c r="N912" s="147"/>
      <c r="O912" s="147"/>
      <c r="P912" s="147"/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7"/>
      <c r="AB912" s="147"/>
      <c r="AC912" s="147"/>
      <c r="AD912" s="147"/>
      <c r="AE912" s="147"/>
      <c r="AF912" s="147"/>
      <c r="AG912" s="147"/>
    </row>
    <row r="913" spans="1:33" ht="14.4">
      <c r="A913" s="147"/>
      <c r="B913" s="147"/>
      <c r="C913" s="147"/>
      <c r="D913" s="147"/>
      <c r="E913" s="147"/>
      <c r="F913" s="147"/>
      <c r="G913" s="147"/>
      <c r="H913" s="147"/>
      <c r="I913" s="147"/>
      <c r="J913" s="147"/>
      <c r="K913" s="147"/>
      <c r="L913" s="147"/>
      <c r="M913" s="147"/>
      <c r="N913" s="147"/>
      <c r="O913" s="147"/>
      <c r="P913" s="147"/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7"/>
      <c r="AB913" s="147"/>
      <c r="AC913" s="147"/>
      <c r="AD913" s="147"/>
      <c r="AE913" s="147"/>
      <c r="AF913" s="147"/>
      <c r="AG913" s="147"/>
    </row>
    <row r="914" spans="1:33" ht="14.4">
      <c r="A914" s="147"/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</row>
    <row r="915" spans="1:33" ht="14.4">
      <c r="A915" s="147"/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  <c r="AG915" s="147"/>
    </row>
    <row r="916" spans="1:33" ht="14.4">
      <c r="A916" s="147"/>
      <c r="B916" s="147"/>
      <c r="C916" s="147"/>
      <c r="D916" s="147"/>
      <c r="E916" s="147"/>
      <c r="F916" s="147"/>
      <c r="G916" s="147"/>
      <c r="H916" s="147"/>
      <c r="I916" s="147"/>
      <c r="J916" s="147"/>
      <c r="K916" s="147"/>
      <c r="L916" s="147"/>
      <c r="M916" s="147"/>
      <c r="N916" s="147"/>
      <c r="O916" s="147"/>
      <c r="P916" s="147"/>
      <c r="Q916" s="147"/>
      <c r="R916" s="147"/>
      <c r="S916" s="147"/>
      <c r="T916" s="147"/>
      <c r="U916" s="147"/>
      <c r="V916" s="147"/>
      <c r="W916" s="147"/>
      <c r="X916" s="147"/>
      <c r="Y916" s="147"/>
      <c r="Z916" s="147"/>
      <c r="AA916" s="147"/>
      <c r="AB916" s="147"/>
      <c r="AC916" s="147"/>
      <c r="AD916" s="147"/>
      <c r="AE916" s="147"/>
      <c r="AF916" s="147"/>
      <c r="AG916" s="147"/>
    </row>
    <row r="917" spans="1:33" ht="14.4">
      <c r="A917" s="147"/>
      <c r="B917" s="147"/>
      <c r="C917" s="147"/>
      <c r="D917" s="147"/>
      <c r="E917" s="147"/>
      <c r="F917" s="147"/>
      <c r="G917" s="147"/>
      <c r="H917" s="147"/>
      <c r="I917" s="147"/>
      <c r="J917" s="147"/>
      <c r="K917" s="147"/>
      <c r="L917" s="147"/>
      <c r="M917" s="147"/>
      <c r="N917" s="147"/>
      <c r="O917" s="147"/>
      <c r="P917" s="147"/>
      <c r="Q917" s="147"/>
      <c r="R917" s="147"/>
      <c r="S917" s="147"/>
      <c r="T917" s="147"/>
      <c r="U917" s="147"/>
      <c r="V917" s="147"/>
      <c r="W917" s="147"/>
      <c r="X917" s="147"/>
      <c r="Y917" s="147"/>
      <c r="Z917" s="147"/>
      <c r="AA917" s="147"/>
      <c r="AB917" s="147"/>
      <c r="AC917" s="147"/>
      <c r="AD917" s="147"/>
      <c r="AE917" s="147"/>
      <c r="AF917" s="147"/>
      <c r="AG917" s="147"/>
    </row>
    <row r="918" spans="1:33" ht="14.4">
      <c r="A918" s="147"/>
      <c r="B918" s="147"/>
      <c r="C918" s="147"/>
      <c r="D918" s="147"/>
      <c r="E918" s="147"/>
      <c r="F918" s="147"/>
      <c r="G918" s="147"/>
      <c r="H918" s="147"/>
      <c r="I918" s="147"/>
      <c r="J918" s="147"/>
      <c r="K918" s="147"/>
      <c r="L918" s="147"/>
      <c r="M918" s="147"/>
      <c r="N918" s="147"/>
      <c r="O918" s="147"/>
      <c r="P918" s="147"/>
      <c r="Q918" s="147"/>
      <c r="R918" s="147"/>
      <c r="S918" s="147"/>
      <c r="T918" s="147"/>
      <c r="U918" s="147"/>
      <c r="V918" s="147"/>
      <c r="W918" s="147"/>
      <c r="X918" s="147"/>
      <c r="Y918" s="147"/>
      <c r="Z918" s="147"/>
      <c r="AA918" s="147"/>
      <c r="AB918" s="147"/>
      <c r="AC918" s="147"/>
      <c r="AD918" s="147"/>
      <c r="AE918" s="147"/>
      <c r="AF918" s="147"/>
      <c r="AG918" s="147"/>
    </row>
    <row r="919" spans="1:33" ht="14.4">
      <c r="A919" s="147"/>
      <c r="B919" s="147"/>
      <c r="C919" s="147"/>
      <c r="D919" s="147"/>
      <c r="E919" s="147"/>
      <c r="F919" s="147"/>
      <c r="G919" s="147"/>
      <c r="H919" s="147"/>
      <c r="I919" s="147"/>
      <c r="J919" s="147"/>
      <c r="K919" s="147"/>
      <c r="L919" s="147"/>
      <c r="M919" s="147"/>
      <c r="N919" s="147"/>
      <c r="O919" s="147"/>
      <c r="P919" s="147"/>
      <c r="Q919" s="147"/>
      <c r="R919" s="147"/>
      <c r="S919" s="147"/>
      <c r="T919" s="147"/>
      <c r="U919" s="147"/>
      <c r="V919" s="147"/>
      <c r="W919" s="147"/>
      <c r="X919" s="147"/>
      <c r="Y919" s="147"/>
      <c r="Z919" s="147"/>
      <c r="AA919" s="147"/>
      <c r="AB919" s="147"/>
      <c r="AC919" s="147"/>
      <c r="AD919" s="147"/>
      <c r="AE919" s="147"/>
      <c r="AF919" s="147"/>
      <c r="AG919" s="147"/>
    </row>
    <row r="920" spans="1:33" ht="14.4">
      <c r="A920" s="147"/>
      <c r="B920" s="147"/>
      <c r="C920" s="147"/>
      <c r="D920" s="147"/>
      <c r="E920" s="147"/>
      <c r="F920" s="147"/>
      <c r="G920" s="147"/>
      <c r="H920" s="147"/>
      <c r="I920" s="147"/>
      <c r="J920" s="147"/>
      <c r="K920" s="147"/>
      <c r="L920" s="147"/>
      <c r="M920" s="147"/>
      <c r="N920" s="147"/>
      <c r="O920" s="147"/>
      <c r="P920" s="147"/>
      <c r="Q920" s="147"/>
      <c r="R920" s="147"/>
      <c r="S920" s="147"/>
      <c r="T920" s="147"/>
      <c r="U920" s="147"/>
      <c r="V920" s="147"/>
      <c r="W920" s="147"/>
      <c r="X920" s="147"/>
      <c r="Y920" s="147"/>
      <c r="Z920" s="147"/>
      <c r="AA920" s="147"/>
      <c r="AB920" s="147"/>
      <c r="AC920" s="147"/>
      <c r="AD920" s="147"/>
      <c r="AE920" s="147"/>
      <c r="AF920" s="147"/>
      <c r="AG920" s="147"/>
    </row>
    <row r="921" spans="1:33" ht="14.4">
      <c r="A921" s="147"/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  <c r="AG921" s="147"/>
    </row>
    <row r="922" spans="1:33" ht="14.4">
      <c r="A922" s="147"/>
      <c r="B922" s="147"/>
      <c r="C922" s="147"/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  <c r="P922" s="147"/>
      <c r="Q922" s="147"/>
      <c r="R922" s="147"/>
      <c r="S922" s="147"/>
      <c r="T922" s="147"/>
      <c r="U922" s="147"/>
      <c r="V922" s="147"/>
      <c r="W922" s="147"/>
      <c r="X922" s="147"/>
      <c r="Y922" s="147"/>
      <c r="Z922" s="147"/>
      <c r="AA922" s="147"/>
      <c r="AB922" s="147"/>
      <c r="AC922" s="147"/>
      <c r="AD922" s="147"/>
      <c r="AE922" s="147"/>
      <c r="AF922" s="147"/>
      <c r="AG922" s="147"/>
    </row>
    <row r="923" spans="1:33" ht="14.4">
      <c r="A923" s="147"/>
      <c r="B923" s="147"/>
      <c r="C923" s="147"/>
      <c r="D923" s="147"/>
      <c r="E923" s="147"/>
      <c r="F923" s="147"/>
      <c r="G923" s="147"/>
      <c r="H923" s="147"/>
      <c r="I923" s="147"/>
      <c r="J923" s="147"/>
      <c r="K923" s="147"/>
      <c r="L923" s="147"/>
      <c r="M923" s="147"/>
      <c r="N923" s="147"/>
      <c r="O923" s="147"/>
      <c r="P923" s="147"/>
      <c r="Q923" s="147"/>
      <c r="R923" s="147"/>
      <c r="S923" s="147"/>
      <c r="T923" s="147"/>
      <c r="U923" s="147"/>
      <c r="V923" s="147"/>
      <c r="W923" s="147"/>
      <c r="X923" s="147"/>
      <c r="Y923" s="147"/>
      <c r="Z923" s="147"/>
      <c r="AA923" s="147"/>
      <c r="AB923" s="147"/>
      <c r="AC923" s="147"/>
      <c r="AD923" s="147"/>
      <c r="AE923" s="147"/>
      <c r="AF923" s="147"/>
      <c r="AG923" s="147"/>
    </row>
    <row r="924" spans="1:33" ht="14.4">
      <c r="A924" s="147"/>
      <c r="B924" s="147"/>
      <c r="C924" s="147"/>
      <c r="D924" s="147"/>
      <c r="E924" s="147"/>
      <c r="F924" s="147"/>
      <c r="G924" s="147"/>
      <c r="H924" s="147"/>
      <c r="I924" s="147"/>
      <c r="J924" s="147"/>
      <c r="K924" s="147"/>
      <c r="L924" s="147"/>
      <c r="M924" s="147"/>
      <c r="N924" s="147"/>
      <c r="O924" s="147"/>
      <c r="P924" s="147"/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7"/>
      <c r="AB924" s="147"/>
      <c r="AC924" s="147"/>
      <c r="AD924" s="147"/>
      <c r="AE924" s="147"/>
      <c r="AF924" s="147"/>
      <c r="AG924" s="147"/>
    </row>
    <row r="925" spans="1:33" ht="14.4">
      <c r="A925" s="147"/>
      <c r="B925" s="147"/>
      <c r="C925" s="147"/>
      <c r="D925" s="147"/>
      <c r="E925" s="147"/>
      <c r="F925" s="147"/>
      <c r="G925" s="147"/>
      <c r="H925" s="147"/>
      <c r="I925" s="147"/>
      <c r="J925" s="147"/>
      <c r="K925" s="147"/>
      <c r="L925" s="147"/>
      <c r="M925" s="147"/>
      <c r="N925" s="147"/>
      <c r="O925" s="147"/>
      <c r="P925" s="147"/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7"/>
      <c r="AB925" s="147"/>
      <c r="AC925" s="147"/>
      <c r="AD925" s="147"/>
      <c r="AE925" s="147"/>
      <c r="AF925" s="147"/>
      <c r="AG925" s="147"/>
    </row>
    <row r="926" spans="1:33" ht="14.4">
      <c r="A926" s="147"/>
      <c r="B926" s="147"/>
      <c r="C926" s="147"/>
      <c r="D926" s="147"/>
      <c r="E926" s="147"/>
      <c r="F926" s="147"/>
      <c r="G926" s="147"/>
      <c r="H926" s="147"/>
      <c r="I926" s="147"/>
      <c r="J926" s="147"/>
      <c r="K926" s="147"/>
      <c r="L926" s="147"/>
      <c r="M926" s="147"/>
      <c r="N926" s="147"/>
      <c r="O926" s="147"/>
      <c r="P926" s="147"/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7"/>
      <c r="AB926" s="147"/>
      <c r="AC926" s="147"/>
      <c r="AD926" s="147"/>
      <c r="AE926" s="147"/>
      <c r="AF926" s="147"/>
      <c r="AG926" s="147"/>
    </row>
    <row r="927" spans="1:33" ht="14.4">
      <c r="A927" s="147"/>
      <c r="B927" s="147"/>
      <c r="C927" s="147"/>
      <c r="D927" s="147"/>
      <c r="E927" s="147"/>
      <c r="F927" s="147"/>
      <c r="G927" s="147"/>
      <c r="H927" s="147"/>
      <c r="I927" s="147"/>
      <c r="J927" s="147"/>
      <c r="K927" s="147"/>
      <c r="L927" s="147"/>
      <c r="M927" s="147"/>
      <c r="N927" s="147"/>
      <c r="O927" s="147"/>
      <c r="P927" s="147"/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7"/>
      <c r="AB927" s="147"/>
      <c r="AC927" s="147"/>
      <c r="AD927" s="147"/>
      <c r="AE927" s="147"/>
      <c r="AF927" s="147"/>
      <c r="AG927" s="147"/>
    </row>
    <row r="928" spans="1:33" ht="14.4">
      <c r="A928" s="147"/>
      <c r="B928" s="147"/>
      <c r="C928" s="147"/>
      <c r="D928" s="147"/>
      <c r="E928" s="147"/>
      <c r="F928" s="147"/>
      <c r="G928" s="147"/>
      <c r="H928" s="147"/>
      <c r="I928" s="147"/>
      <c r="J928" s="147"/>
      <c r="K928" s="147"/>
      <c r="L928" s="147"/>
      <c r="M928" s="147"/>
      <c r="N928" s="147"/>
      <c r="O928" s="147"/>
      <c r="P928" s="147"/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7"/>
      <c r="AB928" s="147"/>
      <c r="AC928" s="147"/>
      <c r="AD928" s="147"/>
      <c r="AE928" s="147"/>
      <c r="AF928" s="147"/>
      <c r="AG928" s="147"/>
    </row>
    <row r="929" spans="1:33" ht="14.4">
      <c r="A929" s="147"/>
      <c r="B929" s="147"/>
      <c r="C929" s="147"/>
      <c r="D929" s="147"/>
      <c r="E929" s="147"/>
      <c r="F929" s="147"/>
      <c r="G929" s="147"/>
      <c r="H929" s="147"/>
      <c r="I929" s="147"/>
      <c r="J929" s="147"/>
      <c r="K929" s="147"/>
      <c r="L929" s="147"/>
      <c r="M929" s="147"/>
      <c r="N929" s="147"/>
      <c r="O929" s="147"/>
      <c r="P929" s="147"/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7"/>
      <c r="AB929" s="147"/>
      <c r="AC929" s="147"/>
      <c r="AD929" s="147"/>
      <c r="AE929" s="147"/>
      <c r="AF929" s="147"/>
      <c r="AG929" s="147"/>
    </row>
    <row r="930" spans="1:33" ht="14.4">
      <c r="A930" s="147"/>
      <c r="B930" s="147"/>
      <c r="C930" s="147"/>
      <c r="D930" s="147"/>
      <c r="E930" s="147"/>
      <c r="F930" s="147"/>
      <c r="G930" s="147"/>
      <c r="H930" s="147"/>
      <c r="I930" s="147"/>
      <c r="J930" s="147"/>
      <c r="K930" s="147"/>
      <c r="L930" s="147"/>
      <c r="M930" s="147"/>
      <c r="N930" s="147"/>
      <c r="O930" s="147"/>
      <c r="P930" s="147"/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7"/>
      <c r="AB930" s="147"/>
      <c r="AC930" s="147"/>
      <c r="AD930" s="147"/>
      <c r="AE930" s="147"/>
      <c r="AF930" s="147"/>
      <c r="AG930" s="147"/>
    </row>
    <row r="931" spans="1:33" ht="14.4">
      <c r="A931" s="147"/>
      <c r="B931" s="147"/>
      <c r="C931" s="147"/>
      <c r="D931" s="147"/>
      <c r="E931" s="147"/>
      <c r="F931" s="147"/>
      <c r="G931" s="147"/>
      <c r="H931" s="147"/>
      <c r="I931" s="147"/>
      <c r="J931" s="147"/>
      <c r="K931" s="147"/>
      <c r="L931" s="147"/>
      <c r="M931" s="147"/>
      <c r="N931" s="147"/>
      <c r="O931" s="147"/>
      <c r="P931" s="147"/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7"/>
      <c r="AB931" s="147"/>
      <c r="AC931" s="147"/>
      <c r="AD931" s="147"/>
      <c r="AE931" s="147"/>
      <c r="AF931" s="147"/>
      <c r="AG931" s="147"/>
    </row>
    <row r="932" spans="1:33" ht="14.4">
      <c r="A932" s="147"/>
      <c r="B932" s="147"/>
      <c r="C932" s="147"/>
      <c r="D932" s="147"/>
      <c r="E932" s="147"/>
      <c r="F932" s="147"/>
      <c r="G932" s="147"/>
      <c r="H932" s="147"/>
      <c r="I932" s="147"/>
      <c r="J932" s="147"/>
      <c r="K932" s="147"/>
      <c r="L932" s="147"/>
      <c r="M932" s="147"/>
      <c r="N932" s="147"/>
      <c r="O932" s="147"/>
      <c r="P932" s="147"/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7"/>
      <c r="AB932" s="147"/>
      <c r="AC932" s="147"/>
      <c r="AD932" s="147"/>
      <c r="AE932" s="147"/>
      <c r="AF932" s="147"/>
      <c r="AG932" s="147"/>
    </row>
    <row r="933" spans="1:33" ht="14.4">
      <c r="A933" s="147"/>
      <c r="B933" s="147"/>
      <c r="C933" s="147"/>
      <c r="D933" s="147"/>
      <c r="E933" s="147"/>
      <c r="F933" s="147"/>
      <c r="G933" s="147"/>
      <c r="H933" s="147"/>
      <c r="I933" s="147"/>
      <c r="J933" s="147"/>
      <c r="K933" s="147"/>
      <c r="L933" s="147"/>
      <c r="M933" s="147"/>
      <c r="N933" s="147"/>
      <c r="O933" s="147"/>
      <c r="P933" s="147"/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7"/>
      <c r="AB933" s="147"/>
      <c r="AC933" s="147"/>
      <c r="AD933" s="147"/>
      <c r="AE933" s="147"/>
      <c r="AF933" s="147"/>
      <c r="AG933" s="147"/>
    </row>
    <row r="934" spans="1:33" ht="14.4">
      <c r="A934" s="147"/>
      <c r="B934" s="147"/>
      <c r="C934" s="147"/>
      <c r="D934" s="147"/>
      <c r="E934" s="147"/>
      <c r="F934" s="147"/>
      <c r="G934" s="147"/>
      <c r="H934" s="147"/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  <c r="AF934" s="147"/>
      <c r="AG934" s="147"/>
    </row>
    <row r="935" spans="1:33" ht="14.4">
      <c r="A935" s="147"/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</row>
    <row r="936" spans="1:33" ht="14.4">
      <c r="A936" s="147"/>
      <c r="B936" s="147"/>
      <c r="C936" s="147"/>
      <c r="D936" s="147"/>
      <c r="E936" s="147"/>
      <c r="F936" s="147"/>
      <c r="G936" s="147"/>
      <c r="H936" s="147"/>
      <c r="I936" s="147"/>
      <c r="J936" s="147"/>
      <c r="K936" s="147"/>
      <c r="L936" s="147"/>
      <c r="M936" s="147"/>
      <c r="N936" s="147"/>
      <c r="O936" s="147"/>
      <c r="P936" s="147"/>
      <c r="Q936" s="147"/>
      <c r="R936" s="147"/>
      <c r="S936" s="147"/>
      <c r="T936" s="147"/>
      <c r="U936" s="147"/>
      <c r="V936" s="147"/>
      <c r="W936" s="147"/>
      <c r="X936" s="147"/>
      <c r="Y936" s="147"/>
      <c r="Z936" s="147"/>
      <c r="AA936" s="147"/>
      <c r="AB936" s="147"/>
      <c r="AC936" s="147"/>
      <c r="AD936" s="147"/>
      <c r="AE936" s="147"/>
      <c r="AF936" s="147"/>
      <c r="AG936" s="147"/>
    </row>
    <row r="937" spans="1:33" ht="14.4">
      <c r="A937" s="147"/>
      <c r="B937" s="147"/>
      <c r="C937" s="147"/>
      <c r="D937" s="147"/>
      <c r="E937" s="147"/>
      <c r="F937" s="147"/>
      <c r="G937" s="147"/>
      <c r="H937" s="147"/>
      <c r="I937" s="147"/>
      <c r="J937" s="147"/>
      <c r="K937" s="147"/>
      <c r="L937" s="147"/>
      <c r="M937" s="147"/>
      <c r="N937" s="147"/>
      <c r="O937" s="147"/>
      <c r="P937" s="147"/>
      <c r="Q937" s="147"/>
      <c r="R937" s="147"/>
      <c r="S937" s="147"/>
      <c r="T937" s="147"/>
      <c r="U937" s="147"/>
      <c r="V937" s="147"/>
      <c r="W937" s="147"/>
      <c r="X937" s="147"/>
      <c r="Y937" s="147"/>
      <c r="Z937" s="147"/>
      <c r="AA937" s="147"/>
      <c r="AB937" s="147"/>
      <c r="AC937" s="147"/>
      <c r="AD937" s="147"/>
      <c r="AE937" s="147"/>
      <c r="AF937" s="147"/>
      <c r="AG937" s="147"/>
    </row>
    <row r="938" spans="1:33" ht="14.4">
      <c r="A938" s="147"/>
      <c r="B938" s="147"/>
      <c r="C938" s="147"/>
      <c r="D938" s="147"/>
      <c r="E938" s="147"/>
      <c r="F938" s="147"/>
      <c r="G938" s="147"/>
      <c r="H938" s="147"/>
      <c r="I938" s="147"/>
      <c r="J938" s="147"/>
      <c r="K938" s="147"/>
      <c r="L938" s="147"/>
      <c r="M938" s="147"/>
      <c r="N938" s="147"/>
      <c r="O938" s="147"/>
      <c r="P938" s="147"/>
      <c r="Q938" s="147"/>
      <c r="R938" s="147"/>
      <c r="S938" s="147"/>
      <c r="T938" s="147"/>
      <c r="U938" s="147"/>
      <c r="V938" s="147"/>
      <c r="W938" s="147"/>
      <c r="X938" s="147"/>
      <c r="Y938" s="147"/>
      <c r="Z938" s="147"/>
      <c r="AA938" s="147"/>
      <c r="AB938" s="147"/>
      <c r="AC938" s="147"/>
      <c r="AD938" s="147"/>
      <c r="AE938" s="147"/>
      <c r="AF938" s="147"/>
      <c r="AG938" s="147"/>
    </row>
    <row r="939" spans="1:33" ht="14.4">
      <c r="A939" s="147"/>
      <c r="B939" s="147"/>
      <c r="C939" s="147"/>
      <c r="D939" s="147"/>
      <c r="E939" s="147"/>
      <c r="F939" s="147"/>
      <c r="G939" s="147"/>
      <c r="H939" s="147"/>
      <c r="I939" s="147"/>
      <c r="J939" s="147"/>
      <c r="K939" s="147"/>
      <c r="L939" s="147"/>
      <c r="M939" s="147"/>
      <c r="N939" s="147"/>
      <c r="O939" s="147"/>
      <c r="P939" s="147"/>
      <c r="Q939" s="147"/>
      <c r="R939" s="147"/>
      <c r="S939" s="147"/>
      <c r="T939" s="147"/>
      <c r="U939" s="147"/>
      <c r="V939" s="147"/>
      <c r="W939" s="147"/>
      <c r="X939" s="147"/>
      <c r="Y939" s="147"/>
      <c r="Z939" s="147"/>
      <c r="AA939" s="147"/>
      <c r="AB939" s="147"/>
      <c r="AC939" s="147"/>
      <c r="AD939" s="147"/>
      <c r="AE939" s="147"/>
      <c r="AF939" s="147"/>
      <c r="AG939" s="147"/>
    </row>
    <row r="940" spans="1:33" ht="14.4">
      <c r="A940" s="147"/>
      <c r="B940" s="147"/>
      <c r="C940" s="147"/>
      <c r="D940" s="147"/>
      <c r="E940" s="147"/>
      <c r="F940" s="147"/>
      <c r="G940" s="147"/>
      <c r="H940" s="147"/>
      <c r="I940" s="147"/>
      <c r="J940" s="147"/>
      <c r="K940" s="147"/>
      <c r="L940" s="147"/>
      <c r="M940" s="147"/>
      <c r="N940" s="147"/>
      <c r="O940" s="147"/>
      <c r="P940" s="147"/>
      <c r="Q940" s="147"/>
      <c r="R940" s="147"/>
      <c r="S940" s="147"/>
      <c r="T940" s="147"/>
      <c r="U940" s="147"/>
      <c r="V940" s="147"/>
      <c r="W940" s="147"/>
      <c r="X940" s="147"/>
      <c r="Y940" s="147"/>
      <c r="Z940" s="147"/>
      <c r="AA940" s="147"/>
      <c r="AB940" s="147"/>
      <c r="AC940" s="147"/>
      <c r="AD940" s="147"/>
      <c r="AE940" s="147"/>
      <c r="AF940" s="147"/>
      <c r="AG940" s="147"/>
    </row>
    <row r="941" spans="1:33" ht="14.4">
      <c r="A941" s="147"/>
      <c r="B941" s="147"/>
      <c r="C941" s="147"/>
      <c r="D941" s="147"/>
      <c r="E941" s="147"/>
      <c r="F941" s="147"/>
      <c r="G941" s="147"/>
      <c r="H941" s="147"/>
      <c r="I941" s="147"/>
      <c r="J941" s="147"/>
      <c r="K941" s="147"/>
      <c r="L941" s="147"/>
      <c r="M941" s="147"/>
      <c r="N941" s="147"/>
      <c r="O941" s="147"/>
      <c r="P941" s="147"/>
      <c r="Q941" s="147"/>
      <c r="R941" s="147"/>
      <c r="S941" s="147"/>
      <c r="T941" s="147"/>
      <c r="U941" s="147"/>
      <c r="V941" s="147"/>
      <c r="W941" s="147"/>
      <c r="X941" s="147"/>
      <c r="Y941" s="147"/>
      <c r="Z941" s="147"/>
      <c r="AA941" s="147"/>
      <c r="AB941" s="147"/>
      <c r="AC941" s="147"/>
      <c r="AD941" s="147"/>
      <c r="AE941" s="147"/>
      <c r="AF941" s="147"/>
      <c r="AG941" s="147"/>
    </row>
    <row r="942" spans="1:33" ht="14.4">
      <c r="A942" s="147"/>
      <c r="B942" s="147"/>
      <c r="C942" s="147"/>
      <c r="D942" s="147"/>
      <c r="E942" s="147"/>
      <c r="F942" s="147"/>
      <c r="G942" s="147"/>
      <c r="H942" s="147"/>
      <c r="I942" s="147"/>
      <c r="J942" s="147"/>
      <c r="K942" s="147"/>
      <c r="L942" s="147"/>
      <c r="M942" s="147"/>
      <c r="N942" s="147"/>
      <c r="O942" s="147"/>
      <c r="P942" s="147"/>
      <c r="Q942" s="147"/>
      <c r="R942" s="147"/>
      <c r="S942" s="147"/>
      <c r="T942" s="147"/>
      <c r="U942" s="147"/>
      <c r="V942" s="147"/>
      <c r="W942" s="147"/>
      <c r="X942" s="147"/>
      <c r="Y942" s="147"/>
      <c r="Z942" s="147"/>
      <c r="AA942" s="147"/>
      <c r="AB942" s="147"/>
      <c r="AC942" s="147"/>
      <c r="AD942" s="147"/>
      <c r="AE942" s="147"/>
      <c r="AF942" s="147"/>
      <c r="AG942" s="147"/>
    </row>
    <row r="943" spans="1:33" ht="14.4">
      <c r="A943" s="147"/>
      <c r="B943" s="147"/>
      <c r="C943" s="147"/>
      <c r="D943" s="147"/>
      <c r="E943" s="147"/>
      <c r="F943" s="147"/>
      <c r="G943" s="147"/>
      <c r="H943" s="147"/>
      <c r="I943" s="147"/>
      <c r="J943" s="147"/>
      <c r="K943" s="147"/>
      <c r="L943" s="147"/>
      <c r="M943" s="147"/>
      <c r="N943" s="147"/>
      <c r="O943" s="147"/>
      <c r="P943" s="147"/>
      <c r="Q943" s="147"/>
      <c r="R943" s="147"/>
      <c r="S943" s="147"/>
      <c r="T943" s="147"/>
      <c r="U943" s="147"/>
      <c r="V943" s="147"/>
      <c r="W943" s="147"/>
      <c r="X943" s="147"/>
      <c r="Y943" s="147"/>
      <c r="Z943" s="147"/>
      <c r="AA943" s="147"/>
      <c r="AB943" s="147"/>
      <c r="AC943" s="147"/>
      <c r="AD943" s="147"/>
      <c r="AE943" s="147"/>
      <c r="AF943" s="147"/>
      <c r="AG943" s="147"/>
    </row>
    <row r="944" spans="1:33" ht="14.4">
      <c r="A944" s="147"/>
      <c r="B944" s="147"/>
      <c r="C944" s="147"/>
      <c r="D944" s="147"/>
      <c r="E944" s="147"/>
      <c r="F944" s="147"/>
      <c r="G944" s="147"/>
      <c r="H944" s="147"/>
      <c r="I944" s="147"/>
      <c r="J944" s="147"/>
      <c r="K944" s="147"/>
      <c r="L944" s="147"/>
      <c r="M944" s="147"/>
      <c r="N944" s="147"/>
      <c r="O944" s="147"/>
      <c r="P944" s="147"/>
      <c r="Q944" s="147"/>
      <c r="R944" s="147"/>
      <c r="S944" s="147"/>
      <c r="T944" s="147"/>
      <c r="U944" s="147"/>
      <c r="V944" s="147"/>
      <c r="W944" s="147"/>
      <c r="X944" s="147"/>
      <c r="Y944" s="147"/>
      <c r="Z944" s="147"/>
      <c r="AA944" s="147"/>
      <c r="AB944" s="147"/>
      <c r="AC944" s="147"/>
      <c r="AD944" s="147"/>
      <c r="AE944" s="147"/>
      <c r="AF944" s="147"/>
      <c r="AG944" s="147"/>
    </row>
    <row r="945" spans="1:33" ht="14.4">
      <c r="A945" s="147"/>
      <c r="B945" s="147"/>
      <c r="C945" s="147"/>
      <c r="D945" s="147"/>
      <c r="E945" s="147"/>
      <c r="F945" s="147"/>
      <c r="G945" s="147"/>
      <c r="H945" s="147"/>
      <c r="I945" s="147"/>
      <c r="J945" s="147"/>
      <c r="K945" s="147"/>
      <c r="L945" s="147"/>
      <c r="M945" s="147"/>
      <c r="N945" s="147"/>
      <c r="O945" s="147"/>
      <c r="P945" s="147"/>
      <c r="Q945" s="147"/>
      <c r="R945" s="147"/>
      <c r="S945" s="147"/>
      <c r="T945" s="147"/>
      <c r="U945" s="147"/>
      <c r="V945" s="147"/>
      <c r="W945" s="147"/>
      <c r="X945" s="147"/>
      <c r="Y945" s="147"/>
      <c r="Z945" s="147"/>
      <c r="AA945" s="147"/>
      <c r="AB945" s="147"/>
      <c r="AC945" s="147"/>
      <c r="AD945" s="147"/>
      <c r="AE945" s="147"/>
      <c r="AF945" s="147"/>
      <c r="AG945" s="147"/>
    </row>
    <row r="946" spans="1:33" ht="14.4">
      <c r="A946" s="147"/>
      <c r="B946" s="147"/>
      <c r="C946" s="147"/>
      <c r="D946" s="147"/>
      <c r="E946" s="147"/>
      <c r="F946" s="147"/>
      <c r="G946" s="147"/>
      <c r="H946" s="147"/>
      <c r="I946" s="147"/>
      <c r="J946" s="147"/>
      <c r="K946" s="147"/>
      <c r="L946" s="147"/>
      <c r="M946" s="147"/>
      <c r="N946" s="147"/>
      <c r="O946" s="147"/>
      <c r="P946" s="147"/>
      <c r="Q946" s="147"/>
      <c r="R946" s="147"/>
      <c r="S946" s="147"/>
      <c r="T946" s="147"/>
      <c r="U946" s="147"/>
      <c r="V946" s="147"/>
      <c r="W946" s="147"/>
      <c r="X946" s="147"/>
      <c r="Y946" s="147"/>
      <c r="Z946" s="147"/>
      <c r="AA946" s="147"/>
      <c r="AB946" s="147"/>
      <c r="AC946" s="147"/>
      <c r="AD946" s="147"/>
      <c r="AE946" s="147"/>
      <c r="AF946" s="147"/>
      <c r="AG946" s="147"/>
    </row>
    <row r="947" spans="1:33" ht="14.4">
      <c r="A947" s="147"/>
      <c r="B947" s="147"/>
      <c r="C947" s="147"/>
      <c r="D947" s="147"/>
      <c r="E947" s="147"/>
      <c r="F947" s="147"/>
      <c r="G947" s="147"/>
      <c r="H947" s="147"/>
      <c r="I947" s="147"/>
      <c r="J947" s="147"/>
      <c r="K947" s="147"/>
      <c r="L947" s="147"/>
      <c r="M947" s="147"/>
      <c r="N947" s="147"/>
      <c r="O947" s="147"/>
      <c r="P947" s="147"/>
      <c r="Q947" s="147"/>
      <c r="R947" s="147"/>
      <c r="S947" s="147"/>
      <c r="T947" s="147"/>
      <c r="U947" s="147"/>
      <c r="V947" s="147"/>
      <c r="W947" s="147"/>
      <c r="X947" s="147"/>
      <c r="Y947" s="147"/>
      <c r="Z947" s="147"/>
      <c r="AA947" s="147"/>
      <c r="AB947" s="147"/>
      <c r="AC947" s="147"/>
      <c r="AD947" s="147"/>
      <c r="AE947" s="147"/>
      <c r="AF947" s="147"/>
      <c r="AG947" s="147"/>
    </row>
    <row r="948" spans="1:33" ht="14.4">
      <c r="A948" s="147"/>
      <c r="B948" s="147"/>
      <c r="C948" s="147"/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  <c r="P948" s="147"/>
      <c r="Q948" s="147"/>
      <c r="R948" s="147"/>
      <c r="S948" s="147"/>
      <c r="T948" s="147"/>
      <c r="U948" s="147"/>
      <c r="V948" s="147"/>
      <c r="W948" s="147"/>
      <c r="X948" s="147"/>
      <c r="Y948" s="147"/>
      <c r="Z948" s="147"/>
      <c r="AA948" s="147"/>
      <c r="AB948" s="147"/>
      <c r="AC948" s="147"/>
      <c r="AD948" s="147"/>
      <c r="AE948" s="147"/>
      <c r="AF948" s="147"/>
      <c r="AG948" s="147"/>
    </row>
    <row r="949" spans="1:33" ht="14.4">
      <c r="A949" s="147"/>
      <c r="B949" s="147"/>
      <c r="C949" s="147"/>
      <c r="D949" s="147"/>
      <c r="E949" s="147"/>
      <c r="F949" s="147"/>
      <c r="G949" s="147"/>
      <c r="H949" s="147"/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  <c r="AF949" s="147"/>
      <c r="AG949" s="147"/>
    </row>
    <row r="950" spans="1:33" ht="14.4">
      <c r="A950" s="147"/>
      <c r="B950" s="147"/>
      <c r="C950" s="147"/>
      <c r="D950" s="147"/>
      <c r="E950" s="147"/>
      <c r="F950" s="147"/>
      <c r="G950" s="147"/>
      <c r="H950" s="147"/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  <c r="AF950" s="147"/>
      <c r="AG950" s="147"/>
    </row>
    <row r="951" spans="1:33" ht="14.4">
      <c r="A951" s="147"/>
      <c r="B951" s="147"/>
      <c r="C951" s="147"/>
      <c r="D951" s="147"/>
      <c r="E951" s="147"/>
      <c r="F951" s="147"/>
      <c r="G951" s="147"/>
      <c r="H951" s="147"/>
      <c r="I951" s="147"/>
      <c r="J951" s="147"/>
      <c r="K951" s="147"/>
      <c r="L951" s="147"/>
      <c r="M951" s="147"/>
      <c r="N951" s="147"/>
      <c r="O951" s="147"/>
      <c r="P951" s="147"/>
      <c r="Q951" s="147"/>
      <c r="R951" s="147"/>
      <c r="S951" s="147"/>
      <c r="T951" s="147"/>
      <c r="U951" s="147"/>
      <c r="V951" s="147"/>
      <c r="W951" s="147"/>
      <c r="X951" s="147"/>
      <c r="Y951" s="147"/>
      <c r="Z951" s="147"/>
      <c r="AA951" s="147"/>
      <c r="AB951" s="147"/>
      <c r="AC951" s="147"/>
      <c r="AD951" s="147"/>
      <c r="AE951" s="147"/>
      <c r="AF951" s="147"/>
      <c r="AG951" s="147"/>
    </row>
    <row r="952" spans="1:33" ht="14.4">
      <c r="A952" s="147"/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</row>
    <row r="953" spans="1:33" ht="14.4">
      <c r="A953" s="147"/>
      <c r="B953" s="147"/>
      <c r="C953" s="147"/>
      <c r="D953" s="147"/>
      <c r="E953" s="147"/>
      <c r="F953" s="147"/>
      <c r="G953" s="147"/>
      <c r="H953" s="147"/>
      <c r="I953" s="147"/>
      <c r="J953" s="147"/>
      <c r="K953" s="147"/>
      <c r="L953" s="147"/>
      <c r="M953" s="147"/>
      <c r="N953" s="147"/>
      <c r="O953" s="147"/>
      <c r="P953" s="147"/>
      <c r="Q953" s="147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7"/>
      <c r="AB953" s="147"/>
      <c r="AC953" s="147"/>
      <c r="AD953" s="147"/>
      <c r="AE953" s="147"/>
      <c r="AF953" s="147"/>
      <c r="AG953" s="147"/>
    </row>
    <row r="954" spans="1:33" ht="14.4">
      <c r="A954" s="147"/>
      <c r="B954" s="147"/>
      <c r="C954" s="147"/>
      <c r="D954" s="147"/>
      <c r="E954" s="147"/>
      <c r="F954" s="147"/>
      <c r="G954" s="147"/>
      <c r="H954" s="147"/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  <c r="AF954" s="147"/>
      <c r="AG954" s="147"/>
    </row>
    <row r="955" spans="1:33" ht="14.4">
      <c r="A955" s="147"/>
      <c r="B955" s="147"/>
      <c r="C955" s="147"/>
      <c r="D955" s="147"/>
      <c r="E955" s="147"/>
      <c r="F955" s="147"/>
      <c r="G955" s="147"/>
      <c r="H955" s="147"/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  <c r="AF955" s="147"/>
      <c r="AG955" s="147"/>
    </row>
    <row r="956" spans="1:33" ht="14.4">
      <c r="A956" s="147"/>
      <c r="B956" s="147"/>
      <c r="C956" s="147"/>
      <c r="D956" s="147"/>
      <c r="E956" s="147"/>
      <c r="F956" s="147"/>
      <c r="G956" s="147"/>
      <c r="H956" s="147"/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  <c r="AF956" s="147"/>
      <c r="AG956" s="147"/>
    </row>
    <row r="957" spans="1:33" ht="14.4">
      <c r="A957" s="147"/>
      <c r="B957" s="147"/>
      <c r="C957" s="147"/>
      <c r="D957" s="147"/>
      <c r="E957" s="147"/>
      <c r="F957" s="147"/>
      <c r="G957" s="147"/>
      <c r="H957" s="147"/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  <c r="AF957" s="147"/>
      <c r="AG957" s="147"/>
    </row>
    <row r="958" spans="1:33" ht="14.4">
      <c r="A958" s="147"/>
      <c r="B958" s="147"/>
      <c r="C958" s="147"/>
      <c r="D958" s="147"/>
      <c r="E958" s="147"/>
      <c r="F958" s="147"/>
      <c r="G958" s="147"/>
      <c r="H958" s="147"/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  <c r="AF958" s="147"/>
      <c r="AG958" s="147"/>
    </row>
    <row r="959" spans="1:33" ht="14.4">
      <c r="A959" s="147"/>
      <c r="B959" s="147"/>
      <c r="C959" s="147"/>
      <c r="D959" s="147"/>
      <c r="E959" s="147"/>
      <c r="F959" s="147"/>
      <c r="G959" s="147"/>
      <c r="H959" s="147"/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  <c r="AF959" s="147"/>
      <c r="AG959" s="147"/>
    </row>
    <row r="960" spans="1:33" ht="14.4">
      <c r="A960" s="147"/>
      <c r="B960" s="147"/>
      <c r="C960" s="147"/>
      <c r="D960" s="147"/>
      <c r="E960" s="147"/>
      <c r="F960" s="147"/>
      <c r="G960" s="147"/>
      <c r="H960" s="147"/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  <c r="AF960" s="147"/>
      <c r="AG960" s="147"/>
    </row>
    <row r="961" spans="1:33" ht="14.4">
      <c r="A961" s="147"/>
      <c r="B961" s="147"/>
      <c r="C961" s="147"/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  <c r="P961" s="147"/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7"/>
      <c r="AB961" s="147"/>
      <c r="AC961" s="147"/>
      <c r="AD961" s="147"/>
      <c r="AE961" s="147"/>
      <c r="AF961" s="147"/>
      <c r="AG961" s="147"/>
    </row>
    <row r="962" spans="1:33" ht="14.4">
      <c r="A962" s="147"/>
      <c r="B962" s="147"/>
      <c r="C962" s="147"/>
      <c r="D962" s="147"/>
      <c r="E962" s="147"/>
      <c r="F962" s="147"/>
      <c r="G962" s="147"/>
      <c r="H962" s="147"/>
      <c r="I962" s="147"/>
      <c r="J962" s="147"/>
      <c r="K962" s="147"/>
      <c r="L962" s="147"/>
      <c r="M962" s="147"/>
      <c r="N962" s="147"/>
      <c r="O962" s="147"/>
      <c r="P962" s="147"/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7"/>
      <c r="AB962" s="147"/>
      <c r="AC962" s="147"/>
      <c r="AD962" s="147"/>
      <c r="AE962" s="147"/>
      <c r="AF962" s="147"/>
      <c r="AG962" s="147"/>
    </row>
    <row r="963" spans="1:33" ht="14.4">
      <c r="A963" s="147"/>
      <c r="B963" s="147"/>
      <c r="C963" s="147"/>
      <c r="D963" s="147"/>
      <c r="E963" s="147"/>
      <c r="F963" s="147"/>
      <c r="G963" s="147"/>
      <c r="H963" s="147"/>
      <c r="I963" s="147"/>
      <c r="J963" s="147"/>
      <c r="K963" s="147"/>
      <c r="L963" s="147"/>
      <c r="M963" s="147"/>
      <c r="N963" s="147"/>
      <c r="O963" s="147"/>
      <c r="P963" s="147"/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7"/>
      <c r="AB963" s="147"/>
      <c r="AC963" s="147"/>
      <c r="AD963" s="147"/>
      <c r="AE963" s="147"/>
      <c r="AF963" s="147"/>
      <c r="AG963" s="147"/>
    </row>
    <row r="964" spans="1:33" ht="14.4">
      <c r="A964" s="147"/>
      <c r="B964" s="147"/>
      <c r="C964" s="147"/>
      <c r="D964" s="147"/>
      <c r="E964" s="147"/>
      <c r="F964" s="147"/>
      <c r="G964" s="147"/>
      <c r="H964" s="147"/>
      <c r="I964" s="147"/>
      <c r="J964" s="147"/>
      <c r="K964" s="147"/>
      <c r="L964" s="147"/>
      <c r="M964" s="147"/>
      <c r="N964" s="147"/>
      <c r="O964" s="147"/>
      <c r="P964" s="147"/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7"/>
      <c r="AB964" s="147"/>
      <c r="AC964" s="147"/>
      <c r="AD964" s="147"/>
      <c r="AE964" s="147"/>
      <c r="AF964" s="147"/>
      <c r="AG964" s="147"/>
    </row>
    <row r="965" spans="1:33" ht="14.4">
      <c r="A965" s="147"/>
      <c r="B965" s="147"/>
      <c r="C965" s="147"/>
      <c r="D965" s="147"/>
      <c r="E965" s="147"/>
      <c r="F965" s="147"/>
      <c r="G965" s="147"/>
      <c r="H965" s="147"/>
      <c r="I965" s="147"/>
      <c r="J965" s="147"/>
      <c r="K965" s="147"/>
      <c r="L965" s="147"/>
      <c r="M965" s="147"/>
      <c r="N965" s="147"/>
      <c r="O965" s="147"/>
      <c r="P965" s="147"/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7"/>
      <c r="AB965" s="147"/>
      <c r="AC965" s="147"/>
      <c r="AD965" s="147"/>
      <c r="AE965" s="147"/>
      <c r="AF965" s="147"/>
      <c r="AG965" s="147"/>
    </row>
  </sheetData>
  <conditionalFormatting sqref="B5:P5">
    <cfRule type="notContainsBlanks" dxfId="0" priority="1">
      <formula>LEN(TRIM(B5))&gt;0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E00-000000000000}">
          <x14:formula1>
            <xm:f>Agents!$A$2:$A$6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  <outlinePr summaryBelow="0" summaryRight="0"/>
  </sheetPr>
  <dimension ref="A1:N77"/>
  <sheetViews>
    <sheetView workbookViewId="0"/>
  </sheetViews>
  <sheetFormatPr defaultColWidth="12.6640625" defaultRowHeight="15.75" customHeight="1"/>
  <cols>
    <col min="11" max="11" width="20.21875" style="169" customWidth="1"/>
    <col min="12" max="13" width="12.6640625" style="169"/>
    <col min="14" max="14" width="18.109375" style="169" customWidth="1"/>
  </cols>
  <sheetData>
    <row r="1" spans="1:14" ht="15.75" customHeight="1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/>
      <c r="K1" s="53"/>
      <c r="L1" s="53"/>
      <c r="M1" s="53"/>
      <c r="N1" s="53"/>
    </row>
    <row r="2" spans="1:14" ht="15.75" customHeight="1">
      <c r="A2" s="1" t="s">
        <v>490</v>
      </c>
      <c r="B2" s="24">
        <v>7923</v>
      </c>
      <c r="C2" s="24">
        <v>17</v>
      </c>
      <c r="D2" s="24">
        <v>17</v>
      </c>
      <c r="E2" s="43">
        <v>12</v>
      </c>
      <c r="F2" s="24">
        <v>5</v>
      </c>
      <c r="G2" s="24">
        <v>100</v>
      </c>
      <c r="H2" s="24">
        <v>12</v>
      </c>
      <c r="I2" s="44">
        <v>5.7870370370370367E-3</v>
      </c>
      <c r="J2" s="45"/>
      <c r="K2" s="53"/>
      <c r="L2" s="53"/>
      <c r="M2" s="53"/>
      <c r="N2" s="53"/>
    </row>
    <row r="3" spans="1:14" ht="15.75" customHeight="1">
      <c r="A3" s="1" t="s">
        <v>37</v>
      </c>
      <c r="B3" s="24">
        <v>7911</v>
      </c>
      <c r="C3" s="24">
        <v>70</v>
      </c>
      <c r="D3" s="24">
        <v>70</v>
      </c>
      <c r="E3" s="43">
        <v>65</v>
      </c>
      <c r="F3" s="24">
        <v>5</v>
      </c>
      <c r="G3" s="24">
        <v>66.150000000000006</v>
      </c>
      <c r="H3" s="24">
        <v>43</v>
      </c>
      <c r="I3" s="44">
        <v>4.1388888888888892E-2</v>
      </c>
      <c r="J3" s="45"/>
      <c r="K3" s="53"/>
      <c r="L3" s="53"/>
      <c r="M3" s="53"/>
      <c r="N3" s="53"/>
    </row>
    <row r="4" spans="1:14" ht="15.75" customHeight="1">
      <c r="A4" s="1" t="s">
        <v>491</v>
      </c>
      <c r="B4" s="24">
        <v>7956</v>
      </c>
      <c r="C4" s="24">
        <v>1</v>
      </c>
      <c r="D4" s="24">
        <v>1</v>
      </c>
      <c r="E4" s="43">
        <v>1</v>
      </c>
      <c r="F4" s="24">
        <v>0</v>
      </c>
      <c r="G4" s="24">
        <v>100</v>
      </c>
      <c r="H4" s="24">
        <v>1</v>
      </c>
      <c r="I4" s="44">
        <v>0</v>
      </c>
      <c r="J4" s="45"/>
      <c r="K4" s="53"/>
      <c r="L4" s="53"/>
      <c r="M4" s="53"/>
      <c r="N4" s="53"/>
    </row>
    <row r="5" spans="1:14" ht="15.75" customHeight="1">
      <c r="A5" s="1" t="s">
        <v>492</v>
      </c>
      <c r="B5" s="24">
        <v>7961</v>
      </c>
      <c r="C5" s="24">
        <v>60</v>
      </c>
      <c r="D5" s="24">
        <v>60</v>
      </c>
      <c r="E5" s="43">
        <v>15</v>
      </c>
      <c r="F5" s="24">
        <v>45</v>
      </c>
      <c r="G5" s="24">
        <v>26.67</v>
      </c>
      <c r="H5" s="24">
        <v>4</v>
      </c>
      <c r="I5" s="44">
        <v>0.12550925925925926</v>
      </c>
      <c r="J5" s="45"/>
      <c r="K5" s="204" t="s">
        <v>493</v>
      </c>
      <c r="L5" s="205"/>
      <c r="M5" s="53"/>
      <c r="N5" s="53"/>
    </row>
    <row r="6" spans="1:14" ht="15.75" customHeight="1">
      <c r="A6" s="1" t="s">
        <v>494</v>
      </c>
      <c r="B6" s="24">
        <v>7950</v>
      </c>
      <c r="C6" s="24">
        <v>5</v>
      </c>
      <c r="D6" s="24">
        <v>5</v>
      </c>
      <c r="E6" s="43">
        <v>1</v>
      </c>
      <c r="F6" s="24">
        <v>4</v>
      </c>
      <c r="G6" s="24">
        <v>0</v>
      </c>
      <c r="H6" s="24">
        <v>0</v>
      </c>
      <c r="I6" s="44">
        <v>1.7893518518518517E-2</v>
      </c>
      <c r="J6" s="45"/>
      <c r="K6" s="46" t="s">
        <v>28</v>
      </c>
      <c r="L6" s="46" t="s">
        <v>495</v>
      </c>
      <c r="M6" s="46" t="s">
        <v>496</v>
      </c>
      <c r="N6" s="46" t="s">
        <v>489</v>
      </c>
    </row>
    <row r="7" spans="1:14" ht="15.75" customHeight="1">
      <c r="A7" s="1" t="s">
        <v>497</v>
      </c>
      <c r="B7" s="24">
        <v>1001</v>
      </c>
      <c r="C7" s="24">
        <v>0</v>
      </c>
      <c r="D7" s="24">
        <v>0</v>
      </c>
      <c r="E7" s="43">
        <v>0</v>
      </c>
      <c r="F7" s="24">
        <v>0</v>
      </c>
      <c r="G7" s="24">
        <v>0</v>
      </c>
      <c r="H7" s="24">
        <v>0</v>
      </c>
      <c r="I7" s="44">
        <v>0</v>
      </c>
      <c r="J7" s="45"/>
      <c r="K7" s="47" t="s">
        <v>37</v>
      </c>
      <c r="L7" s="188">
        <f t="shared" ref="L7:L16" si="0">VLOOKUP(K7,A:I,3,0)</f>
        <v>70</v>
      </c>
      <c r="M7" s="189">
        <f t="shared" ref="M7:M16" si="1">-(VLOOKUP(K7,A:I,8,0))</f>
        <v>-43</v>
      </c>
      <c r="N7" s="190">
        <f t="shared" ref="N7:N16" si="2">(VLOOKUP(K7,A:J,9,0))</f>
        <v>4.1388888888888892E-2</v>
      </c>
    </row>
    <row r="8" spans="1:14" ht="15.75" customHeight="1">
      <c r="A8" s="1" t="s">
        <v>498</v>
      </c>
      <c r="B8" s="24">
        <v>7960</v>
      </c>
      <c r="C8" s="24">
        <v>0</v>
      </c>
      <c r="D8" s="24">
        <v>0</v>
      </c>
      <c r="E8" s="43">
        <v>0</v>
      </c>
      <c r="F8" s="24">
        <v>0</v>
      </c>
      <c r="G8" s="24">
        <v>0</v>
      </c>
      <c r="H8" s="24">
        <v>0</v>
      </c>
      <c r="I8" s="44">
        <v>0</v>
      </c>
      <c r="J8" s="45"/>
      <c r="K8" s="47" t="s">
        <v>43</v>
      </c>
      <c r="L8" s="188">
        <f t="shared" si="0"/>
        <v>69</v>
      </c>
      <c r="M8" s="189">
        <f t="shared" si="1"/>
        <v>-5</v>
      </c>
      <c r="N8" s="190">
        <f t="shared" si="2"/>
        <v>8.2187499999999997E-2</v>
      </c>
    </row>
    <row r="9" spans="1:14" ht="15.75" customHeight="1">
      <c r="A9" s="1" t="s">
        <v>499</v>
      </c>
      <c r="B9" s="24">
        <v>7939</v>
      </c>
      <c r="C9" s="24">
        <v>0</v>
      </c>
      <c r="D9" s="24">
        <v>0</v>
      </c>
      <c r="E9" s="43">
        <v>0</v>
      </c>
      <c r="F9" s="24">
        <v>0</v>
      </c>
      <c r="G9" s="24">
        <v>0</v>
      </c>
      <c r="H9" s="24">
        <v>0</v>
      </c>
      <c r="I9" s="44">
        <v>0</v>
      </c>
      <c r="J9" s="45"/>
      <c r="K9" s="47" t="s">
        <v>46</v>
      </c>
      <c r="L9" s="188">
        <f t="shared" si="0"/>
        <v>52</v>
      </c>
      <c r="M9" s="189">
        <f t="shared" si="1"/>
        <v>-48</v>
      </c>
      <c r="N9" s="190">
        <f t="shared" si="2"/>
        <v>7.2685185185185188E-3</v>
      </c>
    </row>
    <row r="10" spans="1:14" ht="15.75" customHeight="1">
      <c r="A10" s="1" t="s">
        <v>85</v>
      </c>
      <c r="B10" s="24">
        <v>7942</v>
      </c>
      <c r="C10" s="24">
        <v>8</v>
      </c>
      <c r="D10" s="24">
        <v>8</v>
      </c>
      <c r="E10" s="43">
        <v>8</v>
      </c>
      <c r="F10" s="24">
        <v>0</v>
      </c>
      <c r="G10" s="24">
        <v>0</v>
      </c>
      <c r="H10" s="24">
        <v>0</v>
      </c>
      <c r="I10" s="44">
        <v>2.3148148148148147E-5</v>
      </c>
      <c r="J10" s="45"/>
      <c r="K10" s="47" t="s">
        <v>60</v>
      </c>
      <c r="L10" s="188">
        <f t="shared" si="0"/>
        <v>63</v>
      </c>
      <c r="M10" s="189">
        <f t="shared" si="1"/>
        <v>-5</v>
      </c>
      <c r="N10" s="190">
        <f t="shared" si="2"/>
        <v>0.13131944444444443</v>
      </c>
    </row>
    <row r="11" spans="1:14" ht="15.75" customHeight="1">
      <c r="A11" s="1" t="s">
        <v>40</v>
      </c>
      <c r="B11" s="24">
        <v>7907</v>
      </c>
      <c r="C11" s="24">
        <v>12</v>
      </c>
      <c r="D11" s="24">
        <v>12</v>
      </c>
      <c r="E11" s="43">
        <v>12</v>
      </c>
      <c r="F11" s="24">
        <v>0</v>
      </c>
      <c r="G11" s="24">
        <v>0</v>
      </c>
      <c r="H11" s="24">
        <v>0</v>
      </c>
      <c r="I11" s="44">
        <v>3.4722222222222222E-5</v>
      </c>
      <c r="J11" s="45"/>
      <c r="K11" s="47" t="s">
        <v>98</v>
      </c>
      <c r="L11" s="188">
        <f t="shared" si="0"/>
        <v>44</v>
      </c>
      <c r="M11" s="189">
        <f t="shared" si="1"/>
        <v>-19</v>
      </c>
      <c r="N11" s="190">
        <f t="shared" si="2"/>
        <v>6.0590277777777778E-2</v>
      </c>
    </row>
    <row r="12" spans="1:14" ht="15.75" customHeight="1">
      <c r="A12" s="1" t="s">
        <v>43</v>
      </c>
      <c r="B12" s="24">
        <v>7903</v>
      </c>
      <c r="C12" s="24">
        <v>69</v>
      </c>
      <c r="D12" s="24">
        <v>69</v>
      </c>
      <c r="E12" s="43">
        <v>47</v>
      </c>
      <c r="F12" s="24">
        <v>22</v>
      </c>
      <c r="G12" s="24">
        <v>10.64</v>
      </c>
      <c r="H12" s="24">
        <v>5</v>
      </c>
      <c r="I12" s="44">
        <v>8.2187499999999997E-2</v>
      </c>
      <c r="J12" s="45"/>
      <c r="K12" s="47" t="s">
        <v>57</v>
      </c>
      <c r="L12" s="188">
        <f t="shared" si="0"/>
        <v>97</v>
      </c>
      <c r="M12" s="189">
        <f t="shared" si="1"/>
        <v>-40</v>
      </c>
      <c r="N12" s="190">
        <f t="shared" si="2"/>
        <v>5.8993055555555556E-2</v>
      </c>
    </row>
    <row r="13" spans="1:14" ht="15.75" customHeight="1">
      <c r="A13" s="1" t="s">
        <v>38</v>
      </c>
      <c r="B13" s="24">
        <v>7954</v>
      </c>
      <c r="C13" s="24">
        <v>65</v>
      </c>
      <c r="D13" s="24">
        <v>65</v>
      </c>
      <c r="E13" s="43">
        <v>24</v>
      </c>
      <c r="F13" s="24">
        <v>41</v>
      </c>
      <c r="G13" s="24">
        <v>50</v>
      </c>
      <c r="H13" s="24">
        <v>12</v>
      </c>
      <c r="I13" s="44">
        <v>6.0925925925925925E-2</v>
      </c>
      <c r="J13" s="45"/>
      <c r="K13" s="47" t="s">
        <v>51</v>
      </c>
      <c r="L13" s="188">
        <f t="shared" si="0"/>
        <v>24</v>
      </c>
      <c r="M13" s="189">
        <f t="shared" si="1"/>
        <v>-24</v>
      </c>
      <c r="N13" s="190">
        <f t="shared" si="2"/>
        <v>0</v>
      </c>
    </row>
    <row r="14" spans="1:14" ht="15.75" customHeight="1">
      <c r="A14" s="1" t="s">
        <v>46</v>
      </c>
      <c r="B14" s="24">
        <v>7913</v>
      </c>
      <c r="C14" s="24">
        <v>52</v>
      </c>
      <c r="D14" s="24">
        <v>52</v>
      </c>
      <c r="E14" s="43">
        <v>50</v>
      </c>
      <c r="F14" s="24">
        <v>2</v>
      </c>
      <c r="G14" s="24">
        <v>96</v>
      </c>
      <c r="H14" s="24">
        <v>48</v>
      </c>
      <c r="I14" s="44">
        <v>7.2685185185185188E-3</v>
      </c>
      <c r="J14" s="45"/>
      <c r="K14" s="47" t="s">
        <v>89</v>
      </c>
      <c r="L14" s="188">
        <f t="shared" si="0"/>
        <v>65</v>
      </c>
      <c r="M14" s="189">
        <f t="shared" si="1"/>
        <v>-13</v>
      </c>
      <c r="N14" s="190">
        <f t="shared" si="2"/>
        <v>0.14208333333333334</v>
      </c>
    </row>
    <row r="15" spans="1:14" ht="15.75" customHeight="1">
      <c r="A15" s="1" t="s">
        <v>44</v>
      </c>
      <c r="B15" s="24">
        <v>7929</v>
      </c>
      <c r="C15" s="24">
        <v>65</v>
      </c>
      <c r="D15" s="24">
        <v>65</v>
      </c>
      <c r="E15" s="43">
        <v>25</v>
      </c>
      <c r="F15" s="24">
        <v>40</v>
      </c>
      <c r="G15" s="24">
        <v>36</v>
      </c>
      <c r="H15" s="24">
        <v>9</v>
      </c>
      <c r="I15" s="44">
        <v>0.11016203703703703</v>
      </c>
      <c r="J15" s="45"/>
      <c r="K15" s="47" t="s">
        <v>86</v>
      </c>
      <c r="L15" s="188">
        <f t="shared" si="0"/>
        <v>51</v>
      </c>
      <c r="M15" s="189">
        <f t="shared" si="1"/>
        <v>-3</v>
      </c>
      <c r="N15" s="190">
        <f t="shared" si="2"/>
        <v>0.10310185185185185</v>
      </c>
    </row>
    <row r="16" spans="1:14" ht="15.75" customHeight="1">
      <c r="A16" s="1" t="s">
        <v>500</v>
      </c>
      <c r="B16" s="24">
        <v>7946</v>
      </c>
      <c r="C16" s="24">
        <v>0</v>
      </c>
      <c r="D16" s="24">
        <v>0</v>
      </c>
      <c r="E16" s="43">
        <v>0</v>
      </c>
      <c r="F16" s="24">
        <v>0</v>
      </c>
      <c r="G16" s="24">
        <v>0</v>
      </c>
      <c r="H16" s="24">
        <v>0</v>
      </c>
      <c r="I16" s="44">
        <v>0</v>
      </c>
      <c r="J16" s="45"/>
      <c r="K16" s="47" t="s">
        <v>59</v>
      </c>
      <c r="L16" s="188">
        <f t="shared" si="0"/>
        <v>155</v>
      </c>
      <c r="M16" s="189">
        <f t="shared" si="1"/>
        <v>-33</v>
      </c>
      <c r="N16" s="190">
        <f t="shared" si="2"/>
        <v>0.20045138888888889</v>
      </c>
    </row>
    <row r="17" spans="1:14" ht="15.75" customHeight="1">
      <c r="A17" s="1" t="s">
        <v>501</v>
      </c>
      <c r="B17" s="24">
        <v>7963</v>
      </c>
      <c r="C17" s="24">
        <v>0</v>
      </c>
      <c r="D17" s="24">
        <v>0</v>
      </c>
      <c r="E17" s="43">
        <v>0</v>
      </c>
      <c r="F17" s="24">
        <v>0</v>
      </c>
      <c r="G17" s="24">
        <v>0</v>
      </c>
      <c r="H17" s="24">
        <v>0</v>
      </c>
      <c r="I17" s="44">
        <v>0</v>
      </c>
      <c r="J17" s="45"/>
      <c r="K17" s="53"/>
      <c r="L17" s="53"/>
      <c r="M17" s="53"/>
      <c r="N17" s="191"/>
    </row>
    <row r="18" spans="1:14" ht="15.75" customHeight="1">
      <c r="A18" s="1" t="s">
        <v>502</v>
      </c>
      <c r="B18" s="24">
        <v>7901</v>
      </c>
      <c r="C18" s="24">
        <v>1</v>
      </c>
      <c r="D18" s="24">
        <v>1</v>
      </c>
      <c r="E18" s="43">
        <v>1</v>
      </c>
      <c r="F18" s="24">
        <v>0</v>
      </c>
      <c r="G18" s="24">
        <v>100</v>
      </c>
      <c r="H18" s="24">
        <v>1</v>
      </c>
      <c r="I18" s="44">
        <v>0</v>
      </c>
      <c r="J18" s="45"/>
      <c r="K18" s="192"/>
      <c r="L18" s="53"/>
      <c r="M18" s="53"/>
      <c r="N18" s="191"/>
    </row>
    <row r="19" spans="1:14" ht="15.75" customHeight="1">
      <c r="A19" s="1" t="s">
        <v>60</v>
      </c>
      <c r="B19" s="24">
        <v>7904</v>
      </c>
      <c r="C19" s="24">
        <v>63</v>
      </c>
      <c r="D19" s="24">
        <v>63</v>
      </c>
      <c r="E19" s="43">
        <v>40</v>
      </c>
      <c r="F19" s="24">
        <v>23</v>
      </c>
      <c r="G19" s="24">
        <v>12.5</v>
      </c>
      <c r="H19" s="24">
        <v>5</v>
      </c>
      <c r="I19" s="44">
        <v>0.13131944444444443</v>
      </c>
      <c r="J19" s="45"/>
      <c r="K19" s="46" t="s">
        <v>29</v>
      </c>
      <c r="L19" s="46" t="s">
        <v>495</v>
      </c>
      <c r="M19" s="46" t="s">
        <v>496</v>
      </c>
      <c r="N19" s="46" t="s">
        <v>489</v>
      </c>
    </row>
    <row r="20" spans="1:14" ht="15.75" customHeight="1">
      <c r="A20" s="1" t="s">
        <v>49</v>
      </c>
      <c r="B20" s="24">
        <v>7930</v>
      </c>
      <c r="C20" s="24">
        <v>0</v>
      </c>
      <c r="D20" s="24">
        <v>0</v>
      </c>
      <c r="E20" s="43">
        <v>0</v>
      </c>
      <c r="F20" s="24">
        <v>0</v>
      </c>
      <c r="G20" s="24">
        <v>0</v>
      </c>
      <c r="H20" s="24">
        <v>0</v>
      </c>
      <c r="I20" s="44">
        <v>0</v>
      </c>
      <c r="J20" s="45"/>
      <c r="K20" s="49" t="s">
        <v>38</v>
      </c>
      <c r="L20" s="188">
        <f t="shared" ref="L20:L23" si="3">VLOOKUP(K20,A:I,3,0)</f>
        <v>65</v>
      </c>
      <c r="M20" s="188">
        <f t="shared" ref="M20:M23" si="4">-(VLOOKUP(K20,A:I,8,0))</f>
        <v>-12</v>
      </c>
      <c r="N20" s="190">
        <f t="shared" ref="N20:N23" si="5">(VLOOKUP(K20,A:J,9,0))</f>
        <v>6.0925925925925925E-2</v>
      </c>
    </row>
    <row r="21" spans="1:14" ht="15.75" customHeight="1">
      <c r="A21" s="1" t="s">
        <v>503</v>
      </c>
      <c r="B21" s="24">
        <v>7932</v>
      </c>
      <c r="C21" s="24">
        <v>1</v>
      </c>
      <c r="D21" s="24">
        <v>1</v>
      </c>
      <c r="E21" s="43">
        <v>1</v>
      </c>
      <c r="F21" s="24">
        <v>0</v>
      </c>
      <c r="G21" s="24">
        <v>100</v>
      </c>
      <c r="H21" s="24">
        <v>1</v>
      </c>
      <c r="I21" s="44">
        <v>0</v>
      </c>
      <c r="J21" s="45"/>
      <c r="K21" s="50" t="s">
        <v>44</v>
      </c>
      <c r="L21" s="188">
        <f t="shared" si="3"/>
        <v>65</v>
      </c>
      <c r="M21" s="188">
        <f t="shared" si="4"/>
        <v>-9</v>
      </c>
      <c r="N21" s="190">
        <f t="shared" si="5"/>
        <v>0.11016203703703703</v>
      </c>
    </row>
    <row r="22" spans="1:14" ht="15.75" customHeight="1">
      <c r="A22" s="1" t="s">
        <v>504</v>
      </c>
      <c r="B22" s="24">
        <v>7959</v>
      </c>
      <c r="C22" s="24">
        <v>1</v>
      </c>
      <c r="D22" s="24">
        <v>1</v>
      </c>
      <c r="E22" s="43">
        <v>1</v>
      </c>
      <c r="F22" s="24">
        <v>0</v>
      </c>
      <c r="G22" s="24">
        <v>0</v>
      </c>
      <c r="H22" s="24">
        <v>0</v>
      </c>
      <c r="I22" s="44">
        <v>0</v>
      </c>
      <c r="J22" s="45"/>
      <c r="K22" s="50" t="s">
        <v>47</v>
      </c>
      <c r="L22" s="188">
        <f t="shared" si="3"/>
        <v>42</v>
      </c>
      <c r="M22" s="188">
        <f t="shared" si="4"/>
        <v>-5</v>
      </c>
      <c r="N22" s="190">
        <f t="shared" si="5"/>
        <v>5.8634259259259261E-2</v>
      </c>
    </row>
    <row r="23" spans="1:14" ht="15.75" customHeight="1">
      <c r="A23" s="1" t="s">
        <v>505</v>
      </c>
      <c r="B23" s="24">
        <v>7945</v>
      </c>
      <c r="C23" s="24">
        <v>1</v>
      </c>
      <c r="D23" s="24">
        <v>1</v>
      </c>
      <c r="E23" s="43">
        <v>1</v>
      </c>
      <c r="F23" s="24">
        <v>0</v>
      </c>
      <c r="G23" s="24">
        <v>100</v>
      </c>
      <c r="H23" s="24">
        <v>1</v>
      </c>
      <c r="I23" s="44">
        <v>0</v>
      </c>
      <c r="J23" s="45"/>
      <c r="K23" s="47" t="s">
        <v>506</v>
      </c>
      <c r="L23" s="188">
        <f t="shared" si="3"/>
        <v>65</v>
      </c>
      <c r="M23" s="188">
        <f t="shared" si="4"/>
        <v>-10</v>
      </c>
      <c r="N23" s="190">
        <f t="shared" si="5"/>
        <v>7.7499999999999999E-2</v>
      </c>
    </row>
    <row r="24" spans="1:14" ht="15.75" customHeight="1">
      <c r="A24" s="1" t="s">
        <v>507</v>
      </c>
      <c r="B24" s="24">
        <v>7908</v>
      </c>
      <c r="C24" s="24">
        <v>0</v>
      </c>
      <c r="D24" s="24">
        <v>0</v>
      </c>
      <c r="E24" s="43">
        <v>0</v>
      </c>
      <c r="F24" s="24">
        <v>0</v>
      </c>
      <c r="G24" s="24">
        <v>0</v>
      </c>
      <c r="H24" s="24">
        <v>0</v>
      </c>
      <c r="I24" s="44">
        <v>0</v>
      </c>
      <c r="J24" s="45"/>
      <c r="K24" s="53"/>
      <c r="L24" s="53"/>
      <c r="M24" s="53"/>
      <c r="N24" s="191"/>
    </row>
    <row r="25" spans="1:14" ht="15.75" customHeight="1">
      <c r="A25" s="1" t="s">
        <v>51</v>
      </c>
      <c r="B25" s="24">
        <v>7951</v>
      </c>
      <c r="C25" s="24">
        <v>24</v>
      </c>
      <c r="D25" s="24">
        <v>24</v>
      </c>
      <c r="E25" s="43">
        <v>24</v>
      </c>
      <c r="F25" s="24">
        <v>0</v>
      </c>
      <c r="G25" s="24">
        <v>100</v>
      </c>
      <c r="H25" s="24">
        <v>24</v>
      </c>
      <c r="I25" s="44">
        <v>0</v>
      </c>
      <c r="J25" s="45"/>
      <c r="K25" s="53"/>
      <c r="L25" s="53"/>
      <c r="M25" s="53"/>
      <c r="N25" s="191"/>
    </row>
    <row r="26" spans="1:14" ht="15.75" customHeight="1">
      <c r="A26" s="1" t="s">
        <v>47</v>
      </c>
      <c r="B26" s="24">
        <v>7935</v>
      </c>
      <c r="C26" s="24">
        <v>42</v>
      </c>
      <c r="D26" s="24">
        <v>42</v>
      </c>
      <c r="E26" s="43">
        <v>25</v>
      </c>
      <c r="F26" s="24">
        <v>17</v>
      </c>
      <c r="G26" s="24">
        <v>20</v>
      </c>
      <c r="H26" s="24">
        <v>5</v>
      </c>
      <c r="I26" s="44">
        <v>5.8634259259259261E-2</v>
      </c>
      <c r="J26" s="45"/>
      <c r="K26" s="53"/>
      <c r="L26" s="53"/>
      <c r="M26" s="53"/>
      <c r="N26" s="53"/>
    </row>
    <row r="27" spans="1:14" ht="14.4">
      <c r="A27" s="1" t="s">
        <v>508</v>
      </c>
      <c r="B27" s="24">
        <v>7944</v>
      </c>
      <c r="C27" s="24">
        <v>1</v>
      </c>
      <c r="D27" s="24">
        <v>1</v>
      </c>
      <c r="E27" s="43">
        <v>1</v>
      </c>
      <c r="F27" s="24">
        <v>0</v>
      </c>
      <c r="G27" s="24">
        <v>100</v>
      </c>
      <c r="H27" s="24">
        <v>1</v>
      </c>
      <c r="I27" s="44">
        <v>0</v>
      </c>
      <c r="J27" s="45"/>
      <c r="K27" s="53"/>
      <c r="L27" s="53"/>
      <c r="M27" s="53"/>
      <c r="N27" s="53"/>
    </row>
    <row r="28" spans="1:14" ht="14.4">
      <c r="A28" s="1" t="s">
        <v>98</v>
      </c>
      <c r="B28" s="24">
        <v>7948</v>
      </c>
      <c r="C28" s="24">
        <v>44</v>
      </c>
      <c r="D28" s="24">
        <v>44</v>
      </c>
      <c r="E28" s="43">
        <v>34</v>
      </c>
      <c r="F28" s="24">
        <v>10</v>
      </c>
      <c r="G28" s="24">
        <v>55.88</v>
      </c>
      <c r="H28" s="24">
        <v>19</v>
      </c>
      <c r="I28" s="44">
        <v>6.0590277777777778E-2</v>
      </c>
      <c r="J28" s="45"/>
      <c r="K28" s="53"/>
      <c r="L28" s="53"/>
      <c r="M28" s="53"/>
      <c r="N28" s="53"/>
    </row>
    <row r="29" spans="1:14" ht="14.4">
      <c r="A29" s="1" t="s">
        <v>89</v>
      </c>
      <c r="B29" s="24">
        <v>7910</v>
      </c>
      <c r="C29" s="24">
        <v>65</v>
      </c>
      <c r="D29" s="24">
        <v>65</v>
      </c>
      <c r="E29" s="43">
        <v>50</v>
      </c>
      <c r="F29" s="24">
        <v>15</v>
      </c>
      <c r="G29" s="24">
        <v>26</v>
      </c>
      <c r="H29" s="24">
        <v>13</v>
      </c>
      <c r="I29" s="44">
        <v>0.14208333333333334</v>
      </c>
      <c r="J29" s="45"/>
      <c r="K29" s="53"/>
      <c r="L29" s="53"/>
      <c r="M29" s="53"/>
      <c r="N29" s="53"/>
    </row>
    <row r="30" spans="1:14" ht="14.4">
      <c r="A30" s="1" t="s">
        <v>509</v>
      </c>
      <c r="B30" s="24">
        <v>7940</v>
      </c>
      <c r="C30" s="24">
        <v>0</v>
      </c>
      <c r="D30" s="24">
        <v>0</v>
      </c>
      <c r="E30" s="43">
        <v>0</v>
      </c>
      <c r="F30" s="24">
        <v>0</v>
      </c>
      <c r="G30" s="24">
        <v>0</v>
      </c>
      <c r="H30" s="24">
        <v>0</v>
      </c>
      <c r="I30" s="44">
        <v>0</v>
      </c>
      <c r="J30" s="45"/>
      <c r="K30" s="53"/>
      <c r="L30" s="53"/>
      <c r="M30" s="53"/>
      <c r="N30" s="53"/>
    </row>
    <row r="31" spans="1:14" ht="14.4">
      <c r="A31" s="1" t="s">
        <v>106</v>
      </c>
      <c r="B31" s="24">
        <v>7922</v>
      </c>
      <c r="C31" s="24">
        <v>13</v>
      </c>
      <c r="D31" s="24">
        <v>13</v>
      </c>
      <c r="E31" s="43">
        <v>3</v>
      </c>
      <c r="F31" s="24">
        <v>10</v>
      </c>
      <c r="G31" s="24">
        <v>0</v>
      </c>
      <c r="H31" s="24">
        <v>0</v>
      </c>
      <c r="I31" s="44">
        <v>2.4328703703703703E-2</v>
      </c>
      <c r="J31" s="45"/>
      <c r="K31" s="53"/>
      <c r="L31" s="53"/>
      <c r="M31" s="53"/>
      <c r="N31" s="53"/>
    </row>
    <row r="32" spans="1:14" ht="14.4">
      <c r="A32" s="1" t="s">
        <v>506</v>
      </c>
      <c r="B32" s="24">
        <v>7931</v>
      </c>
      <c r="C32" s="24">
        <v>65</v>
      </c>
      <c r="D32" s="24">
        <v>65</v>
      </c>
      <c r="E32" s="43">
        <v>31</v>
      </c>
      <c r="F32" s="24">
        <v>34</v>
      </c>
      <c r="G32" s="24">
        <v>32.26</v>
      </c>
      <c r="H32" s="24">
        <v>10</v>
      </c>
      <c r="I32" s="44">
        <v>7.7499999999999999E-2</v>
      </c>
      <c r="J32" s="45"/>
      <c r="K32" s="53"/>
      <c r="L32" s="53"/>
      <c r="M32" s="53"/>
      <c r="N32" s="53"/>
    </row>
    <row r="33" spans="1:14" ht="14.4">
      <c r="A33" s="1" t="s">
        <v>510</v>
      </c>
      <c r="B33" s="24">
        <v>7952</v>
      </c>
      <c r="C33" s="24">
        <v>0</v>
      </c>
      <c r="D33" s="24">
        <v>0</v>
      </c>
      <c r="E33" s="43">
        <v>0</v>
      </c>
      <c r="F33" s="24">
        <v>0</v>
      </c>
      <c r="G33" s="24">
        <v>0</v>
      </c>
      <c r="H33" s="24">
        <v>0</v>
      </c>
      <c r="I33" s="44">
        <v>0</v>
      </c>
      <c r="J33" s="45"/>
      <c r="K33" s="53"/>
      <c r="L33" s="53"/>
      <c r="M33" s="53"/>
      <c r="N33" s="53"/>
    </row>
    <row r="34" spans="1:14" ht="14.4">
      <c r="A34" s="1" t="s">
        <v>57</v>
      </c>
      <c r="B34" s="24">
        <v>7943</v>
      </c>
      <c r="C34" s="24">
        <v>97</v>
      </c>
      <c r="D34" s="24">
        <v>97</v>
      </c>
      <c r="E34" s="43">
        <v>87</v>
      </c>
      <c r="F34" s="24">
        <v>10</v>
      </c>
      <c r="G34" s="24">
        <v>45.98</v>
      </c>
      <c r="H34" s="24">
        <v>40</v>
      </c>
      <c r="I34" s="44">
        <v>5.8993055555555556E-2</v>
      </c>
      <c r="J34" s="45"/>
      <c r="K34" s="53"/>
      <c r="L34" s="53"/>
      <c r="M34" s="53"/>
      <c r="N34" s="53"/>
    </row>
    <row r="35" spans="1:14" ht="14.4">
      <c r="A35" s="1" t="s">
        <v>511</v>
      </c>
      <c r="B35" s="24">
        <v>7925</v>
      </c>
      <c r="C35" s="24">
        <v>62</v>
      </c>
      <c r="D35" s="24">
        <v>62</v>
      </c>
      <c r="E35" s="43">
        <v>25</v>
      </c>
      <c r="F35" s="24">
        <v>37</v>
      </c>
      <c r="G35" s="24">
        <v>44</v>
      </c>
      <c r="H35" s="24">
        <v>11</v>
      </c>
      <c r="I35" s="44">
        <v>7.7743055555555551E-2</v>
      </c>
      <c r="J35" s="45"/>
      <c r="K35" s="53"/>
      <c r="L35" s="53"/>
      <c r="M35" s="53"/>
      <c r="N35" s="53"/>
    </row>
    <row r="36" spans="1:14" ht="14.4">
      <c r="A36" s="1" t="s">
        <v>56</v>
      </c>
      <c r="B36" s="24">
        <v>7936</v>
      </c>
      <c r="C36" s="24">
        <v>49</v>
      </c>
      <c r="D36" s="24">
        <v>49</v>
      </c>
      <c r="E36" s="43">
        <v>26</v>
      </c>
      <c r="F36" s="24">
        <v>23</v>
      </c>
      <c r="G36" s="24">
        <v>46.15</v>
      </c>
      <c r="H36" s="24">
        <v>12</v>
      </c>
      <c r="I36" s="44">
        <v>5.0509259259259261E-2</v>
      </c>
      <c r="J36" s="45"/>
      <c r="K36" s="53"/>
      <c r="L36" s="53"/>
      <c r="M36" s="53"/>
      <c r="N36" s="53"/>
    </row>
    <row r="37" spans="1:14" ht="14.4">
      <c r="A37" s="1" t="s">
        <v>86</v>
      </c>
      <c r="B37" s="24">
        <v>7909</v>
      </c>
      <c r="C37" s="24">
        <v>51</v>
      </c>
      <c r="D37" s="24">
        <v>51</v>
      </c>
      <c r="E37" s="43">
        <v>38</v>
      </c>
      <c r="F37" s="24">
        <v>13</v>
      </c>
      <c r="G37" s="24">
        <v>7.89</v>
      </c>
      <c r="H37" s="24">
        <v>3</v>
      </c>
      <c r="I37" s="44">
        <v>0.10310185185185185</v>
      </c>
      <c r="J37" s="45"/>
      <c r="K37" s="53"/>
      <c r="L37" s="53"/>
      <c r="M37" s="53"/>
      <c r="N37" s="53"/>
    </row>
    <row r="38" spans="1:14" ht="14.4">
      <c r="A38" s="1" t="s">
        <v>59</v>
      </c>
      <c r="B38" s="24">
        <v>7906</v>
      </c>
      <c r="C38" s="24">
        <v>155</v>
      </c>
      <c r="D38" s="24">
        <v>155</v>
      </c>
      <c r="E38" s="43">
        <v>118</v>
      </c>
      <c r="F38" s="24">
        <v>37</v>
      </c>
      <c r="G38" s="24">
        <v>27.97</v>
      </c>
      <c r="H38" s="24">
        <v>33</v>
      </c>
      <c r="I38" s="44">
        <v>0.20045138888888889</v>
      </c>
      <c r="J38" s="45"/>
      <c r="K38" s="53"/>
      <c r="L38" s="53"/>
      <c r="M38" s="53"/>
      <c r="N38" s="53"/>
    </row>
    <row r="39" spans="1:14" ht="14.4">
      <c r="J39" s="45"/>
      <c r="K39" s="53"/>
      <c r="L39" s="53"/>
      <c r="M39" s="53"/>
      <c r="N39" s="53"/>
    </row>
    <row r="40" spans="1:14" ht="14.4">
      <c r="J40" s="45"/>
      <c r="K40" s="53"/>
      <c r="L40" s="53"/>
      <c r="M40" s="53"/>
      <c r="N40" s="53"/>
    </row>
    <row r="41" spans="1:14" ht="14.4">
      <c r="A41" s="51"/>
      <c r="J41" s="45"/>
      <c r="K41" s="53"/>
      <c r="L41" s="53"/>
      <c r="M41" s="53"/>
      <c r="N41" s="53"/>
    </row>
    <row r="42" spans="1:14" ht="14.4">
      <c r="A42" s="51"/>
      <c r="J42" s="45"/>
      <c r="K42" s="53"/>
      <c r="L42" s="53"/>
      <c r="M42" s="53"/>
      <c r="N42" s="53"/>
    </row>
    <row r="43" spans="1:14" ht="14.4">
      <c r="A43" s="51"/>
      <c r="J43" s="45"/>
      <c r="K43" s="53"/>
      <c r="L43" s="53"/>
      <c r="M43" s="53"/>
      <c r="N43" s="53"/>
    </row>
    <row r="44" spans="1:14" ht="14.4">
      <c r="A44" s="51"/>
      <c r="J44" s="52"/>
      <c r="K44" s="53"/>
      <c r="L44" s="53"/>
      <c r="M44" s="53"/>
      <c r="N44" s="53"/>
    </row>
    <row r="45" spans="1:14" ht="14.4">
      <c r="A45" s="51"/>
      <c r="J45" s="45"/>
      <c r="K45" s="53"/>
      <c r="L45" s="53"/>
      <c r="M45" s="53"/>
      <c r="N45" s="53"/>
    </row>
    <row r="46" spans="1:14" ht="14.4">
      <c r="A46" s="51"/>
      <c r="J46" s="45"/>
      <c r="K46" s="53"/>
      <c r="L46" s="53"/>
      <c r="M46" s="53"/>
      <c r="N46" s="53"/>
    </row>
    <row r="47" spans="1:14" ht="14.4">
      <c r="A47" s="51"/>
      <c r="J47" s="45"/>
      <c r="K47" s="53"/>
      <c r="L47" s="53"/>
      <c r="M47" s="53"/>
      <c r="N47" s="53"/>
    </row>
    <row r="48" spans="1:14" ht="14.4">
      <c r="A48" s="51"/>
      <c r="J48" s="45"/>
      <c r="K48" s="53"/>
      <c r="L48" s="53"/>
      <c r="M48" s="53"/>
      <c r="N48" s="53"/>
    </row>
    <row r="49" spans="1:14" ht="14.4">
      <c r="A49" s="51"/>
      <c r="J49" s="45"/>
      <c r="K49" s="53"/>
      <c r="L49" s="53"/>
      <c r="M49" s="53"/>
      <c r="N49" s="53"/>
    </row>
    <row r="50" spans="1:14" ht="14.4">
      <c r="A50" s="51"/>
      <c r="J50" s="45"/>
      <c r="K50" s="53"/>
      <c r="L50" s="53"/>
      <c r="M50" s="53"/>
      <c r="N50" s="53"/>
    </row>
    <row r="51" spans="1:14" ht="14.4">
      <c r="A51" s="51"/>
      <c r="J51" s="45"/>
      <c r="K51" s="53"/>
      <c r="L51" s="53"/>
      <c r="M51" s="53"/>
      <c r="N51" s="53"/>
    </row>
    <row r="52" spans="1:14" ht="14.4">
      <c r="A52" s="51"/>
      <c r="J52" s="45"/>
      <c r="K52" s="53"/>
      <c r="L52" s="53"/>
      <c r="M52" s="53"/>
      <c r="N52" s="53"/>
    </row>
    <row r="53" spans="1:14" ht="14.4">
      <c r="A53" s="51"/>
      <c r="J53" s="45"/>
      <c r="K53" s="53"/>
      <c r="L53" s="53"/>
      <c r="M53" s="53"/>
      <c r="N53" s="53"/>
    </row>
    <row r="54" spans="1:14" ht="14.4">
      <c r="A54" s="51"/>
      <c r="J54" s="45"/>
      <c r="K54" s="53"/>
      <c r="L54" s="53"/>
      <c r="M54" s="53"/>
      <c r="N54" s="53"/>
    </row>
    <row r="55" spans="1:14" ht="14.4">
      <c r="A55" s="51"/>
      <c r="J55" s="45"/>
      <c r="K55" s="53"/>
      <c r="L55" s="53"/>
      <c r="M55" s="53"/>
      <c r="N55" s="53"/>
    </row>
    <row r="56" spans="1:14" ht="14.4">
      <c r="A56" s="51"/>
      <c r="J56" s="45"/>
      <c r="K56" s="53"/>
      <c r="L56" s="53"/>
      <c r="M56" s="53"/>
      <c r="N56" s="53"/>
    </row>
    <row r="57" spans="1:14" ht="14.4">
      <c r="A57" s="51"/>
      <c r="J57" s="45"/>
      <c r="M57" s="53"/>
      <c r="N57" s="53"/>
    </row>
    <row r="58" spans="1:14" ht="13.2">
      <c r="A58" s="51"/>
    </row>
    <row r="59" spans="1:14" ht="13.2">
      <c r="A59" s="51"/>
    </row>
    <row r="60" spans="1:14" ht="13.2">
      <c r="A60" s="51"/>
    </row>
    <row r="61" spans="1:14" ht="13.2">
      <c r="A61" s="51"/>
    </row>
    <row r="62" spans="1:14" ht="13.2">
      <c r="A62" s="51"/>
    </row>
    <row r="63" spans="1:14" ht="13.2">
      <c r="A63" s="51"/>
    </row>
    <row r="64" spans="1:14" ht="13.2">
      <c r="A64" s="51"/>
    </row>
    <row r="65" spans="1:1" ht="13.2">
      <c r="A65" s="51"/>
    </row>
    <row r="66" spans="1:1" ht="13.2">
      <c r="A66" s="51"/>
    </row>
    <row r="67" spans="1:1" ht="13.2">
      <c r="A67" s="51"/>
    </row>
    <row r="68" spans="1:1" ht="13.2">
      <c r="A68" s="51"/>
    </row>
    <row r="69" spans="1:1" ht="13.2">
      <c r="A69" s="51"/>
    </row>
    <row r="70" spans="1:1" ht="13.2">
      <c r="A70" s="51"/>
    </row>
    <row r="71" spans="1:1" ht="13.2">
      <c r="A71" s="51"/>
    </row>
    <row r="72" spans="1:1" ht="13.2">
      <c r="A72" s="51"/>
    </row>
    <row r="73" spans="1:1" ht="13.2">
      <c r="A73" s="51"/>
    </row>
    <row r="74" spans="1:1" ht="13.2">
      <c r="A74" s="51"/>
    </row>
    <row r="75" spans="1:1" ht="13.2">
      <c r="A75" s="51"/>
    </row>
    <row r="76" spans="1:1" ht="13.2">
      <c r="A76" s="51"/>
    </row>
    <row r="77" spans="1:1" ht="13.2">
      <c r="A77" s="51"/>
    </row>
  </sheetData>
  <mergeCells count="1">
    <mergeCell ref="K5:L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  <outlinePr summaryBelow="0" summaryRight="0"/>
  </sheetPr>
  <dimension ref="A1:S1000"/>
  <sheetViews>
    <sheetView zoomScaleNormal="100" workbookViewId="0"/>
  </sheetViews>
  <sheetFormatPr defaultColWidth="12.6640625" defaultRowHeight="15.75" customHeight="1"/>
  <sheetData>
    <row r="1" spans="1:19" ht="15.75" customHeight="1">
      <c r="A1" s="1" t="s">
        <v>512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50" t="str">
        <f>A1</f>
        <v>******* All Gates *******</v>
      </c>
      <c r="O1" s="150"/>
      <c r="P1" s="150"/>
      <c r="Q1" s="150"/>
      <c r="R1" s="150"/>
      <c r="S1" s="185"/>
    </row>
    <row r="2" spans="1:19" ht="15.75" customHeight="1">
      <c r="A2" s="1" t="s">
        <v>67</v>
      </c>
      <c r="B2" s="1" t="s">
        <v>513</v>
      </c>
      <c r="C2" s="1" t="s">
        <v>514</v>
      </c>
      <c r="D2" s="1" t="s">
        <v>515</v>
      </c>
      <c r="E2" s="1" t="s">
        <v>516</v>
      </c>
      <c r="F2" s="1" t="s">
        <v>517</v>
      </c>
      <c r="G2" s="1" t="s">
        <v>518</v>
      </c>
      <c r="H2" s="1" t="s">
        <v>519</v>
      </c>
      <c r="I2" s="1" t="s">
        <v>520</v>
      </c>
      <c r="J2" s="1" t="s">
        <v>521</v>
      </c>
      <c r="K2" s="1" t="s">
        <v>522</v>
      </c>
      <c r="L2" s="1" t="s">
        <v>523</v>
      </c>
      <c r="N2" s="150" t="str">
        <f>A2</f>
        <v>Date</v>
      </c>
      <c r="O2" s="150" t="str">
        <f>B2</f>
        <v>Presented</v>
      </c>
      <c r="P2" s="150" t="str">
        <f>C2</f>
        <v>Accepted</v>
      </c>
      <c r="Q2" s="150" t="str">
        <f>D2</f>
        <v>Abandoned</v>
      </c>
      <c r="R2" s="150" t="str">
        <f>F2</f>
        <v>Deflected</v>
      </c>
      <c r="S2" s="186" t="str">
        <f>H2</f>
        <v>Avg Queue</v>
      </c>
    </row>
    <row r="3" spans="1:19" ht="15.75" customHeight="1">
      <c r="A3" s="53" t="s">
        <v>524</v>
      </c>
      <c r="B3" s="24">
        <v>657</v>
      </c>
      <c r="C3" s="24">
        <v>394</v>
      </c>
      <c r="D3" s="24">
        <v>155</v>
      </c>
      <c r="E3" s="24">
        <v>46</v>
      </c>
      <c r="F3" s="24">
        <v>108</v>
      </c>
      <c r="G3" s="24">
        <v>0</v>
      </c>
      <c r="H3" s="44">
        <v>1.5856481481481481E-3</v>
      </c>
      <c r="I3" s="44">
        <v>1.0465972222222222</v>
      </c>
      <c r="J3" s="44">
        <v>1.4351851851851852E-3</v>
      </c>
      <c r="K3" s="44">
        <v>2.0254629629629629E-3</v>
      </c>
      <c r="L3" s="44">
        <v>2.1527777777777778E-3</v>
      </c>
      <c r="N3" s="150" t="str">
        <f t="shared" ref="N3:N66" si="0">IF(LEN(A3)&gt;18,A3,"")</f>
        <v/>
      </c>
      <c r="O3" s="187">
        <f t="shared" ref="O3:O66" si="1">IF(ISNUMBER(IF(N3="",B3,"")),B3,"")</f>
        <v>657</v>
      </c>
      <c r="P3" s="187">
        <f t="shared" ref="P3:P66" si="2">IF(ISNUMBER(IF($N3="",C3,"")),C3,"")</f>
        <v>394</v>
      </c>
      <c r="Q3" s="187">
        <f t="shared" ref="Q3:Q66" si="3">IF(ISNUMBER(IF($N3="",D3,"")),D3,"")</f>
        <v>155</v>
      </c>
      <c r="R3" s="187">
        <f t="shared" ref="R3:R66" si="4">IF(ISNUMBER(IF($N3="",F3,"")),F3,"")</f>
        <v>108</v>
      </c>
      <c r="S3" s="186">
        <f t="shared" ref="S3:S66" si="5">IF(ISNUMBER(IF($N3="",H3,"")),H3,"")</f>
        <v>1.5856481481481481E-3</v>
      </c>
    </row>
    <row r="4" spans="1:19" ht="15.75" customHeight="1">
      <c r="A4" s="55"/>
      <c r="B4" s="24">
        <v>657</v>
      </c>
      <c r="C4" s="24">
        <v>394</v>
      </c>
      <c r="D4" s="24">
        <v>155</v>
      </c>
      <c r="E4" s="24">
        <v>46</v>
      </c>
      <c r="F4" s="24">
        <v>108</v>
      </c>
      <c r="G4" s="24">
        <v>0</v>
      </c>
      <c r="H4" s="44">
        <v>1.5856481481481481E-3</v>
      </c>
      <c r="I4" s="56">
        <v>1.0465972222222222</v>
      </c>
      <c r="J4" s="44">
        <v>1.4351851851851852E-3</v>
      </c>
      <c r="K4" s="44">
        <v>2.0254629629629629E-3</v>
      </c>
      <c r="L4" s="44">
        <v>2.1527777777777778E-3</v>
      </c>
      <c r="N4" s="150" t="str">
        <f t="shared" si="0"/>
        <v/>
      </c>
      <c r="O4" s="187">
        <f t="shared" si="1"/>
        <v>657</v>
      </c>
      <c r="P4" s="187">
        <f t="shared" si="2"/>
        <v>394</v>
      </c>
      <c r="Q4" s="187">
        <f t="shared" si="3"/>
        <v>155</v>
      </c>
      <c r="R4" s="187">
        <f t="shared" si="4"/>
        <v>108</v>
      </c>
      <c r="S4" s="186">
        <f t="shared" si="5"/>
        <v>1.5856481481481481E-3</v>
      </c>
    </row>
    <row r="5" spans="1:19" ht="15.75" customHeight="1">
      <c r="A5" s="1" t="s">
        <v>525</v>
      </c>
      <c r="B5" s="1"/>
      <c r="C5" s="1"/>
      <c r="D5" s="1"/>
      <c r="E5" s="1"/>
      <c r="F5" s="1"/>
      <c r="G5" s="1"/>
      <c r="H5" s="45"/>
      <c r="I5" s="45"/>
      <c r="J5" s="45"/>
      <c r="K5" s="45"/>
      <c r="L5" s="45"/>
      <c r="N5" s="150" t="str">
        <f t="shared" si="0"/>
        <v>150031 - Accounting</v>
      </c>
      <c r="O5" s="150" t="str">
        <f t="shared" si="1"/>
        <v/>
      </c>
      <c r="P5" s="150" t="str">
        <f t="shared" si="2"/>
        <v/>
      </c>
      <c r="Q5" s="150" t="str">
        <f t="shared" si="3"/>
        <v/>
      </c>
      <c r="R5" s="150" t="str">
        <f t="shared" si="4"/>
        <v/>
      </c>
      <c r="S5" s="185" t="str">
        <f t="shared" si="5"/>
        <v/>
      </c>
    </row>
    <row r="6" spans="1:19" ht="15.75" customHeight="1">
      <c r="A6" s="1" t="s">
        <v>67</v>
      </c>
      <c r="B6" s="1" t="s">
        <v>513</v>
      </c>
      <c r="C6" s="1" t="s">
        <v>514</v>
      </c>
      <c r="D6" s="1" t="s">
        <v>515</v>
      </c>
      <c r="E6" s="1" t="s">
        <v>516</v>
      </c>
      <c r="F6" s="1" t="s">
        <v>517</v>
      </c>
      <c r="G6" s="1" t="s">
        <v>518</v>
      </c>
      <c r="H6" s="1" t="s">
        <v>519</v>
      </c>
      <c r="I6" s="1" t="s">
        <v>520</v>
      </c>
      <c r="J6" s="1" t="s">
        <v>521</v>
      </c>
      <c r="K6" s="1" t="s">
        <v>522</v>
      </c>
      <c r="L6" s="1" t="s">
        <v>523</v>
      </c>
      <c r="N6" s="150" t="str">
        <f t="shared" si="0"/>
        <v/>
      </c>
      <c r="O6" s="150" t="str">
        <f t="shared" si="1"/>
        <v/>
      </c>
      <c r="P6" s="150" t="str">
        <f t="shared" si="2"/>
        <v/>
      </c>
      <c r="Q6" s="150" t="str">
        <f t="shared" si="3"/>
        <v/>
      </c>
      <c r="R6" s="150" t="str">
        <f t="shared" si="4"/>
        <v/>
      </c>
      <c r="S6" s="185" t="str">
        <f t="shared" si="5"/>
        <v/>
      </c>
    </row>
    <row r="7" spans="1:19" ht="15.75" customHeight="1">
      <c r="A7" s="53" t="s">
        <v>524</v>
      </c>
      <c r="B7" s="24">
        <v>7</v>
      </c>
      <c r="C7" s="24">
        <v>6</v>
      </c>
      <c r="D7" s="24">
        <v>1</v>
      </c>
      <c r="E7" s="24">
        <v>1</v>
      </c>
      <c r="F7" s="24">
        <v>0</v>
      </c>
      <c r="G7" s="24">
        <v>0</v>
      </c>
      <c r="H7" s="44">
        <v>8.1018518518518516E-5</v>
      </c>
      <c r="I7" s="44">
        <v>6.134259259259259E-4</v>
      </c>
      <c r="J7" s="44">
        <v>1.0416666666666667E-4</v>
      </c>
      <c r="K7" s="44">
        <v>9.2592592592592588E-5</v>
      </c>
      <c r="L7" s="44">
        <v>2.1643518518518518E-3</v>
      </c>
      <c r="N7" s="150" t="str">
        <f t="shared" si="0"/>
        <v/>
      </c>
      <c r="O7" s="187">
        <f t="shared" si="1"/>
        <v>7</v>
      </c>
      <c r="P7" s="187">
        <f t="shared" si="2"/>
        <v>6</v>
      </c>
      <c r="Q7" s="187">
        <f t="shared" si="3"/>
        <v>1</v>
      </c>
      <c r="R7" s="187">
        <f t="shared" si="4"/>
        <v>0</v>
      </c>
      <c r="S7" s="186">
        <f t="shared" si="5"/>
        <v>8.1018518518518516E-5</v>
      </c>
    </row>
    <row r="8" spans="1:19" ht="15.75" customHeight="1">
      <c r="A8" s="1"/>
      <c r="B8" s="24">
        <v>7</v>
      </c>
      <c r="C8" s="24">
        <v>6</v>
      </c>
      <c r="D8" s="24">
        <v>1</v>
      </c>
      <c r="E8" s="24">
        <v>1</v>
      </c>
      <c r="F8" s="24">
        <v>0</v>
      </c>
      <c r="G8" s="24">
        <v>0</v>
      </c>
      <c r="H8" s="44">
        <v>8.1018518518518516E-5</v>
      </c>
      <c r="I8" s="44">
        <v>6.134259259259259E-4</v>
      </c>
      <c r="J8" s="44">
        <v>1.0416666666666667E-4</v>
      </c>
      <c r="K8" s="44">
        <v>9.2592592592592588E-5</v>
      </c>
      <c r="L8" s="44">
        <v>2.1643518518518518E-3</v>
      </c>
      <c r="N8" s="150" t="str">
        <f t="shared" si="0"/>
        <v/>
      </c>
      <c r="O8" s="187">
        <f t="shared" si="1"/>
        <v>7</v>
      </c>
      <c r="P8" s="187">
        <f t="shared" si="2"/>
        <v>6</v>
      </c>
      <c r="Q8" s="187">
        <f t="shared" si="3"/>
        <v>1</v>
      </c>
      <c r="R8" s="187">
        <f t="shared" si="4"/>
        <v>0</v>
      </c>
      <c r="S8" s="186">
        <f t="shared" si="5"/>
        <v>8.1018518518518516E-5</v>
      </c>
    </row>
    <row r="9" spans="1:19" ht="15.75" customHeight="1">
      <c r="A9" s="1" t="s">
        <v>526</v>
      </c>
      <c r="B9" s="1"/>
      <c r="C9" s="1"/>
      <c r="D9" s="1"/>
      <c r="E9" s="1"/>
      <c r="F9" s="1"/>
      <c r="G9" s="1"/>
      <c r="H9" s="45"/>
      <c r="I9" s="45"/>
      <c r="J9" s="45"/>
      <c r="K9" s="45"/>
      <c r="L9" s="45"/>
      <c r="N9" s="150" t="str">
        <f t="shared" si="0"/>
        <v>150033 - *********Wholesale Base</v>
      </c>
      <c r="O9" s="150" t="str">
        <f t="shared" si="1"/>
        <v/>
      </c>
      <c r="P9" s="150" t="str">
        <f t="shared" si="2"/>
        <v/>
      </c>
      <c r="Q9" s="150" t="str">
        <f t="shared" si="3"/>
        <v/>
      </c>
      <c r="R9" s="150" t="str">
        <f t="shared" si="4"/>
        <v/>
      </c>
      <c r="S9" s="185" t="str">
        <f t="shared" si="5"/>
        <v/>
      </c>
    </row>
    <row r="10" spans="1:19" ht="15.75" customHeight="1">
      <c r="A10" s="1" t="s">
        <v>67</v>
      </c>
      <c r="B10" s="1" t="s">
        <v>513</v>
      </c>
      <c r="C10" s="1" t="s">
        <v>514</v>
      </c>
      <c r="D10" s="1" t="s">
        <v>515</v>
      </c>
      <c r="E10" s="1" t="s">
        <v>516</v>
      </c>
      <c r="F10" s="1" t="s">
        <v>517</v>
      </c>
      <c r="G10" s="1" t="s">
        <v>518</v>
      </c>
      <c r="H10" s="1" t="s">
        <v>519</v>
      </c>
      <c r="I10" s="1" t="s">
        <v>520</v>
      </c>
      <c r="J10" s="1" t="s">
        <v>521</v>
      </c>
      <c r="K10" s="1" t="s">
        <v>522</v>
      </c>
      <c r="L10" s="1" t="s">
        <v>523</v>
      </c>
      <c r="N10" s="150" t="str">
        <f t="shared" si="0"/>
        <v/>
      </c>
      <c r="O10" s="150" t="str">
        <f t="shared" si="1"/>
        <v/>
      </c>
      <c r="P10" s="150" t="str">
        <f t="shared" si="2"/>
        <v/>
      </c>
      <c r="Q10" s="150" t="str">
        <f t="shared" si="3"/>
        <v/>
      </c>
      <c r="R10" s="150" t="str">
        <f t="shared" si="4"/>
        <v/>
      </c>
      <c r="S10" s="185" t="str">
        <f t="shared" si="5"/>
        <v/>
      </c>
    </row>
    <row r="11" spans="1:19" ht="15.75" customHeight="1">
      <c r="A11" s="53" t="s">
        <v>524</v>
      </c>
      <c r="B11" s="24">
        <v>650</v>
      </c>
      <c r="C11" s="24">
        <v>388</v>
      </c>
      <c r="D11" s="24">
        <v>154</v>
      </c>
      <c r="E11" s="24">
        <v>45</v>
      </c>
      <c r="F11" s="24">
        <v>108</v>
      </c>
      <c r="G11" s="24">
        <v>0</v>
      </c>
      <c r="H11" s="44">
        <v>1.6087962962962963E-3</v>
      </c>
      <c r="I11" s="44">
        <v>1.0459837962962963</v>
      </c>
      <c r="J11" s="44">
        <v>1.4351851851851852E-3</v>
      </c>
      <c r="K11" s="44">
        <v>2.0601851851851853E-3</v>
      </c>
      <c r="L11" s="44">
        <v>2.1527777777777778E-3</v>
      </c>
      <c r="N11" s="150" t="str">
        <f t="shared" si="0"/>
        <v/>
      </c>
      <c r="O11" s="187">
        <f t="shared" si="1"/>
        <v>650</v>
      </c>
      <c r="P11" s="187">
        <f t="shared" si="2"/>
        <v>388</v>
      </c>
      <c r="Q11" s="187">
        <f t="shared" si="3"/>
        <v>154</v>
      </c>
      <c r="R11" s="187">
        <f t="shared" si="4"/>
        <v>108</v>
      </c>
      <c r="S11" s="186">
        <f t="shared" si="5"/>
        <v>1.6087962962962963E-3</v>
      </c>
    </row>
    <row r="12" spans="1:19" ht="15.75" customHeight="1">
      <c r="A12" s="1"/>
      <c r="B12" s="24">
        <v>650</v>
      </c>
      <c r="C12" s="24">
        <v>388</v>
      </c>
      <c r="D12" s="24">
        <v>154</v>
      </c>
      <c r="E12" s="24">
        <v>45</v>
      </c>
      <c r="F12" s="24">
        <v>108</v>
      </c>
      <c r="G12" s="24">
        <v>0</v>
      </c>
      <c r="H12" s="44">
        <v>1.6087962962962963E-3</v>
      </c>
      <c r="I12" s="56">
        <v>1.0459837962962963</v>
      </c>
      <c r="J12" s="44">
        <v>1.4351851851851852E-3</v>
      </c>
      <c r="K12" s="44">
        <v>2.0601851851851853E-3</v>
      </c>
      <c r="L12" s="44">
        <v>2.1527777777777778E-3</v>
      </c>
      <c r="N12" s="150" t="str">
        <f t="shared" si="0"/>
        <v/>
      </c>
      <c r="O12" s="187">
        <f t="shared" si="1"/>
        <v>650</v>
      </c>
      <c r="P12" s="187">
        <f t="shared" si="2"/>
        <v>388</v>
      </c>
      <c r="Q12" s="187">
        <f t="shared" si="3"/>
        <v>154</v>
      </c>
      <c r="R12" s="187">
        <f t="shared" si="4"/>
        <v>108</v>
      </c>
      <c r="S12" s="186">
        <f t="shared" si="5"/>
        <v>1.6087962962962963E-3</v>
      </c>
    </row>
    <row r="13" spans="1:19" ht="15.75" customHeight="1">
      <c r="N13" s="150" t="str">
        <f t="shared" si="0"/>
        <v/>
      </c>
      <c r="O13" s="150" t="str">
        <f t="shared" si="1"/>
        <v/>
      </c>
      <c r="P13" s="150" t="str">
        <f t="shared" si="2"/>
        <v/>
      </c>
      <c r="Q13" s="150" t="str">
        <f t="shared" si="3"/>
        <v/>
      </c>
      <c r="R13" s="150" t="str">
        <f t="shared" si="4"/>
        <v/>
      </c>
      <c r="S13" s="185" t="str">
        <f t="shared" si="5"/>
        <v/>
      </c>
    </row>
    <row r="14" spans="1:19" ht="15.75" customHeight="1">
      <c r="N14" s="150" t="str">
        <f t="shared" si="0"/>
        <v/>
      </c>
      <c r="O14" s="150" t="str">
        <f t="shared" si="1"/>
        <v/>
      </c>
      <c r="P14" s="150" t="str">
        <f t="shared" si="2"/>
        <v/>
      </c>
      <c r="Q14" s="150" t="str">
        <f t="shared" si="3"/>
        <v/>
      </c>
      <c r="R14" s="150" t="str">
        <f t="shared" si="4"/>
        <v/>
      </c>
      <c r="S14" s="185" t="str">
        <f t="shared" si="5"/>
        <v/>
      </c>
    </row>
    <row r="15" spans="1:19" ht="15.75" customHeight="1">
      <c r="N15" s="150" t="str">
        <f t="shared" si="0"/>
        <v/>
      </c>
      <c r="O15" s="150" t="str">
        <f t="shared" si="1"/>
        <v/>
      </c>
      <c r="P15" s="150" t="str">
        <f t="shared" si="2"/>
        <v/>
      </c>
      <c r="Q15" s="150" t="str">
        <f t="shared" si="3"/>
        <v/>
      </c>
      <c r="R15" s="150" t="str">
        <f t="shared" si="4"/>
        <v/>
      </c>
      <c r="S15" s="185" t="str">
        <f t="shared" si="5"/>
        <v/>
      </c>
    </row>
    <row r="16" spans="1:19" ht="15.75" customHeight="1">
      <c r="N16" s="150" t="str">
        <f t="shared" si="0"/>
        <v/>
      </c>
      <c r="O16" s="150" t="str">
        <f t="shared" si="1"/>
        <v/>
      </c>
      <c r="P16" s="150" t="str">
        <f t="shared" si="2"/>
        <v/>
      </c>
      <c r="Q16" s="150" t="str">
        <f t="shared" si="3"/>
        <v/>
      </c>
      <c r="R16" s="150" t="str">
        <f t="shared" si="4"/>
        <v/>
      </c>
      <c r="S16" s="185" t="str">
        <f t="shared" si="5"/>
        <v/>
      </c>
    </row>
    <row r="17" spans="14:19" ht="15.75" customHeight="1">
      <c r="N17" s="150" t="str">
        <f t="shared" si="0"/>
        <v/>
      </c>
      <c r="O17" s="150" t="str">
        <f t="shared" si="1"/>
        <v/>
      </c>
      <c r="P17" s="150" t="str">
        <f t="shared" si="2"/>
        <v/>
      </c>
      <c r="Q17" s="150" t="str">
        <f t="shared" si="3"/>
        <v/>
      </c>
      <c r="R17" s="150" t="str">
        <f t="shared" si="4"/>
        <v/>
      </c>
      <c r="S17" s="185" t="str">
        <f t="shared" si="5"/>
        <v/>
      </c>
    </row>
    <row r="18" spans="14:19" ht="15.75" customHeight="1">
      <c r="N18" s="150" t="str">
        <f t="shared" si="0"/>
        <v/>
      </c>
      <c r="O18" s="150" t="str">
        <f t="shared" si="1"/>
        <v/>
      </c>
      <c r="P18" s="150" t="str">
        <f t="shared" si="2"/>
        <v/>
      </c>
      <c r="Q18" s="150" t="str">
        <f t="shared" si="3"/>
        <v/>
      </c>
      <c r="R18" s="150" t="str">
        <f t="shared" si="4"/>
        <v/>
      </c>
      <c r="S18" s="185" t="str">
        <f t="shared" si="5"/>
        <v/>
      </c>
    </row>
    <row r="19" spans="14:19" ht="15.75" customHeight="1">
      <c r="N19" s="150" t="str">
        <f t="shared" si="0"/>
        <v/>
      </c>
      <c r="O19" s="150" t="str">
        <f t="shared" si="1"/>
        <v/>
      </c>
      <c r="P19" s="150" t="str">
        <f t="shared" si="2"/>
        <v/>
      </c>
      <c r="Q19" s="150" t="str">
        <f t="shared" si="3"/>
        <v/>
      </c>
      <c r="R19" s="150" t="str">
        <f t="shared" si="4"/>
        <v/>
      </c>
      <c r="S19" s="185" t="str">
        <f t="shared" si="5"/>
        <v/>
      </c>
    </row>
    <row r="20" spans="14:19" ht="15.75" customHeight="1">
      <c r="N20" s="150" t="str">
        <f t="shared" si="0"/>
        <v/>
      </c>
      <c r="O20" s="150" t="str">
        <f t="shared" si="1"/>
        <v/>
      </c>
      <c r="P20" s="150" t="str">
        <f t="shared" si="2"/>
        <v/>
      </c>
      <c r="Q20" s="150" t="str">
        <f t="shared" si="3"/>
        <v/>
      </c>
      <c r="R20" s="150" t="str">
        <f t="shared" si="4"/>
        <v/>
      </c>
      <c r="S20" s="185" t="str">
        <f t="shared" si="5"/>
        <v/>
      </c>
    </row>
    <row r="21" spans="14:19" ht="15.75" customHeight="1">
      <c r="N21" s="150" t="str">
        <f t="shared" si="0"/>
        <v/>
      </c>
      <c r="O21" s="150" t="str">
        <f t="shared" si="1"/>
        <v/>
      </c>
      <c r="P21" s="150" t="str">
        <f t="shared" si="2"/>
        <v/>
      </c>
      <c r="Q21" s="150" t="str">
        <f t="shared" si="3"/>
        <v/>
      </c>
      <c r="R21" s="150" t="str">
        <f t="shared" si="4"/>
        <v/>
      </c>
      <c r="S21" s="185" t="str">
        <f t="shared" si="5"/>
        <v/>
      </c>
    </row>
    <row r="22" spans="14:19" ht="15.75" customHeight="1">
      <c r="N22" s="150" t="str">
        <f t="shared" si="0"/>
        <v/>
      </c>
      <c r="O22" s="150" t="str">
        <f t="shared" si="1"/>
        <v/>
      </c>
      <c r="P22" s="150" t="str">
        <f t="shared" si="2"/>
        <v/>
      </c>
      <c r="Q22" s="150" t="str">
        <f t="shared" si="3"/>
        <v/>
      </c>
      <c r="R22" s="150" t="str">
        <f t="shared" si="4"/>
        <v/>
      </c>
      <c r="S22" s="185" t="str">
        <f t="shared" si="5"/>
        <v/>
      </c>
    </row>
    <row r="23" spans="14:19" ht="15.75" customHeight="1">
      <c r="N23" s="150" t="str">
        <f t="shared" si="0"/>
        <v/>
      </c>
      <c r="O23" s="150" t="str">
        <f t="shared" si="1"/>
        <v/>
      </c>
      <c r="P23" s="150" t="str">
        <f t="shared" si="2"/>
        <v/>
      </c>
      <c r="Q23" s="150" t="str">
        <f t="shared" si="3"/>
        <v/>
      </c>
      <c r="R23" s="150" t="str">
        <f t="shared" si="4"/>
        <v/>
      </c>
      <c r="S23" s="185" t="str">
        <f t="shared" si="5"/>
        <v/>
      </c>
    </row>
    <row r="24" spans="14:19" ht="15.75" customHeight="1">
      <c r="N24" s="150" t="str">
        <f t="shared" si="0"/>
        <v/>
      </c>
      <c r="O24" s="150" t="str">
        <f t="shared" si="1"/>
        <v/>
      </c>
      <c r="P24" s="150" t="str">
        <f t="shared" si="2"/>
        <v/>
      </c>
      <c r="Q24" s="150" t="str">
        <f t="shared" si="3"/>
        <v/>
      </c>
      <c r="R24" s="150" t="str">
        <f t="shared" si="4"/>
        <v/>
      </c>
      <c r="S24" s="185" t="str">
        <f t="shared" si="5"/>
        <v/>
      </c>
    </row>
    <row r="25" spans="14:19" ht="15.75" customHeight="1">
      <c r="N25" s="150" t="str">
        <f t="shared" si="0"/>
        <v/>
      </c>
      <c r="O25" s="150" t="str">
        <f t="shared" si="1"/>
        <v/>
      </c>
      <c r="P25" s="150" t="str">
        <f t="shared" si="2"/>
        <v/>
      </c>
      <c r="Q25" s="150" t="str">
        <f t="shared" si="3"/>
        <v/>
      </c>
      <c r="R25" s="150" t="str">
        <f t="shared" si="4"/>
        <v/>
      </c>
      <c r="S25" s="185" t="str">
        <f t="shared" si="5"/>
        <v/>
      </c>
    </row>
    <row r="26" spans="14:19" ht="15.75" customHeight="1">
      <c r="N26" s="150" t="str">
        <f t="shared" si="0"/>
        <v/>
      </c>
      <c r="O26" s="150" t="str">
        <f t="shared" si="1"/>
        <v/>
      </c>
      <c r="P26" s="150" t="str">
        <f t="shared" si="2"/>
        <v/>
      </c>
      <c r="Q26" s="150" t="str">
        <f t="shared" si="3"/>
        <v/>
      </c>
      <c r="R26" s="150" t="str">
        <f t="shared" si="4"/>
        <v/>
      </c>
      <c r="S26" s="185" t="str">
        <f t="shared" si="5"/>
        <v/>
      </c>
    </row>
    <row r="27" spans="14:19" ht="14.4">
      <c r="N27" s="150" t="str">
        <f t="shared" si="0"/>
        <v/>
      </c>
      <c r="O27" s="150" t="str">
        <f t="shared" si="1"/>
        <v/>
      </c>
      <c r="P27" s="150" t="str">
        <f t="shared" si="2"/>
        <v/>
      </c>
      <c r="Q27" s="150" t="str">
        <f t="shared" si="3"/>
        <v/>
      </c>
      <c r="R27" s="150" t="str">
        <f t="shared" si="4"/>
        <v/>
      </c>
      <c r="S27" s="185" t="str">
        <f t="shared" si="5"/>
        <v/>
      </c>
    </row>
    <row r="28" spans="14:19" ht="14.4">
      <c r="N28" s="150" t="str">
        <f t="shared" si="0"/>
        <v/>
      </c>
      <c r="O28" s="150" t="str">
        <f t="shared" si="1"/>
        <v/>
      </c>
      <c r="P28" s="150" t="str">
        <f t="shared" si="2"/>
        <v/>
      </c>
      <c r="Q28" s="150" t="str">
        <f t="shared" si="3"/>
        <v/>
      </c>
      <c r="R28" s="150" t="str">
        <f t="shared" si="4"/>
        <v/>
      </c>
      <c r="S28" s="185" t="str">
        <f t="shared" si="5"/>
        <v/>
      </c>
    </row>
    <row r="29" spans="14:19" ht="14.4">
      <c r="N29" s="150" t="str">
        <f t="shared" si="0"/>
        <v/>
      </c>
      <c r="O29" s="150" t="str">
        <f t="shared" si="1"/>
        <v/>
      </c>
      <c r="P29" s="150" t="str">
        <f t="shared" si="2"/>
        <v/>
      </c>
      <c r="Q29" s="150" t="str">
        <f t="shared" si="3"/>
        <v/>
      </c>
      <c r="R29" s="150" t="str">
        <f t="shared" si="4"/>
        <v/>
      </c>
      <c r="S29" s="185" t="str">
        <f t="shared" si="5"/>
        <v/>
      </c>
    </row>
    <row r="30" spans="14:19" ht="14.4">
      <c r="N30" s="150" t="str">
        <f t="shared" si="0"/>
        <v/>
      </c>
      <c r="O30" s="150" t="str">
        <f t="shared" si="1"/>
        <v/>
      </c>
      <c r="P30" s="150" t="str">
        <f t="shared" si="2"/>
        <v/>
      </c>
      <c r="Q30" s="150" t="str">
        <f t="shared" si="3"/>
        <v/>
      </c>
      <c r="R30" s="150" t="str">
        <f t="shared" si="4"/>
        <v/>
      </c>
      <c r="S30" s="185" t="str">
        <f t="shared" si="5"/>
        <v/>
      </c>
    </row>
    <row r="31" spans="14:19" ht="14.4">
      <c r="N31" s="150" t="str">
        <f t="shared" si="0"/>
        <v/>
      </c>
      <c r="O31" s="150" t="str">
        <f t="shared" si="1"/>
        <v/>
      </c>
      <c r="P31" s="150" t="str">
        <f t="shared" si="2"/>
        <v/>
      </c>
      <c r="Q31" s="150" t="str">
        <f t="shared" si="3"/>
        <v/>
      </c>
      <c r="R31" s="150" t="str">
        <f t="shared" si="4"/>
        <v/>
      </c>
      <c r="S31" s="185" t="str">
        <f t="shared" si="5"/>
        <v/>
      </c>
    </row>
    <row r="32" spans="14:19" ht="14.4">
      <c r="N32" s="150" t="str">
        <f t="shared" si="0"/>
        <v/>
      </c>
      <c r="O32" s="150" t="str">
        <f t="shared" si="1"/>
        <v/>
      </c>
      <c r="P32" s="150" t="str">
        <f t="shared" si="2"/>
        <v/>
      </c>
      <c r="Q32" s="150" t="str">
        <f t="shared" si="3"/>
        <v/>
      </c>
      <c r="R32" s="150" t="str">
        <f t="shared" si="4"/>
        <v/>
      </c>
      <c r="S32" s="185" t="str">
        <f t="shared" si="5"/>
        <v/>
      </c>
    </row>
    <row r="33" spans="14:19" ht="14.4">
      <c r="N33" s="150" t="str">
        <f t="shared" si="0"/>
        <v/>
      </c>
      <c r="O33" s="150" t="str">
        <f t="shared" si="1"/>
        <v/>
      </c>
      <c r="P33" s="150" t="str">
        <f t="shared" si="2"/>
        <v/>
      </c>
      <c r="Q33" s="150" t="str">
        <f t="shared" si="3"/>
        <v/>
      </c>
      <c r="R33" s="150" t="str">
        <f t="shared" si="4"/>
        <v/>
      </c>
      <c r="S33" s="185" t="str">
        <f t="shared" si="5"/>
        <v/>
      </c>
    </row>
    <row r="34" spans="14:19" ht="14.4">
      <c r="N34" s="150" t="str">
        <f t="shared" si="0"/>
        <v/>
      </c>
      <c r="O34" s="150" t="str">
        <f t="shared" si="1"/>
        <v/>
      </c>
      <c r="P34" s="150" t="str">
        <f t="shared" si="2"/>
        <v/>
      </c>
      <c r="Q34" s="150" t="str">
        <f t="shared" si="3"/>
        <v/>
      </c>
      <c r="R34" s="150" t="str">
        <f t="shared" si="4"/>
        <v/>
      </c>
      <c r="S34" s="185" t="str">
        <f t="shared" si="5"/>
        <v/>
      </c>
    </row>
    <row r="35" spans="14:19" ht="14.4">
      <c r="N35" s="150" t="str">
        <f t="shared" si="0"/>
        <v/>
      </c>
      <c r="O35" s="150" t="str">
        <f t="shared" si="1"/>
        <v/>
      </c>
      <c r="P35" s="150" t="str">
        <f t="shared" si="2"/>
        <v/>
      </c>
      <c r="Q35" s="150" t="str">
        <f t="shared" si="3"/>
        <v/>
      </c>
      <c r="R35" s="150" t="str">
        <f t="shared" si="4"/>
        <v/>
      </c>
      <c r="S35" s="185" t="str">
        <f t="shared" si="5"/>
        <v/>
      </c>
    </row>
    <row r="36" spans="14:19" ht="14.4">
      <c r="N36" s="150" t="str">
        <f t="shared" si="0"/>
        <v/>
      </c>
      <c r="O36" s="150" t="str">
        <f t="shared" si="1"/>
        <v/>
      </c>
      <c r="P36" s="150" t="str">
        <f t="shared" si="2"/>
        <v/>
      </c>
      <c r="Q36" s="150" t="str">
        <f t="shared" si="3"/>
        <v/>
      </c>
      <c r="R36" s="150" t="str">
        <f t="shared" si="4"/>
        <v/>
      </c>
      <c r="S36" s="185" t="str">
        <f t="shared" si="5"/>
        <v/>
      </c>
    </row>
    <row r="37" spans="14:19" ht="14.4">
      <c r="N37" s="150" t="str">
        <f t="shared" si="0"/>
        <v/>
      </c>
      <c r="O37" s="150" t="str">
        <f t="shared" si="1"/>
        <v/>
      </c>
      <c r="P37" s="150" t="str">
        <f t="shared" si="2"/>
        <v/>
      </c>
      <c r="Q37" s="150" t="str">
        <f t="shared" si="3"/>
        <v/>
      </c>
      <c r="R37" s="150" t="str">
        <f t="shared" si="4"/>
        <v/>
      </c>
      <c r="S37" s="185" t="str">
        <f t="shared" si="5"/>
        <v/>
      </c>
    </row>
    <row r="38" spans="14:19" ht="14.4">
      <c r="N38" s="150" t="str">
        <f t="shared" si="0"/>
        <v/>
      </c>
      <c r="O38" s="150" t="str">
        <f t="shared" si="1"/>
        <v/>
      </c>
      <c r="P38" s="150" t="str">
        <f t="shared" si="2"/>
        <v/>
      </c>
      <c r="Q38" s="150" t="str">
        <f t="shared" si="3"/>
        <v/>
      </c>
      <c r="R38" s="150" t="str">
        <f t="shared" si="4"/>
        <v/>
      </c>
      <c r="S38" s="185" t="str">
        <f t="shared" si="5"/>
        <v/>
      </c>
    </row>
    <row r="39" spans="14:19" ht="14.4">
      <c r="N39" s="150" t="str">
        <f t="shared" si="0"/>
        <v/>
      </c>
      <c r="O39" s="150" t="str">
        <f t="shared" si="1"/>
        <v/>
      </c>
      <c r="P39" s="150" t="str">
        <f t="shared" si="2"/>
        <v/>
      </c>
      <c r="Q39" s="150" t="str">
        <f t="shared" si="3"/>
        <v/>
      </c>
      <c r="R39" s="150" t="str">
        <f t="shared" si="4"/>
        <v/>
      </c>
      <c r="S39" s="185" t="str">
        <f t="shared" si="5"/>
        <v/>
      </c>
    </row>
    <row r="40" spans="14:19" ht="14.4">
      <c r="N40" s="150" t="str">
        <f t="shared" si="0"/>
        <v/>
      </c>
      <c r="O40" s="150" t="str">
        <f t="shared" si="1"/>
        <v/>
      </c>
      <c r="P40" s="150" t="str">
        <f t="shared" si="2"/>
        <v/>
      </c>
      <c r="Q40" s="150" t="str">
        <f t="shared" si="3"/>
        <v/>
      </c>
      <c r="R40" s="150" t="str">
        <f t="shared" si="4"/>
        <v/>
      </c>
      <c r="S40" s="185" t="str">
        <f t="shared" si="5"/>
        <v/>
      </c>
    </row>
    <row r="41" spans="14:19" ht="14.4">
      <c r="N41" s="150" t="str">
        <f t="shared" si="0"/>
        <v/>
      </c>
      <c r="O41" s="150" t="str">
        <f t="shared" si="1"/>
        <v/>
      </c>
      <c r="P41" s="150" t="str">
        <f t="shared" si="2"/>
        <v/>
      </c>
      <c r="Q41" s="150" t="str">
        <f t="shared" si="3"/>
        <v/>
      </c>
      <c r="R41" s="150" t="str">
        <f t="shared" si="4"/>
        <v/>
      </c>
      <c r="S41" s="185" t="str">
        <f t="shared" si="5"/>
        <v/>
      </c>
    </row>
    <row r="42" spans="14:19" ht="14.4">
      <c r="N42" s="150" t="str">
        <f t="shared" si="0"/>
        <v/>
      </c>
      <c r="O42" s="150" t="str">
        <f t="shared" si="1"/>
        <v/>
      </c>
      <c r="P42" s="150" t="str">
        <f t="shared" si="2"/>
        <v/>
      </c>
      <c r="Q42" s="150" t="str">
        <f t="shared" si="3"/>
        <v/>
      </c>
      <c r="R42" s="150" t="str">
        <f t="shared" si="4"/>
        <v/>
      </c>
      <c r="S42" s="185" t="str">
        <f t="shared" si="5"/>
        <v/>
      </c>
    </row>
    <row r="43" spans="14:19" ht="14.4">
      <c r="N43" s="150" t="str">
        <f t="shared" si="0"/>
        <v/>
      </c>
      <c r="O43" s="150" t="str">
        <f t="shared" si="1"/>
        <v/>
      </c>
      <c r="P43" s="150" t="str">
        <f t="shared" si="2"/>
        <v/>
      </c>
      <c r="Q43" s="150" t="str">
        <f t="shared" si="3"/>
        <v/>
      </c>
      <c r="R43" s="150" t="str">
        <f t="shared" si="4"/>
        <v/>
      </c>
      <c r="S43" s="185" t="str">
        <f t="shared" si="5"/>
        <v/>
      </c>
    </row>
    <row r="44" spans="14:19" ht="14.4">
      <c r="N44" s="150" t="str">
        <f t="shared" si="0"/>
        <v/>
      </c>
      <c r="O44" s="150" t="str">
        <f t="shared" si="1"/>
        <v/>
      </c>
      <c r="P44" s="150" t="str">
        <f t="shared" si="2"/>
        <v/>
      </c>
      <c r="Q44" s="150" t="str">
        <f t="shared" si="3"/>
        <v/>
      </c>
      <c r="R44" s="150" t="str">
        <f t="shared" si="4"/>
        <v/>
      </c>
      <c r="S44" s="185" t="str">
        <f t="shared" si="5"/>
        <v/>
      </c>
    </row>
    <row r="45" spans="14:19" ht="14.4">
      <c r="N45" s="150" t="str">
        <f t="shared" si="0"/>
        <v/>
      </c>
      <c r="O45" s="150" t="str">
        <f t="shared" si="1"/>
        <v/>
      </c>
      <c r="P45" s="150" t="str">
        <f t="shared" si="2"/>
        <v/>
      </c>
      <c r="Q45" s="150" t="str">
        <f t="shared" si="3"/>
        <v/>
      </c>
      <c r="R45" s="150" t="str">
        <f t="shared" si="4"/>
        <v/>
      </c>
      <c r="S45" s="185" t="str">
        <f t="shared" si="5"/>
        <v/>
      </c>
    </row>
    <row r="46" spans="14:19" ht="14.4">
      <c r="N46" s="150" t="str">
        <f t="shared" si="0"/>
        <v/>
      </c>
      <c r="O46" s="150" t="str">
        <f t="shared" si="1"/>
        <v/>
      </c>
      <c r="P46" s="150" t="str">
        <f t="shared" si="2"/>
        <v/>
      </c>
      <c r="Q46" s="150" t="str">
        <f t="shared" si="3"/>
        <v/>
      </c>
      <c r="R46" s="150" t="str">
        <f t="shared" si="4"/>
        <v/>
      </c>
      <c r="S46" s="185" t="str">
        <f t="shared" si="5"/>
        <v/>
      </c>
    </row>
    <row r="47" spans="14:19" ht="14.4">
      <c r="N47" s="150" t="str">
        <f t="shared" si="0"/>
        <v/>
      </c>
      <c r="O47" s="150" t="str">
        <f t="shared" si="1"/>
        <v/>
      </c>
      <c r="P47" s="150" t="str">
        <f t="shared" si="2"/>
        <v/>
      </c>
      <c r="Q47" s="150" t="str">
        <f t="shared" si="3"/>
        <v/>
      </c>
      <c r="R47" s="150" t="str">
        <f t="shared" si="4"/>
        <v/>
      </c>
      <c r="S47" s="185" t="str">
        <f t="shared" si="5"/>
        <v/>
      </c>
    </row>
    <row r="48" spans="14:19" ht="14.4">
      <c r="N48" s="150" t="str">
        <f t="shared" si="0"/>
        <v/>
      </c>
      <c r="O48" s="150" t="str">
        <f t="shared" si="1"/>
        <v/>
      </c>
      <c r="P48" s="150" t="str">
        <f t="shared" si="2"/>
        <v/>
      </c>
      <c r="Q48" s="150" t="str">
        <f t="shared" si="3"/>
        <v/>
      </c>
      <c r="R48" s="150" t="str">
        <f t="shared" si="4"/>
        <v/>
      </c>
      <c r="S48" s="185" t="str">
        <f t="shared" si="5"/>
        <v/>
      </c>
    </row>
    <row r="49" spans="14:19" ht="14.4">
      <c r="N49" s="150" t="str">
        <f t="shared" si="0"/>
        <v/>
      </c>
      <c r="O49" s="150" t="str">
        <f t="shared" si="1"/>
        <v/>
      </c>
      <c r="P49" s="150" t="str">
        <f t="shared" si="2"/>
        <v/>
      </c>
      <c r="Q49" s="150" t="str">
        <f t="shared" si="3"/>
        <v/>
      </c>
      <c r="R49" s="150" t="str">
        <f t="shared" si="4"/>
        <v/>
      </c>
      <c r="S49" s="185" t="str">
        <f t="shared" si="5"/>
        <v/>
      </c>
    </row>
    <row r="50" spans="14:19" ht="14.4">
      <c r="N50" s="150" t="str">
        <f t="shared" si="0"/>
        <v/>
      </c>
      <c r="O50" s="150" t="str">
        <f t="shared" si="1"/>
        <v/>
      </c>
      <c r="P50" s="150" t="str">
        <f t="shared" si="2"/>
        <v/>
      </c>
      <c r="Q50" s="150" t="str">
        <f t="shared" si="3"/>
        <v/>
      </c>
      <c r="R50" s="150" t="str">
        <f t="shared" si="4"/>
        <v/>
      </c>
      <c r="S50" s="185" t="str">
        <f t="shared" si="5"/>
        <v/>
      </c>
    </row>
    <row r="51" spans="14:19" ht="14.4">
      <c r="N51" s="150" t="str">
        <f t="shared" si="0"/>
        <v/>
      </c>
      <c r="O51" s="150" t="str">
        <f t="shared" si="1"/>
        <v/>
      </c>
      <c r="P51" s="150" t="str">
        <f t="shared" si="2"/>
        <v/>
      </c>
      <c r="Q51" s="150" t="str">
        <f t="shared" si="3"/>
        <v/>
      </c>
      <c r="R51" s="150" t="str">
        <f t="shared" si="4"/>
        <v/>
      </c>
      <c r="S51" s="185" t="str">
        <f t="shared" si="5"/>
        <v/>
      </c>
    </row>
    <row r="52" spans="14:19" ht="14.4">
      <c r="N52" s="150" t="str">
        <f t="shared" si="0"/>
        <v/>
      </c>
      <c r="O52" s="150" t="str">
        <f t="shared" si="1"/>
        <v/>
      </c>
      <c r="P52" s="150" t="str">
        <f t="shared" si="2"/>
        <v/>
      </c>
      <c r="Q52" s="150" t="str">
        <f t="shared" si="3"/>
        <v/>
      </c>
      <c r="R52" s="150" t="str">
        <f t="shared" si="4"/>
        <v/>
      </c>
      <c r="S52" s="185" t="str">
        <f t="shared" si="5"/>
        <v/>
      </c>
    </row>
    <row r="53" spans="14:19" ht="14.4">
      <c r="N53" s="150" t="str">
        <f t="shared" si="0"/>
        <v/>
      </c>
      <c r="O53" s="150" t="str">
        <f t="shared" si="1"/>
        <v/>
      </c>
      <c r="P53" s="150" t="str">
        <f t="shared" si="2"/>
        <v/>
      </c>
      <c r="Q53" s="150" t="str">
        <f t="shared" si="3"/>
        <v/>
      </c>
      <c r="R53" s="150" t="str">
        <f t="shared" si="4"/>
        <v/>
      </c>
      <c r="S53" s="185" t="str">
        <f t="shared" si="5"/>
        <v/>
      </c>
    </row>
    <row r="54" spans="14:19" ht="14.4">
      <c r="N54" s="150" t="str">
        <f t="shared" si="0"/>
        <v/>
      </c>
      <c r="O54" s="150" t="str">
        <f t="shared" si="1"/>
        <v/>
      </c>
      <c r="P54" s="150" t="str">
        <f t="shared" si="2"/>
        <v/>
      </c>
      <c r="Q54" s="150" t="str">
        <f t="shared" si="3"/>
        <v/>
      </c>
      <c r="R54" s="150" t="str">
        <f t="shared" si="4"/>
        <v/>
      </c>
      <c r="S54" s="185" t="str">
        <f t="shared" si="5"/>
        <v/>
      </c>
    </row>
    <row r="55" spans="14:19" ht="14.4">
      <c r="N55" s="150" t="str">
        <f t="shared" si="0"/>
        <v/>
      </c>
      <c r="O55" s="150" t="str">
        <f t="shared" si="1"/>
        <v/>
      </c>
      <c r="P55" s="150" t="str">
        <f t="shared" si="2"/>
        <v/>
      </c>
      <c r="Q55" s="150" t="str">
        <f t="shared" si="3"/>
        <v/>
      </c>
      <c r="R55" s="150" t="str">
        <f t="shared" si="4"/>
        <v/>
      </c>
      <c r="S55" s="185" t="str">
        <f t="shared" si="5"/>
        <v/>
      </c>
    </row>
    <row r="56" spans="14:19" ht="14.4">
      <c r="N56" s="150" t="str">
        <f t="shared" si="0"/>
        <v/>
      </c>
      <c r="O56" s="150" t="str">
        <f t="shared" si="1"/>
        <v/>
      </c>
      <c r="P56" s="150" t="str">
        <f t="shared" si="2"/>
        <v/>
      </c>
      <c r="Q56" s="150" t="str">
        <f t="shared" si="3"/>
        <v/>
      </c>
      <c r="R56" s="150" t="str">
        <f t="shared" si="4"/>
        <v/>
      </c>
      <c r="S56" s="185" t="str">
        <f t="shared" si="5"/>
        <v/>
      </c>
    </row>
    <row r="57" spans="14:19" ht="14.4">
      <c r="N57" s="150" t="str">
        <f t="shared" si="0"/>
        <v/>
      </c>
      <c r="O57" s="150" t="str">
        <f t="shared" si="1"/>
        <v/>
      </c>
      <c r="P57" s="150" t="str">
        <f t="shared" si="2"/>
        <v/>
      </c>
      <c r="Q57" s="150" t="str">
        <f t="shared" si="3"/>
        <v/>
      </c>
      <c r="R57" s="150" t="str">
        <f t="shared" si="4"/>
        <v/>
      </c>
      <c r="S57" s="185" t="str">
        <f t="shared" si="5"/>
        <v/>
      </c>
    </row>
    <row r="58" spans="14:19" ht="14.4">
      <c r="N58" s="150" t="str">
        <f t="shared" si="0"/>
        <v/>
      </c>
      <c r="O58" s="150" t="str">
        <f t="shared" si="1"/>
        <v/>
      </c>
      <c r="P58" s="150" t="str">
        <f t="shared" si="2"/>
        <v/>
      </c>
      <c r="Q58" s="150" t="str">
        <f t="shared" si="3"/>
        <v/>
      </c>
      <c r="R58" s="150" t="str">
        <f t="shared" si="4"/>
        <v/>
      </c>
      <c r="S58" s="185" t="str">
        <f t="shared" si="5"/>
        <v/>
      </c>
    </row>
    <row r="59" spans="14:19" ht="14.4">
      <c r="N59" s="150" t="str">
        <f t="shared" si="0"/>
        <v/>
      </c>
      <c r="O59" s="150" t="str">
        <f t="shared" si="1"/>
        <v/>
      </c>
      <c r="P59" s="150" t="str">
        <f t="shared" si="2"/>
        <v/>
      </c>
      <c r="Q59" s="150" t="str">
        <f t="shared" si="3"/>
        <v/>
      </c>
      <c r="R59" s="150" t="str">
        <f t="shared" si="4"/>
        <v/>
      </c>
      <c r="S59" s="185" t="str">
        <f t="shared" si="5"/>
        <v/>
      </c>
    </row>
    <row r="60" spans="14:19" ht="14.4">
      <c r="N60" s="150" t="str">
        <f t="shared" si="0"/>
        <v/>
      </c>
      <c r="O60" s="150" t="str">
        <f t="shared" si="1"/>
        <v/>
      </c>
      <c r="P60" s="150" t="str">
        <f t="shared" si="2"/>
        <v/>
      </c>
      <c r="Q60" s="150" t="str">
        <f t="shared" si="3"/>
        <v/>
      </c>
      <c r="R60" s="150" t="str">
        <f t="shared" si="4"/>
        <v/>
      </c>
      <c r="S60" s="185" t="str">
        <f t="shared" si="5"/>
        <v/>
      </c>
    </row>
    <row r="61" spans="14:19" ht="14.4">
      <c r="N61" s="150" t="str">
        <f t="shared" si="0"/>
        <v/>
      </c>
      <c r="O61" s="150" t="str">
        <f t="shared" si="1"/>
        <v/>
      </c>
      <c r="P61" s="150" t="str">
        <f t="shared" si="2"/>
        <v/>
      </c>
      <c r="Q61" s="150" t="str">
        <f t="shared" si="3"/>
        <v/>
      </c>
      <c r="R61" s="150" t="str">
        <f t="shared" si="4"/>
        <v/>
      </c>
      <c r="S61" s="185" t="str">
        <f t="shared" si="5"/>
        <v/>
      </c>
    </row>
    <row r="62" spans="14:19" ht="14.4">
      <c r="N62" s="150" t="str">
        <f t="shared" si="0"/>
        <v/>
      </c>
      <c r="O62" s="150" t="str">
        <f t="shared" si="1"/>
        <v/>
      </c>
      <c r="P62" s="150" t="str">
        <f t="shared" si="2"/>
        <v/>
      </c>
      <c r="Q62" s="150" t="str">
        <f t="shared" si="3"/>
        <v/>
      </c>
      <c r="R62" s="150" t="str">
        <f t="shared" si="4"/>
        <v/>
      </c>
      <c r="S62" s="185" t="str">
        <f t="shared" si="5"/>
        <v/>
      </c>
    </row>
    <row r="63" spans="14:19" ht="14.4">
      <c r="N63" s="150" t="str">
        <f t="shared" si="0"/>
        <v/>
      </c>
      <c r="O63" s="150" t="str">
        <f t="shared" si="1"/>
        <v/>
      </c>
      <c r="P63" s="150" t="str">
        <f t="shared" si="2"/>
        <v/>
      </c>
      <c r="Q63" s="150" t="str">
        <f t="shared" si="3"/>
        <v/>
      </c>
      <c r="R63" s="150" t="str">
        <f t="shared" si="4"/>
        <v/>
      </c>
      <c r="S63" s="185" t="str">
        <f t="shared" si="5"/>
        <v/>
      </c>
    </row>
    <row r="64" spans="14:19" ht="14.4">
      <c r="N64" s="150" t="str">
        <f t="shared" si="0"/>
        <v/>
      </c>
      <c r="O64" s="150" t="str">
        <f t="shared" si="1"/>
        <v/>
      </c>
      <c r="P64" s="150" t="str">
        <f t="shared" si="2"/>
        <v/>
      </c>
      <c r="Q64" s="150" t="str">
        <f t="shared" si="3"/>
        <v/>
      </c>
      <c r="R64" s="150" t="str">
        <f t="shared" si="4"/>
        <v/>
      </c>
      <c r="S64" s="185" t="str">
        <f t="shared" si="5"/>
        <v/>
      </c>
    </row>
    <row r="65" spans="14:19" ht="14.4">
      <c r="N65" s="150" t="str">
        <f t="shared" si="0"/>
        <v/>
      </c>
      <c r="O65" s="150" t="str">
        <f t="shared" si="1"/>
        <v/>
      </c>
      <c r="P65" s="150" t="str">
        <f t="shared" si="2"/>
        <v/>
      </c>
      <c r="Q65" s="150" t="str">
        <f t="shared" si="3"/>
        <v/>
      </c>
      <c r="R65" s="150" t="str">
        <f t="shared" si="4"/>
        <v/>
      </c>
      <c r="S65" s="185" t="str">
        <f t="shared" si="5"/>
        <v/>
      </c>
    </row>
    <row r="66" spans="14:19" ht="14.4">
      <c r="N66" s="150" t="str">
        <f t="shared" si="0"/>
        <v/>
      </c>
      <c r="O66" s="150" t="str">
        <f t="shared" si="1"/>
        <v/>
      </c>
      <c r="P66" s="150" t="str">
        <f t="shared" si="2"/>
        <v/>
      </c>
      <c r="Q66" s="150" t="str">
        <f t="shared" si="3"/>
        <v/>
      </c>
      <c r="R66" s="150" t="str">
        <f t="shared" si="4"/>
        <v/>
      </c>
      <c r="S66" s="185" t="str">
        <f t="shared" si="5"/>
        <v/>
      </c>
    </row>
    <row r="67" spans="14:19" ht="14.4">
      <c r="N67" s="150" t="str">
        <f t="shared" ref="N67:N130" si="6">IF(LEN(A67)&gt;18,A67,"")</f>
        <v/>
      </c>
      <c r="O67" s="150" t="str">
        <f t="shared" ref="O67:O130" si="7">IF(ISNUMBER(IF(N67="",B67,"")),B67,"")</f>
        <v/>
      </c>
      <c r="P67" s="150" t="str">
        <f t="shared" ref="P67:P130" si="8">IF(ISNUMBER(IF($N67="",C67,"")),C67,"")</f>
        <v/>
      </c>
      <c r="Q67" s="150" t="str">
        <f t="shared" ref="Q67:Q130" si="9">IF(ISNUMBER(IF($N67="",D67,"")),D67,"")</f>
        <v/>
      </c>
      <c r="R67" s="150" t="str">
        <f t="shared" ref="R67:R130" si="10">IF(ISNUMBER(IF($N67="",F67,"")),F67,"")</f>
        <v/>
      </c>
      <c r="S67" s="185" t="str">
        <f t="shared" ref="S67:S130" si="11">IF(ISNUMBER(IF($N67="",H67,"")),H67,"")</f>
        <v/>
      </c>
    </row>
    <row r="68" spans="14:19" ht="14.4">
      <c r="N68" s="150" t="str">
        <f t="shared" si="6"/>
        <v/>
      </c>
      <c r="O68" s="150" t="str">
        <f t="shared" si="7"/>
        <v/>
      </c>
      <c r="P68" s="150" t="str">
        <f t="shared" si="8"/>
        <v/>
      </c>
      <c r="Q68" s="150" t="str">
        <f t="shared" si="9"/>
        <v/>
      </c>
      <c r="R68" s="150" t="str">
        <f t="shared" si="10"/>
        <v/>
      </c>
      <c r="S68" s="185" t="str">
        <f t="shared" si="11"/>
        <v/>
      </c>
    </row>
    <row r="69" spans="14:19" ht="14.4">
      <c r="N69" s="150" t="str">
        <f t="shared" si="6"/>
        <v/>
      </c>
      <c r="O69" s="150" t="str">
        <f t="shared" si="7"/>
        <v/>
      </c>
      <c r="P69" s="150" t="str">
        <f t="shared" si="8"/>
        <v/>
      </c>
      <c r="Q69" s="150" t="str">
        <f t="shared" si="9"/>
        <v/>
      </c>
      <c r="R69" s="150" t="str">
        <f t="shared" si="10"/>
        <v/>
      </c>
      <c r="S69" s="185" t="str">
        <f t="shared" si="11"/>
        <v/>
      </c>
    </row>
    <row r="70" spans="14:19" ht="14.4">
      <c r="N70" s="150" t="str">
        <f t="shared" si="6"/>
        <v/>
      </c>
      <c r="O70" s="150" t="str">
        <f t="shared" si="7"/>
        <v/>
      </c>
      <c r="P70" s="150" t="str">
        <f t="shared" si="8"/>
        <v/>
      </c>
      <c r="Q70" s="150" t="str">
        <f t="shared" si="9"/>
        <v/>
      </c>
      <c r="R70" s="150" t="str">
        <f t="shared" si="10"/>
        <v/>
      </c>
      <c r="S70" s="185" t="str">
        <f t="shared" si="11"/>
        <v/>
      </c>
    </row>
    <row r="71" spans="14:19" ht="14.4">
      <c r="N71" s="150" t="str">
        <f t="shared" si="6"/>
        <v/>
      </c>
      <c r="O71" s="150" t="str">
        <f t="shared" si="7"/>
        <v/>
      </c>
      <c r="P71" s="150" t="str">
        <f t="shared" si="8"/>
        <v/>
      </c>
      <c r="Q71" s="150" t="str">
        <f t="shared" si="9"/>
        <v/>
      </c>
      <c r="R71" s="150" t="str">
        <f t="shared" si="10"/>
        <v/>
      </c>
      <c r="S71" s="185" t="str">
        <f t="shared" si="11"/>
        <v/>
      </c>
    </row>
    <row r="72" spans="14:19" ht="14.4">
      <c r="N72" s="150" t="str">
        <f t="shared" si="6"/>
        <v/>
      </c>
      <c r="O72" s="150" t="str">
        <f t="shared" si="7"/>
        <v/>
      </c>
      <c r="P72" s="150" t="str">
        <f t="shared" si="8"/>
        <v/>
      </c>
      <c r="Q72" s="150" t="str">
        <f t="shared" si="9"/>
        <v/>
      </c>
      <c r="R72" s="150" t="str">
        <f t="shared" si="10"/>
        <v/>
      </c>
      <c r="S72" s="185" t="str">
        <f t="shared" si="11"/>
        <v/>
      </c>
    </row>
    <row r="73" spans="14:19" ht="14.4">
      <c r="N73" s="150" t="str">
        <f t="shared" si="6"/>
        <v/>
      </c>
      <c r="O73" s="150" t="str">
        <f t="shared" si="7"/>
        <v/>
      </c>
      <c r="P73" s="150" t="str">
        <f t="shared" si="8"/>
        <v/>
      </c>
      <c r="Q73" s="150" t="str">
        <f t="shared" si="9"/>
        <v/>
      </c>
      <c r="R73" s="150" t="str">
        <f t="shared" si="10"/>
        <v/>
      </c>
      <c r="S73" s="185" t="str">
        <f t="shared" si="11"/>
        <v/>
      </c>
    </row>
    <row r="74" spans="14:19" ht="14.4">
      <c r="N74" s="150" t="str">
        <f t="shared" si="6"/>
        <v/>
      </c>
      <c r="O74" s="150" t="str">
        <f t="shared" si="7"/>
        <v/>
      </c>
      <c r="P74" s="150" t="str">
        <f t="shared" si="8"/>
        <v/>
      </c>
      <c r="Q74" s="150" t="str">
        <f t="shared" si="9"/>
        <v/>
      </c>
      <c r="R74" s="150" t="str">
        <f t="shared" si="10"/>
        <v/>
      </c>
      <c r="S74" s="185" t="str">
        <f t="shared" si="11"/>
        <v/>
      </c>
    </row>
    <row r="75" spans="14:19" ht="14.4">
      <c r="N75" s="150" t="str">
        <f t="shared" si="6"/>
        <v/>
      </c>
      <c r="O75" s="150" t="str">
        <f t="shared" si="7"/>
        <v/>
      </c>
      <c r="P75" s="150" t="str">
        <f t="shared" si="8"/>
        <v/>
      </c>
      <c r="Q75" s="150" t="str">
        <f t="shared" si="9"/>
        <v/>
      </c>
      <c r="R75" s="150" t="str">
        <f t="shared" si="10"/>
        <v/>
      </c>
      <c r="S75" s="185" t="str">
        <f t="shared" si="11"/>
        <v/>
      </c>
    </row>
    <row r="76" spans="14:19" ht="14.4">
      <c r="N76" s="150" t="str">
        <f t="shared" si="6"/>
        <v/>
      </c>
      <c r="O76" s="150" t="str">
        <f t="shared" si="7"/>
        <v/>
      </c>
      <c r="P76" s="150" t="str">
        <f t="shared" si="8"/>
        <v/>
      </c>
      <c r="Q76" s="150" t="str">
        <f t="shared" si="9"/>
        <v/>
      </c>
      <c r="R76" s="150" t="str">
        <f t="shared" si="10"/>
        <v/>
      </c>
      <c r="S76" s="185" t="str">
        <f t="shared" si="11"/>
        <v/>
      </c>
    </row>
    <row r="77" spans="14:19" ht="14.4">
      <c r="N77" s="150" t="str">
        <f t="shared" si="6"/>
        <v/>
      </c>
      <c r="O77" s="150" t="str">
        <f t="shared" si="7"/>
        <v/>
      </c>
      <c r="P77" s="150" t="str">
        <f t="shared" si="8"/>
        <v/>
      </c>
      <c r="Q77" s="150" t="str">
        <f t="shared" si="9"/>
        <v/>
      </c>
      <c r="R77" s="150" t="str">
        <f t="shared" si="10"/>
        <v/>
      </c>
      <c r="S77" s="185" t="str">
        <f t="shared" si="11"/>
        <v/>
      </c>
    </row>
    <row r="78" spans="14:19" ht="14.4">
      <c r="N78" s="150" t="str">
        <f t="shared" si="6"/>
        <v/>
      </c>
      <c r="O78" s="150" t="str">
        <f t="shared" si="7"/>
        <v/>
      </c>
      <c r="P78" s="150" t="str">
        <f t="shared" si="8"/>
        <v/>
      </c>
      <c r="Q78" s="150" t="str">
        <f t="shared" si="9"/>
        <v/>
      </c>
      <c r="R78" s="150" t="str">
        <f t="shared" si="10"/>
        <v/>
      </c>
      <c r="S78" s="185" t="str">
        <f t="shared" si="11"/>
        <v/>
      </c>
    </row>
    <row r="79" spans="14:19" ht="14.4">
      <c r="N79" s="150" t="str">
        <f t="shared" si="6"/>
        <v/>
      </c>
      <c r="O79" s="150" t="str">
        <f t="shared" si="7"/>
        <v/>
      </c>
      <c r="P79" s="150" t="str">
        <f t="shared" si="8"/>
        <v/>
      </c>
      <c r="Q79" s="150" t="str">
        <f t="shared" si="9"/>
        <v/>
      </c>
      <c r="R79" s="150" t="str">
        <f t="shared" si="10"/>
        <v/>
      </c>
      <c r="S79" s="185" t="str">
        <f t="shared" si="11"/>
        <v/>
      </c>
    </row>
    <row r="80" spans="14:19" ht="14.4">
      <c r="N80" s="150" t="str">
        <f t="shared" si="6"/>
        <v/>
      </c>
      <c r="O80" s="150" t="str">
        <f t="shared" si="7"/>
        <v/>
      </c>
      <c r="P80" s="150" t="str">
        <f t="shared" si="8"/>
        <v/>
      </c>
      <c r="Q80" s="150" t="str">
        <f t="shared" si="9"/>
        <v/>
      </c>
      <c r="R80" s="150" t="str">
        <f t="shared" si="10"/>
        <v/>
      </c>
      <c r="S80" s="185" t="str">
        <f t="shared" si="11"/>
        <v/>
      </c>
    </row>
    <row r="81" spans="14:19" ht="14.4">
      <c r="N81" s="150" t="str">
        <f t="shared" si="6"/>
        <v/>
      </c>
      <c r="O81" s="150" t="str">
        <f t="shared" si="7"/>
        <v/>
      </c>
      <c r="P81" s="150" t="str">
        <f t="shared" si="8"/>
        <v/>
      </c>
      <c r="Q81" s="150" t="str">
        <f t="shared" si="9"/>
        <v/>
      </c>
      <c r="R81" s="150" t="str">
        <f t="shared" si="10"/>
        <v/>
      </c>
      <c r="S81" s="185" t="str">
        <f t="shared" si="11"/>
        <v/>
      </c>
    </row>
    <row r="82" spans="14:19" ht="14.4">
      <c r="N82" s="150" t="str">
        <f t="shared" si="6"/>
        <v/>
      </c>
      <c r="O82" s="150" t="str">
        <f t="shared" si="7"/>
        <v/>
      </c>
      <c r="P82" s="150" t="str">
        <f t="shared" si="8"/>
        <v/>
      </c>
      <c r="Q82" s="150" t="str">
        <f t="shared" si="9"/>
        <v/>
      </c>
      <c r="R82" s="150" t="str">
        <f t="shared" si="10"/>
        <v/>
      </c>
      <c r="S82" s="185" t="str">
        <f t="shared" si="11"/>
        <v/>
      </c>
    </row>
    <row r="83" spans="14:19" ht="14.4">
      <c r="N83" s="150" t="str">
        <f t="shared" si="6"/>
        <v/>
      </c>
      <c r="O83" s="150" t="str">
        <f t="shared" si="7"/>
        <v/>
      </c>
      <c r="P83" s="150" t="str">
        <f t="shared" si="8"/>
        <v/>
      </c>
      <c r="Q83" s="150" t="str">
        <f t="shared" si="9"/>
        <v/>
      </c>
      <c r="R83" s="150" t="str">
        <f t="shared" si="10"/>
        <v/>
      </c>
      <c r="S83" s="185" t="str">
        <f t="shared" si="11"/>
        <v/>
      </c>
    </row>
    <row r="84" spans="14:19" ht="14.4">
      <c r="N84" s="150" t="str">
        <f t="shared" si="6"/>
        <v/>
      </c>
      <c r="O84" s="150" t="str">
        <f t="shared" si="7"/>
        <v/>
      </c>
      <c r="P84" s="150" t="str">
        <f t="shared" si="8"/>
        <v/>
      </c>
      <c r="Q84" s="150" t="str">
        <f t="shared" si="9"/>
        <v/>
      </c>
      <c r="R84" s="150" t="str">
        <f t="shared" si="10"/>
        <v/>
      </c>
      <c r="S84" s="185" t="str">
        <f t="shared" si="11"/>
        <v/>
      </c>
    </row>
    <row r="85" spans="14:19" ht="14.4">
      <c r="N85" s="150" t="str">
        <f t="shared" si="6"/>
        <v/>
      </c>
      <c r="O85" s="150" t="str">
        <f t="shared" si="7"/>
        <v/>
      </c>
      <c r="P85" s="150" t="str">
        <f t="shared" si="8"/>
        <v/>
      </c>
      <c r="Q85" s="150" t="str">
        <f t="shared" si="9"/>
        <v/>
      </c>
      <c r="R85" s="150" t="str">
        <f t="shared" si="10"/>
        <v/>
      </c>
      <c r="S85" s="185" t="str">
        <f t="shared" si="11"/>
        <v/>
      </c>
    </row>
    <row r="86" spans="14:19" ht="14.4">
      <c r="N86" s="150" t="str">
        <f t="shared" si="6"/>
        <v/>
      </c>
      <c r="O86" s="150" t="str">
        <f t="shared" si="7"/>
        <v/>
      </c>
      <c r="P86" s="150" t="str">
        <f t="shared" si="8"/>
        <v/>
      </c>
      <c r="Q86" s="150" t="str">
        <f t="shared" si="9"/>
        <v/>
      </c>
      <c r="R86" s="150" t="str">
        <f t="shared" si="10"/>
        <v/>
      </c>
      <c r="S86" s="185" t="str">
        <f t="shared" si="11"/>
        <v/>
      </c>
    </row>
    <row r="87" spans="14:19" ht="14.4">
      <c r="N87" s="150" t="str">
        <f t="shared" si="6"/>
        <v/>
      </c>
      <c r="O87" s="150" t="str">
        <f t="shared" si="7"/>
        <v/>
      </c>
      <c r="P87" s="150" t="str">
        <f t="shared" si="8"/>
        <v/>
      </c>
      <c r="Q87" s="150" t="str">
        <f t="shared" si="9"/>
        <v/>
      </c>
      <c r="R87" s="150" t="str">
        <f t="shared" si="10"/>
        <v/>
      </c>
      <c r="S87" s="185" t="str">
        <f t="shared" si="11"/>
        <v/>
      </c>
    </row>
    <row r="88" spans="14:19" ht="14.4">
      <c r="N88" s="150" t="str">
        <f t="shared" si="6"/>
        <v/>
      </c>
      <c r="O88" s="150" t="str">
        <f t="shared" si="7"/>
        <v/>
      </c>
      <c r="P88" s="150" t="str">
        <f t="shared" si="8"/>
        <v/>
      </c>
      <c r="Q88" s="150" t="str">
        <f t="shared" si="9"/>
        <v/>
      </c>
      <c r="R88" s="150" t="str">
        <f t="shared" si="10"/>
        <v/>
      </c>
      <c r="S88" s="185" t="str">
        <f t="shared" si="11"/>
        <v/>
      </c>
    </row>
    <row r="89" spans="14:19" ht="14.4">
      <c r="N89" s="150" t="str">
        <f t="shared" si="6"/>
        <v/>
      </c>
      <c r="O89" s="150" t="str">
        <f t="shared" si="7"/>
        <v/>
      </c>
      <c r="P89" s="150" t="str">
        <f t="shared" si="8"/>
        <v/>
      </c>
      <c r="Q89" s="150" t="str">
        <f t="shared" si="9"/>
        <v/>
      </c>
      <c r="R89" s="150" t="str">
        <f t="shared" si="10"/>
        <v/>
      </c>
      <c r="S89" s="185" t="str">
        <f t="shared" si="11"/>
        <v/>
      </c>
    </row>
    <row r="90" spans="14:19" ht="14.4">
      <c r="N90" s="150" t="str">
        <f t="shared" si="6"/>
        <v/>
      </c>
      <c r="O90" s="150" t="str">
        <f t="shared" si="7"/>
        <v/>
      </c>
      <c r="P90" s="150" t="str">
        <f t="shared" si="8"/>
        <v/>
      </c>
      <c r="Q90" s="150" t="str">
        <f t="shared" si="9"/>
        <v/>
      </c>
      <c r="R90" s="150" t="str">
        <f t="shared" si="10"/>
        <v/>
      </c>
      <c r="S90" s="185" t="str">
        <f t="shared" si="11"/>
        <v/>
      </c>
    </row>
    <row r="91" spans="14:19" ht="14.4">
      <c r="N91" s="150" t="str">
        <f t="shared" si="6"/>
        <v/>
      </c>
      <c r="O91" s="150" t="str">
        <f t="shared" si="7"/>
        <v/>
      </c>
      <c r="P91" s="150" t="str">
        <f t="shared" si="8"/>
        <v/>
      </c>
      <c r="Q91" s="150" t="str">
        <f t="shared" si="9"/>
        <v/>
      </c>
      <c r="R91" s="150" t="str">
        <f t="shared" si="10"/>
        <v/>
      </c>
      <c r="S91" s="185" t="str">
        <f t="shared" si="11"/>
        <v/>
      </c>
    </row>
    <row r="92" spans="14:19" ht="14.4">
      <c r="N92" s="150" t="str">
        <f t="shared" si="6"/>
        <v/>
      </c>
      <c r="O92" s="150" t="str">
        <f t="shared" si="7"/>
        <v/>
      </c>
      <c r="P92" s="150" t="str">
        <f t="shared" si="8"/>
        <v/>
      </c>
      <c r="Q92" s="150" t="str">
        <f t="shared" si="9"/>
        <v/>
      </c>
      <c r="R92" s="150" t="str">
        <f t="shared" si="10"/>
        <v/>
      </c>
      <c r="S92" s="185" t="str">
        <f t="shared" si="11"/>
        <v/>
      </c>
    </row>
    <row r="93" spans="14:19" ht="14.4">
      <c r="N93" s="150" t="str">
        <f t="shared" si="6"/>
        <v/>
      </c>
      <c r="O93" s="150" t="str">
        <f t="shared" si="7"/>
        <v/>
      </c>
      <c r="P93" s="150" t="str">
        <f t="shared" si="8"/>
        <v/>
      </c>
      <c r="Q93" s="150" t="str">
        <f t="shared" si="9"/>
        <v/>
      </c>
      <c r="R93" s="150" t="str">
        <f t="shared" si="10"/>
        <v/>
      </c>
      <c r="S93" s="185" t="str">
        <f t="shared" si="11"/>
        <v/>
      </c>
    </row>
    <row r="94" spans="14:19" ht="14.4">
      <c r="N94" s="150" t="str">
        <f t="shared" si="6"/>
        <v/>
      </c>
      <c r="O94" s="150" t="str">
        <f t="shared" si="7"/>
        <v/>
      </c>
      <c r="P94" s="150" t="str">
        <f t="shared" si="8"/>
        <v/>
      </c>
      <c r="Q94" s="150" t="str">
        <f t="shared" si="9"/>
        <v/>
      </c>
      <c r="R94" s="150" t="str">
        <f t="shared" si="10"/>
        <v/>
      </c>
      <c r="S94" s="185" t="str">
        <f t="shared" si="11"/>
        <v/>
      </c>
    </row>
    <row r="95" spans="14:19" ht="14.4">
      <c r="N95" s="150" t="str">
        <f t="shared" si="6"/>
        <v/>
      </c>
      <c r="O95" s="150" t="str">
        <f t="shared" si="7"/>
        <v/>
      </c>
      <c r="P95" s="150" t="str">
        <f t="shared" si="8"/>
        <v/>
      </c>
      <c r="Q95" s="150" t="str">
        <f t="shared" si="9"/>
        <v/>
      </c>
      <c r="R95" s="150" t="str">
        <f t="shared" si="10"/>
        <v/>
      </c>
      <c r="S95" s="185" t="str">
        <f t="shared" si="11"/>
        <v/>
      </c>
    </row>
    <row r="96" spans="14:19" ht="14.4">
      <c r="N96" s="150" t="str">
        <f t="shared" si="6"/>
        <v/>
      </c>
      <c r="O96" s="150" t="str">
        <f t="shared" si="7"/>
        <v/>
      </c>
      <c r="P96" s="150" t="str">
        <f t="shared" si="8"/>
        <v/>
      </c>
      <c r="Q96" s="150" t="str">
        <f t="shared" si="9"/>
        <v/>
      </c>
      <c r="R96" s="150" t="str">
        <f t="shared" si="10"/>
        <v/>
      </c>
      <c r="S96" s="185" t="str">
        <f t="shared" si="11"/>
        <v/>
      </c>
    </row>
    <row r="97" spans="14:19" ht="14.4">
      <c r="N97" s="150" t="str">
        <f t="shared" si="6"/>
        <v/>
      </c>
      <c r="O97" s="150" t="str">
        <f t="shared" si="7"/>
        <v/>
      </c>
      <c r="P97" s="150" t="str">
        <f t="shared" si="8"/>
        <v/>
      </c>
      <c r="Q97" s="150" t="str">
        <f t="shared" si="9"/>
        <v/>
      </c>
      <c r="R97" s="150" t="str">
        <f t="shared" si="10"/>
        <v/>
      </c>
      <c r="S97" s="185" t="str">
        <f t="shared" si="11"/>
        <v/>
      </c>
    </row>
    <row r="98" spans="14:19" ht="14.4">
      <c r="N98" s="150" t="str">
        <f t="shared" si="6"/>
        <v/>
      </c>
      <c r="O98" s="150" t="str">
        <f t="shared" si="7"/>
        <v/>
      </c>
      <c r="P98" s="150" t="str">
        <f t="shared" si="8"/>
        <v/>
      </c>
      <c r="Q98" s="150" t="str">
        <f t="shared" si="9"/>
        <v/>
      </c>
      <c r="R98" s="150" t="str">
        <f t="shared" si="10"/>
        <v/>
      </c>
      <c r="S98" s="185" t="str">
        <f t="shared" si="11"/>
        <v/>
      </c>
    </row>
    <row r="99" spans="14:19" ht="14.4">
      <c r="N99" s="150" t="str">
        <f t="shared" si="6"/>
        <v/>
      </c>
      <c r="O99" s="150" t="str">
        <f t="shared" si="7"/>
        <v/>
      </c>
      <c r="P99" s="150" t="str">
        <f t="shared" si="8"/>
        <v/>
      </c>
      <c r="Q99" s="150" t="str">
        <f t="shared" si="9"/>
        <v/>
      </c>
      <c r="R99" s="150" t="str">
        <f t="shared" si="10"/>
        <v/>
      </c>
      <c r="S99" s="185" t="str">
        <f t="shared" si="11"/>
        <v/>
      </c>
    </row>
    <row r="100" spans="14:19" ht="14.4">
      <c r="N100" s="150" t="str">
        <f t="shared" si="6"/>
        <v/>
      </c>
      <c r="O100" s="150" t="str">
        <f t="shared" si="7"/>
        <v/>
      </c>
      <c r="P100" s="150" t="str">
        <f t="shared" si="8"/>
        <v/>
      </c>
      <c r="Q100" s="150" t="str">
        <f t="shared" si="9"/>
        <v/>
      </c>
      <c r="R100" s="150" t="str">
        <f t="shared" si="10"/>
        <v/>
      </c>
      <c r="S100" s="185" t="str">
        <f t="shared" si="11"/>
        <v/>
      </c>
    </row>
    <row r="101" spans="14:19" ht="14.4">
      <c r="N101" s="150" t="str">
        <f t="shared" si="6"/>
        <v/>
      </c>
      <c r="O101" s="150" t="str">
        <f t="shared" si="7"/>
        <v/>
      </c>
      <c r="P101" s="150" t="str">
        <f t="shared" si="8"/>
        <v/>
      </c>
      <c r="Q101" s="150" t="str">
        <f t="shared" si="9"/>
        <v/>
      </c>
      <c r="R101" s="150" t="str">
        <f t="shared" si="10"/>
        <v/>
      </c>
      <c r="S101" s="185" t="str">
        <f t="shared" si="11"/>
        <v/>
      </c>
    </row>
    <row r="102" spans="14:19" ht="14.4">
      <c r="N102" s="150" t="str">
        <f t="shared" si="6"/>
        <v/>
      </c>
      <c r="O102" s="150" t="str">
        <f t="shared" si="7"/>
        <v/>
      </c>
      <c r="P102" s="150" t="str">
        <f t="shared" si="8"/>
        <v/>
      </c>
      <c r="Q102" s="150" t="str">
        <f t="shared" si="9"/>
        <v/>
      </c>
      <c r="R102" s="150" t="str">
        <f t="shared" si="10"/>
        <v/>
      </c>
      <c r="S102" s="185" t="str">
        <f t="shared" si="11"/>
        <v/>
      </c>
    </row>
    <row r="103" spans="14:19" ht="14.4">
      <c r="N103" s="150" t="str">
        <f t="shared" si="6"/>
        <v/>
      </c>
      <c r="O103" s="150" t="str">
        <f t="shared" si="7"/>
        <v/>
      </c>
      <c r="P103" s="150" t="str">
        <f t="shared" si="8"/>
        <v/>
      </c>
      <c r="Q103" s="150" t="str">
        <f t="shared" si="9"/>
        <v/>
      </c>
      <c r="R103" s="150" t="str">
        <f t="shared" si="10"/>
        <v/>
      </c>
      <c r="S103" s="185" t="str">
        <f t="shared" si="11"/>
        <v/>
      </c>
    </row>
    <row r="104" spans="14:19" ht="14.4">
      <c r="N104" s="150" t="str">
        <f t="shared" si="6"/>
        <v/>
      </c>
      <c r="O104" s="150" t="str">
        <f t="shared" si="7"/>
        <v/>
      </c>
      <c r="P104" s="150" t="str">
        <f t="shared" si="8"/>
        <v/>
      </c>
      <c r="Q104" s="150" t="str">
        <f t="shared" si="9"/>
        <v/>
      </c>
      <c r="R104" s="150" t="str">
        <f t="shared" si="10"/>
        <v/>
      </c>
      <c r="S104" s="185" t="str">
        <f t="shared" si="11"/>
        <v/>
      </c>
    </row>
    <row r="105" spans="14:19" ht="14.4">
      <c r="N105" s="150" t="str">
        <f t="shared" si="6"/>
        <v/>
      </c>
      <c r="O105" s="150" t="str">
        <f t="shared" si="7"/>
        <v/>
      </c>
      <c r="P105" s="150" t="str">
        <f t="shared" si="8"/>
        <v/>
      </c>
      <c r="Q105" s="150" t="str">
        <f t="shared" si="9"/>
        <v/>
      </c>
      <c r="R105" s="150" t="str">
        <f t="shared" si="10"/>
        <v/>
      </c>
      <c r="S105" s="185" t="str">
        <f t="shared" si="11"/>
        <v/>
      </c>
    </row>
    <row r="106" spans="14:19" ht="14.4">
      <c r="N106" s="150" t="str">
        <f t="shared" si="6"/>
        <v/>
      </c>
      <c r="O106" s="150" t="str">
        <f t="shared" si="7"/>
        <v/>
      </c>
      <c r="P106" s="150" t="str">
        <f t="shared" si="8"/>
        <v/>
      </c>
      <c r="Q106" s="150" t="str">
        <f t="shared" si="9"/>
        <v/>
      </c>
      <c r="R106" s="150" t="str">
        <f t="shared" si="10"/>
        <v/>
      </c>
      <c r="S106" s="185" t="str">
        <f t="shared" si="11"/>
        <v/>
      </c>
    </row>
    <row r="107" spans="14:19" ht="14.4">
      <c r="N107" s="150" t="str">
        <f t="shared" si="6"/>
        <v/>
      </c>
      <c r="O107" s="150" t="str">
        <f t="shared" si="7"/>
        <v/>
      </c>
      <c r="P107" s="150" t="str">
        <f t="shared" si="8"/>
        <v/>
      </c>
      <c r="Q107" s="150" t="str">
        <f t="shared" si="9"/>
        <v/>
      </c>
      <c r="R107" s="150" t="str">
        <f t="shared" si="10"/>
        <v/>
      </c>
      <c r="S107" s="185" t="str">
        <f t="shared" si="11"/>
        <v/>
      </c>
    </row>
    <row r="108" spans="14:19" ht="14.4">
      <c r="N108" s="150" t="str">
        <f t="shared" si="6"/>
        <v/>
      </c>
      <c r="O108" s="150" t="str">
        <f t="shared" si="7"/>
        <v/>
      </c>
      <c r="P108" s="150" t="str">
        <f t="shared" si="8"/>
        <v/>
      </c>
      <c r="Q108" s="150" t="str">
        <f t="shared" si="9"/>
        <v/>
      </c>
      <c r="R108" s="150" t="str">
        <f t="shared" si="10"/>
        <v/>
      </c>
      <c r="S108" s="185" t="str">
        <f t="shared" si="11"/>
        <v/>
      </c>
    </row>
    <row r="109" spans="14:19" ht="14.4">
      <c r="N109" s="150" t="str">
        <f t="shared" si="6"/>
        <v/>
      </c>
      <c r="O109" s="150" t="str">
        <f t="shared" si="7"/>
        <v/>
      </c>
      <c r="P109" s="150" t="str">
        <f t="shared" si="8"/>
        <v/>
      </c>
      <c r="Q109" s="150" t="str">
        <f t="shared" si="9"/>
        <v/>
      </c>
      <c r="R109" s="150" t="str">
        <f t="shared" si="10"/>
        <v/>
      </c>
      <c r="S109" s="185" t="str">
        <f t="shared" si="11"/>
        <v/>
      </c>
    </row>
    <row r="110" spans="14:19" ht="14.4">
      <c r="N110" s="150" t="str">
        <f t="shared" si="6"/>
        <v/>
      </c>
      <c r="O110" s="150" t="str">
        <f t="shared" si="7"/>
        <v/>
      </c>
      <c r="P110" s="150" t="str">
        <f t="shared" si="8"/>
        <v/>
      </c>
      <c r="Q110" s="150" t="str">
        <f t="shared" si="9"/>
        <v/>
      </c>
      <c r="R110" s="150" t="str">
        <f t="shared" si="10"/>
        <v/>
      </c>
      <c r="S110" s="185" t="str">
        <f t="shared" si="11"/>
        <v/>
      </c>
    </row>
    <row r="111" spans="14:19" ht="14.4">
      <c r="N111" s="150" t="str">
        <f t="shared" si="6"/>
        <v/>
      </c>
      <c r="O111" s="150" t="str">
        <f t="shared" si="7"/>
        <v/>
      </c>
      <c r="P111" s="150" t="str">
        <f t="shared" si="8"/>
        <v/>
      </c>
      <c r="Q111" s="150" t="str">
        <f t="shared" si="9"/>
        <v/>
      </c>
      <c r="R111" s="150" t="str">
        <f t="shared" si="10"/>
        <v/>
      </c>
      <c r="S111" s="185" t="str">
        <f t="shared" si="11"/>
        <v/>
      </c>
    </row>
    <row r="112" spans="14:19" ht="14.4">
      <c r="N112" s="150" t="str">
        <f t="shared" si="6"/>
        <v/>
      </c>
      <c r="O112" s="150" t="str">
        <f t="shared" si="7"/>
        <v/>
      </c>
      <c r="P112" s="150" t="str">
        <f t="shared" si="8"/>
        <v/>
      </c>
      <c r="Q112" s="150" t="str">
        <f t="shared" si="9"/>
        <v/>
      </c>
      <c r="R112" s="150" t="str">
        <f t="shared" si="10"/>
        <v/>
      </c>
      <c r="S112" s="185" t="str">
        <f t="shared" si="11"/>
        <v/>
      </c>
    </row>
    <row r="113" spans="14:19" ht="14.4">
      <c r="N113" s="150" t="str">
        <f t="shared" si="6"/>
        <v/>
      </c>
      <c r="O113" s="150" t="str">
        <f t="shared" si="7"/>
        <v/>
      </c>
      <c r="P113" s="150" t="str">
        <f t="shared" si="8"/>
        <v/>
      </c>
      <c r="Q113" s="150" t="str">
        <f t="shared" si="9"/>
        <v/>
      </c>
      <c r="R113" s="150" t="str">
        <f t="shared" si="10"/>
        <v/>
      </c>
      <c r="S113" s="185" t="str">
        <f t="shared" si="11"/>
        <v/>
      </c>
    </row>
    <row r="114" spans="14:19" ht="14.4">
      <c r="N114" s="150" t="str">
        <f t="shared" si="6"/>
        <v/>
      </c>
      <c r="O114" s="150" t="str">
        <f t="shared" si="7"/>
        <v/>
      </c>
      <c r="P114" s="150" t="str">
        <f t="shared" si="8"/>
        <v/>
      </c>
      <c r="Q114" s="150" t="str">
        <f t="shared" si="9"/>
        <v/>
      </c>
      <c r="R114" s="150" t="str">
        <f t="shared" si="10"/>
        <v/>
      </c>
      <c r="S114" s="185" t="str">
        <f t="shared" si="11"/>
        <v/>
      </c>
    </row>
    <row r="115" spans="14:19" ht="14.4">
      <c r="N115" s="150" t="str">
        <f t="shared" si="6"/>
        <v/>
      </c>
      <c r="O115" s="150" t="str">
        <f t="shared" si="7"/>
        <v/>
      </c>
      <c r="P115" s="150" t="str">
        <f t="shared" si="8"/>
        <v/>
      </c>
      <c r="Q115" s="150" t="str">
        <f t="shared" si="9"/>
        <v/>
      </c>
      <c r="R115" s="150" t="str">
        <f t="shared" si="10"/>
        <v/>
      </c>
      <c r="S115" s="185" t="str">
        <f t="shared" si="11"/>
        <v/>
      </c>
    </row>
    <row r="116" spans="14:19" ht="14.4">
      <c r="N116" s="150" t="str">
        <f t="shared" si="6"/>
        <v/>
      </c>
      <c r="O116" s="150" t="str">
        <f t="shared" si="7"/>
        <v/>
      </c>
      <c r="P116" s="150" t="str">
        <f t="shared" si="8"/>
        <v/>
      </c>
      <c r="Q116" s="150" t="str">
        <f t="shared" si="9"/>
        <v/>
      </c>
      <c r="R116" s="150" t="str">
        <f t="shared" si="10"/>
        <v/>
      </c>
      <c r="S116" s="185" t="str">
        <f t="shared" si="11"/>
        <v/>
      </c>
    </row>
    <row r="117" spans="14:19" ht="14.4">
      <c r="N117" s="150" t="str">
        <f t="shared" si="6"/>
        <v/>
      </c>
      <c r="O117" s="150" t="str">
        <f t="shared" si="7"/>
        <v/>
      </c>
      <c r="P117" s="150" t="str">
        <f t="shared" si="8"/>
        <v/>
      </c>
      <c r="Q117" s="150" t="str">
        <f t="shared" si="9"/>
        <v/>
      </c>
      <c r="R117" s="150" t="str">
        <f t="shared" si="10"/>
        <v/>
      </c>
      <c r="S117" s="185" t="str">
        <f t="shared" si="11"/>
        <v/>
      </c>
    </row>
    <row r="118" spans="14:19" ht="14.4">
      <c r="N118" s="150" t="str">
        <f t="shared" si="6"/>
        <v/>
      </c>
      <c r="O118" s="150" t="str">
        <f t="shared" si="7"/>
        <v/>
      </c>
      <c r="P118" s="150" t="str">
        <f t="shared" si="8"/>
        <v/>
      </c>
      <c r="Q118" s="150" t="str">
        <f t="shared" si="9"/>
        <v/>
      </c>
      <c r="R118" s="150" t="str">
        <f t="shared" si="10"/>
        <v/>
      </c>
      <c r="S118" s="185" t="str">
        <f t="shared" si="11"/>
        <v/>
      </c>
    </row>
    <row r="119" spans="14:19" ht="14.4">
      <c r="N119" s="150" t="str">
        <f t="shared" si="6"/>
        <v/>
      </c>
      <c r="O119" s="150" t="str">
        <f t="shared" si="7"/>
        <v/>
      </c>
      <c r="P119" s="150" t="str">
        <f t="shared" si="8"/>
        <v/>
      </c>
      <c r="Q119" s="150" t="str">
        <f t="shared" si="9"/>
        <v/>
      </c>
      <c r="R119" s="150" t="str">
        <f t="shared" si="10"/>
        <v/>
      </c>
      <c r="S119" s="185" t="str">
        <f t="shared" si="11"/>
        <v/>
      </c>
    </row>
    <row r="120" spans="14:19" ht="14.4">
      <c r="N120" s="150" t="str">
        <f t="shared" si="6"/>
        <v/>
      </c>
      <c r="O120" s="150" t="str">
        <f t="shared" si="7"/>
        <v/>
      </c>
      <c r="P120" s="150" t="str">
        <f t="shared" si="8"/>
        <v/>
      </c>
      <c r="Q120" s="150" t="str">
        <f t="shared" si="9"/>
        <v/>
      </c>
      <c r="R120" s="150" t="str">
        <f t="shared" si="10"/>
        <v/>
      </c>
      <c r="S120" s="185" t="str">
        <f t="shared" si="11"/>
        <v/>
      </c>
    </row>
    <row r="121" spans="14:19" ht="14.4">
      <c r="N121" s="150" t="str">
        <f t="shared" si="6"/>
        <v/>
      </c>
      <c r="O121" s="150" t="str">
        <f t="shared" si="7"/>
        <v/>
      </c>
      <c r="P121" s="150" t="str">
        <f t="shared" si="8"/>
        <v/>
      </c>
      <c r="Q121" s="150" t="str">
        <f t="shared" si="9"/>
        <v/>
      </c>
      <c r="R121" s="150" t="str">
        <f t="shared" si="10"/>
        <v/>
      </c>
      <c r="S121" s="185" t="str">
        <f t="shared" si="11"/>
        <v/>
      </c>
    </row>
    <row r="122" spans="14:19" ht="14.4">
      <c r="N122" s="150" t="str">
        <f t="shared" si="6"/>
        <v/>
      </c>
      <c r="O122" s="150" t="str">
        <f t="shared" si="7"/>
        <v/>
      </c>
      <c r="P122" s="150" t="str">
        <f t="shared" si="8"/>
        <v/>
      </c>
      <c r="Q122" s="150" t="str">
        <f t="shared" si="9"/>
        <v/>
      </c>
      <c r="R122" s="150" t="str">
        <f t="shared" si="10"/>
        <v/>
      </c>
      <c r="S122" s="185" t="str">
        <f t="shared" si="11"/>
        <v/>
      </c>
    </row>
    <row r="123" spans="14:19" ht="14.4">
      <c r="N123" s="150" t="str">
        <f t="shared" si="6"/>
        <v/>
      </c>
      <c r="O123" s="150" t="str">
        <f t="shared" si="7"/>
        <v/>
      </c>
      <c r="P123" s="150" t="str">
        <f t="shared" si="8"/>
        <v/>
      </c>
      <c r="Q123" s="150" t="str">
        <f t="shared" si="9"/>
        <v/>
      </c>
      <c r="R123" s="150" t="str">
        <f t="shared" si="10"/>
        <v/>
      </c>
      <c r="S123" s="185" t="str">
        <f t="shared" si="11"/>
        <v/>
      </c>
    </row>
    <row r="124" spans="14:19" ht="14.4">
      <c r="N124" s="150" t="str">
        <f t="shared" si="6"/>
        <v/>
      </c>
      <c r="O124" s="150" t="str">
        <f t="shared" si="7"/>
        <v/>
      </c>
      <c r="P124" s="150" t="str">
        <f t="shared" si="8"/>
        <v/>
      </c>
      <c r="Q124" s="150" t="str">
        <f t="shared" si="9"/>
        <v/>
      </c>
      <c r="R124" s="150" t="str">
        <f t="shared" si="10"/>
        <v/>
      </c>
      <c r="S124" s="185" t="str">
        <f t="shared" si="11"/>
        <v/>
      </c>
    </row>
    <row r="125" spans="14:19" ht="14.4">
      <c r="N125" s="150" t="str">
        <f t="shared" si="6"/>
        <v/>
      </c>
      <c r="O125" s="150" t="str">
        <f t="shared" si="7"/>
        <v/>
      </c>
      <c r="P125" s="150" t="str">
        <f t="shared" si="8"/>
        <v/>
      </c>
      <c r="Q125" s="150" t="str">
        <f t="shared" si="9"/>
        <v/>
      </c>
      <c r="R125" s="150" t="str">
        <f t="shared" si="10"/>
        <v/>
      </c>
      <c r="S125" s="185" t="str">
        <f t="shared" si="11"/>
        <v/>
      </c>
    </row>
    <row r="126" spans="14:19" ht="14.4">
      <c r="N126" s="150" t="str">
        <f t="shared" si="6"/>
        <v/>
      </c>
      <c r="O126" s="150" t="str">
        <f t="shared" si="7"/>
        <v/>
      </c>
      <c r="P126" s="150" t="str">
        <f t="shared" si="8"/>
        <v/>
      </c>
      <c r="Q126" s="150" t="str">
        <f t="shared" si="9"/>
        <v/>
      </c>
      <c r="R126" s="150" t="str">
        <f t="shared" si="10"/>
        <v/>
      </c>
      <c r="S126" s="185" t="str">
        <f t="shared" si="11"/>
        <v/>
      </c>
    </row>
    <row r="127" spans="14:19" ht="14.4">
      <c r="N127" s="150" t="str">
        <f t="shared" si="6"/>
        <v/>
      </c>
      <c r="O127" s="150" t="str">
        <f t="shared" si="7"/>
        <v/>
      </c>
      <c r="P127" s="150" t="str">
        <f t="shared" si="8"/>
        <v/>
      </c>
      <c r="Q127" s="150" t="str">
        <f t="shared" si="9"/>
        <v/>
      </c>
      <c r="R127" s="150" t="str">
        <f t="shared" si="10"/>
        <v/>
      </c>
      <c r="S127" s="185" t="str">
        <f t="shared" si="11"/>
        <v/>
      </c>
    </row>
    <row r="128" spans="14:19" ht="14.4">
      <c r="N128" s="150" t="str">
        <f t="shared" si="6"/>
        <v/>
      </c>
      <c r="O128" s="150" t="str">
        <f t="shared" si="7"/>
        <v/>
      </c>
      <c r="P128" s="150" t="str">
        <f t="shared" si="8"/>
        <v/>
      </c>
      <c r="Q128" s="150" t="str">
        <f t="shared" si="9"/>
        <v/>
      </c>
      <c r="R128" s="150" t="str">
        <f t="shared" si="10"/>
        <v/>
      </c>
      <c r="S128" s="185" t="str">
        <f t="shared" si="11"/>
        <v/>
      </c>
    </row>
    <row r="129" spans="14:19" ht="14.4">
      <c r="N129" s="150" t="str">
        <f t="shared" si="6"/>
        <v/>
      </c>
      <c r="O129" s="150" t="str">
        <f t="shared" si="7"/>
        <v/>
      </c>
      <c r="P129" s="150" t="str">
        <f t="shared" si="8"/>
        <v/>
      </c>
      <c r="Q129" s="150" t="str">
        <f t="shared" si="9"/>
        <v/>
      </c>
      <c r="R129" s="150" t="str">
        <f t="shared" si="10"/>
        <v/>
      </c>
      <c r="S129" s="185" t="str">
        <f t="shared" si="11"/>
        <v/>
      </c>
    </row>
    <row r="130" spans="14:19" ht="14.4">
      <c r="N130" s="150" t="str">
        <f t="shared" si="6"/>
        <v/>
      </c>
      <c r="O130" s="150" t="str">
        <f t="shared" si="7"/>
        <v/>
      </c>
      <c r="P130" s="150" t="str">
        <f t="shared" si="8"/>
        <v/>
      </c>
      <c r="Q130" s="150" t="str">
        <f t="shared" si="9"/>
        <v/>
      </c>
      <c r="R130" s="150" t="str">
        <f t="shared" si="10"/>
        <v/>
      </c>
      <c r="S130" s="185" t="str">
        <f t="shared" si="11"/>
        <v/>
      </c>
    </row>
    <row r="131" spans="14:19" ht="14.4">
      <c r="N131" s="150" t="str">
        <f t="shared" ref="N131:N194" si="12">IF(LEN(A131)&gt;18,A131,"")</f>
        <v/>
      </c>
      <c r="O131" s="150" t="str">
        <f t="shared" ref="O131:O194" si="13">IF(ISNUMBER(IF(N131="",B131,"")),B131,"")</f>
        <v/>
      </c>
      <c r="P131" s="150" t="str">
        <f t="shared" ref="P131:P194" si="14">IF(ISNUMBER(IF($N131="",C131,"")),C131,"")</f>
        <v/>
      </c>
      <c r="Q131" s="150" t="str">
        <f t="shared" ref="Q131:Q194" si="15">IF(ISNUMBER(IF($N131="",D131,"")),D131,"")</f>
        <v/>
      </c>
      <c r="R131" s="150" t="str">
        <f t="shared" ref="R131:R194" si="16">IF(ISNUMBER(IF($N131="",F131,"")),F131,"")</f>
        <v/>
      </c>
      <c r="S131" s="185" t="str">
        <f t="shared" ref="S131:S194" si="17">IF(ISNUMBER(IF($N131="",H131,"")),H131,"")</f>
        <v/>
      </c>
    </row>
    <row r="132" spans="14:19" ht="14.4">
      <c r="N132" s="150" t="str">
        <f t="shared" si="12"/>
        <v/>
      </c>
      <c r="O132" s="150" t="str">
        <f t="shared" si="13"/>
        <v/>
      </c>
      <c r="P132" s="150" t="str">
        <f t="shared" si="14"/>
        <v/>
      </c>
      <c r="Q132" s="150" t="str">
        <f t="shared" si="15"/>
        <v/>
      </c>
      <c r="R132" s="150" t="str">
        <f t="shared" si="16"/>
        <v/>
      </c>
      <c r="S132" s="185" t="str">
        <f t="shared" si="17"/>
        <v/>
      </c>
    </row>
    <row r="133" spans="14:19" ht="14.4">
      <c r="N133" s="150" t="str">
        <f t="shared" si="12"/>
        <v/>
      </c>
      <c r="O133" s="150" t="str">
        <f t="shared" si="13"/>
        <v/>
      </c>
      <c r="P133" s="150" t="str">
        <f t="shared" si="14"/>
        <v/>
      </c>
      <c r="Q133" s="150" t="str">
        <f t="shared" si="15"/>
        <v/>
      </c>
      <c r="R133" s="150" t="str">
        <f t="shared" si="16"/>
        <v/>
      </c>
      <c r="S133" s="185" t="str">
        <f t="shared" si="17"/>
        <v/>
      </c>
    </row>
    <row r="134" spans="14:19" ht="14.4">
      <c r="N134" s="150" t="str">
        <f t="shared" si="12"/>
        <v/>
      </c>
      <c r="O134" s="150" t="str">
        <f t="shared" si="13"/>
        <v/>
      </c>
      <c r="P134" s="150" t="str">
        <f t="shared" si="14"/>
        <v/>
      </c>
      <c r="Q134" s="150" t="str">
        <f t="shared" si="15"/>
        <v/>
      </c>
      <c r="R134" s="150" t="str">
        <f t="shared" si="16"/>
        <v/>
      </c>
      <c r="S134" s="185" t="str">
        <f t="shared" si="17"/>
        <v/>
      </c>
    </row>
    <row r="135" spans="14:19" ht="14.4">
      <c r="N135" s="150" t="str">
        <f t="shared" si="12"/>
        <v/>
      </c>
      <c r="O135" s="150" t="str">
        <f t="shared" si="13"/>
        <v/>
      </c>
      <c r="P135" s="150" t="str">
        <f t="shared" si="14"/>
        <v/>
      </c>
      <c r="Q135" s="150" t="str">
        <f t="shared" si="15"/>
        <v/>
      </c>
      <c r="R135" s="150" t="str">
        <f t="shared" si="16"/>
        <v/>
      </c>
      <c r="S135" s="185" t="str">
        <f t="shared" si="17"/>
        <v/>
      </c>
    </row>
    <row r="136" spans="14:19" ht="14.4">
      <c r="N136" s="150" t="str">
        <f t="shared" si="12"/>
        <v/>
      </c>
      <c r="O136" s="150" t="str">
        <f t="shared" si="13"/>
        <v/>
      </c>
      <c r="P136" s="150" t="str">
        <f t="shared" si="14"/>
        <v/>
      </c>
      <c r="Q136" s="150" t="str">
        <f t="shared" si="15"/>
        <v/>
      </c>
      <c r="R136" s="150" t="str">
        <f t="shared" si="16"/>
        <v/>
      </c>
      <c r="S136" s="185" t="str">
        <f t="shared" si="17"/>
        <v/>
      </c>
    </row>
    <row r="137" spans="14:19" ht="14.4">
      <c r="N137" s="150" t="str">
        <f t="shared" si="12"/>
        <v/>
      </c>
      <c r="O137" s="150" t="str">
        <f t="shared" si="13"/>
        <v/>
      </c>
      <c r="P137" s="150" t="str">
        <f t="shared" si="14"/>
        <v/>
      </c>
      <c r="Q137" s="150" t="str">
        <f t="shared" si="15"/>
        <v/>
      </c>
      <c r="R137" s="150" t="str">
        <f t="shared" si="16"/>
        <v/>
      </c>
      <c r="S137" s="185" t="str">
        <f t="shared" si="17"/>
        <v/>
      </c>
    </row>
    <row r="138" spans="14:19" ht="14.4">
      <c r="N138" s="150" t="str">
        <f t="shared" si="12"/>
        <v/>
      </c>
      <c r="O138" s="150" t="str">
        <f t="shared" si="13"/>
        <v/>
      </c>
      <c r="P138" s="150" t="str">
        <f t="shared" si="14"/>
        <v/>
      </c>
      <c r="Q138" s="150" t="str">
        <f t="shared" si="15"/>
        <v/>
      </c>
      <c r="R138" s="150" t="str">
        <f t="shared" si="16"/>
        <v/>
      </c>
      <c r="S138" s="185" t="str">
        <f t="shared" si="17"/>
        <v/>
      </c>
    </row>
    <row r="139" spans="14:19" ht="14.4">
      <c r="N139" s="150" t="str">
        <f t="shared" si="12"/>
        <v/>
      </c>
      <c r="O139" s="150" t="str">
        <f t="shared" si="13"/>
        <v/>
      </c>
      <c r="P139" s="150" t="str">
        <f t="shared" si="14"/>
        <v/>
      </c>
      <c r="Q139" s="150" t="str">
        <f t="shared" si="15"/>
        <v/>
      </c>
      <c r="R139" s="150" t="str">
        <f t="shared" si="16"/>
        <v/>
      </c>
      <c r="S139" s="185" t="str">
        <f t="shared" si="17"/>
        <v/>
      </c>
    </row>
    <row r="140" spans="14:19" ht="14.4">
      <c r="N140" s="150" t="str">
        <f t="shared" si="12"/>
        <v/>
      </c>
      <c r="O140" s="150" t="str">
        <f t="shared" si="13"/>
        <v/>
      </c>
      <c r="P140" s="150" t="str">
        <f t="shared" si="14"/>
        <v/>
      </c>
      <c r="Q140" s="150" t="str">
        <f t="shared" si="15"/>
        <v/>
      </c>
      <c r="R140" s="150" t="str">
        <f t="shared" si="16"/>
        <v/>
      </c>
      <c r="S140" s="185" t="str">
        <f t="shared" si="17"/>
        <v/>
      </c>
    </row>
    <row r="141" spans="14:19" ht="14.4">
      <c r="N141" s="150" t="str">
        <f t="shared" si="12"/>
        <v/>
      </c>
      <c r="O141" s="150" t="str">
        <f t="shared" si="13"/>
        <v/>
      </c>
      <c r="P141" s="150" t="str">
        <f t="shared" si="14"/>
        <v/>
      </c>
      <c r="Q141" s="150" t="str">
        <f t="shared" si="15"/>
        <v/>
      </c>
      <c r="R141" s="150" t="str">
        <f t="shared" si="16"/>
        <v/>
      </c>
      <c r="S141" s="185" t="str">
        <f t="shared" si="17"/>
        <v/>
      </c>
    </row>
    <row r="142" spans="14:19" ht="14.4">
      <c r="N142" s="150" t="str">
        <f t="shared" si="12"/>
        <v/>
      </c>
      <c r="O142" s="150" t="str">
        <f t="shared" si="13"/>
        <v/>
      </c>
      <c r="P142" s="150" t="str">
        <f t="shared" si="14"/>
        <v/>
      </c>
      <c r="Q142" s="150" t="str">
        <f t="shared" si="15"/>
        <v/>
      </c>
      <c r="R142" s="150" t="str">
        <f t="shared" si="16"/>
        <v/>
      </c>
      <c r="S142" s="185" t="str">
        <f t="shared" si="17"/>
        <v/>
      </c>
    </row>
    <row r="143" spans="14:19" ht="14.4">
      <c r="N143" s="150" t="str">
        <f t="shared" si="12"/>
        <v/>
      </c>
      <c r="O143" s="150" t="str">
        <f t="shared" si="13"/>
        <v/>
      </c>
      <c r="P143" s="150" t="str">
        <f t="shared" si="14"/>
        <v/>
      </c>
      <c r="Q143" s="150" t="str">
        <f t="shared" si="15"/>
        <v/>
      </c>
      <c r="R143" s="150" t="str">
        <f t="shared" si="16"/>
        <v/>
      </c>
      <c r="S143" s="185" t="str">
        <f t="shared" si="17"/>
        <v/>
      </c>
    </row>
    <row r="144" spans="14:19" ht="14.4">
      <c r="N144" s="150" t="str">
        <f t="shared" si="12"/>
        <v/>
      </c>
      <c r="O144" s="150" t="str">
        <f t="shared" si="13"/>
        <v/>
      </c>
      <c r="P144" s="150" t="str">
        <f t="shared" si="14"/>
        <v/>
      </c>
      <c r="Q144" s="150" t="str">
        <f t="shared" si="15"/>
        <v/>
      </c>
      <c r="R144" s="150" t="str">
        <f t="shared" si="16"/>
        <v/>
      </c>
      <c r="S144" s="185" t="str">
        <f t="shared" si="17"/>
        <v/>
      </c>
    </row>
    <row r="145" spans="14:19" ht="14.4">
      <c r="N145" s="150" t="str">
        <f t="shared" si="12"/>
        <v/>
      </c>
      <c r="O145" s="150" t="str">
        <f t="shared" si="13"/>
        <v/>
      </c>
      <c r="P145" s="150" t="str">
        <f t="shared" si="14"/>
        <v/>
      </c>
      <c r="Q145" s="150" t="str">
        <f t="shared" si="15"/>
        <v/>
      </c>
      <c r="R145" s="150" t="str">
        <f t="shared" si="16"/>
        <v/>
      </c>
      <c r="S145" s="185" t="str">
        <f t="shared" si="17"/>
        <v/>
      </c>
    </row>
    <row r="146" spans="14:19" ht="14.4">
      <c r="N146" s="150" t="str">
        <f t="shared" si="12"/>
        <v/>
      </c>
      <c r="O146" s="150" t="str">
        <f t="shared" si="13"/>
        <v/>
      </c>
      <c r="P146" s="150" t="str">
        <f t="shared" si="14"/>
        <v/>
      </c>
      <c r="Q146" s="150" t="str">
        <f t="shared" si="15"/>
        <v/>
      </c>
      <c r="R146" s="150" t="str">
        <f t="shared" si="16"/>
        <v/>
      </c>
      <c r="S146" s="185" t="str">
        <f t="shared" si="17"/>
        <v/>
      </c>
    </row>
    <row r="147" spans="14:19" ht="14.4">
      <c r="N147" s="150" t="str">
        <f t="shared" si="12"/>
        <v/>
      </c>
      <c r="O147" s="150" t="str">
        <f t="shared" si="13"/>
        <v/>
      </c>
      <c r="P147" s="150" t="str">
        <f t="shared" si="14"/>
        <v/>
      </c>
      <c r="Q147" s="150" t="str">
        <f t="shared" si="15"/>
        <v/>
      </c>
      <c r="R147" s="150" t="str">
        <f t="shared" si="16"/>
        <v/>
      </c>
      <c r="S147" s="185" t="str">
        <f t="shared" si="17"/>
        <v/>
      </c>
    </row>
    <row r="148" spans="14:19" ht="14.4">
      <c r="N148" s="150" t="str">
        <f t="shared" si="12"/>
        <v/>
      </c>
      <c r="O148" s="150" t="str">
        <f t="shared" si="13"/>
        <v/>
      </c>
      <c r="P148" s="150" t="str">
        <f t="shared" si="14"/>
        <v/>
      </c>
      <c r="Q148" s="150" t="str">
        <f t="shared" si="15"/>
        <v/>
      </c>
      <c r="R148" s="150" t="str">
        <f t="shared" si="16"/>
        <v/>
      </c>
      <c r="S148" s="185" t="str">
        <f t="shared" si="17"/>
        <v/>
      </c>
    </row>
    <row r="149" spans="14:19" ht="14.4">
      <c r="N149" s="150" t="str">
        <f t="shared" si="12"/>
        <v/>
      </c>
      <c r="O149" s="150" t="str">
        <f t="shared" si="13"/>
        <v/>
      </c>
      <c r="P149" s="150" t="str">
        <f t="shared" si="14"/>
        <v/>
      </c>
      <c r="Q149" s="150" t="str">
        <f t="shared" si="15"/>
        <v/>
      </c>
      <c r="R149" s="150" t="str">
        <f t="shared" si="16"/>
        <v/>
      </c>
      <c r="S149" s="185" t="str">
        <f t="shared" si="17"/>
        <v/>
      </c>
    </row>
    <row r="150" spans="14:19" ht="14.4">
      <c r="N150" s="150" t="str">
        <f t="shared" si="12"/>
        <v/>
      </c>
      <c r="O150" s="150" t="str">
        <f t="shared" si="13"/>
        <v/>
      </c>
      <c r="P150" s="150" t="str">
        <f t="shared" si="14"/>
        <v/>
      </c>
      <c r="Q150" s="150" t="str">
        <f t="shared" si="15"/>
        <v/>
      </c>
      <c r="R150" s="150" t="str">
        <f t="shared" si="16"/>
        <v/>
      </c>
      <c r="S150" s="185" t="str">
        <f t="shared" si="17"/>
        <v/>
      </c>
    </row>
    <row r="151" spans="14:19" ht="14.4">
      <c r="N151" s="150" t="str">
        <f t="shared" si="12"/>
        <v/>
      </c>
      <c r="O151" s="150" t="str">
        <f t="shared" si="13"/>
        <v/>
      </c>
      <c r="P151" s="150" t="str">
        <f t="shared" si="14"/>
        <v/>
      </c>
      <c r="Q151" s="150" t="str">
        <f t="shared" si="15"/>
        <v/>
      </c>
      <c r="R151" s="150" t="str">
        <f t="shared" si="16"/>
        <v/>
      </c>
      <c r="S151" s="185" t="str">
        <f t="shared" si="17"/>
        <v/>
      </c>
    </row>
    <row r="152" spans="14:19" ht="14.4">
      <c r="N152" s="150" t="str">
        <f t="shared" si="12"/>
        <v/>
      </c>
      <c r="O152" s="150" t="str">
        <f t="shared" si="13"/>
        <v/>
      </c>
      <c r="P152" s="150" t="str">
        <f t="shared" si="14"/>
        <v/>
      </c>
      <c r="Q152" s="150" t="str">
        <f t="shared" si="15"/>
        <v/>
      </c>
      <c r="R152" s="150" t="str">
        <f t="shared" si="16"/>
        <v/>
      </c>
      <c r="S152" s="185" t="str">
        <f t="shared" si="17"/>
        <v/>
      </c>
    </row>
    <row r="153" spans="14:19" ht="14.4">
      <c r="N153" s="150" t="str">
        <f t="shared" si="12"/>
        <v/>
      </c>
      <c r="O153" s="150" t="str">
        <f t="shared" si="13"/>
        <v/>
      </c>
      <c r="P153" s="150" t="str">
        <f t="shared" si="14"/>
        <v/>
      </c>
      <c r="Q153" s="150" t="str">
        <f t="shared" si="15"/>
        <v/>
      </c>
      <c r="R153" s="150" t="str">
        <f t="shared" si="16"/>
        <v/>
      </c>
      <c r="S153" s="185" t="str">
        <f t="shared" si="17"/>
        <v/>
      </c>
    </row>
    <row r="154" spans="14:19" ht="14.4">
      <c r="N154" s="150" t="str">
        <f t="shared" si="12"/>
        <v/>
      </c>
      <c r="O154" s="150" t="str">
        <f t="shared" si="13"/>
        <v/>
      </c>
      <c r="P154" s="150" t="str">
        <f t="shared" si="14"/>
        <v/>
      </c>
      <c r="Q154" s="150" t="str">
        <f t="shared" si="15"/>
        <v/>
      </c>
      <c r="R154" s="150" t="str">
        <f t="shared" si="16"/>
        <v/>
      </c>
      <c r="S154" s="185" t="str">
        <f t="shared" si="17"/>
        <v/>
      </c>
    </row>
    <row r="155" spans="14:19" ht="14.4">
      <c r="N155" s="150" t="str">
        <f t="shared" si="12"/>
        <v/>
      </c>
      <c r="O155" s="150" t="str">
        <f t="shared" si="13"/>
        <v/>
      </c>
      <c r="P155" s="150" t="str">
        <f t="shared" si="14"/>
        <v/>
      </c>
      <c r="Q155" s="150" t="str">
        <f t="shared" si="15"/>
        <v/>
      </c>
      <c r="R155" s="150" t="str">
        <f t="shared" si="16"/>
        <v/>
      </c>
      <c r="S155" s="185" t="str">
        <f t="shared" si="17"/>
        <v/>
      </c>
    </row>
    <row r="156" spans="14:19" ht="14.4">
      <c r="N156" s="150" t="str">
        <f t="shared" si="12"/>
        <v/>
      </c>
      <c r="O156" s="150" t="str">
        <f t="shared" si="13"/>
        <v/>
      </c>
      <c r="P156" s="150" t="str">
        <f t="shared" si="14"/>
        <v/>
      </c>
      <c r="Q156" s="150" t="str">
        <f t="shared" si="15"/>
        <v/>
      </c>
      <c r="R156" s="150" t="str">
        <f t="shared" si="16"/>
        <v/>
      </c>
      <c r="S156" s="185" t="str">
        <f t="shared" si="17"/>
        <v/>
      </c>
    </row>
    <row r="157" spans="14:19" ht="14.4">
      <c r="N157" s="150" t="str">
        <f t="shared" si="12"/>
        <v/>
      </c>
      <c r="O157" s="150" t="str">
        <f t="shared" si="13"/>
        <v/>
      </c>
      <c r="P157" s="150" t="str">
        <f t="shared" si="14"/>
        <v/>
      </c>
      <c r="Q157" s="150" t="str">
        <f t="shared" si="15"/>
        <v/>
      </c>
      <c r="R157" s="150" t="str">
        <f t="shared" si="16"/>
        <v/>
      </c>
      <c r="S157" s="185" t="str">
        <f t="shared" si="17"/>
        <v/>
      </c>
    </row>
    <row r="158" spans="14:19" ht="14.4">
      <c r="N158" s="150" t="str">
        <f t="shared" si="12"/>
        <v/>
      </c>
      <c r="O158" s="150" t="str">
        <f t="shared" si="13"/>
        <v/>
      </c>
      <c r="P158" s="150" t="str">
        <f t="shared" si="14"/>
        <v/>
      </c>
      <c r="Q158" s="150" t="str">
        <f t="shared" si="15"/>
        <v/>
      </c>
      <c r="R158" s="150" t="str">
        <f t="shared" si="16"/>
        <v/>
      </c>
      <c r="S158" s="185" t="str">
        <f t="shared" si="17"/>
        <v/>
      </c>
    </row>
    <row r="159" spans="14:19" ht="14.4">
      <c r="N159" s="150" t="str">
        <f t="shared" si="12"/>
        <v/>
      </c>
      <c r="O159" s="150" t="str">
        <f t="shared" si="13"/>
        <v/>
      </c>
      <c r="P159" s="150" t="str">
        <f t="shared" si="14"/>
        <v/>
      </c>
      <c r="Q159" s="150" t="str">
        <f t="shared" si="15"/>
        <v/>
      </c>
      <c r="R159" s="150" t="str">
        <f t="shared" si="16"/>
        <v/>
      </c>
      <c r="S159" s="185" t="str">
        <f t="shared" si="17"/>
        <v/>
      </c>
    </row>
    <row r="160" spans="14:19" ht="14.4">
      <c r="N160" s="150" t="str">
        <f t="shared" si="12"/>
        <v/>
      </c>
      <c r="O160" s="150" t="str">
        <f t="shared" si="13"/>
        <v/>
      </c>
      <c r="P160" s="150" t="str">
        <f t="shared" si="14"/>
        <v/>
      </c>
      <c r="Q160" s="150" t="str">
        <f t="shared" si="15"/>
        <v/>
      </c>
      <c r="R160" s="150" t="str">
        <f t="shared" si="16"/>
        <v/>
      </c>
      <c r="S160" s="185" t="str">
        <f t="shared" si="17"/>
        <v/>
      </c>
    </row>
    <row r="161" spans="14:19" ht="14.4">
      <c r="N161" s="150" t="str">
        <f t="shared" si="12"/>
        <v/>
      </c>
      <c r="O161" s="150" t="str">
        <f t="shared" si="13"/>
        <v/>
      </c>
      <c r="P161" s="150" t="str">
        <f t="shared" si="14"/>
        <v/>
      </c>
      <c r="Q161" s="150" t="str">
        <f t="shared" si="15"/>
        <v/>
      </c>
      <c r="R161" s="150" t="str">
        <f t="shared" si="16"/>
        <v/>
      </c>
      <c r="S161" s="185" t="str">
        <f t="shared" si="17"/>
        <v/>
      </c>
    </row>
    <row r="162" spans="14:19" ht="14.4">
      <c r="N162" s="150" t="str">
        <f t="shared" si="12"/>
        <v/>
      </c>
      <c r="O162" s="150" t="str">
        <f t="shared" si="13"/>
        <v/>
      </c>
      <c r="P162" s="150" t="str">
        <f t="shared" si="14"/>
        <v/>
      </c>
      <c r="Q162" s="150" t="str">
        <f t="shared" si="15"/>
        <v/>
      </c>
      <c r="R162" s="150" t="str">
        <f t="shared" si="16"/>
        <v/>
      </c>
      <c r="S162" s="185" t="str">
        <f t="shared" si="17"/>
        <v/>
      </c>
    </row>
    <row r="163" spans="14:19" ht="14.4">
      <c r="N163" s="150" t="str">
        <f t="shared" si="12"/>
        <v/>
      </c>
      <c r="O163" s="150" t="str">
        <f t="shared" si="13"/>
        <v/>
      </c>
      <c r="P163" s="150" t="str">
        <f t="shared" si="14"/>
        <v/>
      </c>
      <c r="Q163" s="150" t="str">
        <f t="shared" si="15"/>
        <v/>
      </c>
      <c r="R163" s="150" t="str">
        <f t="shared" si="16"/>
        <v/>
      </c>
      <c r="S163" s="185" t="str">
        <f t="shared" si="17"/>
        <v/>
      </c>
    </row>
    <row r="164" spans="14:19" ht="14.4">
      <c r="N164" s="150" t="str">
        <f t="shared" si="12"/>
        <v/>
      </c>
      <c r="O164" s="150" t="str">
        <f t="shared" si="13"/>
        <v/>
      </c>
      <c r="P164" s="150" t="str">
        <f t="shared" si="14"/>
        <v/>
      </c>
      <c r="Q164" s="150" t="str">
        <f t="shared" si="15"/>
        <v/>
      </c>
      <c r="R164" s="150" t="str">
        <f t="shared" si="16"/>
        <v/>
      </c>
      <c r="S164" s="185" t="str">
        <f t="shared" si="17"/>
        <v/>
      </c>
    </row>
    <row r="165" spans="14:19" ht="14.4">
      <c r="N165" s="150" t="str">
        <f t="shared" si="12"/>
        <v/>
      </c>
      <c r="O165" s="150" t="str">
        <f t="shared" si="13"/>
        <v/>
      </c>
      <c r="P165" s="150" t="str">
        <f t="shared" si="14"/>
        <v/>
      </c>
      <c r="Q165" s="150" t="str">
        <f t="shared" si="15"/>
        <v/>
      </c>
      <c r="R165" s="150" t="str">
        <f t="shared" si="16"/>
        <v/>
      </c>
      <c r="S165" s="185" t="str">
        <f t="shared" si="17"/>
        <v/>
      </c>
    </row>
    <row r="166" spans="14:19" ht="14.4">
      <c r="N166" s="150" t="str">
        <f t="shared" si="12"/>
        <v/>
      </c>
      <c r="O166" s="150" t="str">
        <f t="shared" si="13"/>
        <v/>
      </c>
      <c r="P166" s="150" t="str">
        <f t="shared" si="14"/>
        <v/>
      </c>
      <c r="Q166" s="150" t="str">
        <f t="shared" si="15"/>
        <v/>
      </c>
      <c r="R166" s="150" t="str">
        <f t="shared" si="16"/>
        <v/>
      </c>
      <c r="S166" s="185" t="str">
        <f t="shared" si="17"/>
        <v/>
      </c>
    </row>
    <row r="167" spans="14:19" ht="14.4">
      <c r="N167" s="150" t="str">
        <f t="shared" si="12"/>
        <v/>
      </c>
      <c r="O167" s="150" t="str">
        <f t="shared" si="13"/>
        <v/>
      </c>
      <c r="P167" s="150" t="str">
        <f t="shared" si="14"/>
        <v/>
      </c>
      <c r="Q167" s="150" t="str">
        <f t="shared" si="15"/>
        <v/>
      </c>
      <c r="R167" s="150" t="str">
        <f t="shared" si="16"/>
        <v/>
      </c>
      <c r="S167" s="185" t="str">
        <f t="shared" si="17"/>
        <v/>
      </c>
    </row>
    <row r="168" spans="14:19" ht="14.4">
      <c r="N168" s="150" t="str">
        <f t="shared" si="12"/>
        <v/>
      </c>
      <c r="O168" s="150" t="str">
        <f t="shared" si="13"/>
        <v/>
      </c>
      <c r="P168" s="150" t="str">
        <f t="shared" si="14"/>
        <v/>
      </c>
      <c r="Q168" s="150" t="str">
        <f t="shared" si="15"/>
        <v/>
      </c>
      <c r="R168" s="150" t="str">
        <f t="shared" si="16"/>
        <v/>
      </c>
      <c r="S168" s="185" t="str">
        <f t="shared" si="17"/>
        <v/>
      </c>
    </row>
    <row r="169" spans="14:19" ht="14.4">
      <c r="N169" s="150" t="str">
        <f t="shared" si="12"/>
        <v/>
      </c>
      <c r="O169" s="150" t="str">
        <f t="shared" si="13"/>
        <v/>
      </c>
      <c r="P169" s="150" t="str">
        <f t="shared" si="14"/>
        <v/>
      </c>
      <c r="Q169" s="150" t="str">
        <f t="shared" si="15"/>
        <v/>
      </c>
      <c r="R169" s="150" t="str">
        <f t="shared" si="16"/>
        <v/>
      </c>
      <c r="S169" s="185" t="str">
        <f t="shared" si="17"/>
        <v/>
      </c>
    </row>
    <row r="170" spans="14:19" ht="14.4">
      <c r="N170" s="150" t="str">
        <f t="shared" si="12"/>
        <v/>
      </c>
      <c r="O170" s="150" t="str">
        <f t="shared" si="13"/>
        <v/>
      </c>
      <c r="P170" s="150" t="str">
        <f t="shared" si="14"/>
        <v/>
      </c>
      <c r="Q170" s="150" t="str">
        <f t="shared" si="15"/>
        <v/>
      </c>
      <c r="R170" s="150" t="str">
        <f t="shared" si="16"/>
        <v/>
      </c>
      <c r="S170" s="185" t="str">
        <f t="shared" si="17"/>
        <v/>
      </c>
    </row>
    <row r="171" spans="14:19" ht="14.4">
      <c r="N171" s="150" t="str">
        <f t="shared" si="12"/>
        <v/>
      </c>
      <c r="O171" s="150" t="str">
        <f t="shared" si="13"/>
        <v/>
      </c>
      <c r="P171" s="150" t="str">
        <f t="shared" si="14"/>
        <v/>
      </c>
      <c r="Q171" s="150" t="str">
        <f t="shared" si="15"/>
        <v/>
      </c>
      <c r="R171" s="150" t="str">
        <f t="shared" si="16"/>
        <v/>
      </c>
      <c r="S171" s="185" t="str">
        <f t="shared" si="17"/>
        <v/>
      </c>
    </row>
    <row r="172" spans="14:19" ht="14.4">
      <c r="N172" s="150" t="str">
        <f t="shared" si="12"/>
        <v/>
      </c>
      <c r="O172" s="150" t="str">
        <f t="shared" si="13"/>
        <v/>
      </c>
      <c r="P172" s="150" t="str">
        <f t="shared" si="14"/>
        <v/>
      </c>
      <c r="Q172" s="150" t="str">
        <f t="shared" si="15"/>
        <v/>
      </c>
      <c r="R172" s="150" t="str">
        <f t="shared" si="16"/>
        <v/>
      </c>
      <c r="S172" s="185" t="str">
        <f t="shared" si="17"/>
        <v/>
      </c>
    </row>
    <row r="173" spans="14:19" ht="14.4">
      <c r="N173" s="150" t="str">
        <f t="shared" si="12"/>
        <v/>
      </c>
      <c r="O173" s="150" t="str">
        <f t="shared" si="13"/>
        <v/>
      </c>
      <c r="P173" s="150" t="str">
        <f t="shared" si="14"/>
        <v/>
      </c>
      <c r="Q173" s="150" t="str">
        <f t="shared" si="15"/>
        <v/>
      </c>
      <c r="R173" s="150" t="str">
        <f t="shared" si="16"/>
        <v/>
      </c>
      <c r="S173" s="185" t="str">
        <f t="shared" si="17"/>
        <v/>
      </c>
    </row>
    <row r="174" spans="14:19" ht="14.4">
      <c r="N174" s="150" t="str">
        <f t="shared" si="12"/>
        <v/>
      </c>
      <c r="O174" s="150" t="str">
        <f t="shared" si="13"/>
        <v/>
      </c>
      <c r="P174" s="150" t="str">
        <f t="shared" si="14"/>
        <v/>
      </c>
      <c r="Q174" s="150" t="str">
        <f t="shared" si="15"/>
        <v/>
      </c>
      <c r="R174" s="150" t="str">
        <f t="shared" si="16"/>
        <v/>
      </c>
      <c r="S174" s="185" t="str">
        <f t="shared" si="17"/>
        <v/>
      </c>
    </row>
    <row r="175" spans="14:19" ht="14.4">
      <c r="N175" s="150" t="str">
        <f t="shared" si="12"/>
        <v/>
      </c>
      <c r="O175" s="150" t="str">
        <f t="shared" si="13"/>
        <v/>
      </c>
      <c r="P175" s="150" t="str">
        <f t="shared" si="14"/>
        <v/>
      </c>
      <c r="Q175" s="150" t="str">
        <f t="shared" si="15"/>
        <v/>
      </c>
      <c r="R175" s="150" t="str">
        <f t="shared" si="16"/>
        <v/>
      </c>
      <c r="S175" s="185" t="str">
        <f t="shared" si="17"/>
        <v/>
      </c>
    </row>
    <row r="176" spans="14:19" ht="14.4">
      <c r="N176" s="150" t="str">
        <f t="shared" si="12"/>
        <v/>
      </c>
      <c r="O176" s="150" t="str">
        <f t="shared" si="13"/>
        <v/>
      </c>
      <c r="P176" s="150" t="str">
        <f t="shared" si="14"/>
        <v/>
      </c>
      <c r="Q176" s="150" t="str">
        <f t="shared" si="15"/>
        <v/>
      </c>
      <c r="R176" s="150" t="str">
        <f t="shared" si="16"/>
        <v/>
      </c>
      <c r="S176" s="185" t="str">
        <f t="shared" si="17"/>
        <v/>
      </c>
    </row>
    <row r="177" spans="14:19" ht="14.4">
      <c r="N177" s="150" t="str">
        <f t="shared" si="12"/>
        <v/>
      </c>
      <c r="O177" s="150" t="str">
        <f t="shared" si="13"/>
        <v/>
      </c>
      <c r="P177" s="150" t="str">
        <f t="shared" si="14"/>
        <v/>
      </c>
      <c r="Q177" s="150" t="str">
        <f t="shared" si="15"/>
        <v/>
      </c>
      <c r="R177" s="150" t="str">
        <f t="shared" si="16"/>
        <v/>
      </c>
      <c r="S177" s="185" t="str">
        <f t="shared" si="17"/>
        <v/>
      </c>
    </row>
    <row r="178" spans="14:19" ht="14.4">
      <c r="N178" s="150" t="str">
        <f t="shared" si="12"/>
        <v/>
      </c>
      <c r="O178" s="150" t="str">
        <f t="shared" si="13"/>
        <v/>
      </c>
      <c r="P178" s="150" t="str">
        <f t="shared" si="14"/>
        <v/>
      </c>
      <c r="Q178" s="150" t="str">
        <f t="shared" si="15"/>
        <v/>
      </c>
      <c r="R178" s="150" t="str">
        <f t="shared" si="16"/>
        <v/>
      </c>
      <c r="S178" s="185" t="str">
        <f t="shared" si="17"/>
        <v/>
      </c>
    </row>
    <row r="179" spans="14:19" ht="14.4">
      <c r="N179" s="150" t="str">
        <f t="shared" si="12"/>
        <v/>
      </c>
      <c r="O179" s="150" t="str">
        <f t="shared" si="13"/>
        <v/>
      </c>
      <c r="P179" s="150" t="str">
        <f t="shared" si="14"/>
        <v/>
      </c>
      <c r="Q179" s="150" t="str">
        <f t="shared" si="15"/>
        <v/>
      </c>
      <c r="R179" s="150" t="str">
        <f t="shared" si="16"/>
        <v/>
      </c>
      <c r="S179" s="185" t="str">
        <f t="shared" si="17"/>
        <v/>
      </c>
    </row>
    <row r="180" spans="14:19" ht="14.4">
      <c r="N180" s="150" t="str">
        <f t="shared" si="12"/>
        <v/>
      </c>
      <c r="O180" s="150" t="str">
        <f t="shared" si="13"/>
        <v/>
      </c>
      <c r="P180" s="150" t="str">
        <f t="shared" si="14"/>
        <v/>
      </c>
      <c r="Q180" s="150" t="str">
        <f t="shared" si="15"/>
        <v/>
      </c>
      <c r="R180" s="150" t="str">
        <f t="shared" si="16"/>
        <v/>
      </c>
      <c r="S180" s="185" t="str">
        <f t="shared" si="17"/>
        <v/>
      </c>
    </row>
    <row r="181" spans="14:19" ht="14.4">
      <c r="N181" s="150" t="str">
        <f t="shared" si="12"/>
        <v/>
      </c>
      <c r="O181" s="150" t="str">
        <f t="shared" si="13"/>
        <v/>
      </c>
      <c r="P181" s="150" t="str">
        <f t="shared" si="14"/>
        <v/>
      </c>
      <c r="Q181" s="150" t="str">
        <f t="shared" si="15"/>
        <v/>
      </c>
      <c r="R181" s="150" t="str">
        <f t="shared" si="16"/>
        <v/>
      </c>
      <c r="S181" s="185" t="str">
        <f t="shared" si="17"/>
        <v/>
      </c>
    </row>
    <row r="182" spans="14:19" ht="14.4">
      <c r="N182" s="150" t="str">
        <f t="shared" si="12"/>
        <v/>
      </c>
      <c r="O182" s="150" t="str">
        <f t="shared" si="13"/>
        <v/>
      </c>
      <c r="P182" s="150" t="str">
        <f t="shared" si="14"/>
        <v/>
      </c>
      <c r="Q182" s="150" t="str">
        <f t="shared" si="15"/>
        <v/>
      </c>
      <c r="R182" s="150" t="str">
        <f t="shared" si="16"/>
        <v/>
      </c>
      <c r="S182" s="185" t="str">
        <f t="shared" si="17"/>
        <v/>
      </c>
    </row>
    <row r="183" spans="14:19" ht="14.4">
      <c r="N183" s="150" t="str">
        <f t="shared" si="12"/>
        <v/>
      </c>
      <c r="O183" s="150" t="str">
        <f t="shared" si="13"/>
        <v/>
      </c>
      <c r="P183" s="150" t="str">
        <f t="shared" si="14"/>
        <v/>
      </c>
      <c r="Q183" s="150" t="str">
        <f t="shared" si="15"/>
        <v/>
      </c>
      <c r="R183" s="150" t="str">
        <f t="shared" si="16"/>
        <v/>
      </c>
      <c r="S183" s="185" t="str">
        <f t="shared" si="17"/>
        <v/>
      </c>
    </row>
    <row r="184" spans="14:19" ht="14.4">
      <c r="N184" s="150" t="str">
        <f t="shared" si="12"/>
        <v/>
      </c>
      <c r="O184" s="150" t="str">
        <f t="shared" si="13"/>
        <v/>
      </c>
      <c r="P184" s="150" t="str">
        <f t="shared" si="14"/>
        <v/>
      </c>
      <c r="Q184" s="150" t="str">
        <f t="shared" si="15"/>
        <v/>
      </c>
      <c r="R184" s="150" t="str">
        <f t="shared" si="16"/>
        <v/>
      </c>
      <c r="S184" s="185" t="str">
        <f t="shared" si="17"/>
        <v/>
      </c>
    </row>
    <row r="185" spans="14:19" ht="14.4">
      <c r="N185" s="150" t="str">
        <f t="shared" si="12"/>
        <v/>
      </c>
      <c r="O185" s="150" t="str">
        <f t="shared" si="13"/>
        <v/>
      </c>
      <c r="P185" s="150" t="str">
        <f t="shared" si="14"/>
        <v/>
      </c>
      <c r="Q185" s="150" t="str">
        <f t="shared" si="15"/>
        <v/>
      </c>
      <c r="R185" s="150" t="str">
        <f t="shared" si="16"/>
        <v/>
      </c>
      <c r="S185" s="185" t="str">
        <f t="shared" si="17"/>
        <v/>
      </c>
    </row>
    <row r="186" spans="14:19" ht="14.4">
      <c r="N186" s="150" t="str">
        <f t="shared" si="12"/>
        <v/>
      </c>
      <c r="O186" s="150" t="str">
        <f t="shared" si="13"/>
        <v/>
      </c>
      <c r="P186" s="150" t="str">
        <f t="shared" si="14"/>
        <v/>
      </c>
      <c r="Q186" s="150" t="str">
        <f t="shared" si="15"/>
        <v/>
      </c>
      <c r="R186" s="150" t="str">
        <f t="shared" si="16"/>
        <v/>
      </c>
      <c r="S186" s="185" t="str">
        <f t="shared" si="17"/>
        <v/>
      </c>
    </row>
    <row r="187" spans="14:19" ht="14.4">
      <c r="N187" s="150" t="str">
        <f t="shared" si="12"/>
        <v/>
      </c>
      <c r="O187" s="150" t="str">
        <f t="shared" si="13"/>
        <v/>
      </c>
      <c r="P187" s="150" t="str">
        <f t="shared" si="14"/>
        <v/>
      </c>
      <c r="Q187" s="150" t="str">
        <f t="shared" si="15"/>
        <v/>
      </c>
      <c r="R187" s="150" t="str">
        <f t="shared" si="16"/>
        <v/>
      </c>
      <c r="S187" s="185" t="str">
        <f t="shared" si="17"/>
        <v/>
      </c>
    </row>
    <row r="188" spans="14:19" ht="14.4">
      <c r="N188" s="150" t="str">
        <f t="shared" si="12"/>
        <v/>
      </c>
      <c r="O188" s="150" t="str">
        <f t="shared" si="13"/>
        <v/>
      </c>
      <c r="P188" s="150" t="str">
        <f t="shared" si="14"/>
        <v/>
      </c>
      <c r="Q188" s="150" t="str">
        <f t="shared" si="15"/>
        <v/>
      </c>
      <c r="R188" s="150" t="str">
        <f t="shared" si="16"/>
        <v/>
      </c>
      <c r="S188" s="185" t="str">
        <f t="shared" si="17"/>
        <v/>
      </c>
    </row>
    <row r="189" spans="14:19" ht="14.4">
      <c r="N189" s="150" t="str">
        <f t="shared" si="12"/>
        <v/>
      </c>
      <c r="O189" s="150" t="str">
        <f t="shared" si="13"/>
        <v/>
      </c>
      <c r="P189" s="150" t="str">
        <f t="shared" si="14"/>
        <v/>
      </c>
      <c r="Q189" s="150" t="str">
        <f t="shared" si="15"/>
        <v/>
      </c>
      <c r="R189" s="150" t="str">
        <f t="shared" si="16"/>
        <v/>
      </c>
      <c r="S189" s="185" t="str">
        <f t="shared" si="17"/>
        <v/>
      </c>
    </row>
    <row r="190" spans="14:19" ht="14.4">
      <c r="N190" s="150" t="str">
        <f t="shared" si="12"/>
        <v/>
      </c>
      <c r="O190" s="150" t="str">
        <f t="shared" si="13"/>
        <v/>
      </c>
      <c r="P190" s="150" t="str">
        <f t="shared" si="14"/>
        <v/>
      </c>
      <c r="Q190" s="150" t="str">
        <f t="shared" si="15"/>
        <v/>
      </c>
      <c r="R190" s="150" t="str">
        <f t="shared" si="16"/>
        <v/>
      </c>
      <c r="S190" s="185" t="str">
        <f t="shared" si="17"/>
        <v/>
      </c>
    </row>
    <row r="191" spans="14:19" ht="14.4">
      <c r="N191" s="150" t="str">
        <f t="shared" si="12"/>
        <v/>
      </c>
      <c r="O191" s="150" t="str">
        <f t="shared" si="13"/>
        <v/>
      </c>
      <c r="P191" s="150" t="str">
        <f t="shared" si="14"/>
        <v/>
      </c>
      <c r="Q191" s="150" t="str">
        <f t="shared" si="15"/>
        <v/>
      </c>
      <c r="R191" s="150" t="str">
        <f t="shared" si="16"/>
        <v/>
      </c>
      <c r="S191" s="185" t="str">
        <f t="shared" si="17"/>
        <v/>
      </c>
    </row>
    <row r="192" spans="14:19" ht="14.4">
      <c r="N192" s="150" t="str">
        <f t="shared" si="12"/>
        <v/>
      </c>
      <c r="O192" s="150" t="str">
        <f t="shared" si="13"/>
        <v/>
      </c>
      <c r="P192" s="150" t="str">
        <f t="shared" si="14"/>
        <v/>
      </c>
      <c r="Q192" s="150" t="str">
        <f t="shared" si="15"/>
        <v/>
      </c>
      <c r="R192" s="150" t="str">
        <f t="shared" si="16"/>
        <v/>
      </c>
      <c r="S192" s="185" t="str">
        <f t="shared" si="17"/>
        <v/>
      </c>
    </row>
    <row r="193" spans="14:19" ht="14.4">
      <c r="N193" s="150" t="str">
        <f t="shared" si="12"/>
        <v/>
      </c>
      <c r="O193" s="150" t="str">
        <f t="shared" si="13"/>
        <v/>
      </c>
      <c r="P193" s="150" t="str">
        <f t="shared" si="14"/>
        <v/>
      </c>
      <c r="Q193" s="150" t="str">
        <f t="shared" si="15"/>
        <v/>
      </c>
      <c r="R193" s="150" t="str">
        <f t="shared" si="16"/>
        <v/>
      </c>
      <c r="S193" s="185" t="str">
        <f t="shared" si="17"/>
        <v/>
      </c>
    </row>
    <row r="194" spans="14:19" ht="14.4">
      <c r="N194" s="150" t="str">
        <f t="shared" si="12"/>
        <v/>
      </c>
      <c r="O194" s="150" t="str">
        <f t="shared" si="13"/>
        <v/>
      </c>
      <c r="P194" s="150" t="str">
        <f t="shared" si="14"/>
        <v/>
      </c>
      <c r="Q194" s="150" t="str">
        <f t="shared" si="15"/>
        <v/>
      </c>
      <c r="R194" s="150" t="str">
        <f t="shared" si="16"/>
        <v/>
      </c>
      <c r="S194" s="185" t="str">
        <f t="shared" si="17"/>
        <v/>
      </c>
    </row>
    <row r="195" spans="14:19" ht="14.4">
      <c r="N195" s="150" t="str">
        <f t="shared" ref="N195:N258" si="18">IF(LEN(A195)&gt;18,A195,"")</f>
        <v/>
      </c>
      <c r="O195" s="150" t="str">
        <f t="shared" ref="O195:O258" si="19">IF(ISNUMBER(IF(N195="",B195,"")),B195,"")</f>
        <v/>
      </c>
      <c r="P195" s="150" t="str">
        <f t="shared" ref="P195:P258" si="20">IF(ISNUMBER(IF($N195="",C195,"")),C195,"")</f>
        <v/>
      </c>
      <c r="Q195" s="150" t="str">
        <f t="shared" ref="Q195:Q258" si="21">IF(ISNUMBER(IF($N195="",D195,"")),D195,"")</f>
        <v/>
      </c>
      <c r="R195" s="150" t="str">
        <f t="shared" ref="R195:R258" si="22">IF(ISNUMBER(IF($N195="",F195,"")),F195,"")</f>
        <v/>
      </c>
      <c r="S195" s="185" t="str">
        <f t="shared" ref="S195:S258" si="23">IF(ISNUMBER(IF($N195="",H195,"")),H195,"")</f>
        <v/>
      </c>
    </row>
    <row r="196" spans="14:19" ht="14.4">
      <c r="N196" s="150" t="str">
        <f t="shared" si="18"/>
        <v/>
      </c>
      <c r="O196" s="150" t="str">
        <f t="shared" si="19"/>
        <v/>
      </c>
      <c r="P196" s="150" t="str">
        <f t="shared" si="20"/>
        <v/>
      </c>
      <c r="Q196" s="150" t="str">
        <f t="shared" si="21"/>
        <v/>
      </c>
      <c r="R196" s="150" t="str">
        <f t="shared" si="22"/>
        <v/>
      </c>
      <c r="S196" s="185" t="str">
        <f t="shared" si="23"/>
        <v/>
      </c>
    </row>
    <row r="197" spans="14:19" ht="14.4">
      <c r="N197" s="150" t="str">
        <f t="shared" si="18"/>
        <v/>
      </c>
      <c r="O197" s="150" t="str">
        <f t="shared" si="19"/>
        <v/>
      </c>
      <c r="P197" s="150" t="str">
        <f t="shared" si="20"/>
        <v/>
      </c>
      <c r="Q197" s="150" t="str">
        <f t="shared" si="21"/>
        <v/>
      </c>
      <c r="R197" s="150" t="str">
        <f t="shared" si="22"/>
        <v/>
      </c>
      <c r="S197" s="185" t="str">
        <f t="shared" si="23"/>
        <v/>
      </c>
    </row>
    <row r="198" spans="14:19" ht="14.4">
      <c r="N198" s="150" t="str">
        <f t="shared" si="18"/>
        <v/>
      </c>
      <c r="O198" s="150" t="str">
        <f t="shared" si="19"/>
        <v/>
      </c>
      <c r="P198" s="150" t="str">
        <f t="shared" si="20"/>
        <v/>
      </c>
      <c r="Q198" s="150" t="str">
        <f t="shared" si="21"/>
        <v/>
      </c>
      <c r="R198" s="150" t="str">
        <f t="shared" si="22"/>
        <v/>
      </c>
      <c r="S198" s="185" t="str">
        <f t="shared" si="23"/>
        <v/>
      </c>
    </row>
    <row r="199" spans="14:19" ht="14.4">
      <c r="N199" s="150" t="str">
        <f t="shared" si="18"/>
        <v/>
      </c>
      <c r="O199" s="150" t="str">
        <f t="shared" si="19"/>
        <v/>
      </c>
      <c r="P199" s="150" t="str">
        <f t="shared" si="20"/>
        <v/>
      </c>
      <c r="Q199" s="150" t="str">
        <f t="shared" si="21"/>
        <v/>
      </c>
      <c r="R199" s="150" t="str">
        <f t="shared" si="22"/>
        <v/>
      </c>
      <c r="S199" s="185" t="str">
        <f t="shared" si="23"/>
        <v/>
      </c>
    </row>
    <row r="200" spans="14:19" ht="14.4">
      <c r="N200" s="150" t="str">
        <f t="shared" si="18"/>
        <v/>
      </c>
      <c r="O200" s="150" t="str">
        <f t="shared" si="19"/>
        <v/>
      </c>
      <c r="P200" s="150" t="str">
        <f t="shared" si="20"/>
        <v/>
      </c>
      <c r="Q200" s="150" t="str">
        <f t="shared" si="21"/>
        <v/>
      </c>
      <c r="R200" s="150" t="str">
        <f t="shared" si="22"/>
        <v/>
      </c>
      <c r="S200" s="185" t="str">
        <f t="shared" si="23"/>
        <v/>
      </c>
    </row>
    <row r="201" spans="14:19" ht="14.4">
      <c r="N201" s="150" t="str">
        <f t="shared" si="18"/>
        <v/>
      </c>
      <c r="O201" s="150" t="str">
        <f t="shared" si="19"/>
        <v/>
      </c>
      <c r="P201" s="150" t="str">
        <f t="shared" si="20"/>
        <v/>
      </c>
      <c r="Q201" s="150" t="str">
        <f t="shared" si="21"/>
        <v/>
      </c>
      <c r="R201" s="150" t="str">
        <f t="shared" si="22"/>
        <v/>
      </c>
      <c r="S201" s="185" t="str">
        <f t="shared" si="23"/>
        <v/>
      </c>
    </row>
    <row r="202" spans="14:19" ht="14.4">
      <c r="N202" s="150" t="str">
        <f t="shared" si="18"/>
        <v/>
      </c>
      <c r="O202" s="150" t="str">
        <f t="shared" si="19"/>
        <v/>
      </c>
      <c r="P202" s="150" t="str">
        <f t="shared" si="20"/>
        <v/>
      </c>
      <c r="Q202" s="150" t="str">
        <f t="shared" si="21"/>
        <v/>
      </c>
      <c r="R202" s="150" t="str">
        <f t="shared" si="22"/>
        <v/>
      </c>
      <c r="S202" s="185" t="str">
        <f t="shared" si="23"/>
        <v/>
      </c>
    </row>
    <row r="203" spans="14:19" ht="14.4">
      <c r="N203" s="150" t="str">
        <f t="shared" si="18"/>
        <v/>
      </c>
      <c r="O203" s="150" t="str">
        <f t="shared" si="19"/>
        <v/>
      </c>
      <c r="P203" s="150" t="str">
        <f t="shared" si="20"/>
        <v/>
      </c>
      <c r="Q203" s="150" t="str">
        <f t="shared" si="21"/>
        <v/>
      </c>
      <c r="R203" s="150" t="str">
        <f t="shared" si="22"/>
        <v/>
      </c>
      <c r="S203" s="185" t="str">
        <f t="shared" si="23"/>
        <v/>
      </c>
    </row>
    <row r="204" spans="14:19" ht="14.4">
      <c r="N204" s="150" t="str">
        <f t="shared" si="18"/>
        <v/>
      </c>
      <c r="O204" s="150" t="str">
        <f t="shared" si="19"/>
        <v/>
      </c>
      <c r="P204" s="150" t="str">
        <f t="shared" si="20"/>
        <v/>
      </c>
      <c r="Q204" s="150" t="str">
        <f t="shared" si="21"/>
        <v/>
      </c>
      <c r="R204" s="150" t="str">
        <f t="shared" si="22"/>
        <v/>
      </c>
      <c r="S204" s="185" t="str">
        <f t="shared" si="23"/>
        <v/>
      </c>
    </row>
    <row r="205" spans="14:19" ht="14.4">
      <c r="N205" s="150" t="str">
        <f t="shared" si="18"/>
        <v/>
      </c>
      <c r="O205" s="150" t="str">
        <f t="shared" si="19"/>
        <v/>
      </c>
      <c r="P205" s="150" t="str">
        <f t="shared" si="20"/>
        <v/>
      </c>
      <c r="Q205" s="150" t="str">
        <f t="shared" si="21"/>
        <v/>
      </c>
      <c r="R205" s="150" t="str">
        <f t="shared" si="22"/>
        <v/>
      </c>
      <c r="S205" s="185" t="str">
        <f t="shared" si="23"/>
        <v/>
      </c>
    </row>
    <row r="206" spans="14:19" ht="14.4">
      <c r="N206" s="150" t="str">
        <f t="shared" si="18"/>
        <v/>
      </c>
      <c r="O206" s="150" t="str">
        <f t="shared" si="19"/>
        <v/>
      </c>
      <c r="P206" s="150" t="str">
        <f t="shared" si="20"/>
        <v/>
      </c>
      <c r="Q206" s="150" t="str">
        <f t="shared" si="21"/>
        <v/>
      </c>
      <c r="R206" s="150" t="str">
        <f t="shared" si="22"/>
        <v/>
      </c>
      <c r="S206" s="185" t="str">
        <f t="shared" si="23"/>
        <v/>
      </c>
    </row>
    <row r="207" spans="14:19" ht="14.4">
      <c r="N207" s="150" t="str">
        <f t="shared" si="18"/>
        <v/>
      </c>
      <c r="O207" s="150" t="str">
        <f t="shared" si="19"/>
        <v/>
      </c>
      <c r="P207" s="150" t="str">
        <f t="shared" si="20"/>
        <v/>
      </c>
      <c r="Q207" s="150" t="str">
        <f t="shared" si="21"/>
        <v/>
      </c>
      <c r="R207" s="150" t="str">
        <f t="shared" si="22"/>
        <v/>
      </c>
      <c r="S207" s="185" t="str">
        <f t="shared" si="23"/>
        <v/>
      </c>
    </row>
    <row r="208" spans="14:19" ht="14.4">
      <c r="N208" s="150" t="str">
        <f t="shared" si="18"/>
        <v/>
      </c>
      <c r="O208" s="150" t="str">
        <f t="shared" si="19"/>
        <v/>
      </c>
      <c r="P208" s="150" t="str">
        <f t="shared" si="20"/>
        <v/>
      </c>
      <c r="Q208" s="150" t="str">
        <f t="shared" si="21"/>
        <v/>
      </c>
      <c r="R208" s="150" t="str">
        <f t="shared" si="22"/>
        <v/>
      </c>
      <c r="S208" s="185" t="str">
        <f t="shared" si="23"/>
        <v/>
      </c>
    </row>
    <row r="209" spans="14:19" ht="14.4">
      <c r="N209" s="150" t="str">
        <f t="shared" si="18"/>
        <v/>
      </c>
      <c r="O209" s="150" t="str">
        <f t="shared" si="19"/>
        <v/>
      </c>
      <c r="P209" s="150" t="str">
        <f t="shared" si="20"/>
        <v/>
      </c>
      <c r="Q209" s="150" t="str">
        <f t="shared" si="21"/>
        <v/>
      </c>
      <c r="R209" s="150" t="str">
        <f t="shared" si="22"/>
        <v/>
      </c>
      <c r="S209" s="185" t="str">
        <f t="shared" si="23"/>
        <v/>
      </c>
    </row>
    <row r="210" spans="14:19" ht="14.4">
      <c r="N210" s="150" t="str">
        <f t="shared" si="18"/>
        <v/>
      </c>
      <c r="O210" s="150" t="str">
        <f t="shared" si="19"/>
        <v/>
      </c>
      <c r="P210" s="150" t="str">
        <f t="shared" si="20"/>
        <v/>
      </c>
      <c r="Q210" s="150" t="str">
        <f t="shared" si="21"/>
        <v/>
      </c>
      <c r="R210" s="150" t="str">
        <f t="shared" si="22"/>
        <v/>
      </c>
      <c r="S210" s="185" t="str">
        <f t="shared" si="23"/>
        <v/>
      </c>
    </row>
    <row r="211" spans="14:19" ht="14.4">
      <c r="N211" s="150" t="str">
        <f t="shared" si="18"/>
        <v/>
      </c>
      <c r="O211" s="150" t="str">
        <f t="shared" si="19"/>
        <v/>
      </c>
      <c r="P211" s="150" t="str">
        <f t="shared" si="20"/>
        <v/>
      </c>
      <c r="Q211" s="150" t="str">
        <f t="shared" si="21"/>
        <v/>
      </c>
      <c r="R211" s="150" t="str">
        <f t="shared" si="22"/>
        <v/>
      </c>
      <c r="S211" s="185" t="str">
        <f t="shared" si="23"/>
        <v/>
      </c>
    </row>
    <row r="212" spans="14:19" ht="14.4">
      <c r="N212" s="150" t="str">
        <f t="shared" si="18"/>
        <v/>
      </c>
      <c r="O212" s="150" t="str">
        <f t="shared" si="19"/>
        <v/>
      </c>
      <c r="P212" s="150" t="str">
        <f t="shared" si="20"/>
        <v/>
      </c>
      <c r="Q212" s="150" t="str">
        <f t="shared" si="21"/>
        <v/>
      </c>
      <c r="R212" s="150" t="str">
        <f t="shared" si="22"/>
        <v/>
      </c>
      <c r="S212" s="185" t="str">
        <f t="shared" si="23"/>
        <v/>
      </c>
    </row>
    <row r="213" spans="14:19" ht="14.4">
      <c r="N213" s="150" t="str">
        <f t="shared" si="18"/>
        <v/>
      </c>
      <c r="O213" s="150" t="str">
        <f t="shared" si="19"/>
        <v/>
      </c>
      <c r="P213" s="150" t="str">
        <f t="shared" si="20"/>
        <v/>
      </c>
      <c r="Q213" s="150" t="str">
        <f t="shared" si="21"/>
        <v/>
      </c>
      <c r="R213" s="150" t="str">
        <f t="shared" si="22"/>
        <v/>
      </c>
      <c r="S213" s="185" t="str">
        <f t="shared" si="23"/>
        <v/>
      </c>
    </row>
    <row r="214" spans="14:19" ht="14.4">
      <c r="N214" s="150" t="str">
        <f t="shared" si="18"/>
        <v/>
      </c>
      <c r="O214" s="150" t="str">
        <f t="shared" si="19"/>
        <v/>
      </c>
      <c r="P214" s="150" t="str">
        <f t="shared" si="20"/>
        <v/>
      </c>
      <c r="Q214" s="150" t="str">
        <f t="shared" si="21"/>
        <v/>
      </c>
      <c r="R214" s="150" t="str">
        <f t="shared" si="22"/>
        <v/>
      </c>
      <c r="S214" s="185" t="str">
        <f t="shared" si="23"/>
        <v/>
      </c>
    </row>
    <row r="215" spans="14:19" ht="14.4">
      <c r="N215" s="150" t="str">
        <f t="shared" si="18"/>
        <v/>
      </c>
      <c r="O215" s="150" t="str">
        <f t="shared" si="19"/>
        <v/>
      </c>
      <c r="P215" s="150" t="str">
        <f t="shared" si="20"/>
        <v/>
      </c>
      <c r="Q215" s="150" t="str">
        <f t="shared" si="21"/>
        <v/>
      </c>
      <c r="R215" s="150" t="str">
        <f t="shared" si="22"/>
        <v/>
      </c>
      <c r="S215" s="185" t="str">
        <f t="shared" si="23"/>
        <v/>
      </c>
    </row>
    <row r="216" spans="14:19" ht="14.4">
      <c r="N216" s="150" t="str">
        <f t="shared" si="18"/>
        <v/>
      </c>
      <c r="O216" s="150" t="str">
        <f t="shared" si="19"/>
        <v/>
      </c>
      <c r="P216" s="150" t="str">
        <f t="shared" si="20"/>
        <v/>
      </c>
      <c r="Q216" s="150" t="str">
        <f t="shared" si="21"/>
        <v/>
      </c>
      <c r="R216" s="150" t="str">
        <f t="shared" si="22"/>
        <v/>
      </c>
      <c r="S216" s="185" t="str">
        <f t="shared" si="23"/>
        <v/>
      </c>
    </row>
    <row r="217" spans="14:19" ht="14.4">
      <c r="N217" s="150" t="str">
        <f t="shared" si="18"/>
        <v/>
      </c>
      <c r="O217" s="150" t="str">
        <f t="shared" si="19"/>
        <v/>
      </c>
      <c r="P217" s="150" t="str">
        <f t="shared" si="20"/>
        <v/>
      </c>
      <c r="Q217" s="150" t="str">
        <f t="shared" si="21"/>
        <v/>
      </c>
      <c r="R217" s="150" t="str">
        <f t="shared" si="22"/>
        <v/>
      </c>
      <c r="S217" s="185" t="str">
        <f t="shared" si="23"/>
        <v/>
      </c>
    </row>
    <row r="218" spans="14:19" ht="14.4">
      <c r="N218" s="150" t="str">
        <f t="shared" si="18"/>
        <v/>
      </c>
      <c r="O218" s="150" t="str">
        <f t="shared" si="19"/>
        <v/>
      </c>
      <c r="P218" s="150" t="str">
        <f t="shared" si="20"/>
        <v/>
      </c>
      <c r="Q218" s="150" t="str">
        <f t="shared" si="21"/>
        <v/>
      </c>
      <c r="R218" s="150" t="str">
        <f t="shared" si="22"/>
        <v/>
      </c>
      <c r="S218" s="185" t="str">
        <f t="shared" si="23"/>
        <v/>
      </c>
    </row>
    <row r="219" spans="14:19" ht="14.4">
      <c r="N219" s="150" t="str">
        <f t="shared" si="18"/>
        <v/>
      </c>
      <c r="O219" s="150" t="str">
        <f t="shared" si="19"/>
        <v/>
      </c>
      <c r="P219" s="150" t="str">
        <f t="shared" si="20"/>
        <v/>
      </c>
      <c r="Q219" s="150" t="str">
        <f t="shared" si="21"/>
        <v/>
      </c>
      <c r="R219" s="150" t="str">
        <f t="shared" si="22"/>
        <v/>
      </c>
      <c r="S219" s="185" t="str">
        <f t="shared" si="23"/>
        <v/>
      </c>
    </row>
    <row r="220" spans="14:19" ht="14.4">
      <c r="N220" s="150" t="str">
        <f t="shared" si="18"/>
        <v/>
      </c>
      <c r="O220" s="150" t="str">
        <f t="shared" si="19"/>
        <v/>
      </c>
      <c r="P220" s="150" t="str">
        <f t="shared" si="20"/>
        <v/>
      </c>
      <c r="Q220" s="150" t="str">
        <f t="shared" si="21"/>
        <v/>
      </c>
      <c r="R220" s="150" t="str">
        <f t="shared" si="22"/>
        <v/>
      </c>
      <c r="S220" s="185" t="str">
        <f t="shared" si="23"/>
        <v/>
      </c>
    </row>
    <row r="221" spans="14:19" ht="14.4">
      <c r="N221" s="150" t="str">
        <f t="shared" si="18"/>
        <v/>
      </c>
      <c r="O221" s="150" t="str">
        <f t="shared" si="19"/>
        <v/>
      </c>
      <c r="P221" s="150" t="str">
        <f t="shared" si="20"/>
        <v/>
      </c>
      <c r="Q221" s="150" t="str">
        <f t="shared" si="21"/>
        <v/>
      </c>
      <c r="R221" s="150" t="str">
        <f t="shared" si="22"/>
        <v/>
      </c>
      <c r="S221" s="185" t="str">
        <f t="shared" si="23"/>
        <v/>
      </c>
    </row>
    <row r="222" spans="14:19" ht="14.4">
      <c r="N222" s="150" t="str">
        <f t="shared" si="18"/>
        <v/>
      </c>
      <c r="O222" s="150" t="str">
        <f t="shared" si="19"/>
        <v/>
      </c>
      <c r="P222" s="150" t="str">
        <f t="shared" si="20"/>
        <v/>
      </c>
      <c r="Q222" s="150" t="str">
        <f t="shared" si="21"/>
        <v/>
      </c>
      <c r="R222" s="150" t="str">
        <f t="shared" si="22"/>
        <v/>
      </c>
      <c r="S222" s="185" t="str">
        <f t="shared" si="23"/>
        <v/>
      </c>
    </row>
    <row r="223" spans="14:19" ht="14.4">
      <c r="N223" s="150" t="str">
        <f t="shared" si="18"/>
        <v/>
      </c>
      <c r="O223" s="150" t="str">
        <f t="shared" si="19"/>
        <v/>
      </c>
      <c r="P223" s="150" t="str">
        <f t="shared" si="20"/>
        <v/>
      </c>
      <c r="Q223" s="150" t="str">
        <f t="shared" si="21"/>
        <v/>
      </c>
      <c r="R223" s="150" t="str">
        <f t="shared" si="22"/>
        <v/>
      </c>
      <c r="S223" s="185" t="str">
        <f t="shared" si="23"/>
        <v/>
      </c>
    </row>
    <row r="224" spans="14:19" ht="14.4">
      <c r="N224" s="150" t="str">
        <f t="shared" si="18"/>
        <v/>
      </c>
      <c r="O224" s="150" t="str">
        <f t="shared" si="19"/>
        <v/>
      </c>
      <c r="P224" s="150" t="str">
        <f t="shared" si="20"/>
        <v/>
      </c>
      <c r="Q224" s="150" t="str">
        <f t="shared" si="21"/>
        <v/>
      </c>
      <c r="R224" s="150" t="str">
        <f t="shared" si="22"/>
        <v/>
      </c>
      <c r="S224" s="185" t="str">
        <f t="shared" si="23"/>
        <v/>
      </c>
    </row>
    <row r="225" spans="14:19" ht="14.4">
      <c r="N225" s="150" t="str">
        <f t="shared" si="18"/>
        <v/>
      </c>
      <c r="O225" s="150" t="str">
        <f t="shared" si="19"/>
        <v/>
      </c>
      <c r="P225" s="150" t="str">
        <f t="shared" si="20"/>
        <v/>
      </c>
      <c r="Q225" s="150" t="str">
        <f t="shared" si="21"/>
        <v/>
      </c>
      <c r="R225" s="150" t="str">
        <f t="shared" si="22"/>
        <v/>
      </c>
      <c r="S225" s="185" t="str">
        <f t="shared" si="23"/>
        <v/>
      </c>
    </row>
    <row r="226" spans="14:19" ht="14.4">
      <c r="N226" s="150" t="str">
        <f t="shared" si="18"/>
        <v/>
      </c>
      <c r="O226" s="150" t="str">
        <f t="shared" si="19"/>
        <v/>
      </c>
      <c r="P226" s="150" t="str">
        <f t="shared" si="20"/>
        <v/>
      </c>
      <c r="Q226" s="150" t="str">
        <f t="shared" si="21"/>
        <v/>
      </c>
      <c r="R226" s="150" t="str">
        <f t="shared" si="22"/>
        <v/>
      </c>
      <c r="S226" s="185" t="str">
        <f t="shared" si="23"/>
        <v/>
      </c>
    </row>
    <row r="227" spans="14:19" ht="14.4">
      <c r="N227" s="150" t="str">
        <f t="shared" si="18"/>
        <v/>
      </c>
      <c r="O227" s="150" t="str">
        <f t="shared" si="19"/>
        <v/>
      </c>
      <c r="P227" s="150" t="str">
        <f t="shared" si="20"/>
        <v/>
      </c>
      <c r="Q227" s="150" t="str">
        <f t="shared" si="21"/>
        <v/>
      </c>
      <c r="R227" s="150" t="str">
        <f t="shared" si="22"/>
        <v/>
      </c>
      <c r="S227" s="185" t="str">
        <f t="shared" si="23"/>
        <v/>
      </c>
    </row>
    <row r="228" spans="14:19" ht="14.4">
      <c r="N228" s="150" t="str">
        <f t="shared" si="18"/>
        <v/>
      </c>
      <c r="O228" s="150" t="str">
        <f t="shared" si="19"/>
        <v/>
      </c>
      <c r="P228" s="150" t="str">
        <f t="shared" si="20"/>
        <v/>
      </c>
      <c r="Q228" s="150" t="str">
        <f t="shared" si="21"/>
        <v/>
      </c>
      <c r="R228" s="150" t="str">
        <f t="shared" si="22"/>
        <v/>
      </c>
      <c r="S228" s="185" t="str">
        <f t="shared" si="23"/>
        <v/>
      </c>
    </row>
    <row r="229" spans="14:19" ht="14.4">
      <c r="N229" s="150" t="str">
        <f t="shared" si="18"/>
        <v/>
      </c>
      <c r="O229" s="150" t="str">
        <f t="shared" si="19"/>
        <v/>
      </c>
      <c r="P229" s="150" t="str">
        <f t="shared" si="20"/>
        <v/>
      </c>
      <c r="Q229" s="150" t="str">
        <f t="shared" si="21"/>
        <v/>
      </c>
      <c r="R229" s="150" t="str">
        <f t="shared" si="22"/>
        <v/>
      </c>
      <c r="S229" s="185" t="str">
        <f t="shared" si="23"/>
        <v/>
      </c>
    </row>
    <row r="230" spans="14:19" ht="14.4">
      <c r="N230" s="150" t="str">
        <f t="shared" si="18"/>
        <v/>
      </c>
      <c r="O230" s="150" t="str">
        <f t="shared" si="19"/>
        <v/>
      </c>
      <c r="P230" s="150" t="str">
        <f t="shared" si="20"/>
        <v/>
      </c>
      <c r="Q230" s="150" t="str">
        <f t="shared" si="21"/>
        <v/>
      </c>
      <c r="R230" s="150" t="str">
        <f t="shared" si="22"/>
        <v/>
      </c>
      <c r="S230" s="185" t="str">
        <f t="shared" si="23"/>
        <v/>
      </c>
    </row>
    <row r="231" spans="14:19" ht="14.4">
      <c r="N231" s="150" t="str">
        <f t="shared" si="18"/>
        <v/>
      </c>
      <c r="O231" s="150" t="str">
        <f t="shared" si="19"/>
        <v/>
      </c>
      <c r="P231" s="150" t="str">
        <f t="shared" si="20"/>
        <v/>
      </c>
      <c r="Q231" s="150" t="str">
        <f t="shared" si="21"/>
        <v/>
      </c>
      <c r="R231" s="150" t="str">
        <f t="shared" si="22"/>
        <v/>
      </c>
      <c r="S231" s="185" t="str">
        <f t="shared" si="23"/>
        <v/>
      </c>
    </row>
    <row r="232" spans="14:19" ht="14.4">
      <c r="N232" s="150" t="str">
        <f t="shared" si="18"/>
        <v/>
      </c>
      <c r="O232" s="150" t="str">
        <f t="shared" si="19"/>
        <v/>
      </c>
      <c r="P232" s="150" t="str">
        <f t="shared" si="20"/>
        <v/>
      </c>
      <c r="Q232" s="150" t="str">
        <f t="shared" si="21"/>
        <v/>
      </c>
      <c r="R232" s="150" t="str">
        <f t="shared" si="22"/>
        <v/>
      </c>
      <c r="S232" s="185" t="str">
        <f t="shared" si="23"/>
        <v/>
      </c>
    </row>
    <row r="233" spans="14:19" ht="14.4">
      <c r="N233" s="150" t="str">
        <f t="shared" si="18"/>
        <v/>
      </c>
      <c r="O233" s="150" t="str">
        <f t="shared" si="19"/>
        <v/>
      </c>
      <c r="P233" s="150" t="str">
        <f t="shared" si="20"/>
        <v/>
      </c>
      <c r="Q233" s="150" t="str">
        <f t="shared" si="21"/>
        <v/>
      </c>
      <c r="R233" s="150" t="str">
        <f t="shared" si="22"/>
        <v/>
      </c>
      <c r="S233" s="185" t="str">
        <f t="shared" si="23"/>
        <v/>
      </c>
    </row>
    <row r="234" spans="14:19" ht="14.4">
      <c r="N234" s="150" t="str">
        <f t="shared" si="18"/>
        <v/>
      </c>
      <c r="O234" s="150" t="str">
        <f t="shared" si="19"/>
        <v/>
      </c>
      <c r="P234" s="150" t="str">
        <f t="shared" si="20"/>
        <v/>
      </c>
      <c r="Q234" s="150" t="str">
        <f t="shared" si="21"/>
        <v/>
      </c>
      <c r="R234" s="150" t="str">
        <f t="shared" si="22"/>
        <v/>
      </c>
      <c r="S234" s="185" t="str">
        <f t="shared" si="23"/>
        <v/>
      </c>
    </row>
    <row r="235" spans="14:19" ht="14.4">
      <c r="N235" s="150" t="str">
        <f t="shared" si="18"/>
        <v/>
      </c>
      <c r="O235" s="150" t="str">
        <f t="shared" si="19"/>
        <v/>
      </c>
      <c r="P235" s="150" t="str">
        <f t="shared" si="20"/>
        <v/>
      </c>
      <c r="Q235" s="150" t="str">
        <f t="shared" si="21"/>
        <v/>
      </c>
      <c r="R235" s="150" t="str">
        <f t="shared" si="22"/>
        <v/>
      </c>
      <c r="S235" s="185" t="str">
        <f t="shared" si="23"/>
        <v/>
      </c>
    </row>
    <row r="236" spans="14:19" ht="14.4">
      <c r="N236" s="150" t="str">
        <f t="shared" si="18"/>
        <v/>
      </c>
      <c r="O236" s="150" t="str">
        <f t="shared" si="19"/>
        <v/>
      </c>
      <c r="P236" s="150" t="str">
        <f t="shared" si="20"/>
        <v/>
      </c>
      <c r="Q236" s="150" t="str">
        <f t="shared" si="21"/>
        <v/>
      </c>
      <c r="R236" s="150" t="str">
        <f t="shared" si="22"/>
        <v/>
      </c>
      <c r="S236" s="185" t="str">
        <f t="shared" si="23"/>
        <v/>
      </c>
    </row>
    <row r="237" spans="14:19" ht="14.4">
      <c r="N237" s="150" t="str">
        <f t="shared" si="18"/>
        <v/>
      </c>
      <c r="O237" s="150" t="str">
        <f t="shared" si="19"/>
        <v/>
      </c>
      <c r="P237" s="150" t="str">
        <f t="shared" si="20"/>
        <v/>
      </c>
      <c r="Q237" s="150" t="str">
        <f t="shared" si="21"/>
        <v/>
      </c>
      <c r="R237" s="150" t="str">
        <f t="shared" si="22"/>
        <v/>
      </c>
      <c r="S237" s="185" t="str">
        <f t="shared" si="23"/>
        <v/>
      </c>
    </row>
    <row r="238" spans="14:19" ht="14.4">
      <c r="N238" s="150" t="str">
        <f t="shared" si="18"/>
        <v/>
      </c>
      <c r="O238" s="150" t="str">
        <f t="shared" si="19"/>
        <v/>
      </c>
      <c r="P238" s="150" t="str">
        <f t="shared" si="20"/>
        <v/>
      </c>
      <c r="Q238" s="150" t="str">
        <f t="shared" si="21"/>
        <v/>
      </c>
      <c r="R238" s="150" t="str">
        <f t="shared" si="22"/>
        <v/>
      </c>
      <c r="S238" s="185" t="str">
        <f t="shared" si="23"/>
        <v/>
      </c>
    </row>
    <row r="239" spans="14:19" ht="14.4">
      <c r="N239" s="150" t="str">
        <f t="shared" si="18"/>
        <v/>
      </c>
      <c r="O239" s="150" t="str">
        <f t="shared" si="19"/>
        <v/>
      </c>
      <c r="P239" s="150" t="str">
        <f t="shared" si="20"/>
        <v/>
      </c>
      <c r="Q239" s="150" t="str">
        <f t="shared" si="21"/>
        <v/>
      </c>
      <c r="R239" s="150" t="str">
        <f t="shared" si="22"/>
        <v/>
      </c>
      <c r="S239" s="185" t="str">
        <f t="shared" si="23"/>
        <v/>
      </c>
    </row>
    <row r="240" spans="14:19" ht="14.4">
      <c r="N240" s="150" t="str">
        <f t="shared" si="18"/>
        <v/>
      </c>
      <c r="O240" s="150" t="str">
        <f t="shared" si="19"/>
        <v/>
      </c>
      <c r="P240" s="150" t="str">
        <f t="shared" si="20"/>
        <v/>
      </c>
      <c r="Q240" s="150" t="str">
        <f t="shared" si="21"/>
        <v/>
      </c>
      <c r="R240" s="150" t="str">
        <f t="shared" si="22"/>
        <v/>
      </c>
      <c r="S240" s="185" t="str">
        <f t="shared" si="23"/>
        <v/>
      </c>
    </row>
    <row r="241" spans="14:19" ht="14.4">
      <c r="N241" s="150" t="str">
        <f t="shared" si="18"/>
        <v/>
      </c>
      <c r="O241" s="150" t="str">
        <f t="shared" si="19"/>
        <v/>
      </c>
      <c r="P241" s="150" t="str">
        <f t="shared" si="20"/>
        <v/>
      </c>
      <c r="Q241" s="150" t="str">
        <f t="shared" si="21"/>
        <v/>
      </c>
      <c r="R241" s="150" t="str">
        <f t="shared" si="22"/>
        <v/>
      </c>
      <c r="S241" s="185" t="str">
        <f t="shared" si="23"/>
        <v/>
      </c>
    </row>
    <row r="242" spans="14:19" ht="14.4">
      <c r="N242" s="150" t="str">
        <f t="shared" si="18"/>
        <v/>
      </c>
      <c r="O242" s="150" t="str">
        <f t="shared" si="19"/>
        <v/>
      </c>
      <c r="P242" s="150" t="str">
        <f t="shared" si="20"/>
        <v/>
      </c>
      <c r="Q242" s="150" t="str">
        <f t="shared" si="21"/>
        <v/>
      </c>
      <c r="R242" s="150" t="str">
        <f t="shared" si="22"/>
        <v/>
      </c>
      <c r="S242" s="185" t="str">
        <f t="shared" si="23"/>
        <v/>
      </c>
    </row>
    <row r="243" spans="14:19" ht="14.4">
      <c r="N243" s="150" t="str">
        <f t="shared" si="18"/>
        <v/>
      </c>
      <c r="O243" s="150" t="str">
        <f t="shared" si="19"/>
        <v/>
      </c>
      <c r="P243" s="150" t="str">
        <f t="shared" si="20"/>
        <v/>
      </c>
      <c r="Q243" s="150" t="str">
        <f t="shared" si="21"/>
        <v/>
      </c>
      <c r="R243" s="150" t="str">
        <f t="shared" si="22"/>
        <v/>
      </c>
      <c r="S243" s="185" t="str">
        <f t="shared" si="23"/>
        <v/>
      </c>
    </row>
    <row r="244" spans="14:19" ht="14.4">
      <c r="N244" s="150" t="str">
        <f t="shared" si="18"/>
        <v/>
      </c>
      <c r="O244" s="150" t="str">
        <f t="shared" si="19"/>
        <v/>
      </c>
      <c r="P244" s="150" t="str">
        <f t="shared" si="20"/>
        <v/>
      </c>
      <c r="Q244" s="150" t="str">
        <f t="shared" si="21"/>
        <v/>
      </c>
      <c r="R244" s="150" t="str">
        <f t="shared" si="22"/>
        <v/>
      </c>
      <c r="S244" s="185" t="str">
        <f t="shared" si="23"/>
        <v/>
      </c>
    </row>
    <row r="245" spans="14:19" ht="14.4">
      <c r="N245" s="150" t="str">
        <f t="shared" si="18"/>
        <v/>
      </c>
      <c r="O245" s="150" t="str">
        <f t="shared" si="19"/>
        <v/>
      </c>
      <c r="P245" s="150" t="str">
        <f t="shared" si="20"/>
        <v/>
      </c>
      <c r="Q245" s="150" t="str">
        <f t="shared" si="21"/>
        <v/>
      </c>
      <c r="R245" s="150" t="str">
        <f t="shared" si="22"/>
        <v/>
      </c>
      <c r="S245" s="185" t="str">
        <f t="shared" si="23"/>
        <v/>
      </c>
    </row>
    <row r="246" spans="14:19" ht="14.4">
      <c r="N246" s="150" t="str">
        <f t="shared" si="18"/>
        <v/>
      </c>
      <c r="O246" s="150" t="str">
        <f t="shared" si="19"/>
        <v/>
      </c>
      <c r="P246" s="150" t="str">
        <f t="shared" si="20"/>
        <v/>
      </c>
      <c r="Q246" s="150" t="str">
        <f t="shared" si="21"/>
        <v/>
      </c>
      <c r="R246" s="150" t="str">
        <f t="shared" si="22"/>
        <v/>
      </c>
      <c r="S246" s="185" t="str">
        <f t="shared" si="23"/>
        <v/>
      </c>
    </row>
    <row r="247" spans="14:19" ht="14.4">
      <c r="N247" s="150" t="str">
        <f t="shared" si="18"/>
        <v/>
      </c>
      <c r="O247" s="150" t="str">
        <f t="shared" si="19"/>
        <v/>
      </c>
      <c r="P247" s="150" t="str">
        <f t="shared" si="20"/>
        <v/>
      </c>
      <c r="Q247" s="150" t="str">
        <f t="shared" si="21"/>
        <v/>
      </c>
      <c r="R247" s="150" t="str">
        <f t="shared" si="22"/>
        <v/>
      </c>
      <c r="S247" s="185" t="str">
        <f t="shared" si="23"/>
        <v/>
      </c>
    </row>
    <row r="248" spans="14:19" ht="14.4">
      <c r="N248" s="150" t="str">
        <f t="shared" si="18"/>
        <v/>
      </c>
      <c r="O248" s="150" t="str">
        <f t="shared" si="19"/>
        <v/>
      </c>
      <c r="P248" s="150" t="str">
        <f t="shared" si="20"/>
        <v/>
      </c>
      <c r="Q248" s="150" t="str">
        <f t="shared" si="21"/>
        <v/>
      </c>
      <c r="R248" s="150" t="str">
        <f t="shared" si="22"/>
        <v/>
      </c>
      <c r="S248" s="185" t="str">
        <f t="shared" si="23"/>
        <v/>
      </c>
    </row>
    <row r="249" spans="14:19" ht="14.4">
      <c r="N249" s="150" t="str">
        <f t="shared" si="18"/>
        <v/>
      </c>
      <c r="O249" s="150" t="str">
        <f t="shared" si="19"/>
        <v/>
      </c>
      <c r="P249" s="150" t="str">
        <f t="shared" si="20"/>
        <v/>
      </c>
      <c r="Q249" s="150" t="str">
        <f t="shared" si="21"/>
        <v/>
      </c>
      <c r="R249" s="150" t="str">
        <f t="shared" si="22"/>
        <v/>
      </c>
      <c r="S249" s="185" t="str">
        <f t="shared" si="23"/>
        <v/>
      </c>
    </row>
    <row r="250" spans="14:19" ht="14.4">
      <c r="N250" s="150" t="str">
        <f t="shared" si="18"/>
        <v/>
      </c>
      <c r="O250" s="150" t="str">
        <f t="shared" si="19"/>
        <v/>
      </c>
      <c r="P250" s="150" t="str">
        <f t="shared" si="20"/>
        <v/>
      </c>
      <c r="Q250" s="150" t="str">
        <f t="shared" si="21"/>
        <v/>
      </c>
      <c r="R250" s="150" t="str">
        <f t="shared" si="22"/>
        <v/>
      </c>
      <c r="S250" s="185" t="str">
        <f t="shared" si="23"/>
        <v/>
      </c>
    </row>
    <row r="251" spans="14:19" ht="14.4">
      <c r="N251" s="150" t="str">
        <f t="shared" si="18"/>
        <v/>
      </c>
      <c r="O251" s="150" t="str">
        <f t="shared" si="19"/>
        <v/>
      </c>
      <c r="P251" s="150" t="str">
        <f t="shared" si="20"/>
        <v/>
      </c>
      <c r="Q251" s="150" t="str">
        <f t="shared" si="21"/>
        <v/>
      </c>
      <c r="R251" s="150" t="str">
        <f t="shared" si="22"/>
        <v/>
      </c>
      <c r="S251" s="185" t="str">
        <f t="shared" si="23"/>
        <v/>
      </c>
    </row>
    <row r="252" spans="14:19" ht="14.4">
      <c r="N252" s="150" t="str">
        <f t="shared" si="18"/>
        <v/>
      </c>
      <c r="O252" s="150" t="str">
        <f t="shared" si="19"/>
        <v/>
      </c>
      <c r="P252" s="150" t="str">
        <f t="shared" si="20"/>
        <v/>
      </c>
      <c r="Q252" s="150" t="str">
        <f t="shared" si="21"/>
        <v/>
      </c>
      <c r="R252" s="150" t="str">
        <f t="shared" si="22"/>
        <v/>
      </c>
      <c r="S252" s="185" t="str">
        <f t="shared" si="23"/>
        <v/>
      </c>
    </row>
    <row r="253" spans="14:19" ht="14.4">
      <c r="N253" s="150" t="str">
        <f t="shared" si="18"/>
        <v/>
      </c>
      <c r="O253" s="150" t="str">
        <f t="shared" si="19"/>
        <v/>
      </c>
      <c r="P253" s="150" t="str">
        <f t="shared" si="20"/>
        <v/>
      </c>
      <c r="Q253" s="150" t="str">
        <f t="shared" si="21"/>
        <v/>
      </c>
      <c r="R253" s="150" t="str">
        <f t="shared" si="22"/>
        <v/>
      </c>
      <c r="S253" s="185" t="str">
        <f t="shared" si="23"/>
        <v/>
      </c>
    </row>
    <row r="254" spans="14:19" ht="14.4">
      <c r="N254" s="150" t="str">
        <f t="shared" si="18"/>
        <v/>
      </c>
      <c r="O254" s="150" t="str">
        <f t="shared" si="19"/>
        <v/>
      </c>
      <c r="P254" s="150" t="str">
        <f t="shared" si="20"/>
        <v/>
      </c>
      <c r="Q254" s="150" t="str">
        <f t="shared" si="21"/>
        <v/>
      </c>
      <c r="R254" s="150" t="str">
        <f t="shared" si="22"/>
        <v/>
      </c>
      <c r="S254" s="185" t="str">
        <f t="shared" si="23"/>
        <v/>
      </c>
    </row>
    <row r="255" spans="14:19" ht="14.4">
      <c r="N255" s="150" t="str">
        <f t="shared" si="18"/>
        <v/>
      </c>
      <c r="O255" s="150" t="str">
        <f t="shared" si="19"/>
        <v/>
      </c>
      <c r="P255" s="150" t="str">
        <f t="shared" si="20"/>
        <v/>
      </c>
      <c r="Q255" s="150" t="str">
        <f t="shared" si="21"/>
        <v/>
      </c>
      <c r="R255" s="150" t="str">
        <f t="shared" si="22"/>
        <v/>
      </c>
      <c r="S255" s="185" t="str">
        <f t="shared" si="23"/>
        <v/>
      </c>
    </row>
    <row r="256" spans="14:19" ht="14.4">
      <c r="N256" s="150" t="str">
        <f t="shared" si="18"/>
        <v/>
      </c>
      <c r="O256" s="150" t="str">
        <f t="shared" si="19"/>
        <v/>
      </c>
      <c r="P256" s="150" t="str">
        <f t="shared" si="20"/>
        <v/>
      </c>
      <c r="Q256" s="150" t="str">
        <f t="shared" si="21"/>
        <v/>
      </c>
      <c r="R256" s="150" t="str">
        <f t="shared" si="22"/>
        <v/>
      </c>
      <c r="S256" s="185" t="str">
        <f t="shared" si="23"/>
        <v/>
      </c>
    </row>
    <row r="257" spans="14:19" ht="14.4">
      <c r="N257" s="150" t="str">
        <f t="shared" si="18"/>
        <v/>
      </c>
      <c r="O257" s="150" t="str">
        <f t="shared" si="19"/>
        <v/>
      </c>
      <c r="P257" s="150" t="str">
        <f t="shared" si="20"/>
        <v/>
      </c>
      <c r="Q257" s="150" t="str">
        <f t="shared" si="21"/>
        <v/>
      </c>
      <c r="R257" s="150" t="str">
        <f t="shared" si="22"/>
        <v/>
      </c>
      <c r="S257" s="185" t="str">
        <f t="shared" si="23"/>
        <v/>
      </c>
    </row>
    <row r="258" spans="14:19" ht="14.4">
      <c r="N258" s="150" t="str">
        <f t="shared" si="18"/>
        <v/>
      </c>
      <c r="O258" s="150" t="str">
        <f t="shared" si="19"/>
        <v/>
      </c>
      <c r="P258" s="150" t="str">
        <f t="shared" si="20"/>
        <v/>
      </c>
      <c r="Q258" s="150" t="str">
        <f t="shared" si="21"/>
        <v/>
      </c>
      <c r="R258" s="150" t="str">
        <f t="shared" si="22"/>
        <v/>
      </c>
      <c r="S258" s="185" t="str">
        <f t="shared" si="23"/>
        <v/>
      </c>
    </row>
    <row r="259" spans="14:19" ht="14.4">
      <c r="N259" s="150" t="str">
        <f t="shared" ref="N259:N322" si="24">IF(LEN(A259)&gt;18,A259,"")</f>
        <v/>
      </c>
      <c r="O259" s="150" t="str">
        <f t="shared" ref="O259:O322" si="25">IF(ISNUMBER(IF(N259="",B259,"")),B259,"")</f>
        <v/>
      </c>
      <c r="P259" s="150" t="str">
        <f t="shared" ref="P259:P322" si="26">IF(ISNUMBER(IF($N259="",C259,"")),C259,"")</f>
        <v/>
      </c>
      <c r="Q259" s="150" t="str">
        <f t="shared" ref="Q259:Q322" si="27">IF(ISNUMBER(IF($N259="",D259,"")),D259,"")</f>
        <v/>
      </c>
      <c r="R259" s="150" t="str">
        <f t="shared" ref="R259:R322" si="28">IF(ISNUMBER(IF($N259="",F259,"")),F259,"")</f>
        <v/>
      </c>
      <c r="S259" s="185" t="str">
        <f t="shared" ref="S259:S322" si="29">IF(ISNUMBER(IF($N259="",H259,"")),H259,"")</f>
        <v/>
      </c>
    </row>
    <row r="260" spans="14:19" ht="14.4">
      <c r="N260" s="150" t="str">
        <f t="shared" si="24"/>
        <v/>
      </c>
      <c r="O260" s="150" t="str">
        <f t="shared" si="25"/>
        <v/>
      </c>
      <c r="P260" s="150" t="str">
        <f t="shared" si="26"/>
        <v/>
      </c>
      <c r="Q260" s="150" t="str">
        <f t="shared" si="27"/>
        <v/>
      </c>
      <c r="R260" s="150" t="str">
        <f t="shared" si="28"/>
        <v/>
      </c>
      <c r="S260" s="185" t="str">
        <f t="shared" si="29"/>
        <v/>
      </c>
    </row>
    <row r="261" spans="14:19" ht="14.4">
      <c r="N261" s="150" t="str">
        <f t="shared" si="24"/>
        <v/>
      </c>
      <c r="O261" s="150" t="str">
        <f t="shared" si="25"/>
        <v/>
      </c>
      <c r="P261" s="150" t="str">
        <f t="shared" si="26"/>
        <v/>
      </c>
      <c r="Q261" s="150" t="str">
        <f t="shared" si="27"/>
        <v/>
      </c>
      <c r="R261" s="150" t="str">
        <f t="shared" si="28"/>
        <v/>
      </c>
      <c r="S261" s="185" t="str">
        <f t="shared" si="29"/>
        <v/>
      </c>
    </row>
    <row r="262" spans="14:19" ht="14.4">
      <c r="N262" s="150" t="str">
        <f t="shared" si="24"/>
        <v/>
      </c>
      <c r="O262" s="150" t="str">
        <f t="shared" si="25"/>
        <v/>
      </c>
      <c r="P262" s="150" t="str">
        <f t="shared" si="26"/>
        <v/>
      </c>
      <c r="Q262" s="150" t="str">
        <f t="shared" si="27"/>
        <v/>
      </c>
      <c r="R262" s="150" t="str">
        <f t="shared" si="28"/>
        <v/>
      </c>
      <c r="S262" s="185" t="str">
        <f t="shared" si="29"/>
        <v/>
      </c>
    </row>
    <row r="263" spans="14:19" ht="14.4">
      <c r="N263" s="150" t="str">
        <f t="shared" si="24"/>
        <v/>
      </c>
      <c r="O263" s="150" t="str">
        <f t="shared" si="25"/>
        <v/>
      </c>
      <c r="P263" s="150" t="str">
        <f t="shared" si="26"/>
        <v/>
      </c>
      <c r="Q263" s="150" t="str">
        <f t="shared" si="27"/>
        <v/>
      </c>
      <c r="R263" s="150" t="str">
        <f t="shared" si="28"/>
        <v/>
      </c>
      <c r="S263" s="185" t="str">
        <f t="shared" si="29"/>
        <v/>
      </c>
    </row>
    <row r="264" spans="14:19" ht="14.4">
      <c r="N264" s="150" t="str">
        <f t="shared" si="24"/>
        <v/>
      </c>
      <c r="O264" s="150" t="str">
        <f t="shared" si="25"/>
        <v/>
      </c>
      <c r="P264" s="150" t="str">
        <f t="shared" si="26"/>
        <v/>
      </c>
      <c r="Q264" s="150" t="str">
        <f t="shared" si="27"/>
        <v/>
      </c>
      <c r="R264" s="150" t="str">
        <f t="shared" si="28"/>
        <v/>
      </c>
      <c r="S264" s="185" t="str">
        <f t="shared" si="29"/>
        <v/>
      </c>
    </row>
    <row r="265" spans="14:19" ht="14.4">
      <c r="N265" s="150" t="str">
        <f t="shared" si="24"/>
        <v/>
      </c>
      <c r="O265" s="150" t="str">
        <f t="shared" si="25"/>
        <v/>
      </c>
      <c r="P265" s="150" t="str">
        <f t="shared" si="26"/>
        <v/>
      </c>
      <c r="Q265" s="150" t="str">
        <f t="shared" si="27"/>
        <v/>
      </c>
      <c r="R265" s="150" t="str">
        <f t="shared" si="28"/>
        <v/>
      </c>
      <c r="S265" s="185" t="str">
        <f t="shared" si="29"/>
        <v/>
      </c>
    </row>
    <row r="266" spans="14:19" ht="14.4">
      <c r="N266" s="150" t="str">
        <f t="shared" si="24"/>
        <v/>
      </c>
      <c r="O266" s="150" t="str">
        <f t="shared" si="25"/>
        <v/>
      </c>
      <c r="P266" s="150" t="str">
        <f t="shared" si="26"/>
        <v/>
      </c>
      <c r="Q266" s="150" t="str">
        <f t="shared" si="27"/>
        <v/>
      </c>
      <c r="R266" s="150" t="str">
        <f t="shared" si="28"/>
        <v/>
      </c>
      <c r="S266" s="185" t="str">
        <f t="shared" si="29"/>
        <v/>
      </c>
    </row>
    <row r="267" spans="14:19" ht="14.4">
      <c r="N267" s="150" t="str">
        <f t="shared" si="24"/>
        <v/>
      </c>
      <c r="O267" s="150" t="str">
        <f t="shared" si="25"/>
        <v/>
      </c>
      <c r="P267" s="150" t="str">
        <f t="shared" si="26"/>
        <v/>
      </c>
      <c r="Q267" s="150" t="str">
        <f t="shared" si="27"/>
        <v/>
      </c>
      <c r="R267" s="150" t="str">
        <f t="shared" si="28"/>
        <v/>
      </c>
      <c r="S267" s="185" t="str">
        <f t="shared" si="29"/>
        <v/>
      </c>
    </row>
    <row r="268" spans="14:19" ht="14.4">
      <c r="N268" s="150" t="str">
        <f t="shared" si="24"/>
        <v/>
      </c>
      <c r="O268" s="150" t="str">
        <f t="shared" si="25"/>
        <v/>
      </c>
      <c r="P268" s="150" t="str">
        <f t="shared" si="26"/>
        <v/>
      </c>
      <c r="Q268" s="150" t="str">
        <f t="shared" si="27"/>
        <v/>
      </c>
      <c r="R268" s="150" t="str">
        <f t="shared" si="28"/>
        <v/>
      </c>
      <c r="S268" s="185" t="str">
        <f t="shared" si="29"/>
        <v/>
      </c>
    </row>
    <row r="269" spans="14:19" ht="14.4">
      <c r="N269" s="150" t="str">
        <f t="shared" si="24"/>
        <v/>
      </c>
      <c r="O269" s="150" t="str">
        <f t="shared" si="25"/>
        <v/>
      </c>
      <c r="P269" s="150" t="str">
        <f t="shared" si="26"/>
        <v/>
      </c>
      <c r="Q269" s="150" t="str">
        <f t="shared" si="27"/>
        <v/>
      </c>
      <c r="R269" s="150" t="str">
        <f t="shared" si="28"/>
        <v/>
      </c>
      <c r="S269" s="185" t="str">
        <f t="shared" si="29"/>
        <v/>
      </c>
    </row>
    <row r="270" spans="14:19" ht="14.4">
      <c r="N270" s="150" t="str">
        <f t="shared" si="24"/>
        <v/>
      </c>
      <c r="O270" s="150" t="str">
        <f t="shared" si="25"/>
        <v/>
      </c>
      <c r="P270" s="150" t="str">
        <f t="shared" si="26"/>
        <v/>
      </c>
      <c r="Q270" s="150" t="str">
        <f t="shared" si="27"/>
        <v/>
      </c>
      <c r="R270" s="150" t="str">
        <f t="shared" si="28"/>
        <v/>
      </c>
      <c r="S270" s="185" t="str">
        <f t="shared" si="29"/>
        <v/>
      </c>
    </row>
    <row r="271" spans="14:19" ht="14.4">
      <c r="N271" s="150" t="str">
        <f t="shared" si="24"/>
        <v/>
      </c>
      <c r="O271" s="150" t="str">
        <f t="shared" si="25"/>
        <v/>
      </c>
      <c r="P271" s="150" t="str">
        <f t="shared" si="26"/>
        <v/>
      </c>
      <c r="Q271" s="150" t="str">
        <f t="shared" si="27"/>
        <v/>
      </c>
      <c r="R271" s="150" t="str">
        <f t="shared" si="28"/>
        <v/>
      </c>
      <c r="S271" s="185" t="str">
        <f t="shared" si="29"/>
        <v/>
      </c>
    </row>
    <row r="272" spans="14:19" ht="14.4">
      <c r="N272" s="150" t="str">
        <f t="shared" si="24"/>
        <v/>
      </c>
      <c r="O272" s="150" t="str">
        <f t="shared" si="25"/>
        <v/>
      </c>
      <c r="P272" s="150" t="str">
        <f t="shared" si="26"/>
        <v/>
      </c>
      <c r="Q272" s="150" t="str">
        <f t="shared" si="27"/>
        <v/>
      </c>
      <c r="R272" s="150" t="str">
        <f t="shared" si="28"/>
        <v/>
      </c>
      <c r="S272" s="185" t="str">
        <f t="shared" si="29"/>
        <v/>
      </c>
    </row>
    <row r="273" spans="14:19" ht="14.4">
      <c r="N273" s="150" t="str">
        <f t="shared" si="24"/>
        <v/>
      </c>
      <c r="O273" s="150" t="str">
        <f t="shared" si="25"/>
        <v/>
      </c>
      <c r="P273" s="150" t="str">
        <f t="shared" si="26"/>
        <v/>
      </c>
      <c r="Q273" s="150" t="str">
        <f t="shared" si="27"/>
        <v/>
      </c>
      <c r="R273" s="150" t="str">
        <f t="shared" si="28"/>
        <v/>
      </c>
      <c r="S273" s="185" t="str">
        <f t="shared" si="29"/>
        <v/>
      </c>
    </row>
    <row r="274" spans="14:19" ht="14.4">
      <c r="N274" s="150" t="str">
        <f t="shared" si="24"/>
        <v/>
      </c>
      <c r="O274" s="150" t="str">
        <f t="shared" si="25"/>
        <v/>
      </c>
      <c r="P274" s="150" t="str">
        <f t="shared" si="26"/>
        <v/>
      </c>
      <c r="Q274" s="150" t="str">
        <f t="shared" si="27"/>
        <v/>
      </c>
      <c r="R274" s="150" t="str">
        <f t="shared" si="28"/>
        <v/>
      </c>
      <c r="S274" s="185" t="str">
        <f t="shared" si="29"/>
        <v/>
      </c>
    </row>
    <row r="275" spans="14:19" ht="14.4">
      <c r="N275" s="150" t="str">
        <f t="shared" si="24"/>
        <v/>
      </c>
      <c r="O275" s="150" t="str">
        <f t="shared" si="25"/>
        <v/>
      </c>
      <c r="P275" s="150" t="str">
        <f t="shared" si="26"/>
        <v/>
      </c>
      <c r="Q275" s="150" t="str">
        <f t="shared" si="27"/>
        <v/>
      </c>
      <c r="R275" s="150" t="str">
        <f t="shared" si="28"/>
        <v/>
      </c>
      <c r="S275" s="185" t="str">
        <f t="shared" si="29"/>
        <v/>
      </c>
    </row>
    <row r="276" spans="14:19" ht="14.4">
      <c r="N276" s="150" t="str">
        <f t="shared" si="24"/>
        <v/>
      </c>
      <c r="O276" s="150" t="str">
        <f t="shared" si="25"/>
        <v/>
      </c>
      <c r="P276" s="150" t="str">
        <f t="shared" si="26"/>
        <v/>
      </c>
      <c r="Q276" s="150" t="str">
        <f t="shared" si="27"/>
        <v/>
      </c>
      <c r="R276" s="150" t="str">
        <f t="shared" si="28"/>
        <v/>
      </c>
      <c r="S276" s="185" t="str">
        <f t="shared" si="29"/>
        <v/>
      </c>
    </row>
    <row r="277" spans="14:19" ht="14.4">
      <c r="N277" s="150" t="str">
        <f t="shared" si="24"/>
        <v/>
      </c>
      <c r="O277" s="150" t="str">
        <f t="shared" si="25"/>
        <v/>
      </c>
      <c r="P277" s="150" t="str">
        <f t="shared" si="26"/>
        <v/>
      </c>
      <c r="Q277" s="150" t="str">
        <f t="shared" si="27"/>
        <v/>
      </c>
      <c r="R277" s="150" t="str">
        <f t="shared" si="28"/>
        <v/>
      </c>
      <c r="S277" s="185" t="str">
        <f t="shared" si="29"/>
        <v/>
      </c>
    </row>
    <row r="278" spans="14:19" ht="14.4">
      <c r="N278" s="150" t="str">
        <f t="shared" si="24"/>
        <v/>
      </c>
      <c r="O278" s="150" t="str">
        <f t="shared" si="25"/>
        <v/>
      </c>
      <c r="P278" s="150" t="str">
        <f t="shared" si="26"/>
        <v/>
      </c>
      <c r="Q278" s="150" t="str">
        <f t="shared" si="27"/>
        <v/>
      </c>
      <c r="R278" s="150" t="str">
        <f t="shared" si="28"/>
        <v/>
      </c>
      <c r="S278" s="185" t="str">
        <f t="shared" si="29"/>
        <v/>
      </c>
    </row>
    <row r="279" spans="14:19" ht="14.4">
      <c r="N279" s="150" t="str">
        <f t="shared" si="24"/>
        <v/>
      </c>
      <c r="O279" s="150" t="str">
        <f t="shared" si="25"/>
        <v/>
      </c>
      <c r="P279" s="150" t="str">
        <f t="shared" si="26"/>
        <v/>
      </c>
      <c r="Q279" s="150" t="str">
        <f t="shared" si="27"/>
        <v/>
      </c>
      <c r="R279" s="150" t="str">
        <f t="shared" si="28"/>
        <v/>
      </c>
      <c r="S279" s="185" t="str">
        <f t="shared" si="29"/>
        <v/>
      </c>
    </row>
    <row r="280" spans="14:19" ht="14.4">
      <c r="N280" s="150" t="str">
        <f t="shared" si="24"/>
        <v/>
      </c>
      <c r="O280" s="150" t="str">
        <f t="shared" si="25"/>
        <v/>
      </c>
      <c r="P280" s="150" t="str">
        <f t="shared" si="26"/>
        <v/>
      </c>
      <c r="Q280" s="150" t="str">
        <f t="shared" si="27"/>
        <v/>
      </c>
      <c r="R280" s="150" t="str">
        <f t="shared" si="28"/>
        <v/>
      </c>
      <c r="S280" s="185" t="str">
        <f t="shared" si="29"/>
        <v/>
      </c>
    </row>
    <row r="281" spans="14:19" ht="14.4">
      <c r="N281" s="150" t="str">
        <f t="shared" si="24"/>
        <v/>
      </c>
      <c r="O281" s="150" t="str">
        <f t="shared" si="25"/>
        <v/>
      </c>
      <c r="P281" s="150" t="str">
        <f t="shared" si="26"/>
        <v/>
      </c>
      <c r="Q281" s="150" t="str">
        <f t="shared" si="27"/>
        <v/>
      </c>
      <c r="R281" s="150" t="str">
        <f t="shared" si="28"/>
        <v/>
      </c>
      <c r="S281" s="185" t="str">
        <f t="shared" si="29"/>
        <v/>
      </c>
    </row>
    <row r="282" spans="14:19" ht="14.4">
      <c r="N282" s="150" t="str">
        <f t="shared" si="24"/>
        <v/>
      </c>
      <c r="O282" s="150" t="str">
        <f t="shared" si="25"/>
        <v/>
      </c>
      <c r="P282" s="150" t="str">
        <f t="shared" si="26"/>
        <v/>
      </c>
      <c r="Q282" s="150" t="str">
        <f t="shared" si="27"/>
        <v/>
      </c>
      <c r="R282" s="150" t="str">
        <f t="shared" si="28"/>
        <v/>
      </c>
      <c r="S282" s="185" t="str">
        <f t="shared" si="29"/>
        <v/>
      </c>
    </row>
    <row r="283" spans="14:19" ht="14.4">
      <c r="N283" s="150" t="str">
        <f t="shared" si="24"/>
        <v/>
      </c>
      <c r="O283" s="150" t="str">
        <f t="shared" si="25"/>
        <v/>
      </c>
      <c r="P283" s="150" t="str">
        <f t="shared" si="26"/>
        <v/>
      </c>
      <c r="Q283" s="150" t="str">
        <f t="shared" si="27"/>
        <v/>
      </c>
      <c r="R283" s="150" t="str">
        <f t="shared" si="28"/>
        <v/>
      </c>
      <c r="S283" s="185" t="str">
        <f t="shared" si="29"/>
        <v/>
      </c>
    </row>
    <row r="284" spans="14:19" ht="14.4">
      <c r="N284" s="150" t="str">
        <f t="shared" si="24"/>
        <v/>
      </c>
      <c r="O284" s="150" t="str">
        <f t="shared" si="25"/>
        <v/>
      </c>
      <c r="P284" s="150" t="str">
        <f t="shared" si="26"/>
        <v/>
      </c>
      <c r="Q284" s="150" t="str">
        <f t="shared" si="27"/>
        <v/>
      </c>
      <c r="R284" s="150" t="str">
        <f t="shared" si="28"/>
        <v/>
      </c>
      <c r="S284" s="185" t="str">
        <f t="shared" si="29"/>
        <v/>
      </c>
    </row>
    <row r="285" spans="14:19" ht="14.4">
      <c r="N285" s="150" t="str">
        <f t="shared" si="24"/>
        <v/>
      </c>
      <c r="O285" s="150" t="str">
        <f t="shared" si="25"/>
        <v/>
      </c>
      <c r="P285" s="150" t="str">
        <f t="shared" si="26"/>
        <v/>
      </c>
      <c r="Q285" s="150" t="str">
        <f t="shared" si="27"/>
        <v/>
      </c>
      <c r="R285" s="150" t="str">
        <f t="shared" si="28"/>
        <v/>
      </c>
      <c r="S285" s="185" t="str">
        <f t="shared" si="29"/>
        <v/>
      </c>
    </row>
    <row r="286" spans="14:19" ht="14.4">
      <c r="N286" s="150" t="str">
        <f t="shared" si="24"/>
        <v/>
      </c>
      <c r="O286" s="150" t="str">
        <f t="shared" si="25"/>
        <v/>
      </c>
      <c r="P286" s="150" t="str">
        <f t="shared" si="26"/>
        <v/>
      </c>
      <c r="Q286" s="150" t="str">
        <f t="shared" si="27"/>
        <v/>
      </c>
      <c r="R286" s="150" t="str">
        <f t="shared" si="28"/>
        <v/>
      </c>
      <c r="S286" s="185" t="str">
        <f t="shared" si="29"/>
        <v/>
      </c>
    </row>
    <row r="287" spans="14:19" ht="14.4">
      <c r="N287" s="150" t="str">
        <f t="shared" si="24"/>
        <v/>
      </c>
      <c r="O287" s="150" t="str">
        <f t="shared" si="25"/>
        <v/>
      </c>
      <c r="P287" s="150" t="str">
        <f t="shared" si="26"/>
        <v/>
      </c>
      <c r="Q287" s="150" t="str">
        <f t="shared" si="27"/>
        <v/>
      </c>
      <c r="R287" s="150" t="str">
        <f t="shared" si="28"/>
        <v/>
      </c>
      <c r="S287" s="185" t="str">
        <f t="shared" si="29"/>
        <v/>
      </c>
    </row>
    <row r="288" spans="14:19" ht="14.4">
      <c r="N288" s="150" t="str">
        <f t="shared" si="24"/>
        <v/>
      </c>
      <c r="O288" s="150" t="str">
        <f t="shared" si="25"/>
        <v/>
      </c>
      <c r="P288" s="150" t="str">
        <f t="shared" si="26"/>
        <v/>
      </c>
      <c r="Q288" s="150" t="str">
        <f t="shared" si="27"/>
        <v/>
      </c>
      <c r="R288" s="150" t="str">
        <f t="shared" si="28"/>
        <v/>
      </c>
      <c r="S288" s="185" t="str">
        <f t="shared" si="29"/>
        <v/>
      </c>
    </row>
    <row r="289" spans="14:19" ht="14.4">
      <c r="N289" s="150" t="str">
        <f t="shared" si="24"/>
        <v/>
      </c>
      <c r="O289" s="150" t="str">
        <f t="shared" si="25"/>
        <v/>
      </c>
      <c r="P289" s="150" t="str">
        <f t="shared" si="26"/>
        <v/>
      </c>
      <c r="Q289" s="150" t="str">
        <f t="shared" si="27"/>
        <v/>
      </c>
      <c r="R289" s="150" t="str">
        <f t="shared" si="28"/>
        <v/>
      </c>
      <c r="S289" s="185" t="str">
        <f t="shared" si="29"/>
        <v/>
      </c>
    </row>
    <row r="290" spans="14:19" ht="14.4">
      <c r="N290" s="150" t="str">
        <f t="shared" si="24"/>
        <v/>
      </c>
      <c r="O290" s="150" t="str">
        <f t="shared" si="25"/>
        <v/>
      </c>
      <c r="P290" s="150" t="str">
        <f t="shared" si="26"/>
        <v/>
      </c>
      <c r="Q290" s="150" t="str">
        <f t="shared" si="27"/>
        <v/>
      </c>
      <c r="R290" s="150" t="str">
        <f t="shared" si="28"/>
        <v/>
      </c>
      <c r="S290" s="185" t="str">
        <f t="shared" si="29"/>
        <v/>
      </c>
    </row>
    <row r="291" spans="14:19" ht="14.4">
      <c r="N291" s="150" t="str">
        <f t="shared" si="24"/>
        <v/>
      </c>
      <c r="O291" s="150" t="str">
        <f t="shared" si="25"/>
        <v/>
      </c>
      <c r="P291" s="150" t="str">
        <f t="shared" si="26"/>
        <v/>
      </c>
      <c r="Q291" s="150" t="str">
        <f t="shared" si="27"/>
        <v/>
      </c>
      <c r="R291" s="150" t="str">
        <f t="shared" si="28"/>
        <v/>
      </c>
      <c r="S291" s="185" t="str">
        <f t="shared" si="29"/>
        <v/>
      </c>
    </row>
    <row r="292" spans="14:19" ht="14.4">
      <c r="N292" s="150" t="str">
        <f t="shared" si="24"/>
        <v/>
      </c>
      <c r="O292" s="150" t="str">
        <f t="shared" si="25"/>
        <v/>
      </c>
      <c r="P292" s="150" t="str">
        <f t="shared" si="26"/>
        <v/>
      </c>
      <c r="Q292" s="150" t="str">
        <f t="shared" si="27"/>
        <v/>
      </c>
      <c r="R292" s="150" t="str">
        <f t="shared" si="28"/>
        <v/>
      </c>
      <c r="S292" s="185" t="str">
        <f t="shared" si="29"/>
        <v/>
      </c>
    </row>
    <row r="293" spans="14:19" ht="14.4">
      <c r="N293" s="150" t="str">
        <f t="shared" si="24"/>
        <v/>
      </c>
      <c r="O293" s="150" t="str">
        <f t="shared" si="25"/>
        <v/>
      </c>
      <c r="P293" s="150" t="str">
        <f t="shared" si="26"/>
        <v/>
      </c>
      <c r="Q293" s="150" t="str">
        <f t="shared" si="27"/>
        <v/>
      </c>
      <c r="R293" s="150" t="str">
        <f t="shared" si="28"/>
        <v/>
      </c>
      <c r="S293" s="185" t="str">
        <f t="shared" si="29"/>
        <v/>
      </c>
    </row>
    <row r="294" spans="14:19" ht="14.4">
      <c r="N294" s="150" t="str">
        <f t="shared" si="24"/>
        <v/>
      </c>
      <c r="O294" s="150" t="str">
        <f t="shared" si="25"/>
        <v/>
      </c>
      <c r="P294" s="150" t="str">
        <f t="shared" si="26"/>
        <v/>
      </c>
      <c r="Q294" s="150" t="str">
        <f t="shared" si="27"/>
        <v/>
      </c>
      <c r="R294" s="150" t="str">
        <f t="shared" si="28"/>
        <v/>
      </c>
      <c r="S294" s="185" t="str">
        <f t="shared" si="29"/>
        <v/>
      </c>
    </row>
    <row r="295" spans="14:19" ht="14.4">
      <c r="N295" s="150" t="str">
        <f t="shared" si="24"/>
        <v/>
      </c>
      <c r="O295" s="150" t="str">
        <f t="shared" si="25"/>
        <v/>
      </c>
      <c r="P295" s="150" t="str">
        <f t="shared" si="26"/>
        <v/>
      </c>
      <c r="Q295" s="150" t="str">
        <f t="shared" si="27"/>
        <v/>
      </c>
      <c r="R295" s="150" t="str">
        <f t="shared" si="28"/>
        <v/>
      </c>
      <c r="S295" s="185" t="str">
        <f t="shared" si="29"/>
        <v/>
      </c>
    </row>
    <row r="296" spans="14:19" ht="14.4">
      <c r="N296" s="150" t="str">
        <f t="shared" si="24"/>
        <v/>
      </c>
      <c r="O296" s="150" t="str">
        <f t="shared" si="25"/>
        <v/>
      </c>
      <c r="P296" s="150" t="str">
        <f t="shared" si="26"/>
        <v/>
      </c>
      <c r="Q296" s="150" t="str">
        <f t="shared" si="27"/>
        <v/>
      </c>
      <c r="R296" s="150" t="str">
        <f t="shared" si="28"/>
        <v/>
      </c>
      <c r="S296" s="185" t="str">
        <f t="shared" si="29"/>
        <v/>
      </c>
    </row>
    <row r="297" spans="14:19" ht="14.4">
      <c r="N297" s="150" t="str">
        <f t="shared" si="24"/>
        <v/>
      </c>
      <c r="O297" s="150" t="str">
        <f t="shared" si="25"/>
        <v/>
      </c>
      <c r="P297" s="150" t="str">
        <f t="shared" si="26"/>
        <v/>
      </c>
      <c r="Q297" s="150" t="str">
        <f t="shared" si="27"/>
        <v/>
      </c>
      <c r="R297" s="150" t="str">
        <f t="shared" si="28"/>
        <v/>
      </c>
      <c r="S297" s="185" t="str">
        <f t="shared" si="29"/>
        <v/>
      </c>
    </row>
    <row r="298" spans="14:19" ht="14.4">
      <c r="N298" s="150" t="str">
        <f t="shared" si="24"/>
        <v/>
      </c>
      <c r="O298" s="150" t="str">
        <f t="shared" si="25"/>
        <v/>
      </c>
      <c r="P298" s="150" t="str">
        <f t="shared" si="26"/>
        <v/>
      </c>
      <c r="Q298" s="150" t="str">
        <f t="shared" si="27"/>
        <v/>
      </c>
      <c r="R298" s="150" t="str">
        <f t="shared" si="28"/>
        <v/>
      </c>
      <c r="S298" s="185" t="str">
        <f t="shared" si="29"/>
        <v/>
      </c>
    </row>
    <row r="299" spans="14:19" ht="14.4">
      <c r="N299" s="150" t="str">
        <f t="shared" si="24"/>
        <v/>
      </c>
      <c r="O299" s="150" t="str">
        <f t="shared" si="25"/>
        <v/>
      </c>
      <c r="P299" s="150" t="str">
        <f t="shared" si="26"/>
        <v/>
      </c>
      <c r="Q299" s="150" t="str">
        <f t="shared" si="27"/>
        <v/>
      </c>
      <c r="R299" s="150" t="str">
        <f t="shared" si="28"/>
        <v/>
      </c>
      <c r="S299" s="185" t="str">
        <f t="shared" si="29"/>
        <v/>
      </c>
    </row>
    <row r="300" spans="14:19" ht="14.4">
      <c r="N300" s="150" t="str">
        <f t="shared" si="24"/>
        <v/>
      </c>
      <c r="O300" s="150" t="str">
        <f t="shared" si="25"/>
        <v/>
      </c>
      <c r="P300" s="150" t="str">
        <f t="shared" si="26"/>
        <v/>
      </c>
      <c r="Q300" s="150" t="str">
        <f t="shared" si="27"/>
        <v/>
      </c>
      <c r="R300" s="150" t="str">
        <f t="shared" si="28"/>
        <v/>
      </c>
      <c r="S300" s="185" t="str">
        <f t="shared" si="29"/>
        <v/>
      </c>
    </row>
    <row r="301" spans="14:19" ht="14.4">
      <c r="N301" s="150" t="str">
        <f t="shared" si="24"/>
        <v/>
      </c>
      <c r="O301" s="150" t="str">
        <f t="shared" si="25"/>
        <v/>
      </c>
      <c r="P301" s="150" t="str">
        <f t="shared" si="26"/>
        <v/>
      </c>
      <c r="Q301" s="150" t="str">
        <f t="shared" si="27"/>
        <v/>
      </c>
      <c r="R301" s="150" t="str">
        <f t="shared" si="28"/>
        <v/>
      </c>
      <c r="S301" s="185" t="str">
        <f t="shared" si="29"/>
        <v/>
      </c>
    </row>
    <row r="302" spans="14:19" ht="14.4">
      <c r="N302" s="150" t="str">
        <f t="shared" si="24"/>
        <v/>
      </c>
      <c r="O302" s="150" t="str">
        <f t="shared" si="25"/>
        <v/>
      </c>
      <c r="P302" s="150" t="str">
        <f t="shared" si="26"/>
        <v/>
      </c>
      <c r="Q302" s="150" t="str">
        <f t="shared" si="27"/>
        <v/>
      </c>
      <c r="R302" s="150" t="str">
        <f t="shared" si="28"/>
        <v/>
      </c>
      <c r="S302" s="185" t="str">
        <f t="shared" si="29"/>
        <v/>
      </c>
    </row>
    <row r="303" spans="14:19" ht="14.4">
      <c r="N303" s="150" t="str">
        <f t="shared" si="24"/>
        <v/>
      </c>
      <c r="O303" s="150" t="str">
        <f t="shared" si="25"/>
        <v/>
      </c>
      <c r="P303" s="150" t="str">
        <f t="shared" si="26"/>
        <v/>
      </c>
      <c r="Q303" s="150" t="str">
        <f t="shared" si="27"/>
        <v/>
      </c>
      <c r="R303" s="150" t="str">
        <f t="shared" si="28"/>
        <v/>
      </c>
      <c r="S303" s="185" t="str">
        <f t="shared" si="29"/>
        <v/>
      </c>
    </row>
    <row r="304" spans="14:19" ht="14.4">
      <c r="N304" s="150" t="str">
        <f t="shared" si="24"/>
        <v/>
      </c>
      <c r="O304" s="150" t="str">
        <f t="shared" si="25"/>
        <v/>
      </c>
      <c r="P304" s="150" t="str">
        <f t="shared" si="26"/>
        <v/>
      </c>
      <c r="Q304" s="150" t="str">
        <f t="shared" si="27"/>
        <v/>
      </c>
      <c r="R304" s="150" t="str">
        <f t="shared" si="28"/>
        <v/>
      </c>
      <c r="S304" s="185" t="str">
        <f t="shared" si="29"/>
        <v/>
      </c>
    </row>
    <row r="305" spans="14:19" ht="14.4">
      <c r="N305" s="150" t="str">
        <f t="shared" si="24"/>
        <v/>
      </c>
      <c r="O305" s="150" t="str">
        <f t="shared" si="25"/>
        <v/>
      </c>
      <c r="P305" s="150" t="str">
        <f t="shared" si="26"/>
        <v/>
      </c>
      <c r="Q305" s="150" t="str">
        <f t="shared" si="27"/>
        <v/>
      </c>
      <c r="R305" s="150" t="str">
        <f t="shared" si="28"/>
        <v/>
      </c>
      <c r="S305" s="185" t="str">
        <f t="shared" si="29"/>
        <v/>
      </c>
    </row>
    <row r="306" spans="14:19" ht="14.4">
      <c r="N306" s="150" t="str">
        <f t="shared" si="24"/>
        <v/>
      </c>
      <c r="O306" s="150" t="str">
        <f t="shared" si="25"/>
        <v/>
      </c>
      <c r="P306" s="150" t="str">
        <f t="shared" si="26"/>
        <v/>
      </c>
      <c r="Q306" s="150" t="str">
        <f t="shared" si="27"/>
        <v/>
      </c>
      <c r="R306" s="150" t="str">
        <f t="shared" si="28"/>
        <v/>
      </c>
      <c r="S306" s="185" t="str">
        <f t="shared" si="29"/>
        <v/>
      </c>
    </row>
    <row r="307" spans="14:19" ht="14.4">
      <c r="N307" s="150" t="str">
        <f t="shared" si="24"/>
        <v/>
      </c>
      <c r="O307" s="150" t="str">
        <f t="shared" si="25"/>
        <v/>
      </c>
      <c r="P307" s="150" t="str">
        <f t="shared" si="26"/>
        <v/>
      </c>
      <c r="Q307" s="150" t="str">
        <f t="shared" si="27"/>
        <v/>
      </c>
      <c r="R307" s="150" t="str">
        <f t="shared" si="28"/>
        <v/>
      </c>
      <c r="S307" s="185" t="str">
        <f t="shared" si="29"/>
        <v/>
      </c>
    </row>
    <row r="308" spans="14:19" ht="14.4">
      <c r="N308" s="150" t="str">
        <f t="shared" si="24"/>
        <v/>
      </c>
      <c r="O308" s="150" t="str">
        <f t="shared" si="25"/>
        <v/>
      </c>
      <c r="P308" s="150" t="str">
        <f t="shared" si="26"/>
        <v/>
      </c>
      <c r="Q308" s="150" t="str">
        <f t="shared" si="27"/>
        <v/>
      </c>
      <c r="R308" s="150" t="str">
        <f t="shared" si="28"/>
        <v/>
      </c>
      <c r="S308" s="185" t="str">
        <f t="shared" si="29"/>
        <v/>
      </c>
    </row>
    <row r="309" spans="14:19" ht="14.4">
      <c r="N309" s="150" t="str">
        <f t="shared" si="24"/>
        <v/>
      </c>
      <c r="O309" s="150" t="str">
        <f t="shared" si="25"/>
        <v/>
      </c>
      <c r="P309" s="150" t="str">
        <f t="shared" si="26"/>
        <v/>
      </c>
      <c r="Q309" s="150" t="str">
        <f t="shared" si="27"/>
        <v/>
      </c>
      <c r="R309" s="150" t="str">
        <f t="shared" si="28"/>
        <v/>
      </c>
      <c r="S309" s="185" t="str">
        <f t="shared" si="29"/>
        <v/>
      </c>
    </row>
    <row r="310" spans="14:19" ht="14.4">
      <c r="N310" s="150" t="str">
        <f t="shared" si="24"/>
        <v/>
      </c>
      <c r="O310" s="150" t="str">
        <f t="shared" si="25"/>
        <v/>
      </c>
      <c r="P310" s="150" t="str">
        <f t="shared" si="26"/>
        <v/>
      </c>
      <c r="Q310" s="150" t="str">
        <f t="shared" si="27"/>
        <v/>
      </c>
      <c r="R310" s="150" t="str">
        <f t="shared" si="28"/>
        <v/>
      </c>
      <c r="S310" s="185" t="str">
        <f t="shared" si="29"/>
        <v/>
      </c>
    </row>
    <row r="311" spans="14:19" ht="14.4">
      <c r="N311" s="150" t="str">
        <f t="shared" si="24"/>
        <v/>
      </c>
      <c r="O311" s="150" t="str">
        <f t="shared" si="25"/>
        <v/>
      </c>
      <c r="P311" s="150" t="str">
        <f t="shared" si="26"/>
        <v/>
      </c>
      <c r="Q311" s="150" t="str">
        <f t="shared" si="27"/>
        <v/>
      </c>
      <c r="R311" s="150" t="str">
        <f t="shared" si="28"/>
        <v/>
      </c>
      <c r="S311" s="185" t="str">
        <f t="shared" si="29"/>
        <v/>
      </c>
    </row>
    <row r="312" spans="14:19" ht="14.4">
      <c r="N312" s="150" t="str">
        <f t="shared" si="24"/>
        <v/>
      </c>
      <c r="O312" s="150" t="str">
        <f t="shared" si="25"/>
        <v/>
      </c>
      <c r="P312" s="150" t="str">
        <f t="shared" si="26"/>
        <v/>
      </c>
      <c r="Q312" s="150" t="str">
        <f t="shared" si="27"/>
        <v/>
      </c>
      <c r="R312" s="150" t="str">
        <f t="shared" si="28"/>
        <v/>
      </c>
      <c r="S312" s="185" t="str">
        <f t="shared" si="29"/>
        <v/>
      </c>
    </row>
    <row r="313" spans="14:19" ht="14.4">
      <c r="N313" s="150" t="str">
        <f t="shared" si="24"/>
        <v/>
      </c>
      <c r="O313" s="150" t="str">
        <f t="shared" si="25"/>
        <v/>
      </c>
      <c r="P313" s="150" t="str">
        <f t="shared" si="26"/>
        <v/>
      </c>
      <c r="Q313" s="150" t="str">
        <f t="shared" si="27"/>
        <v/>
      </c>
      <c r="R313" s="150" t="str">
        <f t="shared" si="28"/>
        <v/>
      </c>
      <c r="S313" s="185" t="str">
        <f t="shared" si="29"/>
        <v/>
      </c>
    </row>
    <row r="314" spans="14:19" ht="14.4">
      <c r="N314" s="150" t="str">
        <f t="shared" si="24"/>
        <v/>
      </c>
      <c r="O314" s="150" t="str">
        <f t="shared" si="25"/>
        <v/>
      </c>
      <c r="P314" s="150" t="str">
        <f t="shared" si="26"/>
        <v/>
      </c>
      <c r="Q314" s="150" t="str">
        <f t="shared" si="27"/>
        <v/>
      </c>
      <c r="R314" s="150" t="str">
        <f t="shared" si="28"/>
        <v/>
      </c>
      <c r="S314" s="185" t="str">
        <f t="shared" si="29"/>
        <v/>
      </c>
    </row>
    <row r="315" spans="14:19" ht="14.4">
      <c r="N315" s="150" t="str">
        <f t="shared" si="24"/>
        <v/>
      </c>
      <c r="O315" s="150" t="str">
        <f t="shared" si="25"/>
        <v/>
      </c>
      <c r="P315" s="150" t="str">
        <f t="shared" si="26"/>
        <v/>
      </c>
      <c r="Q315" s="150" t="str">
        <f t="shared" si="27"/>
        <v/>
      </c>
      <c r="R315" s="150" t="str">
        <f t="shared" si="28"/>
        <v/>
      </c>
      <c r="S315" s="185" t="str">
        <f t="shared" si="29"/>
        <v/>
      </c>
    </row>
    <row r="316" spans="14:19" ht="14.4">
      <c r="N316" s="150" t="str">
        <f t="shared" si="24"/>
        <v/>
      </c>
      <c r="O316" s="150" t="str">
        <f t="shared" si="25"/>
        <v/>
      </c>
      <c r="P316" s="150" t="str">
        <f t="shared" si="26"/>
        <v/>
      </c>
      <c r="Q316" s="150" t="str">
        <f t="shared" si="27"/>
        <v/>
      </c>
      <c r="R316" s="150" t="str">
        <f t="shared" si="28"/>
        <v/>
      </c>
      <c r="S316" s="185" t="str">
        <f t="shared" si="29"/>
        <v/>
      </c>
    </row>
    <row r="317" spans="14:19" ht="14.4">
      <c r="N317" s="150" t="str">
        <f t="shared" si="24"/>
        <v/>
      </c>
      <c r="O317" s="150" t="str">
        <f t="shared" si="25"/>
        <v/>
      </c>
      <c r="P317" s="150" t="str">
        <f t="shared" si="26"/>
        <v/>
      </c>
      <c r="Q317" s="150" t="str">
        <f t="shared" si="27"/>
        <v/>
      </c>
      <c r="R317" s="150" t="str">
        <f t="shared" si="28"/>
        <v/>
      </c>
      <c r="S317" s="185" t="str">
        <f t="shared" si="29"/>
        <v/>
      </c>
    </row>
    <row r="318" spans="14:19" ht="14.4">
      <c r="N318" s="150" t="str">
        <f t="shared" si="24"/>
        <v/>
      </c>
      <c r="O318" s="150" t="str">
        <f t="shared" si="25"/>
        <v/>
      </c>
      <c r="P318" s="150" t="str">
        <f t="shared" si="26"/>
        <v/>
      </c>
      <c r="Q318" s="150" t="str">
        <f t="shared" si="27"/>
        <v/>
      </c>
      <c r="R318" s="150" t="str">
        <f t="shared" si="28"/>
        <v/>
      </c>
      <c r="S318" s="185" t="str">
        <f t="shared" si="29"/>
        <v/>
      </c>
    </row>
    <row r="319" spans="14:19" ht="14.4">
      <c r="N319" s="150" t="str">
        <f t="shared" si="24"/>
        <v/>
      </c>
      <c r="O319" s="150" t="str">
        <f t="shared" si="25"/>
        <v/>
      </c>
      <c r="P319" s="150" t="str">
        <f t="shared" si="26"/>
        <v/>
      </c>
      <c r="Q319" s="150" t="str">
        <f t="shared" si="27"/>
        <v/>
      </c>
      <c r="R319" s="150" t="str">
        <f t="shared" si="28"/>
        <v/>
      </c>
      <c r="S319" s="185" t="str">
        <f t="shared" si="29"/>
        <v/>
      </c>
    </row>
    <row r="320" spans="14:19" ht="14.4">
      <c r="N320" s="150" t="str">
        <f t="shared" si="24"/>
        <v/>
      </c>
      <c r="O320" s="150" t="str">
        <f t="shared" si="25"/>
        <v/>
      </c>
      <c r="P320" s="150" t="str">
        <f t="shared" si="26"/>
        <v/>
      </c>
      <c r="Q320" s="150" t="str">
        <f t="shared" si="27"/>
        <v/>
      </c>
      <c r="R320" s="150" t="str">
        <f t="shared" si="28"/>
        <v/>
      </c>
      <c r="S320" s="185" t="str">
        <f t="shared" si="29"/>
        <v/>
      </c>
    </row>
    <row r="321" spans="14:19" ht="14.4">
      <c r="N321" s="150" t="str">
        <f t="shared" si="24"/>
        <v/>
      </c>
      <c r="O321" s="150" t="str">
        <f t="shared" si="25"/>
        <v/>
      </c>
      <c r="P321" s="150" t="str">
        <f t="shared" si="26"/>
        <v/>
      </c>
      <c r="Q321" s="150" t="str">
        <f t="shared" si="27"/>
        <v/>
      </c>
      <c r="R321" s="150" t="str">
        <f t="shared" si="28"/>
        <v/>
      </c>
      <c r="S321" s="185" t="str">
        <f t="shared" si="29"/>
        <v/>
      </c>
    </row>
    <row r="322" spans="14:19" ht="14.4">
      <c r="N322" s="150" t="str">
        <f t="shared" si="24"/>
        <v/>
      </c>
      <c r="O322" s="150" t="str">
        <f t="shared" si="25"/>
        <v/>
      </c>
      <c r="P322" s="150" t="str">
        <f t="shared" si="26"/>
        <v/>
      </c>
      <c r="Q322" s="150" t="str">
        <f t="shared" si="27"/>
        <v/>
      </c>
      <c r="R322" s="150" t="str">
        <f t="shared" si="28"/>
        <v/>
      </c>
      <c r="S322" s="185" t="str">
        <f t="shared" si="29"/>
        <v/>
      </c>
    </row>
    <row r="323" spans="14:19" ht="14.4">
      <c r="N323" s="150" t="str">
        <f t="shared" ref="N323:N386" si="30">IF(LEN(A323)&gt;18,A323,"")</f>
        <v/>
      </c>
      <c r="O323" s="150" t="str">
        <f t="shared" ref="O323:O386" si="31">IF(ISNUMBER(IF(N323="",B323,"")),B323,"")</f>
        <v/>
      </c>
      <c r="P323" s="150" t="str">
        <f t="shared" ref="P323:P386" si="32">IF(ISNUMBER(IF($N323="",C323,"")),C323,"")</f>
        <v/>
      </c>
      <c r="Q323" s="150" t="str">
        <f t="shared" ref="Q323:Q386" si="33">IF(ISNUMBER(IF($N323="",D323,"")),D323,"")</f>
        <v/>
      </c>
      <c r="R323" s="150" t="str">
        <f t="shared" ref="R323:R386" si="34">IF(ISNUMBER(IF($N323="",F323,"")),F323,"")</f>
        <v/>
      </c>
      <c r="S323" s="185" t="str">
        <f t="shared" ref="S323:S386" si="35">IF(ISNUMBER(IF($N323="",H323,"")),H323,"")</f>
        <v/>
      </c>
    </row>
    <row r="324" spans="14:19" ht="14.4">
      <c r="N324" s="150" t="str">
        <f t="shared" si="30"/>
        <v/>
      </c>
      <c r="O324" s="150" t="str">
        <f t="shared" si="31"/>
        <v/>
      </c>
      <c r="P324" s="150" t="str">
        <f t="shared" si="32"/>
        <v/>
      </c>
      <c r="Q324" s="150" t="str">
        <f t="shared" si="33"/>
        <v/>
      </c>
      <c r="R324" s="150" t="str">
        <f t="shared" si="34"/>
        <v/>
      </c>
      <c r="S324" s="185" t="str">
        <f t="shared" si="35"/>
        <v/>
      </c>
    </row>
    <row r="325" spans="14:19" ht="14.4">
      <c r="N325" s="150" t="str">
        <f t="shared" si="30"/>
        <v/>
      </c>
      <c r="O325" s="150" t="str">
        <f t="shared" si="31"/>
        <v/>
      </c>
      <c r="P325" s="150" t="str">
        <f t="shared" si="32"/>
        <v/>
      </c>
      <c r="Q325" s="150" t="str">
        <f t="shared" si="33"/>
        <v/>
      </c>
      <c r="R325" s="150" t="str">
        <f t="shared" si="34"/>
        <v/>
      </c>
      <c r="S325" s="185" t="str">
        <f t="shared" si="35"/>
        <v/>
      </c>
    </row>
    <row r="326" spans="14:19" ht="14.4">
      <c r="N326" s="150" t="str">
        <f t="shared" si="30"/>
        <v/>
      </c>
      <c r="O326" s="150" t="str">
        <f t="shared" si="31"/>
        <v/>
      </c>
      <c r="P326" s="150" t="str">
        <f t="shared" si="32"/>
        <v/>
      </c>
      <c r="Q326" s="150" t="str">
        <f t="shared" si="33"/>
        <v/>
      </c>
      <c r="R326" s="150" t="str">
        <f t="shared" si="34"/>
        <v/>
      </c>
      <c r="S326" s="185" t="str">
        <f t="shared" si="35"/>
        <v/>
      </c>
    </row>
    <row r="327" spans="14:19" ht="14.4">
      <c r="N327" s="150" t="str">
        <f t="shared" si="30"/>
        <v/>
      </c>
      <c r="O327" s="150" t="str">
        <f t="shared" si="31"/>
        <v/>
      </c>
      <c r="P327" s="150" t="str">
        <f t="shared" si="32"/>
        <v/>
      </c>
      <c r="Q327" s="150" t="str">
        <f t="shared" si="33"/>
        <v/>
      </c>
      <c r="R327" s="150" t="str">
        <f t="shared" si="34"/>
        <v/>
      </c>
      <c r="S327" s="185" t="str">
        <f t="shared" si="35"/>
        <v/>
      </c>
    </row>
    <row r="328" spans="14:19" ht="14.4">
      <c r="N328" s="150" t="str">
        <f t="shared" si="30"/>
        <v/>
      </c>
      <c r="O328" s="150" t="str">
        <f t="shared" si="31"/>
        <v/>
      </c>
      <c r="P328" s="150" t="str">
        <f t="shared" si="32"/>
        <v/>
      </c>
      <c r="Q328" s="150" t="str">
        <f t="shared" si="33"/>
        <v/>
      </c>
      <c r="R328" s="150" t="str">
        <f t="shared" si="34"/>
        <v/>
      </c>
      <c r="S328" s="185" t="str">
        <f t="shared" si="35"/>
        <v/>
      </c>
    </row>
    <row r="329" spans="14:19" ht="14.4">
      <c r="N329" s="150" t="str">
        <f t="shared" si="30"/>
        <v/>
      </c>
      <c r="O329" s="150" t="str">
        <f t="shared" si="31"/>
        <v/>
      </c>
      <c r="P329" s="150" t="str">
        <f t="shared" si="32"/>
        <v/>
      </c>
      <c r="Q329" s="150" t="str">
        <f t="shared" si="33"/>
        <v/>
      </c>
      <c r="R329" s="150" t="str">
        <f t="shared" si="34"/>
        <v/>
      </c>
      <c r="S329" s="185" t="str">
        <f t="shared" si="35"/>
        <v/>
      </c>
    </row>
    <row r="330" spans="14:19" ht="14.4">
      <c r="N330" s="150" t="str">
        <f t="shared" si="30"/>
        <v/>
      </c>
      <c r="O330" s="150" t="str">
        <f t="shared" si="31"/>
        <v/>
      </c>
      <c r="P330" s="150" t="str">
        <f t="shared" si="32"/>
        <v/>
      </c>
      <c r="Q330" s="150" t="str">
        <f t="shared" si="33"/>
        <v/>
      </c>
      <c r="R330" s="150" t="str">
        <f t="shared" si="34"/>
        <v/>
      </c>
      <c r="S330" s="185" t="str">
        <f t="shared" si="35"/>
        <v/>
      </c>
    </row>
    <row r="331" spans="14:19" ht="14.4">
      <c r="N331" s="150" t="str">
        <f t="shared" si="30"/>
        <v/>
      </c>
      <c r="O331" s="150" t="str">
        <f t="shared" si="31"/>
        <v/>
      </c>
      <c r="P331" s="150" t="str">
        <f t="shared" si="32"/>
        <v/>
      </c>
      <c r="Q331" s="150" t="str">
        <f t="shared" si="33"/>
        <v/>
      </c>
      <c r="R331" s="150" t="str">
        <f t="shared" si="34"/>
        <v/>
      </c>
      <c r="S331" s="185" t="str">
        <f t="shared" si="35"/>
        <v/>
      </c>
    </row>
    <row r="332" spans="14:19" ht="14.4">
      <c r="N332" s="150" t="str">
        <f t="shared" si="30"/>
        <v/>
      </c>
      <c r="O332" s="150" t="str">
        <f t="shared" si="31"/>
        <v/>
      </c>
      <c r="P332" s="150" t="str">
        <f t="shared" si="32"/>
        <v/>
      </c>
      <c r="Q332" s="150" t="str">
        <f t="shared" si="33"/>
        <v/>
      </c>
      <c r="R332" s="150" t="str">
        <f t="shared" si="34"/>
        <v/>
      </c>
      <c r="S332" s="185" t="str">
        <f t="shared" si="35"/>
        <v/>
      </c>
    </row>
    <row r="333" spans="14:19" ht="14.4">
      <c r="N333" s="150" t="str">
        <f t="shared" si="30"/>
        <v/>
      </c>
      <c r="O333" s="150" t="str">
        <f t="shared" si="31"/>
        <v/>
      </c>
      <c r="P333" s="150" t="str">
        <f t="shared" si="32"/>
        <v/>
      </c>
      <c r="Q333" s="150" t="str">
        <f t="shared" si="33"/>
        <v/>
      </c>
      <c r="R333" s="150" t="str">
        <f t="shared" si="34"/>
        <v/>
      </c>
      <c r="S333" s="185" t="str">
        <f t="shared" si="35"/>
        <v/>
      </c>
    </row>
    <row r="334" spans="14:19" ht="14.4">
      <c r="N334" s="150" t="str">
        <f t="shared" si="30"/>
        <v/>
      </c>
      <c r="O334" s="150" t="str">
        <f t="shared" si="31"/>
        <v/>
      </c>
      <c r="P334" s="150" t="str">
        <f t="shared" si="32"/>
        <v/>
      </c>
      <c r="Q334" s="150" t="str">
        <f t="shared" si="33"/>
        <v/>
      </c>
      <c r="R334" s="150" t="str">
        <f t="shared" si="34"/>
        <v/>
      </c>
      <c r="S334" s="185" t="str">
        <f t="shared" si="35"/>
        <v/>
      </c>
    </row>
    <row r="335" spans="14:19" ht="14.4">
      <c r="N335" s="150" t="str">
        <f t="shared" si="30"/>
        <v/>
      </c>
      <c r="O335" s="150" t="str">
        <f t="shared" si="31"/>
        <v/>
      </c>
      <c r="P335" s="150" t="str">
        <f t="shared" si="32"/>
        <v/>
      </c>
      <c r="Q335" s="150" t="str">
        <f t="shared" si="33"/>
        <v/>
      </c>
      <c r="R335" s="150" t="str">
        <f t="shared" si="34"/>
        <v/>
      </c>
      <c r="S335" s="185" t="str">
        <f t="shared" si="35"/>
        <v/>
      </c>
    </row>
    <row r="336" spans="14:19" ht="14.4">
      <c r="N336" s="150" t="str">
        <f t="shared" si="30"/>
        <v/>
      </c>
      <c r="O336" s="150" t="str">
        <f t="shared" si="31"/>
        <v/>
      </c>
      <c r="P336" s="150" t="str">
        <f t="shared" si="32"/>
        <v/>
      </c>
      <c r="Q336" s="150" t="str">
        <f t="shared" si="33"/>
        <v/>
      </c>
      <c r="R336" s="150" t="str">
        <f t="shared" si="34"/>
        <v/>
      </c>
      <c r="S336" s="185" t="str">
        <f t="shared" si="35"/>
        <v/>
      </c>
    </row>
    <row r="337" spans="14:19" ht="14.4">
      <c r="N337" s="150" t="str">
        <f t="shared" si="30"/>
        <v/>
      </c>
      <c r="O337" s="150" t="str">
        <f t="shared" si="31"/>
        <v/>
      </c>
      <c r="P337" s="150" t="str">
        <f t="shared" si="32"/>
        <v/>
      </c>
      <c r="Q337" s="150" t="str">
        <f t="shared" si="33"/>
        <v/>
      </c>
      <c r="R337" s="150" t="str">
        <f t="shared" si="34"/>
        <v/>
      </c>
      <c r="S337" s="185" t="str">
        <f t="shared" si="35"/>
        <v/>
      </c>
    </row>
    <row r="338" spans="14:19" ht="14.4">
      <c r="N338" s="150" t="str">
        <f t="shared" si="30"/>
        <v/>
      </c>
      <c r="O338" s="150" t="str">
        <f t="shared" si="31"/>
        <v/>
      </c>
      <c r="P338" s="150" t="str">
        <f t="shared" si="32"/>
        <v/>
      </c>
      <c r="Q338" s="150" t="str">
        <f t="shared" si="33"/>
        <v/>
      </c>
      <c r="R338" s="150" t="str">
        <f t="shared" si="34"/>
        <v/>
      </c>
      <c r="S338" s="185" t="str">
        <f t="shared" si="35"/>
        <v/>
      </c>
    </row>
    <row r="339" spans="14:19" ht="14.4">
      <c r="N339" s="150" t="str">
        <f t="shared" si="30"/>
        <v/>
      </c>
      <c r="O339" s="150" t="str">
        <f t="shared" si="31"/>
        <v/>
      </c>
      <c r="P339" s="150" t="str">
        <f t="shared" si="32"/>
        <v/>
      </c>
      <c r="Q339" s="150" t="str">
        <f t="shared" si="33"/>
        <v/>
      </c>
      <c r="R339" s="150" t="str">
        <f t="shared" si="34"/>
        <v/>
      </c>
      <c r="S339" s="185" t="str">
        <f t="shared" si="35"/>
        <v/>
      </c>
    </row>
    <row r="340" spans="14:19" ht="14.4">
      <c r="N340" s="150" t="str">
        <f t="shared" si="30"/>
        <v/>
      </c>
      <c r="O340" s="150" t="str">
        <f t="shared" si="31"/>
        <v/>
      </c>
      <c r="P340" s="150" t="str">
        <f t="shared" si="32"/>
        <v/>
      </c>
      <c r="Q340" s="150" t="str">
        <f t="shared" si="33"/>
        <v/>
      </c>
      <c r="R340" s="150" t="str">
        <f t="shared" si="34"/>
        <v/>
      </c>
      <c r="S340" s="185" t="str">
        <f t="shared" si="35"/>
        <v/>
      </c>
    </row>
    <row r="341" spans="14:19" ht="14.4">
      <c r="N341" s="150" t="str">
        <f t="shared" si="30"/>
        <v/>
      </c>
      <c r="O341" s="150" t="str">
        <f t="shared" si="31"/>
        <v/>
      </c>
      <c r="P341" s="150" t="str">
        <f t="shared" si="32"/>
        <v/>
      </c>
      <c r="Q341" s="150" t="str">
        <f t="shared" si="33"/>
        <v/>
      </c>
      <c r="R341" s="150" t="str">
        <f t="shared" si="34"/>
        <v/>
      </c>
      <c r="S341" s="185" t="str">
        <f t="shared" si="35"/>
        <v/>
      </c>
    </row>
    <row r="342" spans="14:19" ht="14.4">
      <c r="N342" s="150" t="str">
        <f t="shared" si="30"/>
        <v/>
      </c>
      <c r="O342" s="150" t="str">
        <f t="shared" si="31"/>
        <v/>
      </c>
      <c r="P342" s="150" t="str">
        <f t="shared" si="32"/>
        <v/>
      </c>
      <c r="Q342" s="150" t="str">
        <f t="shared" si="33"/>
        <v/>
      </c>
      <c r="R342" s="150" t="str">
        <f t="shared" si="34"/>
        <v/>
      </c>
      <c r="S342" s="185" t="str">
        <f t="shared" si="35"/>
        <v/>
      </c>
    </row>
    <row r="343" spans="14:19" ht="14.4">
      <c r="N343" s="150" t="str">
        <f t="shared" si="30"/>
        <v/>
      </c>
      <c r="O343" s="150" t="str">
        <f t="shared" si="31"/>
        <v/>
      </c>
      <c r="P343" s="150" t="str">
        <f t="shared" si="32"/>
        <v/>
      </c>
      <c r="Q343" s="150" t="str">
        <f t="shared" si="33"/>
        <v/>
      </c>
      <c r="R343" s="150" t="str">
        <f t="shared" si="34"/>
        <v/>
      </c>
      <c r="S343" s="185" t="str">
        <f t="shared" si="35"/>
        <v/>
      </c>
    </row>
    <row r="344" spans="14:19" ht="14.4">
      <c r="N344" s="150" t="str">
        <f t="shared" si="30"/>
        <v/>
      </c>
      <c r="O344" s="150" t="str">
        <f t="shared" si="31"/>
        <v/>
      </c>
      <c r="P344" s="150" t="str">
        <f t="shared" si="32"/>
        <v/>
      </c>
      <c r="Q344" s="150" t="str">
        <f t="shared" si="33"/>
        <v/>
      </c>
      <c r="R344" s="150" t="str">
        <f t="shared" si="34"/>
        <v/>
      </c>
      <c r="S344" s="185" t="str">
        <f t="shared" si="35"/>
        <v/>
      </c>
    </row>
    <row r="345" spans="14:19" ht="14.4">
      <c r="N345" s="150" t="str">
        <f t="shared" si="30"/>
        <v/>
      </c>
      <c r="O345" s="150" t="str">
        <f t="shared" si="31"/>
        <v/>
      </c>
      <c r="P345" s="150" t="str">
        <f t="shared" si="32"/>
        <v/>
      </c>
      <c r="Q345" s="150" t="str">
        <f t="shared" si="33"/>
        <v/>
      </c>
      <c r="R345" s="150" t="str">
        <f t="shared" si="34"/>
        <v/>
      </c>
      <c r="S345" s="185" t="str">
        <f t="shared" si="35"/>
        <v/>
      </c>
    </row>
    <row r="346" spans="14:19" ht="14.4">
      <c r="N346" s="150" t="str">
        <f t="shared" si="30"/>
        <v/>
      </c>
      <c r="O346" s="150" t="str">
        <f t="shared" si="31"/>
        <v/>
      </c>
      <c r="P346" s="150" t="str">
        <f t="shared" si="32"/>
        <v/>
      </c>
      <c r="Q346" s="150" t="str">
        <f t="shared" si="33"/>
        <v/>
      </c>
      <c r="R346" s="150" t="str">
        <f t="shared" si="34"/>
        <v/>
      </c>
      <c r="S346" s="185" t="str">
        <f t="shared" si="35"/>
        <v/>
      </c>
    </row>
    <row r="347" spans="14:19" ht="14.4">
      <c r="N347" s="150" t="str">
        <f t="shared" si="30"/>
        <v/>
      </c>
      <c r="O347" s="150" t="str">
        <f t="shared" si="31"/>
        <v/>
      </c>
      <c r="P347" s="150" t="str">
        <f t="shared" si="32"/>
        <v/>
      </c>
      <c r="Q347" s="150" t="str">
        <f t="shared" si="33"/>
        <v/>
      </c>
      <c r="R347" s="150" t="str">
        <f t="shared" si="34"/>
        <v/>
      </c>
      <c r="S347" s="185" t="str">
        <f t="shared" si="35"/>
        <v/>
      </c>
    </row>
    <row r="348" spans="14:19" ht="14.4">
      <c r="N348" s="150" t="str">
        <f t="shared" si="30"/>
        <v/>
      </c>
      <c r="O348" s="150" t="str">
        <f t="shared" si="31"/>
        <v/>
      </c>
      <c r="P348" s="150" t="str">
        <f t="shared" si="32"/>
        <v/>
      </c>
      <c r="Q348" s="150" t="str">
        <f t="shared" si="33"/>
        <v/>
      </c>
      <c r="R348" s="150" t="str">
        <f t="shared" si="34"/>
        <v/>
      </c>
      <c r="S348" s="185" t="str">
        <f t="shared" si="35"/>
        <v/>
      </c>
    </row>
    <row r="349" spans="14:19" ht="14.4">
      <c r="N349" s="150" t="str">
        <f t="shared" si="30"/>
        <v/>
      </c>
      <c r="O349" s="150" t="str">
        <f t="shared" si="31"/>
        <v/>
      </c>
      <c r="P349" s="150" t="str">
        <f t="shared" si="32"/>
        <v/>
      </c>
      <c r="Q349" s="150" t="str">
        <f t="shared" si="33"/>
        <v/>
      </c>
      <c r="R349" s="150" t="str">
        <f t="shared" si="34"/>
        <v/>
      </c>
      <c r="S349" s="185" t="str">
        <f t="shared" si="35"/>
        <v/>
      </c>
    </row>
    <row r="350" spans="14:19" ht="14.4">
      <c r="N350" s="150" t="str">
        <f t="shared" si="30"/>
        <v/>
      </c>
      <c r="O350" s="150" t="str">
        <f t="shared" si="31"/>
        <v/>
      </c>
      <c r="P350" s="150" t="str">
        <f t="shared" si="32"/>
        <v/>
      </c>
      <c r="Q350" s="150" t="str">
        <f t="shared" si="33"/>
        <v/>
      </c>
      <c r="R350" s="150" t="str">
        <f t="shared" si="34"/>
        <v/>
      </c>
      <c r="S350" s="185" t="str">
        <f t="shared" si="35"/>
        <v/>
      </c>
    </row>
    <row r="351" spans="14:19" ht="14.4">
      <c r="N351" s="150" t="str">
        <f t="shared" si="30"/>
        <v/>
      </c>
      <c r="O351" s="150" t="str">
        <f t="shared" si="31"/>
        <v/>
      </c>
      <c r="P351" s="150" t="str">
        <f t="shared" si="32"/>
        <v/>
      </c>
      <c r="Q351" s="150" t="str">
        <f t="shared" si="33"/>
        <v/>
      </c>
      <c r="R351" s="150" t="str">
        <f t="shared" si="34"/>
        <v/>
      </c>
      <c r="S351" s="185" t="str">
        <f t="shared" si="35"/>
        <v/>
      </c>
    </row>
    <row r="352" spans="14:19" ht="14.4">
      <c r="N352" s="150" t="str">
        <f t="shared" si="30"/>
        <v/>
      </c>
      <c r="O352" s="150" t="str">
        <f t="shared" si="31"/>
        <v/>
      </c>
      <c r="P352" s="150" t="str">
        <f t="shared" si="32"/>
        <v/>
      </c>
      <c r="Q352" s="150" t="str">
        <f t="shared" si="33"/>
        <v/>
      </c>
      <c r="R352" s="150" t="str">
        <f t="shared" si="34"/>
        <v/>
      </c>
      <c r="S352" s="185" t="str">
        <f t="shared" si="35"/>
        <v/>
      </c>
    </row>
    <row r="353" spans="14:19" ht="14.4">
      <c r="N353" s="150" t="str">
        <f t="shared" si="30"/>
        <v/>
      </c>
      <c r="O353" s="150" t="str">
        <f t="shared" si="31"/>
        <v/>
      </c>
      <c r="P353" s="150" t="str">
        <f t="shared" si="32"/>
        <v/>
      </c>
      <c r="Q353" s="150" t="str">
        <f t="shared" si="33"/>
        <v/>
      </c>
      <c r="R353" s="150" t="str">
        <f t="shared" si="34"/>
        <v/>
      </c>
      <c r="S353" s="185" t="str">
        <f t="shared" si="35"/>
        <v/>
      </c>
    </row>
    <row r="354" spans="14:19" ht="14.4">
      <c r="N354" s="150" t="str">
        <f t="shared" si="30"/>
        <v/>
      </c>
      <c r="O354" s="150" t="str">
        <f t="shared" si="31"/>
        <v/>
      </c>
      <c r="P354" s="150" t="str">
        <f t="shared" si="32"/>
        <v/>
      </c>
      <c r="Q354" s="150" t="str">
        <f t="shared" si="33"/>
        <v/>
      </c>
      <c r="R354" s="150" t="str">
        <f t="shared" si="34"/>
        <v/>
      </c>
      <c r="S354" s="185" t="str">
        <f t="shared" si="35"/>
        <v/>
      </c>
    </row>
    <row r="355" spans="14:19" ht="14.4">
      <c r="N355" s="150" t="str">
        <f t="shared" si="30"/>
        <v/>
      </c>
      <c r="O355" s="150" t="str">
        <f t="shared" si="31"/>
        <v/>
      </c>
      <c r="P355" s="150" t="str">
        <f t="shared" si="32"/>
        <v/>
      </c>
      <c r="Q355" s="150" t="str">
        <f t="shared" si="33"/>
        <v/>
      </c>
      <c r="R355" s="150" t="str">
        <f t="shared" si="34"/>
        <v/>
      </c>
      <c r="S355" s="185" t="str">
        <f t="shared" si="35"/>
        <v/>
      </c>
    </row>
    <row r="356" spans="14:19" ht="14.4">
      <c r="N356" s="150" t="str">
        <f t="shared" si="30"/>
        <v/>
      </c>
      <c r="O356" s="150" t="str">
        <f t="shared" si="31"/>
        <v/>
      </c>
      <c r="P356" s="150" t="str">
        <f t="shared" si="32"/>
        <v/>
      </c>
      <c r="Q356" s="150" t="str">
        <f t="shared" si="33"/>
        <v/>
      </c>
      <c r="R356" s="150" t="str">
        <f t="shared" si="34"/>
        <v/>
      </c>
      <c r="S356" s="185" t="str">
        <f t="shared" si="35"/>
        <v/>
      </c>
    </row>
    <row r="357" spans="14:19" ht="14.4">
      <c r="N357" s="150" t="str">
        <f t="shared" si="30"/>
        <v/>
      </c>
      <c r="O357" s="150" t="str">
        <f t="shared" si="31"/>
        <v/>
      </c>
      <c r="P357" s="150" t="str">
        <f t="shared" si="32"/>
        <v/>
      </c>
      <c r="Q357" s="150" t="str">
        <f t="shared" si="33"/>
        <v/>
      </c>
      <c r="R357" s="150" t="str">
        <f t="shared" si="34"/>
        <v/>
      </c>
      <c r="S357" s="185" t="str">
        <f t="shared" si="35"/>
        <v/>
      </c>
    </row>
    <row r="358" spans="14:19" ht="14.4">
      <c r="N358" s="150" t="str">
        <f t="shared" si="30"/>
        <v/>
      </c>
      <c r="O358" s="150" t="str">
        <f t="shared" si="31"/>
        <v/>
      </c>
      <c r="P358" s="150" t="str">
        <f t="shared" si="32"/>
        <v/>
      </c>
      <c r="Q358" s="150" t="str">
        <f t="shared" si="33"/>
        <v/>
      </c>
      <c r="R358" s="150" t="str">
        <f t="shared" si="34"/>
        <v/>
      </c>
      <c r="S358" s="185" t="str">
        <f t="shared" si="35"/>
        <v/>
      </c>
    </row>
    <row r="359" spans="14:19" ht="14.4">
      <c r="N359" s="150" t="str">
        <f t="shared" si="30"/>
        <v/>
      </c>
      <c r="O359" s="150" t="str">
        <f t="shared" si="31"/>
        <v/>
      </c>
      <c r="P359" s="150" t="str">
        <f t="shared" si="32"/>
        <v/>
      </c>
      <c r="Q359" s="150" t="str">
        <f t="shared" si="33"/>
        <v/>
      </c>
      <c r="R359" s="150" t="str">
        <f t="shared" si="34"/>
        <v/>
      </c>
      <c r="S359" s="185" t="str">
        <f t="shared" si="35"/>
        <v/>
      </c>
    </row>
    <row r="360" spans="14:19" ht="14.4">
      <c r="N360" s="150" t="str">
        <f t="shared" si="30"/>
        <v/>
      </c>
      <c r="O360" s="150" t="str">
        <f t="shared" si="31"/>
        <v/>
      </c>
      <c r="P360" s="150" t="str">
        <f t="shared" si="32"/>
        <v/>
      </c>
      <c r="Q360" s="150" t="str">
        <f t="shared" si="33"/>
        <v/>
      </c>
      <c r="R360" s="150" t="str">
        <f t="shared" si="34"/>
        <v/>
      </c>
      <c r="S360" s="185" t="str">
        <f t="shared" si="35"/>
        <v/>
      </c>
    </row>
    <row r="361" spans="14:19" ht="14.4">
      <c r="N361" s="150" t="str">
        <f t="shared" si="30"/>
        <v/>
      </c>
      <c r="O361" s="150" t="str">
        <f t="shared" si="31"/>
        <v/>
      </c>
      <c r="P361" s="150" t="str">
        <f t="shared" si="32"/>
        <v/>
      </c>
      <c r="Q361" s="150" t="str">
        <f t="shared" si="33"/>
        <v/>
      </c>
      <c r="R361" s="150" t="str">
        <f t="shared" si="34"/>
        <v/>
      </c>
      <c r="S361" s="185" t="str">
        <f t="shared" si="35"/>
        <v/>
      </c>
    </row>
    <row r="362" spans="14:19" ht="14.4">
      <c r="N362" s="150" t="str">
        <f t="shared" si="30"/>
        <v/>
      </c>
      <c r="O362" s="150" t="str">
        <f t="shared" si="31"/>
        <v/>
      </c>
      <c r="P362" s="150" t="str">
        <f t="shared" si="32"/>
        <v/>
      </c>
      <c r="Q362" s="150" t="str">
        <f t="shared" si="33"/>
        <v/>
      </c>
      <c r="R362" s="150" t="str">
        <f t="shared" si="34"/>
        <v/>
      </c>
      <c r="S362" s="185" t="str">
        <f t="shared" si="35"/>
        <v/>
      </c>
    </row>
    <row r="363" spans="14:19" ht="14.4">
      <c r="N363" s="150" t="str">
        <f t="shared" si="30"/>
        <v/>
      </c>
      <c r="O363" s="150" t="str">
        <f t="shared" si="31"/>
        <v/>
      </c>
      <c r="P363" s="150" t="str">
        <f t="shared" si="32"/>
        <v/>
      </c>
      <c r="Q363" s="150" t="str">
        <f t="shared" si="33"/>
        <v/>
      </c>
      <c r="R363" s="150" t="str">
        <f t="shared" si="34"/>
        <v/>
      </c>
      <c r="S363" s="185" t="str">
        <f t="shared" si="35"/>
        <v/>
      </c>
    </row>
    <row r="364" spans="14:19" ht="14.4">
      <c r="N364" s="150" t="str">
        <f t="shared" si="30"/>
        <v/>
      </c>
      <c r="O364" s="150" t="str">
        <f t="shared" si="31"/>
        <v/>
      </c>
      <c r="P364" s="150" t="str">
        <f t="shared" si="32"/>
        <v/>
      </c>
      <c r="Q364" s="150" t="str">
        <f t="shared" si="33"/>
        <v/>
      </c>
      <c r="R364" s="150" t="str">
        <f t="shared" si="34"/>
        <v/>
      </c>
      <c r="S364" s="185" t="str">
        <f t="shared" si="35"/>
        <v/>
      </c>
    </row>
    <row r="365" spans="14:19" ht="14.4">
      <c r="N365" s="150" t="str">
        <f t="shared" si="30"/>
        <v/>
      </c>
      <c r="O365" s="150" t="str">
        <f t="shared" si="31"/>
        <v/>
      </c>
      <c r="P365" s="150" t="str">
        <f t="shared" si="32"/>
        <v/>
      </c>
      <c r="Q365" s="150" t="str">
        <f t="shared" si="33"/>
        <v/>
      </c>
      <c r="R365" s="150" t="str">
        <f t="shared" si="34"/>
        <v/>
      </c>
      <c r="S365" s="185" t="str">
        <f t="shared" si="35"/>
        <v/>
      </c>
    </row>
    <row r="366" spans="14:19" ht="14.4">
      <c r="N366" s="150" t="str">
        <f t="shared" si="30"/>
        <v/>
      </c>
      <c r="O366" s="150" t="str">
        <f t="shared" si="31"/>
        <v/>
      </c>
      <c r="P366" s="150" t="str">
        <f t="shared" si="32"/>
        <v/>
      </c>
      <c r="Q366" s="150" t="str">
        <f t="shared" si="33"/>
        <v/>
      </c>
      <c r="R366" s="150" t="str">
        <f t="shared" si="34"/>
        <v/>
      </c>
      <c r="S366" s="185" t="str">
        <f t="shared" si="35"/>
        <v/>
      </c>
    </row>
    <row r="367" spans="14:19" ht="14.4">
      <c r="N367" s="150" t="str">
        <f t="shared" si="30"/>
        <v/>
      </c>
      <c r="O367" s="150" t="str">
        <f t="shared" si="31"/>
        <v/>
      </c>
      <c r="P367" s="150" t="str">
        <f t="shared" si="32"/>
        <v/>
      </c>
      <c r="Q367" s="150" t="str">
        <f t="shared" si="33"/>
        <v/>
      </c>
      <c r="R367" s="150" t="str">
        <f t="shared" si="34"/>
        <v/>
      </c>
      <c r="S367" s="185" t="str">
        <f t="shared" si="35"/>
        <v/>
      </c>
    </row>
    <row r="368" spans="14:19" ht="14.4">
      <c r="N368" s="150" t="str">
        <f t="shared" si="30"/>
        <v/>
      </c>
      <c r="O368" s="150" t="str">
        <f t="shared" si="31"/>
        <v/>
      </c>
      <c r="P368" s="150" t="str">
        <f t="shared" si="32"/>
        <v/>
      </c>
      <c r="Q368" s="150" t="str">
        <f t="shared" si="33"/>
        <v/>
      </c>
      <c r="R368" s="150" t="str">
        <f t="shared" si="34"/>
        <v/>
      </c>
      <c r="S368" s="185" t="str">
        <f t="shared" si="35"/>
        <v/>
      </c>
    </row>
    <row r="369" spans="14:19" ht="14.4">
      <c r="N369" s="150" t="str">
        <f t="shared" si="30"/>
        <v/>
      </c>
      <c r="O369" s="150" t="str">
        <f t="shared" si="31"/>
        <v/>
      </c>
      <c r="P369" s="150" t="str">
        <f t="shared" si="32"/>
        <v/>
      </c>
      <c r="Q369" s="150" t="str">
        <f t="shared" si="33"/>
        <v/>
      </c>
      <c r="R369" s="150" t="str">
        <f t="shared" si="34"/>
        <v/>
      </c>
      <c r="S369" s="185" t="str">
        <f t="shared" si="35"/>
        <v/>
      </c>
    </row>
    <row r="370" spans="14:19" ht="14.4">
      <c r="N370" s="150" t="str">
        <f t="shared" si="30"/>
        <v/>
      </c>
      <c r="O370" s="150" t="str">
        <f t="shared" si="31"/>
        <v/>
      </c>
      <c r="P370" s="150" t="str">
        <f t="shared" si="32"/>
        <v/>
      </c>
      <c r="Q370" s="150" t="str">
        <f t="shared" si="33"/>
        <v/>
      </c>
      <c r="R370" s="150" t="str">
        <f t="shared" si="34"/>
        <v/>
      </c>
      <c r="S370" s="185" t="str">
        <f t="shared" si="35"/>
        <v/>
      </c>
    </row>
    <row r="371" spans="14:19" ht="14.4">
      <c r="N371" s="150" t="str">
        <f t="shared" si="30"/>
        <v/>
      </c>
      <c r="O371" s="150" t="str">
        <f t="shared" si="31"/>
        <v/>
      </c>
      <c r="P371" s="150" t="str">
        <f t="shared" si="32"/>
        <v/>
      </c>
      <c r="Q371" s="150" t="str">
        <f t="shared" si="33"/>
        <v/>
      </c>
      <c r="R371" s="150" t="str">
        <f t="shared" si="34"/>
        <v/>
      </c>
      <c r="S371" s="185" t="str">
        <f t="shared" si="35"/>
        <v/>
      </c>
    </row>
    <row r="372" spans="14:19" ht="14.4">
      <c r="N372" s="150" t="str">
        <f t="shared" si="30"/>
        <v/>
      </c>
      <c r="O372" s="150" t="str">
        <f t="shared" si="31"/>
        <v/>
      </c>
      <c r="P372" s="150" t="str">
        <f t="shared" si="32"/>
        <v/>
      </c>
      <c r="Q372" s="150" t="str">
        <f t="shared" si="33"/>
        <v/>
      </c>
      <c r="R372" s="150" t="str">
        <f t="shared" si="34"/>
        <v/>
      </c>
      <c r="S372" s="185" t="str">
        <f t="shared" si="35"/>
        <v/>
      </c>
    </row>
    <row r="373" spans="14:19" ht="14.4">
      <c r="N373" s="150" t="str">
        <f t="shared" si="30"/>
        <v/>
      </c>
      <c r="O373" s="150" t="str">
        <f t="shared" si="31"/>
        <v/>
      </c>
      <c r="P373" s="150" t="str">
        <f t="shared" si="32"/>
        <v/>
      </c>
      <c r="Q373" s="150" t="str">
        <f t="shared" si="33"/>
        <v/>
      </c>
      <c r="R373" s="150" t="str">
        <f t="shared" si="34"/>
        <v/>
      </c>
      <c r="S373" s="185" t="str">
        <f t="shared" si="35"/>
        <v/>
      </c>
    </row>
    <row r="374" spans="14:19" ht="14.4">
      <c r="N374" s="150" t="str">
        <f t="shared" si="30"/>
        <v/>
      </c>
      <c r="O374" s="150" t="str">
        <f t="shared" si="31"/>
        <v/>
      </c>
      <c r="P374" s="150" t="str">
        <f t="shared" si="32"/>
        <v/>
      </c>
      <c r="Q374" s="150" t="str">
        <f t="shared" si="33"/>
        <v/>
      </c>
      <c r="R374" s="150" t="str">
        <f t="shared" si="34"/>
        <v/>
      </c>
      <c r="S374" s="185" t="str">
        <f t="shared" si="35"/>
        <v/>
      </c>
    </row>
    <row r="375" spans="14:19" ht="14.4">
      <c r="N375" s="150" t="str">
        <f t="shared" si="30"/>
        <v/>
      </c>
      <c r="O375" s="150" t="str">
        <f t="shared" si="31"/>
        <v/>
      </c>
      <c r="P375" s="150" t="str">
        <f t="shared" si="32"/>
        <v/>
      </c>
      <c r="Q375" s="150" t="str">
        <f t="shared" si="33"/>
        <v/>
      </c>
      <c r="R375" s="150" t="str">
        <f t="shared" si="34"/>
        <v/>
      </c>
      <c r="S375" s="185" t="str">
        <f t="shared" si="35"/>
        <v/>
      </c>
    </row>
    <row r="376" spans="14:19" ht="14.4">
      <c r="N376" s="150" t="str">
        <f t="shared" si="30"/>
        <v/>
      </c>
      <c r="O376" s="150" t="str">
        <f t="shared" si="31"/>
        <v/>
      </c>
      <c r="P376" s="150" t="str">
        <f t="shared" si="32"/>
        <v/>
      </c>
      <c r="Q376" s="150" t="str">
        <f t="shared" si="33"/>
        <v/>
      </c>
      <c r="R376" s="150" t="str">
        <f t="shared" si="34"/>
        <v/>
      </c>
      <c r="S376" s="185" t="str">
        <f t="shared" si="35"/>
        <v/>
      </c>
    </row>
    <row r="377" spans="14:19" ht="14.4">
      <c r="N377" s="150" t="str">
        <f t="shared" si="30"/>
        <v/>
      </c>
      <c r="O377" s="150" t="str">
        <f t="shared" si="31"/>
        <v/>
      </c>
      <c r="P377" s="150" t="str">
        <f t="shared" si="32"/>
        <v/>
      </c>
      <c r="Q377" s="150" t="str">
        <f t="shared" si="33"/>
        <v/>
      </c>
      <c r="R377" s="150" t="str">
        <f t="shared" si="34"/>
        <v/>
      </c>
      <c r="S377" s="185" t="str">
        <f t="shared" si="35"/>
        <v/>
      </c>
    </row>
    <row r="378" spans="14:19" ht="14.4">
      <c r="N378" s="150" t="str">
        <f t="shared" si="30"/>
        <v/>
      </c>
      <c r="O378" s="150" t="str">
        <f t="shared" si="31"/>
        <v/>
      </c>
      <c r="P378" s="150" t="str">
        <f t="shared" si="32"/>
        <v/>
      </c>
      <c r="Q378" s="150" t="str">
        <f t="shared" si="33"/>
        <v/>
      </c>
      <c r="R378" s="150" t="str">
        <f t="shared" si="34"/>
        <v/>
      </c>
      <c r="S378" s="185" t="str">
        <f t="shared" si="35"/>
        <v/>
      </c>
    </row>
    <row r="379" spans="14:19" ht="14.4">
      <c r="N379" s="150" t="str">
        <f t="shared" si="30"/>
        <v/>
      </c>
      <c r="O379" s="150" t="str">
        <f t="shared" si="31"/>
        <v/>
      </c>
      <c r="P379" s="150" t="str">
        <f t="shared" si="32"/>
        <v/>
      </c>
      <c r="Q379" s="150" t="str">
        <f t="shared" si="33"/>
        <v/>
      </c>
      <c r="R379" s="150" t="str">
        <f t="shared" si="34"/>
        <v/>
      </c>
      <c r="S379" s="185" t="str">
        <f t="shared" si="35"/>
        <v/>
      </c>
    </row>
    <row r="380" spans="14:19" ht="14.4">
      <c r="N380" s="150" t="str">
        <f t="shared" si="30"/>
        <v/>
      </c>
      <c r="O380" s="150" t="str">
        <f t="shared" si="31"/>
        <v/>
      </c>
      <c r="P380" s="150" t="str">
        <f t="shared" si="32"/>
        <v/>
      </c>
      <c r="Q380" s="150" t="str">
        <f t="shared" si="33"/>
        <v/>
      </c>
      <c r="R380" s="150" t="str">
        <f t="shared" si="34"/>
        <v/>
      </c>
      <c r="S380" s="185" t="str">
        <f t="shared" si="35"/>
        <v/>
      </c>
    </row>
    <row r="381" spans="14:19" ht="14.4">
      <c r="N381" s="150" t="str">
        <f t="shared" si="30"/>
        <v/>
      </c>
      <c r="O381" s="150" t="str">
        <f t="shared" si="31"/>
        <v/>
      </c>
      <c r="P381" s="150" t="str">
        <f t="shared" si="32"/>
        <v/>
      </c>
      <c r="Q381" s="150" t="str">
        <f t="shared" si="33"/>
        <v/>
      </c>
      <c r="R381" s="150" t="str">
        <f t="shared" si="34"/>
        <v/>
      </c>
      <c r="S381" s="185" t="str">
        <f t="shared" si="35"/>
        <v/>
      </c>
    </row>
    <row r="382" spans="14:19" ht="14.4">
      <c r="N382" s="150" t="str">
        <f t="shared" si="30"/>
        <v/>
      </c>
      <c r="O382" s="150" t="str">
        <f t="shared" si="31"/>
        <v/>
      </c>
      <c r="P382" s="150" t="str">
        <f t="shared" si="32"/>
        <v/>
      </c>
      <c r="Q382" s="150" t="str">
        <f t="shared" si="33"/>
        <v/>
      </c>
      <c r="R382" s="150" t="str">
        <f t="shared" si="34"/>
        <v/>
      </c>
      <c r="S382" s="185" t="str">
        <f t="shared" si="35"/>
        <v/>
      </c>
    </row>
    <row r="383" spans="14:19" ht="14.4">
      <c r="N383" s="150" t="str">
        <f t="shared" si="30"/>
        <v/>
      </c>
      <c r="O383" s="150" t="str">
        <f t="shared" si="31"/>
        <v/>
      </c>
      <c r="P383" s="150" t="str">
        <f t="shared" si="32"/>
        <v/>
      </c>
      <c r="Q383" s="150" t="str">
        <f t="shared" si="33"/>
        <v/>
      </c>
      <c r="R383" s="150" t="str">
        <f t="shared" si="34"/>
        <v/>
      </c>
      <c r="S383" s="185" t="str">
        <f t="shared" si="35"/>
        <v/>
      </c>
    </row>
    <row r="384" spans="14:19" ht="14.4">
      <c r="N384" s="150" t="str">
        <f t="shared" si="30"/>
        <v/>
      </c>
      <c r="O384" s="150" t="str">
        <f t="shared" si="31"/>
        <v/>
      </c>
      <c r="P384" s="150" t="str">
        <f t="shared" si="32"/>
        <v/>
      </c>
      <c r="Q384" s="150" t="str">
        <f t="shared" si="33"/>
        <v/>
      </c>
      <c r="R384" s="150" t="str">
        <f t="shared" si="34"/>
        <v/>
      </c>
      <c r="S384" s="185" t="str">
        <f t="shared" si="35"/>
        <v/>
      </c>
    </row>
    <row r="385" spans="14:19" ht="14.4">
      <c r="N385" s="150" t="str">
        <f t="shared" si="30"/>
        <v/>
      </c>
      <c r="O385" s="150" t="str">
        <f t="shared" si="31"/>
        <v/>
      </c>
      <c r="P385" s="150" t="str">
        <f t="shared" si="32"/>
        <v/>
      </c>
      <c r="Q385" s="150" t="str">
        <f t="shared" si="33"/>
        <v/>
      </c>
      <c r="R385" s="150" t="str">
        <f t="shared" si="34"/>
        <v/>
      </c>
      <c r="S385" s="185" t="str">
        <f t="shared" si="35"/>
        <v/>
      </c>
    </row>
    <row r="386" spans="14:19" ht="14.4">
      <c r="N386" s="150" t="str">
        <f t="shared" si="30"/>
        <v/>
      </c>
      <c r="O386" s="150" t="str">
        <f t="shared" si="31"/>
        <v/>
      </c>
      <c r="P386" s="150" t="str">
        <f t="shared" si="32"/>
        <v/>
      </c>
      <c r="Q386" s="150" t="str">
        <f t="shared" si="33"/>
        <v/>
      </c>
      <c r="R386" s="150" t="str">
        <f t="shared" si="34"/>
        <v/>
      </c>
      <c r="S386" s="185" t="str">
        <f t="shared" si="35"/>
        <v/>
      </c>
    </row>
    <row r="387" spans="14:19" ht="14.4">
      <c r="N387" s="150" t="str">
        <f t="shared" ref="N387:N450" si="36">IF(LEN(A387)&gt;18,A387,"")</f>
        <v/>
      </c>
      <c r="O387" s="150" t="str">
        <f t="shared" ref="O387:O450" si="37">IF(ISNUMBER(IF(N387="",B387,"")),B387,"")</f>
        <v/>
      </c>
      <c r="P387" s="150" t="str">
        <f t="shared" ref="P387:P450" si="38">IF(ISNUMBER(IF($N387="",C387,"")),C387,"")</f>
        <v/>
      </c>
      <c r="Q387" s="150" t="str">
        <f t="shared" ref="Q387:Q450" si="39">IF(ISNUMBER(IF($N387="",D387,"")),D387,"")</f>
        <v/>
      </c>
      <c r="R387" s="150" t="str">
        <f t="shared" ref="R387:R450" si="40">IF(ISNUMBER(IF($N387="",F387,"")),F387,"")</f>
        <v/>
      </c>
      <c r="S387" s="185" t="str">
        <f t="shared" ref="S387:S450" si="41">IF(ISNUMBER(IF($N387="",H387,"")),H387,"")</f>
        <v/>
      </c>
    </row>
    <row r="388" spans="14:19" ht="14.4">
      <c r="N388" s="150" t="str">
        <f t="shared" si="36"/>
        <v/>
      </c>
      <c r="O388" s="150" t="str">
        <f t="shared" si="37"/>
        <v/>
      </c>
      <c r="P388" s="150" t="str">
        <f t="shared" si="38"/>
        <v/>
      </c>
      <c r="Q388" s="150" t="str">
        <f t="shared" si="39"/>
        <v/>
      </c>
      <c r="R388" s="150" t="str">
        <f t="shared" si="40"/>
        <v/>
      </c>
      <c r="S388" s="185" t="str">
        <f t="shared" si="41"/>
        <v/>
      </c>
    </row>
    <row r="389" spans="14:19" ht="14.4">
      <c r="N389" s="150" t="str">
        <f t="shared" si="36"/>
        <v/>
      </c>
      <c r="O389" s="150" t="str">
        <f t="shared" si="37"/>
        <v/>
      </c>
      <c r="P389" s="150" t="str">
        <f t="shared" si="38"/>
        <v/>
      </c>
      <c r="Q389" s="150" t="str">
        <f t="shared" si="39"/>
        <v/>
      </c>
      <c r="R389" s="150" t="str">
        <f t="shared" si="40"/>
        <v/>
      </c>
      <c r="S389" s="185" t="str">
        <f t="shared" si="41"/>
        <v/>
      </c>
    </row>
    <row r="390" spans="14:19" ht="14.4">
      <c r="N390" s="150" t="str">
        <f t="shared" si="36"/>
        <v/>
      </c>
      <c r="O390" s="150" t="str">
        <f t="shared" si="37"/>
        <v/>
      </c>
      <c r="P390" s="150" t="str">
        <f t="shared" si="38"/>
        <v/>
      </c>
      <c r="Q390" s="150" t="str">
        <f t="shared" si="39"/>
        <v/>
      </c>
      <c r="R390" s="150" t="str">
        <f t="shared" si="40"/>
        <v/>
      </c>
      <c r="S390" s="185" t="str">
        <f t="shared" si="41"/>
        <v/>
      </c>
    </row>
    <row r="391" spans="14:19" ht="14.4">
      <c r="N391" s="150" t="str">
        <f t="shared" si="36"/>
        <v/>
      </c>
      <c r="O391" s="150" t="str">
        <f t="shared" si="37"/>
        <v/>
      </c>
      <c r="P391" s="150" t="str">
        <f t="shared" si="38"/>
        <v/>
      </c>
      <c r="Q391" s="150" t="str">
        <f t="shared" si="39"/>
        <v/>
      </c>
      <c r="R391" s="150" t="str">
        <f t="shared" si="40"/>
        <v/>
      </c>
      <c r="S391" s="185" t="str">
        <f t="shared" si="41"/>
        <v/>
      </c>
    </row>
    <row r="392" spans="14:19" ht="14.4">
      <c r="N392" s="150" t="str">
        <f t="shared" si="36"/>
        <v/>
      </c>
      <c r="O392" s="150" t="str">
        <f t="shared" si="37"/>
        <v/>
      </c>
      <c r="P392" s="150" t="str">
        <f t="shared" si="38"/>
        <v/>
      </c>
      <c r="Q392" s="150" t="str">
        <f t="shared" si="39"/>
        <v/>
      </c>
      <c r="R392" s="150" t="str">
        <f t="shared" si="40"/>
        <v/>
      </c>
      <c r="S392" s="185" t="str">
        <f t="shared" si="41"/>
        <v/>
      </c>
    </row>
    <row r="393" spans="14:19" ht="14.4">
      <c r="N393" s="150" t="str">
        <f t="shared" si="36"/>
        <v/>
      </c>
      <c r="O393" s="150" t="str">
        <f t="shared" si="37"/>
        <v/>
      </c>
      <c r="P393" s="150" t="str">
        <f t="shared" si="38"/>
        <v/>
      </c>
      <c r="Q393" s="150" t="str">
        <f t="shared" si="39"/>
        <v/>
      </c>
      <c r="R393" s="150" t="str">
        <f t="shared" si="40"/>
        <v/>
      </c>
      <c r="S393" s="185" t="str">
        <f t="shared" si="41"/>
        <v/>
      </c>
    </row>
    <row r="394" spans="14:19" ht="14.4">
      <c r="N394" s="150" t="str">
        <f t="shared" si="36"/>
        <v/>
      </c>
      <c r="O394" s="150" t="str">
        <f t="shared" si="37"/>
        <v/>
      </c>
      <c r="P394" s="150" t="str">
        <f t="shared" si="38"/>
        <v/>
      </c>
      <c r="Q394" s="150" t="str">
        <f t="shared" si="39"/>
        <v/>
      </c>
      <c r="R394" s="150" t="str">
        <f t="shared" si="40"/>
        <v/>
      </c>
      <c r="S394" s="185" t="str">
        <f t="shared" si="41"/>
        <v/>
      </c>
    </row>
    <row r="395" spans="14:19" ht="14.4">
      <c r="N395" s="150" t="str">
        <f t="shared" si="36"/>
        <v/>
      </c>
      <c r="O395" s="150" t="str">
        <f t="shared" si="37"/>
        <v/>
      </c>
      <c r="P395" s="150" t="str">
        <f t="shared" si="38"/>
        <v/>
      </c>
      <c r="Q395" s="150" t="str">
        <f t="shared" si="39"/>
        <v/>
      </c>
      <c r="R395" s="150" t="str">
        <f t="shared" si="40"/>
        <v/>
      </c>
      <c r="S395" s="185" t="str">
        <f t="shared" si="41"/>
        <v/>
      </c>
    </row>
    <row r="396" spans="14:19" ht="14.4">
      <c r="N396" s="150" t="str">
        <f t="shared" si="36"/>
        <v/>
      </c>
      <c r="O396" s="150" t="str">
        <f t="shared" si="37"/>
        <v/>
      </c>
      <c r="P396" s="150" t="str">
        <f t="shared" si="38"/>
        <v/>
      </c>
      <c r="Q396" s="150" t="str">
        <f t="shared" si="39"/>
        <v/>
      </c>
      <c r="R396" s="150" t="str">
        <f t="shared" si="40"/>
        <v/>
      </c>
      <c r="S396" s="185" t="str">
        <f t="shared" si="41"/>
        <v/>
      </c>
    </row>
    <row r="397" spans="14:19" ht="14.4">
      <c r="N397" s="150" t="str">
        <f t="shared" si="36"/>
        <v/>
      </c>
      <c r="O397" s="150" t="str">
        <f t="shared" si="37"/>
        <v/>
      </c>
      <c r="P397" s="150" t="str">
        <f t="shared" si="38"/>
        <v/>
      </c>
      <c r="Q397" s="150" t="str">
        <f t="shared" si="39"/>
        <v/>
      </c>
      <c r="R397" s="150" t="str">
        <f t="shared" si="40"/>
        <v/>
      </c>
      <c r="S397" s="185" t="str">
        <f t="shared" si="41"/>
        <v/>
      </c>
    </row>
    <row r="398" spans="14:19" ht="14.4">
      <c r="N398" s="150" t="str">
        <f t="shared" si="36"/>
        <v/>
      </c>
      <c r="O398" s="150" t="str">
        <f t="shared" si="37"/>
        <v/>
      </c>
      <c r="P398" s="150" t="str">
        <f t="shared" si="38"/>
        <v/>
      </c>
      <c r="Q398" s="150" t="str">
        <f t="shared" si="39"/>
        <v/>
      </c>
      <c r="R398" s="150" t="str">
        <f t="shared" si="40"/>
        <v/>
      </c>
      <c r="S398" s="185" t="str">
        <f t="shared" si="41"/>
        <v/>
      </c>
    </row>
    <row r="399" spans="14:19" ht="14.4">
      <c r="N399" s="150" t="str">
        <f t="shared" si="36"/>
        <v/>
      </c>
      <c r="O399" s="150" t="str">
        <f t="shared" si="37"/>
        <v/>
      </c>
      <c r="P399" s="150" t="str">
        <f t="shared" si="38"/>
        <v/>
      </c>
      <c r="Q399" s="150" t="str">
        <f t="shared" si="39"/>
        <v/>
      </c>
      <c r="R399" s="150" t="str">
        <f t="shared" si="40"/>
        <v/>
      </c>
      <c r="S399" s="185" t="str">
        <f t="shared" si="41"/>
        <v/>
      </c>
    </row>
    <row r="400" spans="14:19" ht="14.4">
      <c r="N400" s="150" t="str">
        <f t="shared" si="36"/>
        <v/>
      </c>
      <c r="O400" s="150" t="str">
        <f t="shared" si="37"/>
        <v/>
      </c>
      <c r="P400" s="150" t="str">
        <f t="shared" si="38"/>
        <v/>
      </c>
      <c r="Q400" s="150" t="str">
        <f t="shared" si="39"/>
        <v/>
      </c>
      <c r="R400" s="150" t="str">
        <f t="shared" si="40"/>
        <v/>
      </c>
      <c r="S400" s="185" t="str">
        <f t="shared" si="41"/>
        <v/>
      </c>
    </row>
    <row r="401" spans="14:19" ht="14.4">
      <c r="N401" s="150" t="str">
        <f t="shared" si="36"/>
        <v/>
      </c>
      <c r="O401" s="150" t="str">
        <f t="shared" si="37"/>
        <v/>
      </c>
      <c r="P401" s="150" t="str">
        <f t="shared" si="38"/>
        <v/>
      </c>
      <c r="Q401" s="150" t="str">
        <f t="shared" si="39"/>
        <v/>
      </c>
      <c r="R401" s="150" t="str">
        <f t="shared" si="40"/>
        <v/>
      </c>
      <c r="S401" s="185" t="str">
        <f t="shared" si="41"/>
        <v/>
      </c>
    </row>
    <row r="402" spans="14:19" ht="14.4">
      <c r="N402" s="150" t="str">
        <f t="shared" si="36"/>
        <v/>
      </c>
      <c r="O402" s="150" t="str">
        <f t="shared" si="37"/>
        <v/>
      </c>
      <c r="P402" s="150" t="str">
        <f t="shared" si="38"/>
        <v/>
      </c>
      <c r="Q402" s="150" t="str">
        <f t="shared" si="39"/>
        <v/>
      </c>
      <c r="R402" s="150" t="str">
        <f t="shared" si="40"/>
        <v/>
      </c>
      <c r="S402" s="185" t="str">
        <f t="shared" si="41"/>
        <v/>
      </c>
    </row>
    <row r="403" spans="14:19" ht="14.4">
      <c r="N403" s="150" t="str">
        <f t="shared" si="36"/>
        <v/>
      </c>
      <c r="O403" s="150" t="str">
        <f t="shared" si="37"/>
        <v/>
      </c>
      <c r="P403" s="150" t="str">
        <f t="shared" si="38"/>
        <v/>
      </c>
      <c r="Q403" s="150" t="str">
        <f t="shared" si="39"/>
        <v/>
      </c>
      <c r="R403" s="150" t="str">
        <f t="shared" si="40"/>
        <v/>
      </c>
      <c r="S403" s="185" t="str">
        <f t="shared" si="41"/>
        <v/>
      </c>
    </row>
    <row r="404" spans="14:19" ht="14.4">
      <c r="N404" s="150" t="str">
        <f t="shared" si="36"/>
        <v/>
      </c>
      <c r="O404" s="150" t="str">
        <f t="shared" si="37"/>
        <v/>
      </c>
      <c r="P404" s="150" t="str">
        <f t="shared" si="38"/>
        <v/>
      </c>
      <c r="Q404" s="150" t="str">
        <f t="shared" si="39"/>
        <v/>
      </c>
      <c r="R404" s="150" t="str">
        <f t="shared" si="40"/>
        <v/>
      </c>
      <c r="S404" s="185" t="str">
        <f t="shared" si="41"/>
        <v/>
      </c>
    </row>
    <row r="405" spans="14:19" ht="14.4">
      <c r="N405" s="150" t="str">
        <f t="shared" si="36"/>
        <v/>
      </c>
      <c r="O405" s="150" t="str">
        <f t="shared" si="37"/>
        <v/>
      </c>
      <c r="P405" s="150" t="str">
        <f t="shared" si="38"/>
        <v/>
      </c>
      <c r="Q405" s="150" t="str">
        <f t="shared" si="39"/>
        <v/>
      </c>
      <c r="R405" s="150" t="str">
        <f t="shared" si="40"/>
        <v/>
      </c>
      <c r="S405" s="185" t="str">
        <f t="shared" si="41"/>
        <v/>
      </c>
    </row>
    <row r="406" spans="14:19" ht="14.4">
      <c r="N406" s="150" t="str">
        <f t="shared" si="36"/>
        <v/>
      </c>
      <c r="O406" s="150" t="str">
        <f t="shared" si="37"/>
        <v/>
      </c>
      <c r="P406" s="150" t="str">
        <f t="shared" si="38"/>
        <v/>
      </c>
      <c r="Q406" s="150" t="str">
        <f t="shared" si="39"/>
        <v/>
      </c>
      <c r="R406" s="150" t="str">
        <f t="shared" si="40"/>
        <v/>
      </c>
      <c r="S406" s="185" t="str">
        <f t="shared" si="41"/>
        <v/>
      </c>
    </row>
    <row r="407" spans="14:19" ht="14.4">
      <c r="N407" s="150" t="str">
        <f t="shared" si="36"/>
        <v/>
      </c>
      <c r="O407" s="150" t="str">
        <f t="shared" si="37"/>
        <v/>
      </c>
      <c r="P407" s="150" t="str">
        <f t="shared" si="38"/>
        <v/>
      </c>
      <c r="Q407" s="150" t="str">
        <f t="shared" si="39"/>
        <v/>
      </c>
      <c r="R407" s="150" t="str">
        <f t="shared" si="40"/>
        <v/>
      </c>
      <c r="S407" s="185" t="str">
        <f t="shared" si="41"/>
        <v/>
      </c>
    </row>
    <row r="408" spans="14:19" ht="14.4">
      <c r="N408" s="150" t="str">
        <f t="shared" si="36"/>
        <v/>
      </c>
      <c r="O408" s="150" t="str">
        <f t="shared" si="37"/>
        <v/>
      </c>
      <c r="P408" s="150" t="str">
        <f t="shared" si="38"/>
        <v/>
      </c>
      <c r="Q408" s="150" t="str">
        <f t="shared" si="39"/>
        <v/>
      </c>
      <c r="R408" s="150" t="str">
        <f t="shared" si="40"/>
        <v/>
      </c>
      <c r="S408" s="185" t="str">
        <f t="shared" si="41"/>
        <v/>
      </c>
    </row>
    <row r="409" spans="14:19" ht="14.4">
      <c r="N409" s="150" t="str">
        <f t="shared" si="36"/>
        <v/>
      </c>
      <c r="O409" s="150" t="str">
        <f t="shared" si="37"/>
        <v/>
      </c>
      <c r="P409" s="150" t="str">
        <f t="shared" si="38"/>
        <v/>
      </c>
      <c r="Q409" s="150" t="str">
        <f t="shared" si="39"/>
        <v/>
      </c>
      <c r="R409" s="150" t="str">
        <f t="shared" si="40"/>
        <v/>
      </c>
      <c r="S409" s="185" t="str">
        <f t="shared" si="41"/>
        <v/>
      </c>
    </row>
    <row r="410" spans="14:19" ht="14.4">
      <c r="N410" s="150" t="str">
        <f t="shared" si="36"/>
        <v/>
      </c>
      <c r="O410" s="150" t="str">
        <f t="shared" si="37"/>
        <v/>
      </c>
      <c r="P410" s="150" t="str">
        <f t="shared" si="38"/>
        <v/>
      </c>
      <c r="Q410" s="150" t="str">
        <f t="shared" si="39"/>
        <v/>
      </c>
      <c r="R410" s="150" t="str">
        <f t="shared" si="40"/>
        <v/>
      </c>
      <c r="S410" s="185" t="str">
        <f t="shared" si="41"/>
        <v/>
      </c>
    </row>
    <row r="411" spans="14:19" ht="14.4">
      <c r="N411" s="150" t="str">
        <f t="shared" si="36"/>
        <v/>
      </c>
      <c r="O411" s="150" t="str">
        <f t="shared" si="37"/>
        <v/>
      </c>
      <c r="P411" s="150" t="str">
        <f t="shared" si="38"/>
        <v/>
      </c>
      <c r="Q411" s="150" t="str">
        <f t="shared" si="39"/>
        <v/>
      </c>
      <c r="R411" s="150" t="str">
        <f t="shared" si="40"/>
        <v/>
      </c>
      <c r="S411" s="185" t="str">
        <f t="shared" si="41"/>
        <v/>
      </c>
    </row>
    <row r="412" spans="14:19" ht="14.4">
      <c r="N412" s="150" t="str">
        <f t="shared" si="36"/>
        <v/>
      </c>
      <c r="O412" s="150" t="str">
        <f t="shared" si="37"/>
        <v/>
      </c>
      <c r="P412" s="150" t="str">
        <f t="shared" si="38"/>
        <v/>
      </c>
      <c r="Q412" s="150" t="str">
        <f t="shared" si="39"/>
        <v/>
      </c>
      <c r="R412" s="150" t="str">
        <f t="shared" si="40"/>
        <v/>
      </c>
      <c r="S412" s="185" t="str">
        <f t="shared" si="41"/>
        <v/>
      </c>
    </row>
    <row r="413" spans="14:19" ht="14.4">
      <c r="N413" s="150" t="str">
        <f t="shared" si="36"/>
        <v/>
      </c>
      <c r="O413" s="150" t="str">
        <f t="shared" si="37"/>
        <v/>
      </c>
      <c r="P413" s="150" t="str">
        <f t="shared" si="38"/>
        <v/>
      </c>
      <c r="Q413" s="150" t="str">
        <f t="shared" si="39"/>
        <v/>
      </c>
      <c r="R413" s="150" t="str">
        <f t="shared" si="40"/>
        <v/>
      </c>
      <c r="S413" s="185" t="str">
        <f t="shared" si="41"/>
        <v/>
      </c>
    </row>
    <row r="414" spans="14:19" ht="14.4">
      <c r="N414" s="150" t="str">
        <f t="shared" si="36"/>
        <v/>
      </c>
      <c r="O414" s="150" t="str">
        <f t="shared" si="37"/>
        <v/>
      </c>
      <c r="P414" s="150" t="str">
        <f t="shared" si="38"/>
        <v/>
      </c>
      <c r="Q414" s="150" t="str">
        <f t="shared" si="39"/>
        <v/>
      </c>
      <c r="R414" s="150" t="str">
        <f t="shared" si="40"/>
        <v/>
      </c>
      <c r="S414" s="185" t="str">
        <f t="shared" si="41"/>
        <v/>
      </c>
    </row>
    <row r="415" spans="14:19" ht="14.4">
      <c r="N415" s="150" t="str">
        <f t="shared" si="36"/>
        <v/>
      </c>
      <c r="O415" s="150" t="str">
        <f t="shared" si="37"/>
        <v/>
      </c>
      <c r="P415" s="150" t="str">
        <f t="shared" si="38"/>
        <v/>
      </c>
      <c r="Q415" s="150" t="str">
        <f t="shared" si="39"/>
        <v/>
      </c>
      <c r="R415" s="150" t="str">
        <f t="shared" si="40"/>
        <v/>
      </c>
      <c r="S415" s="185" t="str">
        <f t="shared" si="41"/>
        <v/>
      </c>
    </row>
    <row r="416" spans="14:19" ht="14.4">
      <c r="N416" s="150" t="str">
        <f t="shared" si="36"/>
        <v/>
      </c>
      <c r="O416" s="150" t="str">
        <f t="shared" si="37"/>
        <v/>
      </c>
      <c r="P416" s="150" t="str">
        <f t="shared" si="38"/>
        <v/>
      </c>
      <c r="Q416" s="150" t="str">
        <f t="shared" si="39"/>
        <v/>
      </c>
      <c r="R416" s="150" t="str">
        <f t="shared" si="40"/>
        <v/>
      </c>
      <c r="S416" s="185" t="str">
        <f t="shared" si="41"/>
        <v/>
      </c>
    </row>
    <row r="417" spans="14:19" ht="14.4">
      <c r="N417" s="150" t="str">
        <f t="shared" si="36"/>
        <v/>
      </c>
      <c r="O417" s="150" t="str">
        <f t="shared" si="37"/>
        <v/>
      </c>
      <c r="P417" s="150" t="str">
        <f t="shared" si="38"/>
        <v/>
      </c>
      <c r="Q417" s="150" t="str">
        <f t="shared" si="39"/>
        <v/>
      </c>
      <c r="R417" s="150" t="str">
        <f t="shared" si="40"/>
        <v/>
      </c>
      <c r="S417" s="185" t="str">
        <f t="shared" si="41"/>
        <v/>
      </c>
    </row>
    <row r="418" spans="14:19" ht="14.4">
      <c r="N418" s="150" t="str">
        <f t="shared" si="36"/>
        <v/>
      </c>
      <c r="O418" s="150" t="str">
        <f t="shared" si="37"/>
        <v/>
      </c>
      <c r="P418" s="150" t="str">
        <f t="shared" si="38"/>
        <v/>
      </c>
      <c r="Q418" s="150" t="str">
        <f t="shared" si="39"/>
        <v/>
      </c>
      <c r="R418" s="150" t="str">
        <f t="shared" si="40"/>
        <v/>
      </c>
      <c r="S418" s="185" t="str">
        <f t="shared" si="41"/>
        <v/>
      </c>
    </row>
    <row r="419" spans="14:19" ht="14.4">
      <c r="N419" s="150" t="str">
        <f t="shared" si="36"/>
        <v/>
      </c>
      <c r="O419" s="150" t="str">
        <f t="shared" si="37"/>
        <v/>
      </c>
      <c r="P419" s="150" t="str">
        <f t="shared" si="38"/>
        <v/>
      </c>
      <c r="Q419" s="150" t="str">
        <f t="shared" si="39"/>
        <v/>
      </c>
      <c r="R419" s="150" t="str">
        <f t="shared" si="40"/>
        <v/>
      </c>
      <c r="S419" s="185" t="str">
        <f t="shared" si="41"/>
        <v/>
      </c>
    </row>
    <row r="420" spans="14:19" ht="14.4">
      <c r="N420" s="150" t="str">
        <f t="shared" si="36"/>
        <v/>
      </c>
      <c r="O420" s="150" t="str">
        <f t="shared" si="37"/>
        <v/>
      </c>
      <c r="P420" s="150" t="str">
        <f t="shared" si="38"/>
        <v/>
      </c>
      <c r="Q420" s="150" t="str">
        <f t="shared" si="39"/>
        <v/>
      </c>
      <c r="R420" s="150" t="str">
        <f t="shared" si="40"/>
        <v/>
      </c>
      <c r="S420" s="185" t="str">
        <f t="shared" si="41"/>
        <v/>
      </c>
    </row>
    <row r="421" spans="14:19" ht="14.4">
      <c r="N421" s="150" t="str">
        <f t="shared" si="36"/>
        <v/>
      </c>
      <c r="O421" s="150" t="str">
        <f t="shared" si="37"/>
        <v/>
      </c>
      <c r="P421" s="150" t="str">
        <f t="shared" si="38"/>
        <v/>
      </c>
      <c r="Q421" s="150" t="str">
        <f t="shared" si="39"/>
        <v/>
      </c>
      <c r="R421" s="150" t="str">
        <f t="shared" si="40"/>
        <v/>
      </c>
      <c r="S421" s="185" t="str">
        <f t="shared" si="41"/>
        <v/>
      </c>
    </row>
    <row r="422" spans="14:19" ht="14.4">
      <c r="N422" s="150" t="str">
        <f t="shared" si="36"/>
        <v/>
      </c>
      <c r="O422" s="150" t="str">
        <f t="shared" si="37"/>
        <v/>
      </c>
      <c r="P422" s="150" t="str">
        <f t="shared" si="38"/>
        <v/>
      </c>
      <c r="Q422" s="150" t="str">
        <f t="shared" si="39"/>
        <v/>
      </c>
      <c r="R422" s="150" t="str">
        <f t="shared" si="40"/>
        <v/>
      </c>
      <c r="S422" s="185" t="str">
        <f t="shared" si="41"/>
        <v/>
      </c>
    </row>
    <row r="423" spans="14:19" ht="14.4">
      <c r="N423" s="150" t="str">
        <f t="shared" si="36"/>
        <v/>
      </c>
      <c r="O423" s="150" t="str">
        <f t="shared" si="37"/>
        <v/>
      </c>
      <c r="P423" s="150" t="str">
        <f t="shared" si="38"/>
        <v/>
      </c>
      <c r="Q423" s="150" t="str">
        <f t="shared" si="39"/>
        <v/>
      </c>
      <c r="R423" s="150" t="str">
        <f t="shared" si="40"/>
        <v/>
      </c>
      <c r="S423" s="185" t="str">
        <f t="shared" si="41"/>
        <v/>
      </c>
    </row>
    <row r="424" spans="14:19" ht="14.4">
      <c r="N424" s="150" t="str">
        <f t="shared" si="36"/>
        <v/>
      </c>
      <c r="O424" s="150" t="str">
        <f t="shared" si="37"/>
        <v/>
      </c>
      <c r="P424" s="150" t="str">
        <f t="shared" si="38"/>
        <v/>
      </c>
      <c r="Q424" s="150" t="str">
        <f t="shared" si="39"/>
        <v/>
      </c>
      <c r="R424" s="150" t="str">
        <f t="shared" si="40"/>
        <v/>
      </c>
      <c r="S424" s="185" t="str">
        <f t="shared" si="41"/>
        <v/>
      </c>
    </row>
    <row r="425" spans="14:19" ht="14.4">
      <c r="N425" s="150" t="str">
        <f t="shared" si="36"/>
        <v/>
      </c>
      <c r="O425" s="150" t="str">
        <f t="shared" si="37"/>
        <v/>
      </c>
      <c r="P425" s="150" t="str">
        <f t="shared" si="38"/>
        <v/>
      </c>
      <c r="Q425" s="150" t="str">
        <f t="shared" si="39"/>
        <v/>
      </c>
      <c r="R425" s="150" t="str">
        <f t="shared" si="40"/>
        <v/>
      </c>
      <c r="S425" s="185" t="str">
        <f t="shared" si="41"/>
        <v/>
      </c>
    </row>
    <row r="426" spans="14:19" ht="14.4">
      <c r="N426" s="150" t="str">
        <f t="shared" si="36"/>
        <v/>
      </c>
      <c r="O426" s="150" t="str">
        <f t="shared" si="37"/>
        <v/>
      </c>
      <c r="P426" s="150" t="str">
        <f t="shared" si="38"/>
        <v/>
      </c>
      <c r="Q426" s="150" t="str">
        <f t="shared" si="39"/>
        <v/>
      </c>
      <c r="R426" s="150" t="str">
        <f t="shared" si="40"/>
        <v/>
      </c>
      <c r="S426" s="185" t="str">
        <f t="shared" si="41"/>
        <v/>
      </c>
    </row>
    <row r="427" spans="14:19" ht="14.4">
      <c r="N427" s="150" t="str">
        <f t="shared" si="36"/>
        <v/>
      </c>
      <c r="O427" s="150" t="str">
        <f t="shared" si="37"/>
        <v/>
      </c>
      <c r="P427" s="150" t="str">
        <f t="shared" si="38"/>
        <v/>
      </c>
      <c r="Q427" s="150" t="str">
        <f t="shared" si="39"/>
        <v/>
      </c>
      <c r="R427" s="150" t="str">
        <f t="shared" si="40"/>
        <v/>
      </c>
      <c r="S427" s="185" t="str">
        <f t="shared" si="41"/>
        <v/>
      </c>
    </row>
    <row r="428" spans="14:19" ht="14.4">
      <c r="N428" s="150" t="str">
        <f t="shared" si="36"/>
        <v/>
      </c>
      <c r="O428" s="150" t="str">
        <f t="shared" si="37"/>
        <v/>
      </c>
      <c r="P428" s="150" t="str">
        <f t="shared" si="38"/>
        <v/>
      </c>
      <c r="Q428" s="150" t="str">
        <f t="shared" si="39"/>
        <v/>
      </c>
      <c r="R428" s="150" t="str">
        <f t="shared" si="40"/>
        <v/>
      </c>
      <c r="S428" s="185" t="str">
        <f t="shared" si="41"/>
        <v/>
      </c>
    </row>
    <row r="429" spans="14:19" ht="14.4">
      <c r="N429" s="150" t="str">
        <f t="shared" si="36"/>
        <v/>
      </c>
      <c r="O429" s="150" t="str">
        <f t="shared" si="37"/>
        <v/>
      </c>
      <c r="P429" s="150" t="str">
        <f t="shared" si="38"/>
        <v/>
      </c>
      <c r="Q429" s="150" t="str">
        <f t="shared" si="39"/>
        <v/>
      </c>
      <c r="R429" s="150" t="str">
        <f t="shared" si="40"/>
        <v/>
      </c>
      <c r="S429" s="185" t="str">
        <f t="shared" si="41"/>
        <v/>
      </c>
    </row>
    <row r="430" spans="14:19" ht="14.4">
      <c r="N430" s="150" t="str">
        <f t="shared" si="36"/>
        <v/>
      </c>
      <c r="O430" s="150" t="str">
        <f t="shared" si="37"/>
        <v/>
      </c>
      <c r="P430" s="150" t="str">
        <f t="shared" si="38"/>
        <v/>
      </c>
      <c r="Q430" s="150" t="str">
        <f t="shared" si="39"/>
        <v/>
      </c>
      <c r="R430" s="150" t="str">
        <f t="shared" si="40"/>
        <v/>
      </c>
      <c r="S430" s="185" t="str">
        <f t="shared" si="41"/>
        <v/>
      </c>
    </row>
    <row r="431" spans="14:19" ht="14.4">
      <c r="N431" s="150" t="str">
        <f t="shared" si="36"/>
        <v/>
      </c>
      <c r="O431" s="150" t="str">
        <f t="shared" si="37"/>
        <v/>
      </c>
      <c r="P431" s="150" t="str">
        <f t="shared" si="38"/>
        <v/>
      </c>
      <c r="Q431" s="150" t="str">
        <f t="shared" si="39"/>
        <v/>
      </c>
      <c r="R431" s="150" t="str">
        <f t="shared" si="40"/>
        <v/>
      </c>
      <c r="S431" s="185" t="str">
        <f t="shared" si="41"/>
        <v/>
      </c>
    </row>
    <row r="432" spans="14:19" ht="14.4">
      <c r="N432" s="150" t="str">
        <f t="shared" si="36"/>
        <v/>
      </c>
      <c r="O432" s="150" t="str">
        <f t="shared" si="37"/>
        <v/>
      </c>
      <c r="P432" s="150" t="str">
        <f t="shared" si="38"/>
        <v/>
      </c>
      <c r="Q432" s="150" t="str">
        <f t="shared" si="39"/>
        <v/>
      </c>
      <c r="R432" s="150" t="str">
        <f t="shared" si="40"/>
        <v/>
      </c>
      <c r="S432" s="185" t="str">
        <f t="shared" si="41"/>
        <v/>
      </c>
    </row>
    <row r="433" spans="14:19" ht="14.4">
      <c r="N433" s="150" t="str">
        <f t="shared" si="36"/>
        <v/>
      </c>
      <c r="O433" s="150" t="str">
        <f t="shared" si="37"/>
        <v/>
      </c>
      <c r="P433" s="150" t="str">
        <f t="shared" si="38"/>
        <v/>
      </c>
      <c r="Q433" s="150" t="str">
        <f t="shared" si="39"/>
        <v/>
      </c>
      <c r="R433" s="150" t="str">
        <f t="shared" si="40"/>
        <v/>
      </c>
      <c r="S433" s="185" t="str">
        <f t="shared" si="41"/>
        <v/>
      </c>
    </row>
    <row r="434" spans="14:19" ht="14.4">
      <c r="N434" s="150" t="str">
        <f t="shared" si="36"/>
        <v/>
      </c>
      <c r="O434" s="150" t="str">
        <f t="shared" si="37"/>
        <v/>
      </c>
      <c r="P434" s="150" t="str">
        <f t="shared" si="38"/>
        <v/>
      </c>
      <c r="Q434" s="150" t="str">
        <f t="shared" si="39"/>
        <v/>
      </c>
      <c r="R434" s="150" t="str">
        <f t="shared" si="40"/>
        <v/>
      </c>
      <c r="S434" s="185" t="str">
        <f t="shared" si="41"/>
        <v/>
      </c>
    </row>
    <row r="435" spans="14:19" ht="14.4">
      <c r="N435" s="150" t="str">
        <f t="shared" si="36"/>
        <v/>
      </c>
      <c r="O435" s="150" t="str">
        <f t="shared" si="37"/>
        <v/>
      </c>
      <c r="P435" s="150" t="str">
        <f t="shared" si="38"/>
        <v/>
      </c>
      <c r="Q435" s="150" t="str">
        <f t="shared" si="39"/>
        <v/>
      </c>
      <c r="R435" s="150" t="str">
        <f t="shared" si="40"/>
        <v/>
      </c>
      <c r="S435" s="185" t="str">
        <f t="shared" si="41"/>
        <v/>
      </c>
    </row>
    <row r="436" spans="14:19" ht="14.4">
      <c r="N436" s="150" t="str">
        <f t="shared" si="36"/>
        <v/>
      </c>
      <c r="O436" s="150" t="str">
        <f t="shared" si="37"/>
        <v/>
      </c>
      <c r="P436" s="150" t="str">
        <f t="shared" si="38"/>
        <v/>
      </c>
      <c r="Q436" s="150" t="str">
        <f t="shared" si="39"/>
        <v/>
      </c>
      <c r="R436" s="150" t="str">
        <f t="shared" si="40"/>
        <v/>
      </c>
      <c r="S436" s="185" t="str">
        <f t="shared" si="41"/>
        <v/>
      </c>
    </row>
    <row r="437" spans="14:19" ht="14.4">
      <c r="N437" s="150" t="str">
        <f t="shared" si="36"/>
        <v/>
      </c>
      <c r="O437" s="150" t="str">
        <f t="shared" si="37"/>
        <v/>
      </c>
      <c r="P437" s="150" t="str">
        <f t="shared" si="38"/>
        <v/>
      </c>
      <c r="Q437" s="150" t="str">
        <f t="shared" si="39"/>
        <v/>
      </c>
      <c r="R437" s="150" t="str">
        <f t="shared" si="40"/>
        <v/>
      </c>
      <c r="S437" s="185" t="str">
        <f t="shared" si="41"/>
        <v/>
      </c>
    </row>
    <row r="438" spans="14:19" ht="14.4">
      <c r="N438" s="150" t="str">
        <f t="shared" si="36"/>
        <v/>
      </c>
      <c r="O438" s="150" t="str">
        <f t="shared" si="37"/>
        <v/>
      </c>
      <c r="P438" s="150" t="str">
        <f t="shared" si="38"/>
        <v/>
      </c>
      <c r="Q438" s="150" t="str">
        <f t="shared" si="39"/>
        <v/>
      </c>
      <c r="R438" s="150" t="str">
        <f t="shared" si="40"/>
        <v/>
      </c>
      <c r="S438" s="185" t="str">
        <f t="shared" si="41"/>
        <v/>
      </c>
    </row>
    <row r="439" spans="14:19" ht="14.4">
      <c r="N439" s="150" t="str">
        <f t="shared" si="36"/>
        <v/>
      </c>
      <c r="O439" s="150" t="str">
        <f t="shared" si="37"/>
        <v/>
      </c>
      <c r="P439" s="150" t="str">
        <f t="shared" si="38"/>
        <v/>
      </c>
      <c r="Q439" s="150" t="str">
        <f t="shared" si="39"/>
        <v/>
      </c>
      <c r="R439" s="150" t="str">
        <f t="shared" si="40"/>
        <v/>
      </c>
      <c r="S439" s="185" t="str">
        <f t="shared" si="41"/>
        <v/>
      </c>
    </row>
    <row r="440" spans="14:19" ht="14.4">
      <c r="N440" s="150" t="str">
        <f t="shared" si="36"/>
        <v/>
      </c>
      <c r="O440" s="150" t="str">
        <f t="shared" si="37"/>
        <v/>
      </c>
      <c r="P440" s="150" t="str">
        <f t="shared" si="38"/>
        <v/>
      </c>
      <c r="Q440" s="150" t="str">
        <f t="shared" si="39"/>
        <v/>
      </c>
      <c r="R440" s="150" t="str">
        <f t="shared" si="40"/>
        <v/>
      </c>
      <c r="S440" s="185" t="str">
        <f t="shared" si="41"/>
        <v/>
      </c>
    </row>
    <row r="441" spans="14:19" ht="14.4">
      <c r="N441" s="150" t="str">
        <f t="shared" si="36"/>
        <v/>
      </c>
      <c r="O441" s="150" t="str">
        <f t="shared" si="37"/>
        <v/>
      </c>
      <c r="P441" s="150" t="str">
        <f t="shared" si="38"/>
        <v/>
      </c>
      <c r="Q441" s="150" t="str">
        <f t="shared" si="39"/>
        <v/>
      </c>
      <c r="R441" s="150" t="str">
        <f t="shared" si="40"/>
        <v/>
      </c>
      <c r="S441" s="185" t="str">
        <f t="shared" si="41"/>
        <v/>
      </c>
    </row>
    <row r="442" spans="14:19" ht="14.4">
      <c r="N442" s="150" t="str">
        <f t="shared" si="36"/>
        <v/>
      </c>
      <c r="O442" s="150" t="str">
        <f t="shared" si="37"/>
        <v/>
      </c>
      <c r="P442" s="150" t="str">
        <f t="shared" si="38"/>
        <v/>
      </c>
      <c r="Q442" s="150" t="str">
        <f t="shared" si="39"/>
        <v/>
      </c>
      <c r="R442" s="150" t="str">
        <f t="shared" si="40"/>
        <v/>
      </c>
      <c r="S442" s="185" t="str">
        <f t="shared" si="41"/>
        <v/>
      </c>
    </row>
    <row r="443" spans="14:19" ht="14.4">
      <c r="N443" s="150" t="str">
        <f t="shared" si="36"/>
        <v/>
      </c>
      <c r="O443" s="150" t="str">
        <f t="shared" si="37"/>
        <v/>
      </c>
      <c r="P443" s="150" t="str">
        <f t="shared" si="38"/>
        <v/>
      </c>
      <c r="Q443" s="150" t="str">
        <f t="shared" si="39"/>
        <v/>
      </c>
      <c r="R443" s="150" t="str">
        <f t="shared" si="40"/>
        <v/>
      </c>
      <c r="S443" s="185" t="str">
        <f t="shared" si="41"/>
        <v/>
      </c>
    </row>
    <row r="444" spans="14:19" ht="14.4">
      <c r="N444" s="150" t="str">
        <f t="shared" si="36"/>
        <v/>
      </c>
      <c r="O444" s="150" t="str">
        <f t="shared" si="37"/>
        <v/>
      </c>
      <c r="P444" s="150" t="str">
        <f t="shared" si="38"/>
        <v/>
      </c>
      <c r="Q444" s="150" t="str">
        <f t="shared" si="39"/>
        <v/>
      </c>
      <c r="R444" s="150" t="str">
        <f t="shared" si="40"/>
        <v/>
      </c>
      <c r="S444" s="185" t="str">
        <f t="shared" si="41"/>
        <v/>
      </c>
    </row>
    <row r="445" spans="14:19" ht="14.4">
      <c r="N445" s="150" t="str">
        <f t="shared" si="36"/>
        <v/>
      </c>
      <c r="O445" s="150" t="str">
        <f t="shared" si="37"/>
        <v/>
      </c>
      <c r="P445" s="150" t="str">
        <f t="shared" si="38"/>
        <v/>
      </c>
      <c r="Q445" s="150" t="str">
        <f t="shared" si="39"/>
        <v/>
      </c>
      <c r="R445" s="150" t="str">
        <f t="shared" si="40"/>
        <v/>
      </c>
      <c r="S445" s="185" t="str">
        <f t="shared" si="41"/>
        <v/>
      </c>
    </row>
    <row r="446" spans="14:19" ht="14.4">
      <c r="N446" s="150" t="str">
        <f t="shared" si="36"/>
        <v/>
      </c>
      <c r="O446" s="150" t="str">
        <f t="shared" si="37"/>
        <v/>
      </c>
      <c r="P446" s="150" t="str">
        <f t="shared" si="38"/>
        <v/>
      </c>
      <c r="Q446" s="150" t="str">
        <f t="shared" si="39"/>
        <v/>
      </c>
      <c r="R446" s="150" t="str">
        <f t="shared" si="40"/>
        <v/>
      </c>
      <c r="S446" s="185" t="str">
        <f t="shared" si="41"/>
        <v/>
      </c>
    </row>
    <row r="447" spans="14:19" ht="14.4">
      <c r="N447" s="150" t="str">
        <f t="shared" si="36"/>
        <v/>
      </c>
      <c r="O447" s="150" t="str">
        <f t="shared" si="37"/>
        <v/>
      </c>
      <c r="P447" s="150" t="str">
        <f t="shared" si="38"/>
        <v/>
      </c>
      <c r="Q447" s="150" t="str">
        <f t="shared" si="39"/>
        <v/>
      </c>
      <c r="R447" s="150" t="str">
        <f t="shared" si="40"/>
        <v/>
      </c>
      <c r="S447" s="185" t="str">
        <f t="shared" si="41"/>
        <v/>
      </c>
    </row>
    <row r="448" spans="14:19" ht="14.4">
      <c r="N448" s="150" t="str">
        <f t="shared" si="36"/>
        <v/>
      </c>
      <c r="O448" s="150" t="str">
        <f t="shared" si="37"/>
        <v/>
      </c>
      <c r="P448" s="150" t="str">
        <f t="shared" si="38"/>
        <v/>
      </c>
      <c r="Q448" s="150" t="str">
        <f t="shared" si="39"/>
        <v/>
      </c>
      <c r="R448" s="150" t="str">
        <f t="shared" si="40"/>
        <v/>
      </c>
      <c r="S448" s="185" t="str">
        <f t="shared" si="41"/>
        <v/>
      </c>
    </row>
    <row r="449" spans="14:19" ht="14.4">
      <c r="N449" s="150" t="str">
        <f t="shared" si="36"/>
        <v/>
      </c>
      <c r="O449" s="150" t="str">
        <f t="shared" si="37"/>
        <v/>
      </c>
      <c r="P449" s="150" t="str">
        <f t="shared" si="38"/>
        <v/>
      </c>
      <c r="Q449" s="150" t="str">
        <f t="shared" si="39"/>
        <v/>
      </c>
      <c r="R449" s="150" t="str">
        <f t="shared" si="40"/>
        <v/>
      </c>
      <c r="S449" s="185" t="str">
        <f t="shared" si="41"/>
        <v/>
      </c>
    </row>
    <row r="450" spans="14:19" ht="14.4">
      <c r="N450" s="150" t="str">
        <f t="shared" si="36"/>
        <v/>
      </c>
      <c r="O450" s="150" t="str">
        <f t="shared" si="37"/>
        <v/>
      </c>
      <c r="P450" s="150" t="str">
        <f t="shared" si="38"/>
        <v/>
      </c>
      <c r="Q450" s="150" t="str">
        <f t="shared" si="39"/>
        <v/>
      </c>
      <c r="R450" s="150" t="str">
        <f t="shared" si="40"/>
        <v/>
      </c>
      <c r="S450" s="185" t="str">
        <f t="shared" si="41"/>
        <v/>
      </c>
    </row>
    <row r="451" spans="14:19" ht="14.4">
      <c r="N451" s="150" t="str">
        <f t="shared" ref="N451:N514" si="42">IF(LEN(A451)&gt;18,A451,"")</f>
        <v/>
      </c>
      <c r="O451" s="150" t="str">
        <f t="shared" ref="O451:O514" si="43">IF(ISNUMBER(IF(N451="",B451,"")),B451,"")</f>
        <v/>
      </c>
      <c r="P451" s="150" t="str">
        <f t="shared" ref="P451:P514" si="44">IF(ISNUMBER(IF($N451="",C451,"")),C451,"")</f>
        <v/>
      </c>
      <c r="Q451" s="150" t="str">
        <f t="shared" ref="Q451:Q514" si="45">IF(ISNUMBER(IF($N451="",D451,"")),D451,"")</f>
        <v/>
      </c>
      <c r="R451" s="150" t="str">
        <f t="shared" ref="R451:R514" si="46">IF(ISNUMBER(IF($N451="",F451,"")),F451,"")</f>
        <v/>
      </c>
      <c r="S451" s="185" t="str">
        <f t="shared" ref="S451:S514" si="47">IF(ISNUMBER(IF($N451="",H451,"")),H451,"")</f>
        <v/>
      </c>
    </row>
    <row r="452" spans="14:19" ht="14.4">
      <c r="N452" s="150" t="str">
        <f t="shared" si="42"/>
        <v/>
      </c>
      <c r="O452" s="150" t="str">
        <f t="shared" si="43"/>
        <v/>
      </c>
      <c r="P452" s="150" t="str">
        <f t="shared" si="44"/>
        <v/>
      </c>
      <c r="Q452" s="150" t="str">
        <f t="shared" si="45"/>
        <v/>
      </c>
      <c r="R452" s="150" t="str">
        <f t="shared" si="46"/>
        <v/>
      </c>
      <c r="S452" s="185" t="str">
        <f t="shared" si="47"/>
        <v/>
      </c>
    </row>
    <row r="453" spans="14:19" ht="14.4">
      <c r="N453" s="150" t="str">
        <f t="shared" si="42"/>
        <v/>
      </c>
      <c r="O453" s="150" t="str">
        <f t="shared" si="43"/>
        <v/>
      </c>
      <c r="P453" s="150" t="str">
        <f t="shared" si="44"/>
        <v/>
      </c>
      <c r="Q453" s="150" t="str">
        <f t="shared" si="45"/>
        <v/>
      </c>
      <c r="R453" s="150" t="str">
        <f t="shared" si="46"/>
        <v/>
      </c>
      <c r="S453" s="185" t="str">
        <f t="shared" si="47"/>
        <v/>
      </c>
    </row>
    <row r="454" spans="14:19" ht="14.4">
      <c r="N454" s="150" t="str">
        <f t="shared" si="42"/>
        <v/>
      </c>
      <c r="O454" s="150" t="str">
        <f t="shared" si="43"/>
        <v/>
      </c>
      <c r="P454" s="150" t="str">
        <f t="shared" si="44"/>
        <v/>
      </c>
      <c r="Q454" s="150" t="str">
        <f t="shared" si="45"/>
        <v/>
      </c>
      <c r="R454" s="150" t="str">
        <f t="shared" si="46"/>
        <v/>
      </c>
      <c r="S454" s="185" t="str">
        <f t="shared" si="47"/>
        <v/>
      </c>
    </row>
    <row r="455" spans="14:19" ht="14.4">
      <c r="N455" s="150" t="str">
        <f t="shared" si="42"/>
        <v/>
      </c>
      <c r="O455" s="150" t="str">
        <f t="shared" si="43"/>
        <v/>
      </c>
      <c r="P455" s="150" t="str">
        <f t="shared" si="44"/>
        <v/>
      </c>
      <c r="Q455" s="150" t="str">
        <f t="shared" si="45"/>
        <v/>
      </c>
      <c r="R455" s="150" t="str">
        <f t="shared" si="46"/>
        <v/>
      </c>
      <c r="S455" s="185" t="str">
        <f t="shared" si="47"/>
        <v/>
      </c>
    </row>
    <row r="456" spans="14:19" ht="14.4">
      <c r="N456" s="150" t="str">
        <f t="shared" si="42"/>
        <v/>
      </c>
      <c r="O456" s="150" t="str">
        <f t="shared" si="43"/>
        <v/>
      </c>
      <c r="P456" s="150" t="str">
        <f t="shared" si="44"/>
        <v/>
      </c>
      <c r="Q456" s="150" t="str">
        <f t="shared" si="45"/>
        <v/>
      </c>
      <c r="R456" s="150" t="str">
        <f t="shared" si="46"/>
        <v/>
      </c>
      <c r="S456" s="185" t="str">
        <f t="shared" si="47"/>
        <v/>
      </c>
    </row>
    <row r="457" spans="14:19" ht="14.4">
      <c r="N457" s="150" t="str">
        <f t="shared" si="42"/>
        <v/>
      </c>
      <c r="O457" s="150" t="str">
        <f t="shared" si="43"/>
        <v/>
      </c>
      <c r="P457" s="150" t="str">
        <f t="shared" si="44"/>
        <v/>
      </c>
      <c r="Q457" s="150" t="str">
        <f t="shared" si="45"/>
        <v/>
      </c>
      <c r="R457" s="150" t="str">
        <f t="shared" si="46"/>
        <v/>
      </c>
      <c r="S457" s="185" t="str">
        <f t="shared" si="47"/>
        <v/>
      </c>
    </row>
    <row r="458" spans="14:19" ht="14.4">
      <c r="N458" s="150" t="str">
        <f t="shared" si="42"/>
        <v/>
      </c>
      <c r="O458" s="150" t="str">
        <f t="shared" si="43"/>
        <v/>
      </c>
      <c r="P458" s="150" t="str">
        <f t="shared" si="44"/>
        <v/>
      </c>
      <c r="Q458" s="150" t="str">
        <f t="shared" si="45"/>
        <v/>
      </c>
      <c r="R458" s="150" t="str">
        <f t="shared" si="46"/>
        <v/>
      </c>
      <c r="S458" s="185" t="str">
        <f t="shared" si="47"/>
        <v/>
      </c>
    </row>
    <row r="459" spans="14:19" ht="14.4">
      <c r="N459" s="150" t="str">
        <f t="shared" si="42"/>
        <v/>
      </c>
      <c r="O459" s="150" t="str">
        <f t="shared" si="43"/>
        <v/>
      </c>
      <c r="P459" s="150" t="str">
        <f t="shared" si="44"/>
        <v/>
      </c>
      <c r="Q459" s="150" t="str">
        <f t="shared" si="45"/>
        <v/>
      </c>
      <c r="R459" s="150" t="str">
        <f t="shared" si="46"/>
        <v/>
      </c>
      <c r="S459" s="185" t="str">
        <f t="shared" si="47"/>
        <v/>
      </c>
    </row>
    <row r="460" spans="14:19" ht="14.4">
      <c r="N460" s="150" t="str">
        <f t="shared" si="42"/>
        <v/>
      </c>
      <c r="O460" s="150" t="str">
        <f t="shared" si="43"/>
        <v/>
      </c>
      <c r="P460" s="150" t="str">
        <f t="shared" si="44"/>
        <v/>
      </c>
      <c r="Q460" s="150" t="str">
        <f t="shared" si="45"/>
        <v/>
      </c>
      <c r="R460" s="150" t="str">
        <f t="shared" si="46"/>
        <v/>
      </c>
      <c r="S460" s="185" t="str">
        <f t="shared" si="47"/>
        <v/>
      </c>
    </row>
    <row r="461" spans="14:19" ht="14.4">
      <c r="N461" s="150" t="str">
        <f t="shared" si="42"/>
        <v/>
      </c>
      <c r="O461" s="150" t="str">
        <f t="shared" si="43"/>
        <v/>
      </c>
      <c r="P461" s="150" t="str">
        <f t="shared" si="44"/>
        <v/>
      </c>
      <c r="Q461" s="150" t="str">
        <f t="shared" si="45"/>
        <v/>
      </c>
      <c r="R461" s="150" t="str">
        <f t="shared" si="46"/>
        <v/>
      </c>
      <c r="S461" s="185" t="str">
        <f t="shared" si="47"/>
        <v/>
      </c>
    </row>
    <row r="462" spans="14:19" ht="14.4">
      <c r="N462" s="150" t="str">
        <f t="shared" si="42"/>
        <v/>
      </c>
      <c r="O462" s="150" t="str">
        <f t="shared" si="43"/>
        <v/>
      </c>
      <c r="P462" s="150" t="str">
        <f t="shared" si="44"/>
        <v/>
      </c>
      <c r="Q462" s="150" t="str">
        <f t="shared" si="45"/>
        <v/>
      </c>
      <c r="R462" s="150" t="str">
        <f t="shared" si="46"/>
        <v/>
      </c>
      <c r="S462" s="185" t="str">
        <f t="shared" si="47"/>
        <v/>
      </c>
    </row>
    <row r="463" spans="14:19" ht="14.4">
      <c r="N463" s="150" t="str">
        <f t="shared" si="42"/>
        <v/>
      </c>
      <c r="O463" s="150" t="str">
        <f t="shared" si="43"/>
        <v/>
      </c>
      <c r="P463" s="150" t="str">
        <f t="shared" si="44"/>
        <v/>
      </c>
      <c r="Q463" s="150" t="str">
        <f t="shared" si="45"/>
        <v/>
      </c>
      <c r="R463" s="150" t="str">
        <f t="shared" si="46"/>
        <v/>
      </c>
      <c r="S463" s="185" t="str">
        <f t="shared" si="47"/>
        <v/>
      </c>
    </row>
    <row r="464" spans="14:19" ht="14.4">
      <c r="N464" s="150" t="str">
        <f t="shared" si="42"/>
        <v/>
      </c>
      <c r="O464" s="150" t="str">
        <f t="shared" si="43"/>
        <v/>
      </c>
      <c r="P464" s="150" t="str">
        <f t="shared" si="44"/>
        <v/>
      </c>
      <c r="Q464" s="150" t="str">
        <f t="shared" si="45"/>
        <v/>
      </c>
      <c r="R464" s="150" t="str">
        <f t="shared" si="46"/>
        <v/>
      </c>
      <c r="S464" s="185" t="str">
        <f t="shared" si="47"/>
        <v/>
      </c>
    </row>
    <row r="465" spans="14:19" ht="14.4">
      <c r="N465" s="150" t="str">
        <f t="shared" si="42"/>
        <v/>
      </c>
      <c r="O465" s="150" t="str">
        <f t="shared" si="43"/>
        <v/>
      </c>
      <c r="P465" s="150" t="str">
        <f t="shared" si="44"/>
        <v/>
      </c>
      <c r="Q465" s="150" t="str">
        <f t="shared" si="45"/>
        <v/>
      </c>
      <c r="R465" s="150" t="str">
        <f t="shared" si="46"/>
        <v/>
      </c>
      <c r="S465" s="185" t="str">
        <f t="shared" si="47"/>
        <v/>
      </c>
    </row>
    <row r="466" spans="14:19" ht="14.4">
      <c r="N466" s="150" t="str">
        <f t="shared" si="42"/>
        <v/>
      </c>
      <c r="O466" s="150" t="str">
        <f t="shared" si="43"/>
        <v/>
      </c>
      <c r="P466" s="150" t="str">
        <f t="shared" si="44"/>
        <v/>
      </c>
      <c r="Q466" s="150" t="str">
        <f t="shared" si="45"/>
        <v/>
      </c>
      <c r="R466" s="150" t="str">
        <f t="shared" si="46"/>
        <v/>
      </c>
      <c r="S466" s="185" t="str">
        <f t="shared" si="47"/>
        <v/>
      </c>
    </row>
    <row r="467" spans="14:19" ht="14.4">
      <c r="N467" s="150" t="str">
        <f t="shared" si="42"/>
        <v/>
      </c>
      <c r="O467" s="150" t="str">
        <f t="shared" si="43"/>
        <v/>
      </c>
      <c r="P467" s="150" t="str">
        <f t="shared" si="44"/>
        <v/>
      </c>
      <c r="Q467" s="150" t="str">
        <f t="shared" si="45"/>
        <v/>
      </c>
      <c r="R467" s="150" t="str">
        <f t="shared" si="46"/>
        <v/>
      </c>
      <c r="S467" s="185" t="str">
        <f t="shared" si="47"/>
        <v/>
      </c>
    </row>
    <row r="468" spans="14:19" ht="14.4">
      <c r="N468" s="150" t="str">
        <f t="shared" si="42"/>
        <v/>
      </c>
      <c r="O468" s="150" t="str">
        <f t="shared" si="43"/>
        <v/>
      </c>
      <c r="P468" s="150" t="str">
        <f t="shared" si="44"/>
        <v/>
      </c>
      <c r="Q468" s="150" t="str">
        <f t="shared" si="45"/>
        <v/>
      </c>
      <c r="R468" s="150" t="str">
        <f t="shared" si="46"/>
        <v/>
      </c>
      <c r="S468" s="185" t="str">
        <f t="shared" si="47"/>
        <v/>
      </c>
    </row>
    <row r="469" spans="14:19" ht="14.4">
      <c r="N469" s="150" t="str">
        <f t="shared" si="42"/>
        <v/>
      </c>
      <c r="O469" s="150" t="str">
        <f t="shared" si="43"/>
        <v/>
      </c>
      <c r="P469" s="150" t="str">
        <f t="shared" si="44"/>
        <v/>
      </c>
      <c r="Q469" s="150" t="str">
        <f t="shared" si="45"/>
        <v/>
      </c>
      <c r="R469" s="150" t="str">
        <f t="shared" si="46"/>
        <v/>
      </c>
      <c r="S469" s="185" t="str">
        <f t="shared" si="47"/>
        <v/>
      </c>
    </row>
    <row r="470" spans="14:19" ht="14.4">
      <c r="N470" s="150" t="str">
        <f t="shared" si="42"/>
        <v/>
      </c>
      <c r="O470" s="150" t="str">
        <f t="shared" si="43"/>
        <v/>
      </c>
      <c r="P470" s="150" t="str">
        <f t="shared" si="44"/>
        <v/>
      </c>
      <c r="Q470" s="150" t="str">
        <f t="shared" si="45"/>
        <v/>
      </c>
      <c r="R470" s="150" t="str">
        <f t="shared" si="46"/>
        <v/>
      </c>
      <c r="S470" s="185" t="str">
        <f t="shared" si="47"/>
        <v/>
      </c>
    </row>
    <row r="471" spans="14:19" ht="14.4">
      <c r="N471" s="150" t="str">
        <f t="shared" si="42"/>
        <v/>
      </c>
      <c r="O471" s="150" t="str">
        <f t="shared" si="43"/>
        <v/>
      </c>
      <c r="P471" s="150" t="str">
        <f t="shared" si="44"/>
        <v/>
      </c>
      <c r="Q471" s="150" t="str">
        <f t="shared" si="45"/>
        <v/>
      </c>
      <c r="R471" s="150" t="str">
        <f t="shared" si="46"/>
        <v/>
      </c>
      <c r="S471" s="185" t="str">
        <f t="shared" si="47"/>
        <v/>
      </c>
    </row>
    <row r="472" spans="14:19" ht="14.4">
      <c r="N472" s="150" t="str">
        <f t="shared" si="42"/>
        <v/>
      </c>
      <c r="O472" s="150" t="str">
        <f t="shared" si="43"/>
        <v/>
      </c>
      <c r="P472" s="150" t="str">
        <f t="shared" si="44"/>
        <v/>
      </c>
      <c r="Q472" s="150" t="str">
        <f t="shared" si="45"/>
        <v/>
      </c>
      <c r="R472" s="150" t="str">
        <f t="shared" si="46"/>
        <v/>
      </c>
      <c r="S472" s="185" t="str">
        <f t="shared" si="47"/>
        <v/>
      </c>
    </row>
    <row r="473" spans="14:19" ht="14.4">
      <c r="N473" s="150" t="str">
        <f t="shared" si="42"/>
        <v/>
      </c>
      <c r="O473" s="150" t="str">
        <f t="shared" si="43"/>
        <v/>
      </c>
      <c r="P473" s="150" t="str">
        <f t="shared" si="44"/>
        <v/>
      </c>
      <c r="Q473" s="150" t="str">
        <f t="shared" si="45"/>
        <v/>
      </c>
      <c r="R473" s="150" t="str">
        <f t="shared" si="46"/>
        <v/>
      </c>
      <c r="S473" s="185" t="str">
        <f t="shared" si="47"/>
        <v/>
      </c>
    </row>
    <row r="474" spans="14:19" ht="14.4">
      <c r="N474" s="150" t="str">
        <f t="shared" si="42"/>
        <v/>
      </c>
      <c r="O474" s="150" t="str">
        <f t="shared" si="43"/>
        <v/>
      </c>
      <c r="P474" s="150" t="str">
        <f t="shared" si="44"/>
        <v/>
      </c>
      <c r="Q474" s="150" t="str">
        <f t="shared" si="45"/>
        <v/>
      </c>
      <c r="R474" s="150" t="str">
        <f t="shared" si="46"/>
        <v/>
      </c>
      <c r="S474" s="185" t="str">
        <f t="shared" si="47"/>
        <v/>
      </c>
    </row>
    <row r="475" spans="14:19" ht="14.4">
      <c r="N475" s="150" t="str">
        <f t="shared" si="42"/>
        <v/>
      </c>
      <c r="O475" s="150" t="str">
        <f t="shared" si="43"/>
        <v/>
      </c>
      <c r="P475" s="150" t="str">
        <f t="shared" si="44"/>
        <v/>
      </c>
      <c r="Q475" s="150" t="str">
        <f t="shared" si="45"/>
        <v/>
      </c>
      <c r="R475" s="150" t="str">
        <f t="shared" si="46"/>
        <v/>
      </c>
      <c r="S475" s="185" t="str">
        <f t="shared" si="47"/>
        <v/>
      </c>
    </row>
    <row r="476" spans="14:19" ht="14.4">
      <c r="N476" s="150" t="str">
        <f t="shared" si="42"/>
        <v/>
      </c>
      <c r="O476" s="150" t="str">
        <f t="shared" si="43"/>
        <v/>
      </c>
      <c r="P476" s="150" t="str">
        <f t="shared" si="44"/>
        <v/>
      </c>
      <c r="Q476" s="150" t="str">
        <f t="shared" si="45"/>
        <v/>
      </c>
      <c r="R476" s="150" t="str">
        <f t="shared" si="46"/>
        <v/>
      </c>
      <c r="S476" s="185" t="str">
        <f t="shared" si="47"/>
        <v/>
      </c>
    </row>
    <row r="477" spans="14:19" ht="14.4">
      <c r="N477" s="150" t="str">
        <f t="shared" si="42"/>
        <v/>
      </c>
      <c r="O477" s="150" t="str">
        <f t="shared" si="43"/>
        <v/>
      </c>
      <c r="P477" s="150" t="str">
        <f t="shared" si="44"/>
        <v/>
      </c>
      <c r="Q477" s="150" t="str">
        <f t="shared" si="45"/>
        <v/>
      </c>
      <c r="R477" s="150" t="str">
        <f t="shared" si="46"/>
        <v/>
      </c>
      <c r="S477" s="185" t="str">
        <f t="shared" si="47"/>
        <v/>
      </c>
    </row>
    <row r="478" spans="14:19" ht="14.4">
      <c r="N478" s="150" t="str">
        <f t="shared" si="42"/>
        <v/>
      </c>
      <c r="O478" s="150" t="str">
        <f t="shared" si="43"/>
        <v/>
      </c>
      <c r="P478" s="150" t="str">
        <f t="shared" si="44"/>
        <v/>
      </c>
      <c r="Q478" s="150" t="str">
        <f t="shared" si="45"/>
        <v/>
      </c>
      <c r="R478" s="150" t="str">
        <f t="shared" si="46"/>
        <v/>
      </c>
      <c r="S478" s="185" t="str">
        <f t="shared" si="47"/>
        <v/>
      </c>
    </row>
    <row r="479" spans="14:19" ht="14.4">
      <c r="N479" s="150" t="str">
        <f t="shared" si="42"/>
        <v/>
      </c>
      <c r="O479" s="150" t="str">
        <f t="shared" si="43"/>
        <v/>
      </c>
      <c r="P479" s="150" t="str">
        <f t="shared" si="44"/>
        <v/>
      </c>
      <c r="Q479" s="150" t="str">
        <f t="shared" si="45"/>
        <v/>
      </c>
      <c r="R479" s="150" t="str">
        <f t="shared" si="46"/>
        <v/>
      </c>
      <c r="S479" s="185" t="str">
        <f t="shared" si="47"/>
        <v/>
      </c>
    </row>
    <row r="480" spans="14:19" ht="14.4">
      <c r="N480" s="150" t="str">
        <f t="shared" si="42"/>
        <v/>
      </c>
      <c r="O480" s="150" t="str">
        <f t="shared" si="43"/>
        <v/>
      </c>
      <c r="P480" s="150" t="str">
        <f t="shared" si="44"/>
        <v/>
      </c>
      <c r="Q480" s="150" t="str">
        <f t="shared" si="45"/>
        <v/>
      </c>
      <c r="R480" s="150" t="str">
        <f t="shared" si="46"/>
        <v/>
      </c>
      <c r="S480" s="185" t="str">
        <f t="shared" si="47"/>
        <v/>
      </c>
    </row>
    <row r="481" spans="14:19" ht="14.4">
      <c r="N481" s="150" t="str">
        <f t="shared" si="42"/>
        <v/>
      </c>
      <c r="O481" s="150" t="str">
        <f t="shared" si="43"/>
        <v/>
      </c>
      <c r="P481" s="150" t="str">
        <f t="shared" si="44"/>
        <v/>
      </c>
      <c r="Q481" s="150" t="str">
        <f t="shared" si="45"/>
        <v/>
      </c>
      <c r="R481" s="150" t="str">
        <f t="shared" si="46"/>
        <v/>
      </c>
      <c r="S481" s="185" t="str">
        <f t="shared" si="47"/>
        <v/>
      </c>
    </row>
    <row r="482" spans="14:19" ht="14.4">
      <c r="N482" s="150" t="str">
        <f t="shared" si="42"/>
        <v/>
      </c>
      <c r="O482" s="150" t="str">
        <f t="shared" si="43"/>
        <v/>
      </c>
      <c r="P482" s="150" t="str">
        <f t="shared" si="44"/>
        <v/>
      </c>
      <c r="Q482" s="150" t="str">
        <f t="shared" si="45"/>
        <v/>
      </c>
      <c r="R482" s="150" t="str">
        <f t="shared" si="46"/>
        <v/>
      </c>
      <c r="S482" s="185" t="str">
        <f t="shared" si="47"/>
        <v/>
      </c>
    </row>
    <row r="483" spans="14:19" ht="14.4">
      <c r="N483" s="150" t="str">
        <f t="shared" si="42"/>
        <v/>
      </c>
      <c r="O483" s="150" t="str">
        <f t="shared" si="43"/>
        <v/>
      </c>
      <c r="P483" s="150" t="str">
        <f t="shared" si="44"/>
        <v/>
      </c>
      <c r="Q483" s="150" t="str">
        <f t="shared" si="45"/>
        <v/>
      </c>
      <c r="R483" s="150" t="str">
        <f t="shared" si="46"/>
        <v/>
      </c>
      <c r="S483" s="185" t="str">
        <f t="shared" si="47"/>
        <v/>
      </c>
    </row>
    <row r="484" spans="14:19" ht="14.4">
      <c r="N484" s="150" t="str">
        <f t="shared" si="42"/>
        <v/>
      </c>
      <c r="O484" s="150" t="str">
        <f t="shared" si="43"/>
        <v/>
      </c>
      <c r="P484" s="150" t="str">
        <f t="shared" si="44"/>
        <v/>
      </c>
      <c r="Q484" s="150" t="str">
        <f t="shared" si="45"/>
        <v/>
      </c>
      <c r="R484" s="150" t="str">
        <f t="shared" si="46"/>
        <v/>
      </c>
      <c r="S484" s="185" t="str">
        <f t="shared" si="47"/>
        <v/>
      </c>
    </row>
    <row r="485" spans="14:19" ht="14.4">
      <c r="N485" s="150" t="str">
        <f t="shared" si="42"/>
        <v/>
      </c>
      <c r="O485" s="150" t="str">
        <f t="shared" si="43"/>
        <v/>
      </c>
      <c r="P485" s="150" t="str">
        <f t="shared" si="44"/>
        <v/>
      </c>
      <c r="Q485" s="150" t="str">
        <f t="shared" si="45"/>
        <v/>
      </c>
      <c r="R485" s="150" t="str">
        <f t="shared" si="46"/>
        <v/>
      </c>
      <c r="S485" s="185" t="str">
        <f t="shared" si="47"/>
        <v/>
      </c>
    </row>
    <row r="486" spans="14:19" ht="14.4">
      <c r="N486" s="150" t="str">
        <f t="shared" si="42"/>
        <v/>
      </c>
      <c r="O486" s="150" t="str">
        <f t="shared" si="43"/>
        <v/>
      </c>
      <c r="P486" s="150" t="str">
        <f t="shared" si="44"/>
        <v/>
      </c>
      <c r="Q486" s="150" t="str">
        <f t="shared" si="45"/>
        <v/>
      </c>
      <c r="R486" s="150" t="str">
        <f t="shared" si="46"/>
        <v/>
      </c>
      <c r="S486" s="185" t="str">
        <f t="shared" si="47"/>
        <v/>
      </c>
    </row>
    <row r="487" spans="14:19" ht="14.4">
      <c r="N487" s="150" t="str">
        <f t="shared" si="42"/>
        <v/>
      </c>
      <c r="O487" s="150" t="str">
        <f t="shared" si="43"/>
        <v/>
      </c>
      <c r="P487" s="150" t="str">
        <f t="shared" si="44"/>
        <v/>
      </c>
      <c r="Q487" s="150" t="str">
        <f t="shared" si="45"/>
        <v/>
      </c>
      <c r="R487" s="150" t="str">
        <f t="shared" si="46"/>
        <v/>
      </c>
      <c r="S487" s="185" t="str">
        <f t="shared" si="47"/>
        <v/>
      </c>
    </row>
    <row r="488" spans="14:19" ht="14.4">
      <c r="N488" s="150" t="str">
        <f t="shared" si="42"/>
        <v/>
      </c>
      <c r="O488" s="150" t="str">
        <f t="shared" si="43"/>
        <v/>
      </c>
      <c r="P488" s="150" t="str">
        <f t="shared" si="44"/>
        <v/>
      </c>
      <c r="Q488" s="150" t="str">
        <f t="shared" si="45"/>
        <v/>
      </c>
      <c r="R488" s="150" t="str">
        <f t="shared" si="46"/>
        <v/>
      </c>
      <c r="S488" s="185" t="str">
        <f t="shared" si="47"/>
        <v/>
      </c>
    </row>
    <row r="489" spans="14:19" ht="14.4">
      <c r="N489" s="150" t="str">
        <f t="shared" si="42"/>
        <v/>
      </c>
      <c r="O489" s="150" t="str">
        <f t="shared" si="43"/>
        <v/>
      </c>
      <c r="P489" s="150" t="str">
        <f t="shared" si="44"/>
        <v/>
      </c>
      <c r="Q489" s="150" t="str">
        <f t="shared" si="45"/>
        <v/>
      </c>
      <c r="R489" s="150" t="str">
        <f t="shared" si="46"/>
        <v/>
      </c>
      <c r="S489" s="185" t="str">
        <f t="shared" si="47"/>
        <v/>
      </c>
    </row>
    <row r="490" spans="14:19" ht="14.4">
      <c r="N490" s="150" t="str">
        <f t="shared" si="42"/>
        <v/>
      </c>
      <c r="O490" s="150" t="str">
        <f t="shared" si="43"/>
        <v/>
      </c>
      <c r="P490" s="150" t="str">
        <f t="shared" si="44"/>
        <v/>
      </c>
      <c r="Q490" s="150" t="str">
        <f t="shared" si="45"/>
        <v/>
      </c>
      <c r="R490" s="150" t="str">
        <f t="shared" si="46"/>
        <v/>
      </c>
      <c r="S490" s="185" t="str">
        <f t="shared" si="47"/>
        <v/>
      </c>
    </row>
    <row r="491" spans="14:19" ht="14.4">
      <c r="N491" s="150" t="str">
        <f t="shared" si="42"/>
        <v/>
      </c>
      <c r="O491" s="150" t="str">
        <f t="shared" si="43"/>
        <v/>
      </c>
      <c r="P491" s="150" t="str">
        <f t="shared" si="44"/>
        <v/>
      </c>
      <c r="Q491" s="150" t="str">
        <f t="shared" si="45"/>
        <v/>
      </c>
      <c r="R491" s="150" t="str">
        <f t="shared" si="46"/>
        <v/>
      </c>
      <c r="S491" s="185" t="str">
        <f t="shared" si="47"/>
        <v/>
      </c>
    </row>
    <row r="492" spans="14:19" ht="14.4">
      <c r="N492" s="150" t="str">
        <f t="shared" si="42"/>
        <v/>
      </c>
      <c r="O492" s="150" t="str">
        <f t="shared" si="43"/>
        <v/>
      </c>
      <c r="P492" s="150" t="str">
        <f t="shared" si="44"/>
        <v/>
      </c>
      <c r="Q492" s="150" t="str">
        <f t="shared" si="45"/>
        <v/>
      </c>
      <c r="R492" s="150" t="str">
        <f t="shared" si="46"/>
        <v/>
      </c>
      <c r="S492" s="185" t="str">
        <f t="shared" si="47"/>
        <v/>
      </c>
    </row>
    <row r="493" spans="14:19" ht="14.4">
      <c r="N493" s="150" t="str">
        <f t="shared" si="42"/>
        <v/>
      </c>
      <c r="O493" s="150" t="str">
        <f t="shared" si="43"/>
        <v/>
      </c>
      <c r="P493" s="150" t="str">
        <f t="shared" si="44"/>
        <v/>
      </c>
      <c r="Q493" s="150" t="str">
        <f t="shared" si="45"/>
        <v/>
      </c>
      <c r="R493" s="150" t="str">
        <f t="shared" si="46"/>
        <v/>
      </c>
      <c r="S493" s="185" t="str">
        <f t="shared" si="47"/>
        <v/>
      </c>
    </row>
    <row r="494" spans="14:19" ht="14.4">
      <c r="N494" s="150" t="str">
        <f t="shared" si="42"/>
        <v/>
      </c>
      <c r="O494" s="150" t="str">
        <f t="shared" si="43"/>
        <v/>
      </c>
      <c r="P494" s="150" t="str">
        <f t="shared" si="44"/>
        <v/>
      </c>
      <c r="Q494" s="150" t="str">
        <f t="shared" si="45"/>
        <v/>
      </c>
      <c r="R494" s="150" t="str">
        <f t="shared" si="46"/>
        <v/>
      </c>
      <c r="S494" s="185" t="str">
        <f t="shared" si="47"/>
        <v/>
      </c>
    </row>
    <row r="495" spans="14:19" ht="14.4">
      <c r="N495" s="150" t="str">
        <f t="shared" si="42"/>
        <v/>
      </c>
      <c r="O495" s="150" t="str">
        <f t="shared" si="43"/>
        <v/>
      </c>
      <c r="P495" s="150" t="str">
        <f t="shared" si="44"/>
        <v/>
      </c>
      <c r="Q495" s="150" t="str">
        <f t="shared" si="45"/>
        <v/>
      </c>
      <c r="R495" s="150" t="str">
        <f t="shared" si="46"/>
        <v/>
      </c>
      <c r="S495" s="185" t="str">
        <f t="shared" si="47"/>
        <v/>
      </c>
    </row>
    <row r="496" spans="14:19" ht="14.4">
      <c r="N496" s="150" t="str">
        <f t="shared" si="42"/>
        <v/>
      </c>
      <c r="O496" s="150" t="str">
        <f t="shared" si="43"/>
        <v/>
      </c>
      <c r="P496" s="150" t="str">
        <f t="shared" si="44"/>
        <v/>
      </c>
      <c r="Q496" s="150" t="str">
        <f t="shared" si="45"/>
        <v/>
      </c>
      <c r="R496" s="150" t="str">
        <f t="shared" si="46"/>
        <v/>
      </c>
      <c r="S496" s="185" t="str">
        <f t="shared" si="47"/>
        <v/>
      </c>
    </row>
    <row r="497" spans="14:19" ht="14.4">
      <c r="N497" s="150" t="str">
        <f t="shared" si="42"/>
        <v/>
      </c>
      <c r="O497" s="150" t="str">
        <f t="shared" si="43"/>
        <v/>
      </c>
      <c r="P497" s="150" t="str">
        <f t="shared" si="44"/>
        <v/>
      </c>
      <c r="Q497" s="150" t="str">
        <f t="shared" si="45"/>
        <v/>
      </c>
      <c r="R497" s="150" t="str">
        <f t="shared" si="46"/>
        <v/>
      </c>
      <c r="S497" s="185" t="str">
        <f t="shared" si="47"/>
        <v/>
      </c>
    </row>
    <row r="498" spans="14:19" ht="14.4">
      <c r="N498" s="150" t="str">
        <f t="shared" si="42"/>
        <v/>
      </c>
      <c r="O498" s="150" t="str">
        <f t="shared" si="43"/>
        <v/>
      </c>
      <c r="P498" s="150" t="str">
        <f t="shared" si="44"/>
        <v/>
      </c>
      <c r="Q498" s="150" t="str">
        <f t="shared" si="45"/>
        <v/>
      </c>
      <c r="R498" s="150" t="str">
        <f t="shared" si="46"/>
        <v/>
      </c>
      <c r="S498" s="185" t="str">
        <f t="shared" si="47"/>
        <v/>
      </c>
    </row>
    <row r="499" spans="14:19" ht="14.4">
      <c r="N499" s="150" t="str">
        <f t="shared" si="42"/>
        <v/>
      </c>
      <c r="O499" s="150" t="str">
        <f t="shared" si="43"/>
        <v/>
      </c>
      <c r="P499" s="150" t="str">
        <f t="shared" si="44"/>
        <v/>
      </c>
      <c r="Q499" s="150" t="str">
        <f t="shared" si="45"/>
        <v/>
      </c>
      <c r="R499" s="150" t="str">
        <f t="shared" si="46"/>
        <v/>
      </c>
      <c r="S499" s="185" t="str">
        <f t="shared" si="47"/>
        <v/>
      </c>
    </row>
    <row r="500" spans="14:19" ht="14.4">
      <c r="N500" s="150" t="str">
        <f t="shared" si="42"/>
        <v/>
      </c>
      <c r="O500" s="150" t="str">
        <f t="shared" si="43"/>
        <v/>
      </c>
      <c r="P500" s="150" t="str">
        <f t="shared" si="44"/>
        <v/>
      </c>
      <c r="Q500" s="150" t="str">
        <f t="shared" si="45"/>
        <v/>
      </c>
      <c r="R500" s="150" t="str">
        <f t="shared" si="46"/>
        <v/>
      </c>
      <c r="S500" s="185" t="str">
        <f t="shared" si="47"/>
        <v/>
      </c>
    </row>
    <row r="501" spans="14:19" ht="14.4">
      <c r="N501" s="150" t="str">
        <f t="shared" si="42"/>
        <v/>
      </c>
      <c r="O501" s="150" t="str">
        <f t="shared" si="43"/>
        <v/>
      </c>
      <c r="P501" s="150" t="str">
        <f t="shared" si="44"/>
        <v/>
      </c>
      <c r="Q501" s="150" t="str">
        <f t="shared" si="45"/>
        <v/>
      </c>
      <c r="R501" s="150" t="str">
        <f t="shared" si="46"/>
        <v/>
      </c>
      <c r="S501" s="185" t="str">
        <f t="shared" si="47"/>
        <v/>
      </c>
    </row>
    <row r="502" spans="14:19" ht="14.4">
      <c r="N502" s="150" t="str">
        <f t="shared" si="42"/>
        <v/>
      </c>
      <c r="O502" s="150" t="str">
        <f t="shared" si="43"/>
        <v/>
      </c>
      <c r="P502" s="150" t="str">
        <f t="shared" si="44"/>
        <v/>
      </c>
      <c r="Q502" s="150" t="str">
        <f t="shared" si="45"/>
        <v/>
      </c>
      <c r="R502" s="150" t="str">
        <f t="shared" si="46"/>
        <v/>
      </c>
      <c r="S502" s="185" t="str">
        <f t="shared" si="47"/>
        <v/>
      </c>
    </row>
    <row r="503" spans="14:19" ht="14.4">
      <c r="N503" s="150" t="str">
        <f t="shared" si="42"/>
        <v/>
      </c>
      <c r="O503" s="150" t="str">
        <f t="shared" si="43"/>
        <v/>
      </c>
      <c r="P503" s="150" t="str">
        <f t="shared" si="44"/>
        <v/>
      </c>
      <c r="Q503" s="150" t="str">
        <f t="shared" si="45"/>
        <v/>
      </c>
      <c r="R503" s="150" t="str">
        <f t="shared" si="46"/>
        <v/>
      </c>
      <c r="S503" s="185" t="str">
        <f t="shared" si="47"/>
        <v/>
      </c>
    </row>
    <row r="504" spans="14:19" ht="14.4">
      <c r="N504" s="150" t="str">
        <f t="shared" si="42"/>
        <v/>
      </c>
      <c r="O504" s="150" t="str">
        <f t="shared" si="43"/>
        <v/>
      </c>
      <c r="P504" s="150" t="str">
        <f t="shared" si="44"/>
        <v/>
      </c>
      <c r="Q504" s="150" t="str">
        <f t="shared" si="45"/>
        <v/>
      </c>
      <c r="R504" s="150" t="str">
        <f t="shared" si="46"/>
        <v/>
      </c>
      <c r="S504" s="185" t="str">
        <f t="shared" si="47"/>
        <v/>
      </c>
    </row>
    <row r="505" spans="14:19" ht="14.4">
      <c r="N505" s="150" t="str">
        <f t="shared" si="42"/>
        <v/>
      </c>
      <c r="O505" s="150" t="str">
        <f t="shared" si="43"/>
        <v/>
      </c>
      <c r="P505" s="150" t="str">
        <f t="shared" si="44"/>
        <v/>
      </c>
      <c r="Q505" s="150" t="str">
        <f t="shared" si="45"/>
        <v/>
      </c>
      <c r="R505" s="150" t="str">
        <f t="shared" si="46"/>
        <v/>
      </c>
      <c r="S505" s="185" t="str">
        <f t="shared" si="47"/>
        <v/>
      </c>
    </row>
    <row r="506" spans="14:19" ht="14.4">
      <c r="N506" s="150" t="str">
        <f t="shared" si="42"/>
        <v/>
      </c>
      <c r="O506" s="150" t="str">
        <f t="shared" si="43"/>
        <v/>
      </c>
      <c r="P506" s="150" t="str">
        <f t="shared" si="44"/>
        <v/>
      </c>
      <c r="Q506" s="150" t="str">
        <f t="shared" si="45"/>
        <v/>
      </c>
      <c r="R506" s="150" t="str">
        <f t="shared" si="46"/>
        <v/>
      </c>
      <c r="S506" s="185" t="str">
        <f t="shared" si="47"/>
        <v/>
      </c>
    </row>
    <row r="507" spans="14:19" ht="14.4">
      <c r="N507" s="150" t="str">
        <f t="shared" si="42"/>
        <v/>
      </c>
      <c r="O507" s="150" t="str">
        <f t="shared" si="43"/>
        <v/>
      </c>
      <c r="P507" s="150" t="str">
        <f t="shared" si="44"/>
        <v/>
      </c>
      <c r="Q507" s="150" t="str">
        <f t="shared" si="45"/>
        <v/>
      </c>
      <c r="R507" s="150" t="str">
        <f t="shared" si="46"/>
        <v/>
      </c>
      <c r="S507" s="185" t="str">
        <f t="shared" si="47"/>
        <v/>
      </c>
    </row>
    <row r="508" spans="14:19" ht="14.4">
      <c r="N508" s="150" t="str">
        <f t="shared" si="42"/>
        <v/>
      </c>
      <c r="O508" s="150" t="str">
        <f t="shared" si="43"/>
        <v/>
      </c>
      <c r="P508" s="150" t="str">
        <f t="shared" si="44"/>
        <v/>
      </c>
      <c r="Q508" s="150" t="str">
        <f t="shared" si="45"/>
        <v/>
      </c>
      <c r="R508" s="150" t="str">
        <f t="shared" si="46"/>
        <v/>
      </c>
      <c r="S508" s="185" t="str">
        <f t="shared" si="47"/>
        <v/>
      </c>
    </row>
    <row r="509" spans="14:19" ht="14.4">
      <c r="N509" s="150" t="str">
        <f t="shared" si="42"/>
        <v/>
      </c>
      <c r="O509" s="150" t="str">
        <f t="shared" si="43"/>
        <v/>
      </c>
      <c r="P509" s="150" t="str">
        <f t="shared" si="44"/>
        <v/>
      </c>
      <c r="Q509" s="150" t="str">
        <f t="shared" si="45"/>
        <v/>
      </c>
      <c r="R509" s="150" t="str">
        <f t="shared" si="46"/>
        <v/>
      </c>
      <c r="S509" s="185" t="str">
        <f t="shared" si="47"/>
        <v/>
      </c>
    </row>
    <row r="510" spans="14:19" ht="14.4">
      <c r="N510" s="150" t="str">
        <f t="shared" si="42"/>
        <v/>
      </c>
      <c r="O510" s="150" t="str">
        <f t="shared" si="43"/>
        <v/>
      </c>
      <c r="P510" s="150" t="str">
        <f t="shared" si="44"/>
        <v/>
      </c>
      <c r="Q510" s="150" t="str">
        <f t="shared" si="45"/>
        <v/>
      </c>
      <c r="R510" s="150" t="str">
        <f t="shared" si="46"/>
        <v/>
      </c>
      <c r="S510" s="185" t="str">
        <f t="shared" si="47"/>
        <v/>
      </c>
    </row>
    <row r="511" spans="14:19" ht="14.4">
      <c r="N511" s="150" t="str">
        <f t="shared" si="42"/>
        <v/>
      </c>
      <c r="O511" s="150" t="str">
        <f t="shared" si="43"/>
        <v/>
      </c>
      <c r="P511" s="150" t="str">
        <f t="shared" si="44"/>
        <v/>
      </c>
      <c r="Q511" s="150" t="str">
        <f t="shared" si="45"/>
        <v/>
      </c>
      <c r="R511" s="150" t="str">
        <f t="shared" si="46"/>
        <v/>
      </c>
      <c r="S511" s="185" t="str">
        <f t="shared" si="47"/>
        <v/>
      </c>
    </row>
    <row r="512" spans="14:19" ht="14.4">
      <c r="N512" s="150" t="str">
        <f t="shared" si="42"/>
        <v/>
      </c>
      <c r="O512" s="150" t="str">
        <f t="shared" si="43"/>
        <v/>
      </c>
      <c r="P512" s="150" t="str">
        <f t="shared" si="44"/>
        <v/>
      </c>
      <c r="Q512" s="150" t="str">
        <f t="shared" si="45"/>
        <v/>
      </c>
      <c r="R512" s="150" t="str">
        <f t="shared" si="46"/>
        <v/>
      </c>
      <c r="S512" s="185" t="str">
        <f t="shared" si="47"/>
        <v/>
      </c>
    </row>
    <row r="513" spans="14:19" ht="14.4">
      <c r="N513" s="150" t="str">
        <f t="shared" si="42"/>
        <v/>
      </c>
      <c r="O513" s="150" t="str">
        <f t="shared" si="43"/>
        <v/>
      </c>
      <c r="P513" s="150" t="str">
        <f t="shared" si="44"/>
        <v/>
      </c>
      <c r="Q513" s="150" t="str">
        <f t="shared" si="45"/>
        <v/>
      </c>
      <c r="R513" s="150" t="str">
        <f t="shared" si="46"/>
        <v/>
      </c>
      <c r="S513" s="185" t="str">
        <f t="shared" si="47"/>
        <v/>
      </c>
    </row>
    <row r="514" spans="14:19" ht="14.4">
      <c r="N514" s="150" t="str">
        <f t="shared" si="42"/>
        <v/>
      </c>
      <c r="O514" s="150" t="str">
        <f t="shared" si="43"/>
        <v/>
      </c>
      <c r="P514" s="150" t="str">
        <f t="shared" si="44"/>
        <v/>
      </c>
      <c r="Q514" s="150" t="str">
        <f t="shared" si="45"/>
        <v/>
      </c>
      <c r="R514" s="150" t="str">
        <f t="shared" si="46"/>
        <v/>
      </c>
      <c r="S514" s="185" t="str">
        <f t="shared" si="47"/>
        <v/>
      </c>
    </row>
    <row r="515" spans="14:19" ht="14.4">
      <c r="N515" s="150" t="str">
        <f t="shared" ref="N515:N578" si="48">IF(LEN(A515)&gt;18,A515,"")</f>
        <v/>
      </c>
      <c r="O515" s="150" t="str">
        <f t="shared" ref="O515:O578" si="49">IF(ISNUMBER(IF(N515="",B515,"")),B515,"")</f>
        <v/>
      </c>
      <c r="P515" s="150" t="str">
        <f t="shared" ref="P515:P578" si="50">IF(ISNUMBER(IF($N515="",C515,"")),C515,"")</f>
        <v/>
      </c>
      <c r="Q515" s="150" t="str">
        <f t="shared" ref="Q515:Q578" si="51">IF(ISNUMBER(IF($N515="",D515,"")),D515,"")</f>
        <v/>
      </c>
      <c r="R515" s="150" t="str">
        <f t="shared" ref="R515:R578" si="52">IF(ISNUMBER(IF($N515="",F515,"")),F515,"")</f>
        <v/>
      </c>
      <c r="S515" s="185" t="str">
        <f t="shared" ref="S515:S578" si="53">IF(ISNUMBER(IF($N515="",H515,"")),H515,"")</f>
        <v/>
      </c>
    </row>
    <row r="516" spans="14:19" ht="14.4">
      <c r="N516" s="150" t="str">
        <f t="shared" si="48"/>
        <v/>
      </c>
      <c r="O516" s="150" t="str">
        <f t="shared" si="49"/>
        <v/>
      </c>
      <c r="P516" s="150" t="str">
        <f t="shared" si="50"/>
        <v/>
      </c>
      <c r="Q516" s="150" t="str">
        <f t="shared" si="51"/>
        <v/>
      </c>
      <c r="R516" s="150" t="str">
        <f t="shared" si="52"/>
        <v/>
      </c>
      <c r="S516" s="185" t="str">
        <f t="shared" si="53"/>
        <v/>
      </c>
    </row>
    <row r="517" spans="14:19" ht="14.4">
      <c r="N517" s="150" t="str">
        <f t="shared" si="48"/>
        <v/>
      </c>
      <c r="O517" s="150" t="str">
        <f t="shared" si="49"/>
        <v/>
      </c>
      <c r="P517" s="150" t="str">
        <f t="shared" si="50"/>
        <v/>
      </c>
      <c r="Q517" s="150" t="str">
        <f t="shared" si="51"/>
        <v/>
      </c>
      <c r="R517" s="150" t="str">
        <f t="shared" si="52"/>
        <v/>
      </c>
      <c r="S517" s="185" t="str">
        <f t="shared" si="53"/>
        <v/>
      </c>
    </row>
    <row r="518" spans="14:19" ht="14.4">
      <c r="N518" s="150" t="str">
        <f t="shared" si="48"/>
        <v/>
      </c>
      <c r="O518" s="150" t="str">
        <f t="shared" si="49"/>
        <v/>
      </c>
      <c r="P518" s="150" t="str">
        <f t="shared" si="50"/>
        <v/>
      </c>
      <c r="Q518" s="150" t="str">
        <f t="shared" si="51"/>
        <v/>
      </c>
      <c r="R518" s="150" t="str">
        <f t="shared" si="52"/>
        <v/>
      </c>
      <c r="S518" s="185" t="str">
        <f t="shared" si="53"/>
        <v/>
      </c>
    </row>
    <row r="519" spans="14:19" ht="14.4">
      <c r="N519" s="150" t="str">
        <f t="shared" si="48"/>
        <v/>
      </c>
      <c r="O519" s="150" t="str">
        <f t="shared" si="49"/>
        <v/>
      </c>
      <c r="P519" s="150" t="str">
        <f t="shared" si="50"/>
        <v/>
      </c>
      <c r="Q519" s="150" t="str">
        <f t="shared" si="51"/>
        <v/>
      </c>
      <c r="R519" s="150" t="str">
        <f t="shared" si="52"/>
        <v/>
      </c>
      <c r="S519" s="185" t="str">
        <f t="shared" si="53"/>
        <v/>
      </c>
    </row>
    <row r="520" spans="14:19" ht="14.4">
      <c r="N520" s="150" t="str">
        <f t="shared" si="48"/>
        <v/>
      </c>
      <c r="O520" s="150" t="str">
        <f t="shared" si="49"/>
        <v/>
      </c>
      <c r="P520" s="150" t="str">
        <f t="shared" si="50"/>
        <v/>
      </c>
      <c r="Q520" s="150" t="str">
        <f t="shared" si="51"/>
        <v/>
      </c>
      <c r="R520" s="150" t="str">
        <f t="shared" si="52"/>
        <v/>
      </c>
      <c r="S520" s="185" t="str">
        <f t="shared" si="53"/>
        <v/>
      </c>
    </row>
    <row r="521" spans="14:19" ht="14.4">
      <c r="N521" s="150" t="str">
        <f t="shared" si="48"/>
        <v/>
      </c>
      <c r="O521" s="150" t="str">
        <f t="shared" si="49"/>
        <v/>
      </c>
      <c r="P521" s="150" t="str">
        <f t="shared" si="50"/>
        <v/>
      </c>
      <c r="Q521" s="150" t="str">
        <f t="shared" si="51"/>
        <v/>
      </c>
      <c r="R521" s="150" t="str">
        <f t="shared" si="52"/>
        <v/>
      </c>
      <c r="S521" s="185" t="str">
        <f t="shared" si="53"/>
        <v/>
      </c>
    </row>
    <row r="522" spans="14:19" ht="14.4">
      <c r="N522" s="150" t="str">
        <f t="shared" si="48"/>
        <v/>
      </c>
      <c r="O522" s="150" t="str">
        <f t="shared" si="49"/>
        <v/>
      </c>
      <c r="P522" s="150" t="str">
        <f t="shared" si="50"/>
        <v/>
      </c>
      <c r="Q522" s="150" t="str">
        <f t="shared" si="51"/>
        <v/>
      </c>
      <c r="R522" s="150" t="str">
        <f t="shared" si="52"/>
        <v/>
      </c>
      <c r="S522" s="185" t="str">
        <f t="shared" si="53"/>
        <v/>
      </c>
    </row>
    <row r="523" spans="14:19" ht="14.4">
      <c r="N523" s="150" t="str">
        <f t="shared" si="48"/>
        <v/>
      </c>
      <c r="O523" s="150" t="str">
        <f t="shared" si="49"/>
        <v/>
      </c>
      <c r="P523" s="150" t="str">
        <f t="shared" si="50"/>
        <v/>
      </c>
      <c r="Q523" s="150" t="str">
        <f t="shared" si="51"/>
        <v/>
      </c>
      <c r="R523" s="150" t="str">
        <f t="shared" si="52"/>
        <v/>
      </c>
      <c r="S523" s="185" t="str">
        <f t="shared" si="53"/>
        <v/>
      </c>
    </row>
    <row r="524" spans="14:19" ht="14.4">
      <c r="N524" s="150" t="str">
        <f t="shared" si="48"/>
        <v/>
      </c>
      <c r="O524" s="150" t="str">
        <f t="shared" si="49"/>
        <v/>
      </c>
      <c r="P524" s="150" t="str">
        <f t="shared" si="50"/>
        <v/>
      </c>
      <c r="Q524" s="150" t="str">
        <f t="shared" si="51"/>
        <v/>
      </c>
      <c r="R524" s="150" t="str">
        <f t="shared" si="52"/>
        <v/>
      </c>
      <c r="S524" s="185" t="str">
        <f t="shared" si="53"/>
        <v/>
      </c>
    </row>
    <row r="525" spans="14:19" ht="14.4">
      <c r="N525" s="150" t="str">
        <f t="shared" si="48"/>
        <v/>
      </c>
      <c r="O525" s="150" t="str">
        <f t="shared" si="49"/>
        <v/>
      </c>
      <c r="P525" s="150" t="str">
        <f t="shared" si="50"/>
        <v/>
      </c>
      <c r="Q525" s="150" t="str">
        <f t="shared" si="51"/>
        <v/>
      </c>
      <c r="R525" s="150" t="str">
        <f t="shared" si="52"/>
        <v/>
      </c>
      <c r="S525" s="185" t="str">
        <f t="shared" si="53"/>
        <v/>
      </c>
    </row>
    <row r="526" spans="14:19" ht="14.4">
      <c r="N526" s="150" t="str">
        <f t="shared" si="48"/>
        <v/>
      </c>
      <c r="O526" s="150" t="str">
        <f t="shared" si="49"/>
        <v/>
      </c>
      <c r="P526" s="150" t="str">
        <f t="shared" si="50"/>
        <v/>
      </c>
      <c r="Q526" s="150" t="str">
        <f t="shared" si="51"/>
        <v/>
      </c>
      <c r="R526" s="150" t="str">
        <f t="shared" si="52"/>
        <v/>
      </c>
      <c r="S526" s="185" t="str">
        <f t="shared" si="53"/>
        <v/>
      </c>
    </row>
    <row r="527" spans="14:19" ht="14.4">
      <c r="N527" s="150" t="str">
        <f t="shared" si="48"/>
        <v/>
      </c>
      <c r="O527" s="150" t="str">
        <f t="shared" si="49"/>
        <v/>
      </c>
      <c r="P527" s="150" t="str">
        <f t="shared" si="50"/>
        <v/>
      </c>
      <c r="Q527" s="150" t="str">
        <f t="shared" si="51"/>
        <v/>
      </c>
      <c r="R527" s="150" t="str">
        <f t="shared" si="52"/>
        <v/>
      </c>
      <c r="S527" s="185" t="str">
        <f t="shared" si="53"/>
        <v/>
      </c>
    </row>
    <row r="528" spans="14:19" ht="14.4">
      <c r="N528" s="150" t="str">
        <f t="shared" si="48"/>
        <v/>
      </c>
      <c r="O528" s="150" t="str">
        <f t="shared" si="49"/>
        <v/>
      </c>
      <c r="P528" s="150" t="str">
        <f t="shared" si="50"/>
        <v/>
      </c>
      <c r="Q528" s="150" t="str">
        <f t="shared" si="51"/>
        <v/>
      </c>
      <c r="R528" s="150" t="str">
        <f t="shared" si="52"/>
        <v/>
      </c>
      <c r="S528" s="185" t="str">
        <f t="shared" si="53"/>
        <v/>
      </c>
    </row>
    <row r="529" spans="14:19" ht="14.4">
      <c r="N529" s="150" t="str">
        <f t="shared" si="48"/>
        <v/>
      </c>
      <c r="O529" s="150" t="str">
        <f t="shared" si="49"/>
        <v/>
      </c>
      <c r="P529" s="150" t="str">
        <f t="shared" si="50"/>
        <v/>
      </c>
      <c r="Q529" s="150" t="str">
        <f t="shared" si="51"/>
        <v/>
      </c>
      <c r="R529" s="150" t="str">
        <f t="shared" si="52"/>
        <v/>
      </c>
      <c r="S529" s="185" t="str">
        <f t="shared" si="53"/>
        <v/>
      </c>
    </row>
    <row r="530" spans="14:19" ht="14.4">
      <c r="N530" s="150" t="str">
        <f t="shared" si="48"/>
        <v/>
      </c>
      <c r="O530" s="150" t="str">
        <f t="shared" si="49"/>
        <v/>
      </c>
      <c r="P530" s="150" t="str">
        <f t="shared" si="50"/>
        <v/>
      </c>
      <c r="Q530" s="150" t="str">
        <f t="shared" si="51"/>
        <v/>
      </c>
      <c r="R530" s="150" t="str">
        <f t="shared" si="52"/>
        <v/>
      </c>
      <c r="S530" s="185" t="str">
        <f t="shared" si="53"/>
        <v/>
      </c>
    </row>
    <row r="531" spans="14:19" ht="14.4">
      <c r="N531" s="150" t="str">
        <f t="shared" si="48"/>
        <v/>
      </c>
      <c r="O531" s="150" t="str">
        <f t="shared" si="49"/>
        <v/>
      </c>
      <c r="P531" s="150" t="str">
        <f t="shared" si="50"/>
        <v/>
      </c>
      <c r="Q531" s="150" t="str">
        <f t="shared" si="51"/>
        <v/>
      </c>
      <c r="R531" s="150" t="str">
        <f t="shared" si="52"/>
        <v/>
      </c>
      <c r="S531" s="185" t="str">
        <f t="shared" si="53"/>
        <v/>
      </c>
    </row>
    <row r="532" spans="14:19" ht="14.4">
      <c r="N532" s="150" t="str">
        <f t="shared" si="48"/>
        <v/>
      </c>
      <c r="O532" s="150" t="str">
        <f t="shared" si="49"/>
        <v/>
      </c>
      <c r="P532" s="150" t="str">
        <f t="shared" si="50"/>
        <v/>
      </c>
      <c r="Q532" s="150" t="str">
        <f t="shared" si="51"/>
        <v/>
      </c>
      <c r="R532" s="150" t="str">
        <f t="shared" si="52"/>
        <v/>
      </c>
      <c r="S532" s="185" t="str">
        <f t="shared" si="53"/>
        <v/>
      </c>
    </row>
    <row r="533" spans="14:19" ht="14.4">
      <c r="N533" s="150" t="str">
        <f t="shared" si="48"/>
        <v/>
      </c>
      <c r="O533" s="150" t="str">
        <f t="shared" si="49"/>
        <v/>
      </c>
      <c r="P533" s="150" t="str">
        <f t="shared" si="50"/>
        <v/>
      </c>
      <c r="Q533" s="150" t="str">
        <f t="shared" si="51"/>
        <v/>
      </c>
      <c r="R533" s="150" t="str">
        <f t="shared" si="52"/>
        <v/>
      </c>
      <c r="S533" s="185" t="str">
        <f t="shared" si="53"/>
        <v/>
      </c>
    </row>
    <row r="534" spans="14:19" ht="14.4">
      <c r="N534" s="150" t="str">
        <f t="shared" si="48"/>
        <v/>
      </c>
      <c r="O534" s="150" t="str">
        <f t="shared" si="49"/>
        <v/>
      </c>
      <c r="P534" s="150" t="str">
        <f t="shared" si="50"/>
        <v/>
      </c>
      <c r="Q534" s="150" t="str">
        <f t="shared" si="51"/>
        <v/>
      </c>
      <c r="R534" s="150" t="str">
        <f t="shared" si="52"/>
        <v/>
      </c>
      <c r="S534" s="185" t="str">
        <f t="shared" si="53"/>
        <v/>
      </c>
    </row>
    <row r="535" spans="14:19" ht="14.4">
      <c r="N535" s="150" t="str">
        <f t="shared" si="48"/>
        <v/>
      </c>
      <c r="O535" s="150" t="str">
        <f t="shared" si="49"/>
        <v/>
      </c>
      <c r="P535" s="150" t="str">
        <f t="shared" si="50"/>
        <v/>
      </c>
      <c r="Q535" s="150" t="str">
        <f t="shared" si="51"/>
        <v/>
      </c>
      <c r="R535" s="150" t="str">
        <f t="shared" si="52"/>
        <v/>
      </c>
      <c r="S535" s="185" t="str">
        <f t="shared" si="53"/>
        <v/>
      </c>
    </row>
    <row r="536" spans="14:19" ht="14.4">
      <c r="N536" s="150" t="str">
        <f t="shared" si="48"/>
        <v/>
      </c>
      <c r="O536" s="150" t="str">
        <f t="shared" si="49"/>
        <v/>
      </c>
      <c r="P536" s="150" t="str">
        <f t="shared" si="50"/>
        <v/>
      </c>
      <c r="Q536" s="150" t="str">
        <f t="shared" si="51"/>
        <v/>
      </c>
      <c r="R536" s="150" t="str">
        <f t="shared" si="52"/>
        <v/>
      </c>
      <c r="S536" s="185" t="str">
        <f t="shared" si="53"/>
        <v/>
      </c>
    </row>
    <row r="537" spans="14:19" ht="14.4">
      <c r="N537" s="150" t="str">
        <f t="shared" si="48"/>
        <v/>
      </c>
      <c r="O537" s="150" t="str">
        <f t="shared" si="49"/>
        <v/>
      </c>
      <c r="P537" s="150" t="str">
        <f t="shared" si="50"/>
        <v/>
      </c>
      <c r="Q537" s="150" t="str">
        <f t="shared" si="51"/>
        <v/>
      </c>
      <c r="R537" s="150" t="str">
        <f t="shared" si="52"/>
        <v/>
      </c>
      <c r="S537" s="185" t="str">
        <f t="shared" si="53"/>
        <v/>
      </c>
    </row>
    <row r="538" spans="14:19" ht="14.4">
      <c r="N538" s="150" t="str">
        <f t="shared" si="48"/>
        <v/>
      </c>
      <c r="O538" s="150" t="str">
        <f t="shared" si="49"/>
        <v/>
      </c>
      <c r="P538" s="150" t="str">
        <f t="shared" si="50"/>
        <v/>
      </c>
      <c r="Q538" s="150" t="str">
        <f t="shared" si="51"/>
        <v/>
      </c>
      <c r="R538" s="150" t="str">
        <f t="shared" si="52"/>
        <v/>
      </c>
      <c r="S538" s="185" t="str">
        <f t="shared" si="53"/>
        <v/>
      </c>
    </row>
    <row r="539" spans="14:19" ht="14.4">
      <c r="N539" s="150" t="str">
        <f t="shared" si="48"/>
        <v/>
      </c>
      <c r="O539" s="150" t="str">
        <f t="shared" si="49"/>
        <v/>
      </c>
      <c r="P539" s="150" t="str">
        <f t="shared" si="50"/>
        <v/>
      </c>
      <c r="Q539" s="150" t="str">
        <f t="shared" si="51"/>
        <v/>
      </c>
      <c r="R539" s="150" t="str">
        <f t="shared" si="52"/>
        <v/>
      </c>
      <c r="S539" s="185" t="str">
        <f t="shared" si="53"/>
        <v/>
      </c>
    </row>
    <row r="540" spans="14:19" ht="14.4">
      <c r="N540" s="150" t="str">
        <f t="shared" si="48"/>
        <v/>
      </c>
      <c r="O540" s="150" t="str">
        <f t="shared" si="49"/>
        <v/>
      </c>
      <c r="P540" s="150" t="str">
        <f t="shared" si="50"/>
        <v/>
      </c>
      <c r="Q540" s="150" t="str">
        <f t="shared" si="51"/>
        <v/>
      </c>
      <c r="R540" s="150" t="str">
        <f t="shared" si="52"/>
        <v/>
      </c>
      <c r="S540" s="185" t="str">
        <f t="shared" si="53"/>
        <v/>
      </c>
    </row>
    <row r="541" spans="14:19" ht="14.4">
      <c r="N541" s="150" t="str">
        <f t="shared" si="48"/>
        <v/>
      </c>
      <c r="O541" s="150" t="str">
        <f t="shared" si="49"/>
        <v/>
      </c>
      <c r="P541" s="150" t="str">
        <f t="shared" si="50"/>
        <v/>
      </c>
      <c r="Q541" s="150" t="str">
        <f t="shared" si="51"/>
        <v/>
      </c>
      <c r="R541" s="150" t="str">
        <f t="shared" si="52"/>
        <v/>
      </c>
      <c r="S541" s="185" t="str">
        <f t="shared" si="53"/>
        <v/>
      </c>
    </row>
    <row r="542" spans="14:19" ht="14.4">
      <c r="N542" s="150" t="str">
        <f t="shared" si="48"/>
        <v/>
      </c>
      <c r="O542" s="150" t="str">
        <f t="shared" si="49"/>
        <v/>
      </c>
      <c r="P542" s="150" t="str">
        <f t="shared" si="50"/>
        <v/>
      </c>
      <c r="Q542" s="150" t="str">
        <f t="shared" si="51"/>
        <v/>
      </c>
      <c r="R542" s="150" t="str">
        <f t="shared" si="52"/>
        <v/>
      </c>
      <c r="S542" s="185" t="str">
        <f t="shared" si="53"/>
        <v/>
      </c>
    </row>
    <row r="543" spans="14:19" ht="14.4">
      <c r="N543" s="150" t="str">
        <f t="shared" si="48"/>
        <v/>
      </c>
      <c r="O543" s="150" t="str">
        <f t="shared" si="49"/>
        <v/>
      </c>
      <c r="P543" s="150" t="str">
        <f t="shared" si="50"/>
        <v/>
      </c>
      <c r="Q543" s="150" t="str">
        <f t="shared" si="51"/>
        <v/>
      </c>
      <c r="R543" s="150" t="str">
        <f t="shared" si="52"/>
        <v/>
      </c>
      <c r="S543" s="185" t="str">
        <f t="shared" si="53"/>
        <v/>
      </c>
    </row>
    <row r="544" spans="14:19" ht="14.4">
      <c r="N544" s="150" t="str">
        <f t="shared" si="48"/>
        <v/>
      </c>
      <c r="O544" s="150" t="str">
        <f t="shared" si="49"/>
        <v/>
      </c>
      <c r="P544" s="150" t="str">
        <f t="shared" si="50"/>
        <v/>
      </c>
      <c r="Q544" s="150" t="str">
        <f t="shared" si="51"/>
        <v/>
      </c>
      <c r="R544" s="150" t="str">
        <f t="shared" si="52"/>
        <v/>
      </c>
      <c r="S544" s="185" t="str">
        <f t="shared" si="53"/>
        <v/>
      </c>
    </row>
    <row r="545" spans="14:19" ht="14.4">
      <c r="N545" s="150" t="str">
        <f t="shared" si="48"/>
        <v/>
      </c>
      <c r="O545" s="150" t="str">
        <f t="shared" si="49"/>
        <v/>
      </c>
      <c r="P545" s="150" t="str">
        <f t="shared" si="50"/>
        <v/>
      </c>
      <c r="Q545" s="150" t="str">
        <f t="shared" si="51"/>
        <v/>
      </c>
      <c r="R545" s="150" t="str">
        <f t="shared" si="52"/>
        <v/>
      </c>
      <c r="S545" s="185" t="str">
        <f t="shared" si="53"/>
        <v/>
      </c>
    </row>
    <row r="546" spans="14:19" ht="14.4">
      <c r="N546" s="150" t="str">
        <f t="shared" si="48"/>
        <v/>
      </c>
      <c r="O546" s="150" t="str">
        <f t="shared" si="49"/>
        <v/>
      </c>
      <c r="P546" s="150" t="str">
        <f t="shared" si="50"/>
        <v/>
      </c>
      <c r="Q546" s="150" t="str">
        <f t="shared" si="51"/>
        <v/>
      </c>
      <c r="R546" s="150" t="str">
        <f t="shared" si="52"/>
        <v/>
      </c>
      <c r="S546" s="185" t="str">
        <f t="shared" si="53"/>
        <v/>
      </c>
    </row>
    <row r="547" spans="14:19" ht="14.4">
      <c r="N547" s="150" t="str">
        <f t="shared" si="48"/>
        <v/>
      </c>
      <c r="O547" s="150" t="str">
        <f t="shared" si="49"/>
        <v/>
      </c>
      <c r="P547" s="150" t="str">
        <f t="shared" si="50"/>
        <v/>
      </c>
      <c r="Q547" s="150" t="str">
        <f t="shared" si="51"/>
        <v/>
      </c>
      <c r="R547" s="150" t="str">
        <f t="shared" si="52"/>
        <v/>
      </c>
      <c r="S547" s="185" t="str">
        <f t="shared" si="53"/>
        <v/>
      </c>
    </row>
    <row r="548" spans="14:19" ht="14.4">
      <c r="N548" s="150" t="str">
        <f t="shared" si="48"/>
        <v/>
      </c>
      <c r="O548" s="150" t="str">
        <f t="shared" si="49"/>
        <v/>
      </c>
      <c r="P548" s="150" t="str">
        <f t="shared" si="50"/>
        <v/>
      </c>
      <c r="Q548" s="150" t="str">
        <f t="shared" si="51"/>
        <v/>
      </c>
      <c r="R548" s="150" t="str">
        <f t="shared" si="52"/>
        <v/>
      </c>
      <c r="S548" s="185" t="str">
        <f t="shared" si="53"/>
        <v/>
      </c>
    </row>
    <row r="549" spans="14:19" ht="14.4">
      <c r="N549" s="150" t="str">
        <f t="shared" si="48"/>
        <v/>
      </c>
      <c r="O549" s="150" t="str">
        <f t="shared" si="49"/>
        <v/>
      </c>
      <c r="P549" s="150" t="str">
        <f t="shared" si="50"/>
        <v/>
      </c>
      <c r="Q549" s="150" t="str">
        <f t="shared" si="51"/>
        <v/>
      </c>
      <c r="R549" s="150" t="str">
        <f t="shared" si="52"/>
        <v/>
      </c>
      <c r="S549" s="185" t="str">
        <f t="shared" si="53"/>
        <v/>
      </c>
    </row>
    <row r="550" spans="14:19" ht="14.4">
      <c r="N550" s="150" t="str">
        <f t="shared" si="48"/>
        <v/>
      </c>
      <c r="O550" s="150" t="str">
        <f t="shared" si="49"/>
        <v/>
      </c>
      <c r="P550" s="150" t="str">
        <f t="shared" si="50"/>
        <v/>
      </c>
      <c r="Q550" s="150" t="str">
        <f t="shared" si="51"/>
        <v/>
      </c>
      <c r="R550" s="150" t="str">
        <f t="shared" si="52"/>
        <v/>
      </c>
      <c r="S550" s="185" t="str">
        <f t="shared" si="53"/>
        <v/>
      </c>
    </row>
    <row r="551" spans="14:19" ht="14.4">
      <c r="N551" s="150" t="str">
        <f t="shared" si="48"/>
        <v/>
      </c>
      <c r="O551" s="150" t="str">
        <f t="shared" si="49"/>
        <v/>
      </c>
      <c r="P551" s="150" t="str">
        <f t="shared" si="50"/>
        <v/>
      </c>
      <c r="Q551" s="150" t="str">
        <f t="shared" si="51"/>
        <v/>
      </c>
      <c r="R551" s="150" t="str">
        <f t="shared" si="52"/>
        <v/>
      </c>
      <c r="S551" s="185" t="str">
        <f t="shared" si="53"/>
        <v/>
      </c>
    </row>
    <row r="552" spans="14:19" ht="14.4">
      <c r="N552" s="150" t="str">
        <f t="shared" si="48"/>
        <v/>
      </c>
      <c r="O552" s="150" t="str">
        <f t="shared" si="49"/>
        <v/>
      </c>
      <c r="P552" s="150" t="str">
        <f t="shared" si="50"/>
        <v/>
      </c>
      <c r="Q552" s="150" t="str">
        <f t="shared" si="51"/>
        <v/>
      </c>
      <c r="R552" s="150" t="str">
        <f t="shared" si="52"/>
        <v/>
      </c>
      <c r="S552" s="185" t="str">
        <f t="shared" si="53"/>
        <v/>
      </c>
    </row>
    <row r="553" spans="14:19" ht="14.4">
      <c r="N553" s="150" t="str">
        <f t="shared" si="48"/>
        <v/>
      </c>
      <c r="O553" s="150" t="str">
        <f t="shared" si="49"/>
        <v/>
      </c>
      <c r="P553" s="150" t="str">
        <f t="shared" si="50"/>
        <v/>
      </c>
      <c r="Q553" s="150" t="str">
        <f t="shared" si="51"/>
        <v/>
      </c>
      <c r="R553" s="150" t="str">
        <f t="shared" si="52"/>
        <v/>
      </c>
      <c r="S553" s="185" t="str">
        <f t="shared" si="53"/>
        <v/>
      </c>
    </row>
    <row r="554" spans="14:19" ht="14.4">
      <c r="N554" s="150" t="str">
        <f t="shared" si="48"/>
        <v/>
      </c>
      <c r="O554" s="150" t="str">
        <f t="shared" si="49"/>
        <v/>
      </c>
      <c r="P554" s="150" t="str">
        <f t="shared" si="50"/>
        <v/>
      </c>
      <c r="Q554" s="150" t="str">
        <f t="shared" si="51"/>
        <v/>
      </c>
      <c r="R554" s="150" t="str">
        <f t="shared" si="52"/>
        <v/>
      </c>
      <c r="S554" s="185" t="str">
        <f t="shared" si="53"/>
        <v/>
      </c>
    </row>
    <row r="555" spans="14:19" ht="14.4">
      <c r="N555" s="150" t="str">
        <f t="shared" si="48"/>
        <v/>
      </c>
      <c r="O555" s="150" t="str">
        <f t="shared" si="49"/>
        <v/>
      </c>
      <c r="P555" s="150" t="str">
        <f t="shared" si="50"/>
        <v/>
      </c>
      <c r="Q555" s="150" t="str">
        <f t="shared" si="51"/>
        <v/>
      </c>
      <c r="R555" s="150" t="str">
        <f t="shared" si="52"/>
        <v/>
      </c>
      <c r="S555" s="185" t="str">
        <f t="shared" si="53"/>
        <v/>
      </c>
    </row>
    <row r="556" spans="14:19" ht="14.4">
      <c r="N556" s="150" t="str">
        <f t="shared" si="48"/>
        <v/>
      </c>
      <c r="O556" s="150" t="str">
        <f t="shared" si="49"/>
        <v/>
      </c>
      <c r="P556" s="150" t="str">
        <f t="shared" si="50"/>
        <v/>
      </c>
      <c r="Q556" s="150" t="str">
        <f t="shared" si="51"/>
        <v/>
      </c>
      <c r="R556" s="150" t="str">
        <f t="shared" si="52"/>
        <v/>
      </c>
      <c r="S556" s="185" t="str">
        <f t="shared" si="53"/>
        <v/>
      </c>
    </row>
    <row r="557" spans="14:19" ht="14.4">
      <c r="N557" s="150" t="str">
        <f t="shared" si="48"/>
        <v/>
      </c>
      <c r="O557" s="150" t="str">
        <f t="shared" si="49"/>
        <v/>
      </c>
      <c r="P557" s="150" t="str">
        <f t="shared" si="50"/>
        <v/>
      </c>
      <c r="Q557" s="150" t="str">
        <f t="shared" si="51"/>
        <v/>
      </c>
      <c r="R557" s="150" t="str">
        <f t="shared" si="52"/>
        <v/>
      </c>
      <c r="S557" s="185" t="str">
        <f t="shared" si="53"/>
        <v/>
      </c>
    </row>
    <row r="558" spans="14:19" ht="14.4">
      <c r="N558" s="150" t="str">
        <f t="shared" si="48"/>
        <v/>
      </c>
      <c r="O558" s="150" t="str">
        <f t="shared" si="49"/>
        <v/>
      </c>
      <c r="P558" s="150" t="str">
        <f t="shared" si="50"/>
        <v/>
      </c>
      <c r="Q558" s="150" t="str">
        <f t="shared" si="51"/>
        <v/>
      </c>
      <c r="R558" s="150" t="str">
        <f t="shared" si="52"/>
        <v/>
      </c>
      <c r="S558" s="185" t="str">
        <f t="shared" si="53"/>
        <v/>
      </c>
    </row>
    <row r="559" spans="14:19" ht="14.4">
      <c r="N559" s="150" t="str">
        <f t="shared" si="48"/>
        <v/>
      </c>
      <c r="O559" s="150" t="str">
        <f t="shared" si="49"/>
        <v/>
      </c>
      <c r="P559" s="150" t="str">
        <f t="shared" si="50"/>
        <v/>
      </c>
      <c r="Q559" s="150" t="str">
        <f t="shared" si="51"/>
        <v/>
      </c>
      <c r="R559" s="150" t="str">
        <f t="shared" si="52"/>
        <v/>
      </c>
      <c r="S559" s="185" t="str">
        <f t="shared" si="53"/>
        <v/>
      </c>
    </row>
    <row r="560" spans="14:19" ht="14.4">
      <c r="N560" s="150" t="str">
        <f t="shared" si="48"/>
        <v/>
      </c>
      <c r="O560" s="150" t="str">
        <f t="shared" si="49"/>
        <v/>
      </c>
      <c r="P560" s="150" t="str">
        <f t="shared" si="50"/>
        <v/>
      </c>
      <c r="Q560" s="150" t="str">
        <f t="shared" si="51"/>
        <v/>
      </c>
      <c r="R560" s="150" t="str">
        <f t="shared" si="52"/>
        <v/>
      </c>
      <c r="S560" s="185" t="str">
        <f t="shared" si="53"/>
        <v/>
      </c>
    </row>
    <row r="561" spans="14:19" ht="14.4">
      <c r="N561" s="150" t="str">
        <f t="shared" si="48"/>
        <v/>
      </c>
      <c r="O561" s="150" t="str">
        <f t="shared" si="49"/>
        <v/>
      </c>
      <c r="P561" s="150" t="str">
        <f t="shared" si="50"/>
        <v/>
      </c>
      <c r="Q561" s="150" t="str">
        <f t="shared" si="51"/>
        <v/>
      </c>
      <c r="R561" s="150" t="str">
        <f t="shared" si="52"/>
        <v/>
      </c>
      <c r="S561" s="185" t="str">
        <f t="shared" si="53"/>
        <v/>
      </c>
    </row>
    <row r="562" spans="14:19" ht="14.4">
      <c r="N562" s="150" t="str">
        <f t="shared" si="48"/>
        <v/>
      </c>
      <c r="O562" s="150" t="str">
        <f t="shared" si="49"/>
        <v/>
      </c>
      <c r="P562" s="150" t="str">
        <f t="shared" si="50"/>
        <v/>
      </c>
      <c r="Q562" s="150" t="str">
        <f t="shared" si="51"/>
        <v/>
      </c>
      <c r="R562" s="150" t="str">
        <f t="shared" si="52"/>
        <v/>
      </c>
      <c r="S562" s="185" t="str">
        <f t="shared" si="53"/>
        <v/>
      </c>
    </row>
    <row r="563" spans="14:19" ht="14.4">
      <c r="N563" s="150" t="str">
        <f t="shared" si="48"/>
        <v/>
      </c>
      <c r="O563" s="150" t="str">
        <f t="shared" si="49"/>
        <v/>
      </c>
      <c r="P563" s="150" t="str">
        <f t="shared" si="50"/>
        <v/>
      </c>
      <c r="Q563" s="150" t="str">
        <f t="shared" si="51"/>
        <v/>
      </c>
      <c r="R563" s="150" t="str">
        <f t="shared" si="52"/>
        <v/>
      </c>
      <c r="S563" s="185" t="str">
        <f t="shared" si="53"/>
        <v/>
      </c>
    </row>
    <row r="564" spans="14:19" ht="14.4">
      <c r="N564" s="150" t="str">
        <f t="shared" si="48"/>
        <v/>
      </c>
      <c r="O564" s="150" t="str">
        <f t="shared" si="49"/>
        <v/>
      </c>
      <c r="P564" s="150" t="str">
        <f t="shared" si="50"/>
        <v/>
      </c>
      <c r="Q564" s="150" t="str">
        <f t="shared" si="51"/>
        <v/>
      </c>
      <c r="R564" s="150" t="str">
        <f t="shared" si="52"/>
        <v/>
      </c>
      <c r="S564" s="185" t="str">
        <f t="shared" si="53"/>
        <v/>
      </c>
    </row>
    <row r="565" spans="14:19" ht="14.4">
      <c r="N565" s="150" t="str">
        <f t="shared" si="48"/>
        <v/>
      </c>
      <c r="O565" s="150" t="str">
        <f t="shared" si="49"/>
        <v/>
      </c>
      <c r="P565" s="150" t="str">
        <f t="shared" si="50"/>
        <v/>
      </c>
      <c r="Q565" s="150" t="str">
        <f t="shared" si="51"/>
        <v/>
      </c>
      <c r="R565" s="150" t="str">
        <f t="shared" si="52"/>
        <v/>
      </c>
      <c r="S565" s="185" t="str">
        <f t="shared" si="53"/>
        <v/>
      </c>
    </row>
    <row r="566" spans="14:19" ht="14.4">
      <c r="N566" s="150" t="str">
        <f t="shared" si="48"/>
        <v/>
      </c>
      <c r="O566" s="150" t="str">
        <f t="shared" si="49"/>
        <v/>
      </c>
      <c r="P566" s="150" t="str">
        <f t="shared" si="50"/>
        <v/>
      </c>
      <c r="Q566" s="150" t="str">
        <f t="shared" si="51"/>
        <v/>
      </c>
      <c r="R566" s="150" t="str">
        <f t="shared" si="52"/>
        <v/>
      </c>
      <c r="S566" s="185" t="str">
        <f t="shared" si="53"/>
        <v/>
      </c>
    </row>
    <row r="567" spans="14:19" ht="14.4">
      <c r="N567" s="150" t="str">
        <f t="shared" si="48"/>
        <v/>
      </c>
      <c r="O567" s="150" t="str">
        <f t="shared" si="49"/>
        <v/>
      </c>
      <c r="P567" s="150" t="str">
        <f t="shared" si="50"/>
        <v/>
      </c>
      <c r="Q567" s="150" t="str">
        <f t="shared" si="51"/>
        <v/>
      </c>
      <c r="R567" s="150" t="str">
        <f t="shared" si="52"/>
        <v/>
      </c>
      <c r="S567" s="185" t="str">
        <f t="shared" si="53"/>
        <v/>
      </c>
    </row>
    <row r="568" spans="14:19" ht="14.4">
      <c r="N568" s="150" t="str">
        <f t="shared" si="48"/>
        <v/>
      </c>
      <c r="O568" s="150" t="str">
        <f t="shared" si="49"/>
        <v/>
      </c>
      <c r="P568" s="150" t="str">
        <f t="shared" si="50"/>
        <v/>
      </c>
      <c r="Q568" s="150" t="str">
        <f t="shared" si="51"/>
        <v/>
      </c>
      <c r="R568" s="150" t="str">
        <f t="shared" si="52"/>
        <v/>
      </c>
      <c r="S568" s="185" t="str">
        <f t="shared" si="53"/>
        <v/>
      </c>
    </row>
    <row r="569" spans="14:19" ht="14.4">
      <c r="N569" s="150" t="str">
        <f t="shared" si="48"/>
        <v/>
      </c>
      <c r="O569" s="150" t="str">
        <f t="shared" si="49"/>
        <v/>
      </c>
      <c r="P569" s="150" t="str">
        <f t="shared" si="50"/>
        <v/>
      </c>
      <c r="Q569" s="150" t="str">
        <f t="shared" si="51"/>
        <v/>
      </c>
      <c r="R569" s="150" t="str">
        <f t="shared" si="52"/>
        <v/>
      </c>
      <c r="S569" s="185" t="str">
        <f t="shared" si="53"/>
        <v/>
      </c>
    </row>
    <row r="570" spans="14:19" ht="14.4">
      <c r="N570" s="150" t="str">
        <f t="shared" si="48"/>
        <v/>
      </c>
      <c r="O570" s="150" t="str">
        <f t="shared" si="49"/>
        <v/>
      </c>
      <c r="P570" s="150" t="str">
        <f t="shared" si="50"/>
        <v/>
      </c>
      <c r="Q570" s="150" t="str">
        <f t="shared" si="51"/>
        <v/>
      </c>
      <c r="R570" s="150" t="str">
        <f t="shared" si="52"/>
        <v/>
      </c>
      <c r="S570" s="185" t="str">
        <f t="shared" si="53"/>
        <v/>
      </c>
    </row>
    <row r="571" spans="14:19" ht="14.4">
      <c r="N571" s="150" t="str">
        <f t="shared" si="48"/>
        <v/>
      </c>
      <c r="O571" s="150" t="str">
        <f t="shared" si="49"/>
        <v/>
      </c>
      <c r="P571" s="150" t="str">
        <f t="shared" si="50"/>
        <v/>
      </c>
      <c r="Q571" s="150" t="str">
        <f t="shared" si="51"/>
        <v/>
      </c>
      <c r="R571" s="150" t="str">
        <f t="shared" si="52"/>
        <v/>
      </c>
      <c r="S571" s="185" t="str">
        <f t="shared" si="53"/>
        <v/>
      </c>
    </row>
    <row r="572" spans="14:19" ht="14.4">
      <c r="N572" s="150" t="str">
        <f t="shared" si="48"/>
        <v/>
      </c>
      <c r="O572" s="150" t="str">
        <f t="shared" si="49"/>
        <v/>
      </c>
      <c r="P572" s="150" t="str">
        <f t="shared" si="50"/>
        <v/>
      </c>
      <c r="Q572" s="150" t="str">
        <f t="shared" si="51"/>
        <v/>
      </c>
      <c r="R572" s="150" t="str">
        <f t="shared" si="52"/>
        <v/>
      </c>
      <c r="S572" s="185" t="str">
        <f t="shared" si="53"/>
        <v/>
      </c>
    </row>
    <row r="573" spans="14:19" ht="14.4">
      <c r="N573" s="150" t="str">
        <f t="shared" si="48"/>
        <v/>
      </c>
      <c r="O573" s="150" t="str">
        <f t="shared" si="49"/>
        <v/>
      </c>
      <c r="P573" s="150" t="str">
        <f t="shared" si="50"/>
        <v/>
      </c>
      <c r="Q573" s="150" t="str">
        <f t="shared" si="51"/>
        <v/>
      </c>
      <c r="R573" s="150" t="str">
        <f t="shared" si="52"/>
        <v/>
      </c>
      <c r="S573" s="185" t="str">
        <f t="shared" si="53"/>
        <v/>
      </c>
    </row>
    <row r="574" spans="14:19" ht="14.4">
      <c r="N574" s="150" t="str">
        <f t="shared" si="48"/>
        <v/>
      </c>
      <c r="O574" s="150" t="str">
        <f t="shared" si="49"/>
        <v/>
      </c>
      <c r="P574" s="150" t="str">
        <f t="shared" si="50"/>
        <v/>
      </c>
      <c r="Q574" s="150" t="str">
        <f t="shared" si="51"/>
        <v/>
      </c>
      <c r="R574" s="150" t="str">
        <f t="shared" si="52"/>
        <v/>
      </c>
      <c r="S574" s="185" t="str">
        <f t="shared" si="53"/>
        <v/>
      </c>
    </row>
    <row r="575" spans="14:19" ht="14.4">
      <c r="N575" s="150" t="str">
        <f t="shared" si="48"/>
        <v/>
      </c>
      <c r="O575" s="150" t="str">
        <f t="shared" si="49"/>
        <v/>
      </c>
      <c r="P575" s="150" t="str">
        <f t="shared" si="50"/>
        <v/>
      </c>
      <c r="Q575" s="150" t="str">
        <f t="shared" si="51"/>
        <v/>
      </c>
      <c r="R575" s="150" t="str">
        <f t="shared" si="52"/>
        <v/>
      </c>
      <c r="S575" s="185" t="str">
        <f t="shared" si="53"/>
        <v/>
      </c>
    </row>
    <row r="576" spans="14:19" ht="14.4">
      <c r="N576" s="150" t="str">
        <f t="shared" si="48"/>
        <v/>
      </c>
      <c r="O576" s="150" t="str">
        <f t="shared" si="49"/>
        <v/>
      </c>
      <c r="P576" s="150" t="str">
        <f t="shared" si="50"/>
        <v/>
      </c>
      <c r="Q576" s="150" t="str">
        <f t="shared" si="51"/>
        <v/>
      </c>
      <c r="R576" s="150" t="str">
        <f t="shared" si="52"/>
        <v/>
      </c>
      <c r="S576" s="185" t="str">
        <f t="shared" si="53"/>
        <v/>
      </c>
    </row>
    <row r="577" spans="14:19" ht="14.4">
      <c r="N577" s="150" t="str">
        <f t="shared" si="48"/>
        <v/>
      </c>
      <c r="O577" s="150" t="str">
        <f t="shared" si="49"/>
        <v/>
      </c>
      <c r="P577" s="150" t="str">
        <f t="shared" si="50"/>
        <v/>
      </c>
      <c r="Q577" s="150" t="str">
        <f t="shared" si="51"/>
        <v/>
      </c>
      <c r="R577" s="150" t="str">
        <f t="shared" si="52"/>
        <v/>
      </c>
      <c r="S577" s="185" t="str">
        <f t="shared" si="53"/>
        <v/>
      </c>
    </row>
    <row r="578" spans="14:19" ht="14.4">
      <c r="N578" s="150" t="str">
        <f t="shared" si="48"/>
        <v/>
      </c>
      <c r="O578" s="150" t="str">
        <f t="shared" si="49"/>
        <v/>
      </c>
      <c r="P578" s="150" t="str">
        <f t="shared" si="50"/>
        <v/>
      </c>
      <c r="Q578" s="150" t="str">
        <f t="shared" si="51"/>
        <v/>
      </c>
      <c r="R578" s="150" t="str">
        <f t="shared" si="52"/>
        <v/>
      </c>
      <c r="S578" s="185" t="str">
        <f t="shared" si="53"/>
        <v/>
      </c>
    </row>
    <row r="579" spans="14:19" ht="14.4">
      <c r="N579" s="150" t="str">
        <f t="shared" ref="N579:N642" si="54">IF(LEN(A579)&gt;18,A579,"")</f>
        <v/>
      </c>
      <c r="O579" s="150" t="str">
        <f t="shared" ref="O579:O642" si="55">IF(ISNUMBER(IF(N579="",B579,"")),B579,"")</f>
        <v/>
      </c>
      <c r="P579" s="150" t="str">
        <f t="shared" ref="P579:P642" si="56">IF(ISNUMBER(IF($N579="",C579,"")),C579,"")</f>
        <v/>
      </c>
      <c r="Q579" s="150" t="str">
        <f t="shared" ref="Q579:Q642" si="57">IF(ISNUMBER(IF($N579="",D579,"")),D579,"")</f>
        <v/>
      </c>
      <c r="R579" s="150" t="str">
        <f t="shared" ref="R579:R642" si="58">IF(ISNUMBER(IF($N579="",F579,"")),F579,"")</f>
        <v/>
      </c>
      <c r="S579" s="185" t="str">
        <f t="shared" ref="S579:S642" si="59">IF(ISNUMBER(IF($N579="",H579,"")),H579,"")</f>
        <v/>
      </c>
    </row>
    <row r="580" spans="14:19" ht="14.4">
      <c r="N580" s="150" t="str">
        <f t="shared" si="54"/>
        <v/>
      </c>
      <c r="O580" s="150" t="str">
        <f t="shared" si="55"/>
        <v/>
      </c>
      <c r="P580" s="150" t="str">
        <f t="shared" si="56"/>
        <v/>
      </c>
      <c r="Q580" s="150" t="str">
        <f t="shared" si="57"/>
        <v/>
      </c>
      <c r="R580" s="150" t="str">
        <f t="shared" si="58"/>
        <v/>
      </c>
      <c r="S580" s="185" t="str">
        <f t="shared" si="59"/>
        <v/>
      </c>
    </row>
    <row r="581" spans="14:19" ht="14.4">
      <c r="N581" s="150" t="str">
        <f t="shared" si="54"/>
        <v/>
      </c>
      <c r="O581" s="150" t="str">
        <f t="shared" si="55"/>
        <v/>
      </c>
      <c r="P581" s="150" t="str">
        <f t="shared" si="56"/>
        <v/>
      </c>
      <c r="Q581" s="150" t="str">
        <f t="shared" si="57"/>
        <v/>
      </c>
      <c r="R581" s="150" t="str">
        <f t="shared" si="58"/>
        <v/>
      </c>
      <c r="S581" s="185" t="str">
        <f t="shared" si="59"/>
        <v/>
      </c>
    </row>
    <row r="582" spans="14:19" ht="14.4">
      <c r="N582" s="150" t="str">
        <f t="shared" si="54"/>
        <v/>
      </c>
      <c r="O582" s="150" t="str">
        <f t="shared" si="55"/>
        <v/>
      </c>
      <c r="P582" s="150" t="str">
        <f t="shared" si="56"/>
        <v/>
      </c>
      <c r="Q582" s="150" t="str">
        <f t="shared" si="57"/>
        <v/>
      </c>
      <c r="R582" s="150" t="str">
        <f t="shared" si="58"/>
        <v/>
      </c>
      <c r="S582" s="185" t="str">
        <f t="shared" si="59"/>
        <v/>
      </c>
    </row>
    <row r="583" spans="14:19" ht="14.4">
      <c r="N583" s="150" t="str">
        <f t="shared" si="54"/>
        <v/>
      </c>
      <c r="O583" s="150" t="str">
        <f t="shared" si="55"/>
        <v/>
      </c>
      <c r="P583" s="150" t="str">
        <f t="shared" si="56"/>
        <v/>
      </c>
      <c r="Q583" s="150" t="str">
        <f t="shared" si="57"/>
        <v/>
      </c>
      <c r="R583" s="150" t="str">
        <f t="shared" si="58"/>
        <v/>
      </c>
      <c r="S583" s="185" t="str">
        <f t="shared" si="59"/>
        <v/>
      </c>
    </row>
    <row r="584" spans="14:19" ht="14.4">
      <c r="N584" s="150" t="str">
        <f t="shared" si="54"/>
        <v/>
      </c>
      <c r="O584" s="150" t="str">
        <f t="shared" si="55"/>
        <v/>
      </c>
      <c r="P584" s="150" t="str">
        <f t="shared" si="56"/>
        <v/>
      </c>
      <c r="Q584" s="150" t="str">
        <f t="shared" si="57"/>
        <v/>
      </c>
      <c r="R584" s="150" t="str">
        <f t="shared" si="58"/>
        <v/>
      </c>
      <c r="S584" s="185" t="str">
        <f t="shared" si="59"/>
        <v/>
      </c>
    </row>
    <row r="585" spans="14:19" ht="14.4">
      <c r="N585" s="150" t="str">
        <f t="shared" si="54"/>
        <v/>
      </c>
      <c r="O585" s="150" t="str">
        <f t="shared" si="55"/>
        <v/>
      </c>
      <c r="P585" s="150" t="str">
        <f t="shared" si="56"/>
        <v/>
      </c>
      <c r="Q585" s="150" t="str">
        <f t="shared" si="57"/>
        <v/>
      </c>
      <c r="R585" s="150" t="str">
        <f t="shared" si="58"/>
        <v/>
      </c>
      <c r="S585" s="185" t="str">
        <f t="shared" si="59"/>
        <v/>
      </c>
    </row>
    <row r="586" spans="14:19" ht="14.4">
      <c r="N586" s="150" t="str">
        <f t="shared" si="54"/>
        <v/>
      </c>
      <c r="O586" s="150" t="str">
        <f t="shared" si="55"/>
        <v/>
      </c>
      <c r="P586" s="150" t="str">
        <f t="shared" si="56"/>
        <v/>
      </c>
      <c r="Q586" s="150" t="str">
        <f t="shared" si="57"/>
        <v/>
      </c>
      <c r="R586" s="150" t="str">
        <f t="shared" si="58"/>
        <v/>
      </c>
      <c r="S586" s="185" t="str">
        <f t="shared" si="59"/>
        <v/>
      </c>
    </row>
    <row r="587" spans="14:19" ht="14.4">
      <c r="N587" s="150" t="str">
        <f t="shared" si="54"/>
        <v/>
      </c>
      <c r="O587" s="150" t="str">
        <f t="shared" si="55"/>
        <v/>
      </c>
      <c r="P587" s="150" t="str">
        <f t="shared" si="56"/>
        <v/>
      </c>
      <c r="Q587" s="150" t="str">
        <f t="shared" si="57"/>
        <v/>
      </c>
      <c r="R587" s="150" t="str">
        <f t="shared" si="58"/>
        <v/>
      </c>
      <c r="S587" s="185" t="str">
        <f t="shared" si="59"/>
        <v/>
      </c>
    </row>
    <row r="588" spans="14:19" ht="14.4">
      <c r="N588" s="150" t="str">
        <f t="shared" si="54"/>
        <v/>
      </c>
      <c r="O588" s="150" t="str">
        <f t="shared" si="55"/>
        <v/>
      </c>
      <c r="P588" s="150" t="str">
        <f t="shared" si="56"/>
        <v/>
      </c>
      <c r="Q588" s="150" t="str">
        <f t="shared" si="57"/>
        <v/>
      </c>
      <c r="R588" s="150" t="str">
        <f t="shared" si="58"/>
        <v/>
      </c>
      <c r="S588" s="185" t="str">
        <f t="shared" si="59"/>
        <v/>
      </c>
    </row>
    <row r="589" spans="14:19" ht="14.4">
      <c r="N589" s="150" t="str">
        <f t="shared" si="54"/>
        <v/>
      </c>
      <c r="O589" s="150" t="str">
        <f t="shared" si="55"/>
        <v/>
      </c>
      <c r="P589" s="150" t="str">
        <f t="shared" si="56"/>
        <v/>
      </c>
      <c r="Q589" s="150" t="str">
        <f t="shared" si="57"/>
        <v/>
      </c>
      <c r="R589" s="150" t="str">
        <f t="shared" si="58"/>
        <v/>
      </c>
      <c r="S589" s="185" t="str">
        <f t="shared" si="59"/>
        <v/>
      </c>
    </row>
    <row r="590" spans="14:19" ht="14.4">
      <c r="N590" s="150" t="str">
        <f t="shared" si="54"/>
        <v/>
      </c>
      <c r="O590" s="150" t="str">
        <f t="shared" si="55"/>
        <v/>
      </c>
      <c r="P590" s="150" t="str">
        <f t="shared" si="56"/>
        <v/>
      </c>
      <c r="Q590" s="150" t="str">
        <f t="shared" si="57"/>
        <v/>
      </c>
      <c r="R590" s="150" t="str">
        <f t="shared" si="58"/>
        <v/>
      </c>
      <c r="S590" s="185" t="str">
        <f t="shared" si="59"/>
        <v/>
      </c>
    </row>
    <row r="591" spans="14:19" ht="14.4">
      <c r="N591" s="150" t="str">
        <f t="shared" si="54"/>
        <v/>
      </c>
      <c r="O591" s="150" t="str">
        <f t="shared" si="55"/>
        <v/>
      </c>
      <c r="P591" s="150" t="str">
        <f t="shared" si="56"/>
        <v/>
      </c>
      <c r="Q591" s="150" t="str">
        <f t="shared" si="57"/>
        <v/>
      </c>
      <c r="R591" s="150" t="str">
        <f t="shared" si="58"/>
        <v/>
      </c>
      <c r="S591" s="185" t="str">
        <f t="shared" si="59"/>
        <v/>
      </c>
    </row>
    <row r="592" spans="14:19" ht="14.4">
      <c r="N592" s="150" t="str">
        <f t="shared" si="54"/>
        <v/>
      </c>
      <c r="O592" s="150" t="str">
        <f t="shared" si="55"/>
        <v/>
      </c>
      <c r="P592" s="150" t="str">
        <f t="shared" si="56"/>
        <v/>
      </c>
      <c r="Q592" s="150" t="str">
        <f t="shared" si="57"/>
        <v/>
      </c>
      <c r="R592" s="150" t="str">
        <f t="shared" si="58"/>
        <v/>
      </c>
      <c r="S592" s="185" t="str">
        <f t="shared" si="59"/>
        <v/>
      </c>
    </row>
    <row r="593" spans="14:19" ht="14.4">
      <c r="N593" s="150" t="str">
        <f t="shared" si="54"/>
        <v/>
      </c>
      <c r="O593" s="150" t="str">
        <f t="shared" si="55"/>
        <v/>
      </c>
      <c r="P593" s="150" t="str">
        <f t="shared" si="56"/>
        <v/>
      </c>
      <c r="Q593" s="150" t="str">
        <f t="shared" si="57"/>
        <v/>
      </c>
      <c r="R593" s="150" t="str">
        <f t="shared" si="58"/>
        <v/>
      </c>
      <c r="S593" s="185" t="str">
        <f t="shared" si="59"/>
        <v/>
      </c>
    </row>
    <row r="594" spans="14:19" ht="14.4">
      <c r="N594" s="150" t="str">
        <f t="shared" si="54"/>
        <v/>
      </c>
      <c r="O594" s="150" t="str">
        <f t="shared" si="55"/>
        <v/>
      </c>
      <c r="P594" s="150" t="str">
        <f t="shared" si="56"/>
        <v/>
      </c>
      <c r="Q594" s="150" t="str">
        <f t="shared" si="57"/>
        <v/>
      </c>
      <c r="R594" s="150" t="str">
        <f t="shared" si="58"/>
        <v/>
      </c>
      <c r="S594" s="185" t="str">
        <f t="shared" si="59"/>
        <v/>
      </c>
    </row>
    <row r="595" spans="14:19" ht="14.4">
      <c r="N595" s="150" t="str">
        <f t="shared" si="54"/>
        <v/>
      </c>
      <c r="O595" s="150" t="str">
        <f t="shared" si="55"/>
        <v/>
      </c>
      <c r="P595" s="150" t="str">
        <f t="shared" si="56"/>
        <v/>
      </c>
      <c r="Q595" s="150" t="str">
        <f t="shared" si="57"/>
        <v/>
      </c>
      <c r="R595" s="150" t="str">
        <f t="shared" si="58"/>
        <v/>
      </c>
      <c r="S595" s="185" t="str">
        <f t="shared" si="59"/>
        <v/>
      </c>
    </row>
    <row r="596" spans="14:19" ht="14.4">
      <c r="N596" s="150" t="str">
        <f t="shared" si="54"/>
        <v/>
      </c>
      <c r="O596" s="150" t="str">
        <f t="shared" si="55"/>
        <v/>
      </c>
      <c r="P596" s="150" t="str">
        <f t="shared" si="56"/>
        <v/>
      </c>
      <c r="Q596" s="150" t="str">
        <f t="shared" si="57"/>
        <v/>
      </c>
      <c r="R596" s="150" t="str">
        <f t="shared" si="58"/>
        <v/>
      </c>
      <c r="S596" s="185" t="str">
        <f t="shared" si="59"/>
        <v/>
      </c>
    </row>
    <row r="597" spans="14:19" ht="14.4">
      <c r="N597" s="150" t="str">
        <f t="shared" si="54"/>
        <v/>
      </c>
      <c r="O597" s="150" t="str">
        <f t="shared" si="55"/>
        <v/>
      </c>
      <c r="P597" s="150" t="str">
        <f t="shared" si="56"/>
        <v/>
      </c>
      <c r="Q597" s="150" t="str">
        <f t="shared" si="57"/>
        <v/>
      </c>
      <c r="R597" s="150" t="str">
        <f t="shared" si="58"/>
        <v/>
      </c>
      <c r="S597" s="185" t="str">
        <f t="shared" si="59"/>
        <v/>
      </c>
    </row>
    <row r="598" spans="14:19" ht="14.4">
      <c r="N598" s="150" t="str">
        <f t="shared" si="54"/>
        <v/>
      </c>
      <c r="O598" s="150" t="str">
        <f t="shared" si="55"/>
        <v/>
      </c>
      <c r="P598" s="150" t="str">
        <f t="shared" si="56"/>
        <v/>
      </c>
      <c r="Q598" s="150" t="str">
        <f t="shared" si="57"/>
        <v/>
      </c>
      <c r="R598" s="150" t="str">
        <f t="shared" si="58"/>
        <v/>
      </c>
      <c r="S598" s="185" t="str">
        <f t="shared" si="59"/>
        <v/>
      </c>
    </row>
    <row r="599" spans="14:19" ht="14.4">
      <c r="N599" s="150" t="str">
        <f t="shared" si="54"/>
        <v/>
      </c>
      <c r="O599" s="150" t="str">
        <f t="shared" si="55"/>
        <v/>
      </c>
      <c r="P599" s="150" t="str">
        <f t="shared" si="56"/>
        <v/>
      </c>
      <c r="Q599" s="150" t="str">
        <f t="shared" si="57"/>
        <v/>
      </c>
      <c r="R599" s="150" t="str">
        <f t="shared" si="58"/>
        <v/>
      </c>
      <c r="S599" s="185" t="str">
        <f t="shared" si="59"/>
        <v/>
      </c>
    </row>
    <row r="600" spans="14:19" ht="14.4">
      <c r="N600" s="150" t="str">
        <f t="shared" si="54"/>
        <v/>
      </c>
      <c r="O600" s="150" t="str">
        <f t="shared" si="55"/>
        <v/>
      </c>
      <c r="P600" s="150" t="str">
        <f t="shared" si="56"/>
        <v/>
      </c>
      <c r="Q600" s="150" t="str">
        <f t="shared" si="57"/>
        <v/>
      </c>
      <c r="R600" s="150" t="str">
        <f t="shared" si="58"/>
        <v/>
      </c>
      <c r="S600" s="185" t="str">
        <f t="shared" si="59"/>
        <v/>
      </c>
    </row>
    <row r="601" spans="14:19" ht="14.4">
      <c r="N601" s="150" t="str">
        <f t="shared" si="54"/>
        <v/>
      </c>
      <c r="O601" s="150" t="str">
        <f t="shared" si="55"/>
        <v/>
      </c>
      <c r="P601" s="150" t="str">
        <f t="shared" si="56"/>
        <v/>
      </c>
      <c r="Q601" s="150" t="str">
        <f t="shared" si="57"/>
        <v/>
      </c>
      <c r="R601" s="150" t="str">
        <f t="shared" si="58"/>
        <v/>
      </c>
      <c r="S601" s="185" t="str">
        <f t="shared" si="59"/>
        <v/>
      </c>
    </row>
    <row r="602" spans="14:19" ht="14.4">
      <c r="N602" s="150" t="str">
        <f t="shared" si="54"/>
        <v/>
      </c>
      <c r="O602" s="150" t="str">
        <f t="shared" si="55"/>
        <v/>
      </c>
      <c r="P602" s="150" t="str">
        <f t="shared" si="56"/>
        <v/>
      </c>
      <c r="Q602" s="150" t="str">
        <f t="shared" si="57"/>
        <v/>
      </c>
      <c r="R602" s="150" t="str">
        <f t="shared" si="58"/>
        <v/>
      </c>
      <c r="S602" s="185" t="str">
        <f t="shared" si="59"/>
        <v/>
      </c>
    </row>
    <row r="603" spans="14:19" ht="14.4">
      <c r="N603" s="150" t="str">
        <f t="shared" si="54"/>
        <v/>
      </c>
      <c r="O603" s="150" t="str">
        <f t="shared" si="55"/>
        <v/>
      </c>
      <c r="P603" s="150" t="str">
        <f t="shared" si="56"/>
        <v/>
      </c>
      <c r="Q603" s="150" t="str">
        <f t="shared" si="57"/>
        <v/>
      </c>
      <c r="R603" s="150" t="str">
        <f t="shared" si="58"/>
        <v/>
      </c>
      <c r="S603" s="185" t="str">
        <f t="shared" si="59"/>
        <v/>
      </c>
    </row>
    <row r="604" spans="14:19" ht="14.4">
      <c r="N604" s="150" t="str">
        <f t="shared" si="54"/>
        <v/>
      </c>
      <c r="O604" s="150" t="str">
        <f t="shared" si="55"/>
        <v/>
      </c>
      <c r="P604" s="150" t="str">
        <f t="shared" si="56"/>
        <v/>
      </c>
      <c r="Q604" s="150" t="str">
        <f t="shared" si="57"/>
        <v/>
      </c>
      <c r="R604" s="150" t="str">
        <f t="shared" si="58"/>
        <v/>
      </c>
      <c r="S604" s="185" t="str">
        <f t="shared" si="59"/>
        <v/>
      </c>
    </row>
    <row r="605" spans="14:19" ht="14.4">
      <c r="N605" s="150" t="str">
        <f t="shared" si="54"/>
        <v/>
      </c>
      <c r="O605" s="150" t="str">
        <f t="shared" si="55"/>
        <v/>
      </c>
      <c r="P605" s="150" t="str">
        <f t="shared" si="56"/>
        <v/>
      </c>
      <c r="Q605" s="150" t="str">
        <f t="shared" si="57"/>
        <v/>
      </c>
      <c r="R605" s="150" t="str">
        <f t="shared" si="58"/>
        <v/>
      </c>
      <c r="S605" s="185" t="str">
        <f t="shared" si="59"/>
        <v/>
      </c>
    </row>
    <row r="606" spans="14:19" ht="14.4">
      <c r="N606" s="150" t="str">
        <f t="shared" si="54"/>
        <v/>
      </c>
      <c r="O606" s="150" t="str">
        <f t="shared" si="55"/>
        <v/>
      </c>
      <c r="P606" s="150" t="str">
        <f t="shared" si="56"/>
        <v/>
      </c>
      <c r="Q606" s="150" t="str">
        <f t="shared" si="57"/>
        <v/>
      </c>
      <c r="R606" s="150" t="str">
        <f t="shared" si="58"/>
        <v/>
      </c>
      <c r="S606" s="185" t="str">
        <f t="shared" si="59"/>
        <v/>
      </c>
    </row>
    <row r="607" spans="14:19" ht="14.4">
      <c r="N607" s="150" t="str">
        <f t="shared" si="54"/>
        <v/>
      </c>
      <c r="O607" s="150" t="str">
        <f t="shared" si="55"/>
        <v/>
      </c>
      <c r="P607" s="150" t="str">
        <f t="shared" si="56"/>
        <v/>
      </c>
      <c r="Q607" s="150" t="str">
        <f t="shared" si="57"/>
        <v/>
      </c>
      <c r="R607" s="150" t="str">
        <f t="shared" si="58"/>
        <v/>
      </c>
      <c r="S607" s="185" t="str">
        <f t="shared" si="59"/>
        <v/>
      </c>
    </row>
    <row r="608" spans="14:19" ht="14.4">
      <c r="N608" s="150" t="str">
        <f t="shared" si="54"/>
        <v/>
      </c>
      <c r="O608" s="150" t="str">
        <f t="shared" si="55"/>
        <v/>
      </c>
      <c r="P608" s="150" t="str">
        <f t="shared" si="56"/>
        <v/>
      </c>
      <c r="Q608" s="150" t="str">
        <f t="shared" si="57"/>
        <v/>
      </c>
      <c r="R608" s="150" t="str">
        <f t="shared" si="58"/>
        <v/>
      </c>
      <c r="S608" s="185" t="str">
        <f t="shared" si="59"/>
        <v/>
      </c>
    </row>
    <row r="609" spans="14:19" ht="14.4">
      <c r="N609" s="150" t="str">
        <f t="shared" si="54"/>
        <v/>
      </c>
      <c r="O609" s="150" t="str">
        <f t="shared" si="55"/>
        <v/>
      </c>
      <c r="P609" s="150" t="str">
        <f t="shared" si="56"/>
        <v/>
      </c>
      <c r="Q609" s="150" t="str">
        <f t="shared" si="57"/>
        <v/>
      </c>
      <c r="R609" s="150" t="str">
        <f t="shared" si="58"/>
        <v/>
      </c>
      <c r="S609" s="185" t="str">
        <f t="shared" si="59"/>
        <v/>
      </c>
    </row>
    <row r="610" spans="14:19" ht="14.4">
      <c r="N610" s="150" t="str">
        <f t="shared" si="54"/>
        <v/>
      </c>
      <c r="O610" s="150" t="str">
        <f t="shared" si="55"/>
        <v/>
      </c>
      <c r="P610" s="150" t="str">
        <f t="shared" si="56"/>
        <v/>
      </c>
      <c r="Q610" s="150" t="str">
        <f t="shared" si="57"/>
        <v/>
      </c>
      <c r="R610" s="150" t="str">
        <f t="shared" si="58"/>
        <v/>
      </c>
      <c r="S610" s="185" t="str">
        <f t="shared" si="59"/>
        <v/>
      </c>
    </row>
    <row r="611" spans="14:19" ht="14.4">
      <c r="N611" s="150" t="str">
        <f t="shared" si="54"/>
        <v/>
      </c>
      <c r="O611" s="150" t="str">
        <f t="shared" si="55"/>
        <v/>
      </c>
      <c r="P611" s="150" t="str">
        <f t="shared" si="56"/>
        <v/>
      </c>
      <c r="Q611" s="150" t="str">
        <f t="shared" si="57"/>
        <v/>
      </c>
      <c r="R611" s="150" t="str">
        <f t="shared" si="58"/>
        <v/>
      </c>
      <c r="S611" s="185" t="str">
        <f t="shared" si="59"/>
        <v/>
      </c>
    </row>
    <row r="612" spans="14:19" ht="14.4">
      <c r="N612" s="150" t="str">
        <f t="shared" si="54"/>
        <v/>
      </c>
      <c r="O612" s="150" t="str">
        <f t="shared" si="55"/>
        <v/>
      </c>
      <c r="P612" s="150" t="str">
        <f t="shared" si="56"/>
        <v/>
      </c>
      <c r="Q612" s="150" t="str">
        <f t="shared" si="57"/>
        <v/>
      </c>
      <c r="R612" s="150" t="str">
        <f t="shared" si="58"/>
        <v/>
      </c>
      <c r="S612" s="185" t="str">
        <f t="shared" si="59"/>
        <v/>
      </c>
    </row>
    <row r="613" spans="14:19" ht="14.4">
      <c r="N613" s="150" t="str">
        <f t="shared" si="54"/>
        <v/>
      </c>
      <c r="O613" s="150" t="str">
        <f t="shared" si="55"/>
        <v/>
      </c>
      <c r="P613" s="150" t="str">
        <f t="shared" si="56"/>
        <v/>
      </c>
      <c r="Q613" s="150" t="str">
        <f t="shared" si="57"/>
        <v/>
      </c>
      <c r="R613" s="150" t="str">
        <f t="shared" si="58"/>
        <v/>
      </c>
      <c r="S613" s="185" t="str">
        <f t="shared" si="59"/>
        <v/>
      </c>
    </row>
    <row r="614" spans="14:19" ht="14.4">
      <c r="N614" s="150" t="str">
        <f t="shared" si="54"/>
        <v/>
      </c>
      <c r="O614" s="150" t="str">
        <f t="shared" si="55"/>
        <v/>
      </c>
      <c r="P614" s="150" t="str">
        <f t="shared" si="56"/>
        <v/>
      </c>
      <c r="Q614" s="150" t="str">
        <f t="shared" si="57"/>
        <v/>
      </c>
      <c r="R614" s="150" t="str">
        <f t="shared" si="58"/>
        <v/>
      </c>
      <c r="S614" s="185" t="str">
        <f t="shared" si="59"/>
        <v/>
      </c>
    </row>
    <row r="615" spans="14:19" ht="14.4">
      <c r="N615" s="150" t="str">
        <f t="shared" si="54"/>
        <v/>
      </c>
      <c r="O615" s="150" t="str">
        <f t="shared" si="55"/>
        <v/>
      </c>
      <c r="P615" s="150" t="str">
        <f t="shared" si="56"/>
        <v/>
      </c>
      <c r="Q615" s="150" t="str">
        <f t="shared" si="57"/>
        <v/>
      </c>
      <c r="R615" s="150" t="str">
        <f t="shared" si="58"/>
        <v/>
      </c>
      <c r="S615" s="185" t="str">
        <f t="shared" si="59"/>
        <v/>
      </c>
    </row>
    <row r="616" spans="14:19" ht="14.4">
      <c r="N616" s="150" t="str">
        <f t="shared" si="54"/>
        <v/>
      </c>
      <c r="O616" s="150" t="str">
        <f t="shared" si="55"/>
        <v/>
      </c>
      <c r="P616" s="150" t="str">
        <f t="shared" si="56"/>
        <v/>
      </c>
      <c r="Q616" s="150" t="str">
        <f t="shared" si="57"/>
        <v/>
      </c>
      <c r="R616" s="150" t="str">
        <f t="shared" si="58"/>
        <v/>
      </c>
      <c r="S616" s="185" t="str">
        <f t="shared" si="59"/>
        <v/>
      </c>
    </row>
    <row r="617" spans="14:19" ht="14.4">
      <c r="N617" s="150" t="str">
        <f t="shared" si="54"/>
        <v/>
      </c>
      <c r="O617" s="150" t="str">
        <f t="shared" si="55"/>
        <v/>
      </c>
      <c r="P617" s="150" t="str">
        <f t="shared" si="56"/>
        <v/>
      </c>
      <c r="Q617" s="150" t="str">
        <f t="shared" si="57"/>
        <v/>
      </c>
      <c r="R617" s="150" t="str">
        <f t="shared" si="58"/>
        <v/>
      </c>
      <c r="S617" s="185" t="str">
        <f t="shared" si="59"/>
        <v/>
      </c>
    </row>
    <row r="618" spans="14:19" ht="14.4">
      <c r="N618" s="150" t="str">
        <f t="shared" si="54"/>
        <v/>
      </c>
      <c r="O618" s="150" t="str">
        <f t="shared" si="55"/>
        <v/>
      </c>
      <c r="P618" s="150" t="str">
        <f t="shared" si="56"/>
        <v/>
      </c>
      <c r="Q618" s="150" t="str">
        <f t="shared" si="57"/>
        <v/>
      </c>
      <c r="R618" s="150" t="str">
        <f t="shared" si="58"/>
        <v/>
      </c>
      <c r="S618" s="185" t="str">
        <f t="shared" si="59"/>
        <v/>
      </c>
    </row>
    <row r="619" spans="14:19" ht="14.4">
      <c r="N619" s="150" t="str">
        <f t="shared" si="54"/>
        <v/>
      </c>
      <c r="O619" s="150" t="str">
        <f t="shared" si="55"/>
        <v/>
      </c>
      <c r="P619" s="150" t="str">
        <f t="shared" si="56"/>
        <v/>
      </c>
      <c r="Q619" s="150" t="str">
        <f t="shared" si="57"/>
        <v/>
      </c>
      <c r="R619" s="150" t="str">
        <f t="shared" si="58"/>
        <v/>
      </c>
      <c r="S619" s="185" t="str">
        <f t="shared" si="59"/>
        <v/>
      </c>
    </row>
    <row r="620" spans="14:19" ht="14.4">
      <c r="N620" s="150" t="str">
        <f t="shared" si="54"/>
        <v/>
      </c>
      <c r="O620" s="150" t="str">
        <f t="shared" si="55"/>
        <v/>
      </c>
      <c r="P620" s="150" t="str">
        <f t="shared" si="56"/>
        <v/>
      </c>
      <c r="Q620" s="150" t="str">
        <f t="shared" si="57"/>
        <v/>
      </c>
      <c r="R620" s="150" t="str">
        <f t="shared" si="58"/>
        <v/>
      </c>
      <c r="S620" s="185" t="str">
        <f t="shared" si="59"/>
        <v/>
      </c>
    </row>
    <row r="621" spans="14:19" ht="14.4">
      <c r="N621" s="150" t="str">
        <f t="shared" si="54"/>
        <v/>
      </c>
      <c r="O621" s="150" t="str">
        <f t="shared" si="55"/>
        <v/>
      </c>
      <c r="P621" s="150" t="str">
        <f t="shared" si="56"/>
        <v/>
      </c>
      <c r="Q621" s="150" t="str">
        <f t="shared" si="57"/>
        <v/>
      </c>
      <c r="R621" s="150" t="str">
        <f t="shared" si="58"/>
        <v/>
      </c>
      <c r="S621" s="185" t="str">
        <f t="shared" si="59"/>
        <v/>
      </c>
    </row>
    <row r="622" spans="14:19" ht="14.4">
      <c r="N622" s="150" t="str">
        <f t="shared" si="54"/>
        <v/>
      </c>
      <c r="O622" s="150" t="str">
        <f t="shared" si="55"/>
        <v/>
      </c>
      <c r="P622" s="150" t="str">
        <f t="shared" si="56"/>
        <v/>
      </c>
      <c r="Q622" s="150" t="str">
        <f t="shared" si="57"/>
        <v/>
      </c>
      <c r="R622" s="150" t="str">
        <f t="shared" si="58"/>
        <v/>
      </c>
      <c r="S622" s="185" t="str">
        <f t="shared" si="59"/>
        <v/>
      </c>
    </row>
    <row r="623" spans="14:19" ht="14.4">
      <c r="N623" s="150" t="str">
        <f t="shared" si="54"/>
        <v/>
      </c>
      <c r="O623" s="150" t="str">
        <f t="shared" si="55"/>
        <v/>
      </c>
      <c r="P623" s="150" t="str">
        <f t="shared" si="56"/>
        <v/>
      </c>
      <c r="Q623" s="150" t="str">
        <f t="shared" si="57"/>
        <v/>
      </c>
      <c r="R623" s="150" t="str">
        <f t="shared" si="58"/>
        <v/>
      </c>
      <c r="S623" s="185" t="str">
        <f t="shared" si="59"/>
        <v/>
      </c>
    </row>
    <row r="624" spans="14:19" ht="14.4">
      <c r="N624" s="150" t="str">
        <f t="shared" si="54"/>
        <v/>
      </c>
      <c r="O624" s="150" t="str">
        <f t="shared" si="55"/>
        <v/>
      </c>
      <c r="P624" s="150" t="str">
        <f t="shared" si="56"/>
        <v/>
      </c>
      <c r="Q624" s="150" t="str">
        <f t="shared" si="57"/>
        <v/>
      </c>
      <c r="R624" s="150" t="str">
        <f t="shared" si="58"/>
        <v/>
      </c>
      <c r="S624" s="185" t="str">
        <f t="shared" si="59"/>
        <v/>
      </c>
    </row>
    <row r="625" spans="14:19" ht="14.4">
      <c r="N625" s="150" t="str">
        <f t="shared" si="54"/>
        <v/>
      </c>
      <c r="O625" s="150" t="str">
        <f t="shared" si="55"/>
        <v/>
      </c>
      <c r="P625" s="150" t="str">
        <f t="shared" si="56"/>
        <v/>
      </c>
      <c r="Q625" s="150" t="str">
        <f t="shared" si="57"/>
        <v/>
      </c>
      <c r="R625" s="150" t="str">
        <f t="shared" si="58"/>
        <v/>
      </c>
      <c r="S625" s="185" t="str">
        <f t="shared" si="59"/>
        <v/>
      </c>
    </row>
    <row r="626" spans="14:19" ht="14.4">
      <c r="N626" s="150" t="str">
        <f t="shared" si="54"/>
        <v/>
      </c>
      <c r="O626" s="150" t="str">
        <f t="shared" si="55"/>
        <v/>
      </c>
      <c r="P626" s="150" t="str">
        <f t="shared" si="56"/>
        <v/>
      </c>
      <c r="Q626" s="150" t="str">
        <f t="shared" si="57"/>
        <v/>
      </c>
      <c r="R626" s="150" t="str">
        <f t="shared" si="58"/>
        <v/>
      </c>
      <c r="S626" s="185" t="str">
        <f t="shared" si="59"/>
        <v/>
      </c>
    </row>
    <row r="627" spans="14:19" ht="14.4">
      <c r="N627" s="150" t="str">
        <f t="shared" si="54"/>
        <v/>
      </c>
      <c r="O627" s="150" t="str">
        <f t="shared" si="55"/>
        <v/>
      </c>
      <c r="P627" s="150" t="str">
        <f t="shared" si="56"/>
        <v/>
      </c>
      <c r="Q627" s="150" t="str">
        <f t="shared" si="57"/>
        <v/>
      </c>
      <c r="R627" s="150" t="str">
        <f t="shared" si="58"/>
        <v/>
      </c>
      <c r="S627" s="185" t="str">
        <f t="shared" si="59"/>
        <v/>
      </c>
    </row>
    <row r="628" spans="14:19" ht="14.4">
      <c r="N628" s="150" t="str">
        <f t="shared" si="54"/>
        <v/>
      </c>
      <c r="O628" s="150" t="str">
        <f t="shared" si="55"/>
        <v/>
      </c>
      <c r="P628" s="150" t="str">
        <f t="shared" si="56"/>
        <v/>
      </c>
      <c r="Q628" s="150" t="str">
        <f t="shared" si="57"/>
        <v/>
      </c>
      <c r="R628" s="150" t="str">
        <f t="shared" si="58"/>
        <v/>
      </c>
      <c r="S628" s="185" t="str">
        <f t="shared" si="59"/>
        <v/>
      </c>
    </row>
    <row r="629" spans="14:19" ht="14.4">
      <c r="N629" s="150" t="str">
        <f t="shared" si="54"/>
        <v/>
      </c>
      <c r="O629" s="150" t="str">
        <f t="shared" si="55"/>
        <v/>
      </c>
      <c r="P629" s="150" t="str">
        <f t="shared" si="56"/>
        <v/>
      </c>
      <c r="Q629" s="150" t="str">
        <f t="shared" si="57"/>
        <v/>
      </c>
      <c r="R629" s="150" t="str">
        <f t="shared" si="58"/>
        <v/>
      </c>
      <c r="S629" s="185" t="str">
        <f t="shared" si="59"/>
        <v/>
      </c>
    </row>
    <row r="630" spans="14:19" ht="14.4">
      <c r="N630" s="150" t="str">
        <f t="shared" si="54"/>
        <v/>
      </c>
      <c r="O630" s="150" t="str">
        <f t="shared" si="55"/>
        <v/>
      </c>
      <c r="P630" s="150" t="str">
        <f t="shared" si="56"/>
        <v/>
      </c>
      <c r="Q630" s="150" t="str">
        <f t="shared" si="57"/>
        <v/>
      </c>
      <c r="R630" s="150" t="str">
        <f t="shared" si="58"/>
        <v/>
      </c>
      <c r="S630" s="185" t="str">
        <f t="shared" si="59"/>
        <v/>
      </c>
    </row>
    <row r="631" spans="14:19" ht="14.4">
      <c r="N631" s="150" t="str">
        <f t="shared" si="54"/>
        <v/>
      </c>
      <c r="O631" s="150" t="str">
        <f t="shared" si="55"/>
        <v/>
      </c>
      <c r="P631" s="150" t="str">
        <f t="shared" si="56"/>
        <v/>
      </c>
      <c r="Q631" s="150" t="str">
        <f t="shared" si="57"/>
        <v/>
      </c>
      <c r="R631" s="150" t="str">
        <f t="shared" si="58"/>
        <v/>
      </c>
      <c r="S631" s="185" t="str">
        <f t="shared" si="59"/>
        <v/>
      </c>
    </row>
    <row r="632" spans="14:19" ht="14.4">
      <c r="N632" s="150" t="str">
        <f t="shared" si="54"/>
        <v/>
      </c>
      <c r="O632" s="150" t="str">
        <f t="shared" si="55"/>
        <v/>
      </c>
      <c r="P632" s="150" t="str">
        <f t="shared" si="56"/>
        <v/>
      </c>
      <c r="Q632" s="150" t="str">
        <f t="shared" si="57"/>
        <v/>
      </c>
      <c r="R632" s="150" t="str">
        <f t="shared" si="58"/>
        <v/>
      </c>
      <c r="S632" s="185" t="str">
        <f t="shared" si="59"/>
        <v/>
      </c>
    </row>
    <row r="633" spans="14:19" ht="14.4">
      <c r="N633" s="150" t="str">
        <f t="shared" si="54"/>
        <v/>
      </c>
      <c r="O633" s="150" t="str">
        <f t="shared" si="55"/>
        <v/>
      </c>
      <c r="P633" s="150" t="str">
        <f t="shared" si="56"/>
        <v/>
      </c>
      <c r="Q633" s="150" t="str">
        <f t="shared" si="57"/>
        <v/>
      </c>
      <c r="R633" s="150" t="str">
        <f t="shared" si="58"/>
        <v/>
      </c>
      <c r="S633" s="185" t="str">
        <f t="shared" si="59"/>
        <v/>
      </c>
    </row>
    <row r="634" spans="14:19" ht="14.4">
      <c r="N634" s="150" t="str">
        <f t="shared" si="54"/>
        <v/>
      </c>
      <c r="O634" s="150" t="str">
        <f t="shared" si="55"/>
        <v/>
      </c>
      <c r="P634" s="150" t="str">
        <f t="shared" si="56"/>
        <v/>
      </c>
      <c r="Q634" s="150" t="str">
        <f t="shared" si="57"/>
        <v/>
      </c>
      <c r="R634" s="150" t="str">
        <f t="shared" si="58"/>
        <v/>
      </c>
      <c r="S634" s="185" t="str">
        <f t="shared" si="59"/>
        <v/>
      </c>
    </row>
    <row r="635" spans="14:19" ht="14.4">
      <c r="N635" s="150" t="str">
        <f t="shared" si="54"/>
        <v/>
      </c>
      <c r="O635" s="150" t="str">
        <f t="shared" si="55"/>
        <v/>
      </c>
      <c r="P635" s="150" t="str">
        <f t="shared" si="56"/>
        <v/>
      </c>
      <c r="Q635" s="150" t="str">
        <f t="shared" si="57"/>
        <v/>
      </c>
      <c r="R635" s="150" t="str">
        <f t="shared" si="58"/>
        <v/>
      </c>
      <c r="S635" s="185" t="str">
        <f t="shared" si="59"/>
        <v/>
      </c>
    </row>
    <row r="636" spans="14:19" ht="14.4">
      <c r="N636" s="150" t="str">
        <f t="shared" si="54"/>
        <v/>
      </c>
      <c r="O636" s="150" t="str">
        <f t="shared" si="55"/>
        <v/>
      </c>
      <c r="P636" s="150" t="str">
        <f t="shared" si="56"/>
        <v/>
      </c>
      <c r="Q636" s="150" t="str">
        <f t="shared" si="57"/>
        <v/>
      </c>
      <c r="R636" s="150" t="str">
        <f t="shared" si="58"/>
        <v/>
      </c>
      <c r="S636" s="185" t="str">
        <f t="shared" si="59"/>
        <v/>
      </c>
    </row>
    <row r="637" spans="14:19" ht="14.4">
      <c r="N637" s="150" t="str">
        <f t="shared" si="54"/>
        <v/>
      </c>
      <c r="O637" s="150" t="str">
        <f t="shared" si="55"/>
        <v/>
      </c>
      <c r="P637" s="150" t="str">
        <f t="shared" si="56"/>
        <v/>
      </c>
      <c r="Q637" s="150" t="str">
        <f t="shared" si="57"/>
        <v/>
      </c>
      <c r="R637" s="150" t="str">
        <f t="shared" si="58"/>
        <v/>
      </c>
      <c r="S637" s="185" t="str">
        <f t="shared" si="59"/>
        <v/>
      </c>
    </row>
    <row r="638" spans="14:19" ht="14.4">
      <c r="N638" s="150" t="str">
        <f t="shared" si="54"/>
        <v/>
      </c>
      <c r="O638" s="150" t="str">
        <f t="shared" si="55"/>
        <v/>
      </c>
      <c r="P638" s="150" t="str">
        <f t="shared" si="56"/>
        <v/>
      </c>
      <c r="Q638" s="150" t="str">
        <f t="shared" si="57"/>
        <v/>
      </c>
      <c r="R638" s="150" t="str">
        <f t="shared" si="58"/>
        <v/>
      </c>
      <c r="S638" s="185" t="str">
        <f t="shared" si="59"/>
        <v/>
      </c>
    </row>
    <row r="639" spans="14:19" ht="14.4">
      <c r="N639" s="150" t="str">
        <f t="shared" si="54"/>
        <v/>
      </c>
      <c r="O639" s="150" t="str">
        <f t="shared" si="55"/>
        <v/>
      </c>
      <c r="P639" s="150" t="str">
        <f t="shared" si="56"/>
        <v/>
      </c>
      <c r="Q639" s="150" t="str">
        <f t="shared" si="57"/>
        <v/>
      </c>
      <c r="R639" s="150" t="str">
        <f t="shared" si="58"/>
        <v/>
      </c>
      <c r="S639" s="185" t="str">
        <f t="shared" si="59"/>
        <v/>
      </c>
    </row>
    <row r="640" spans="14:19" ht="14.4">
      <c r="N640" s="150" t="str">
        <f t="shared" si="54"/>
        <v/>
      </c>
      <c r="O640" s="150" t="str">
        <f t="shared" si="55"/>
        <v/>
      </c>
      <c r="P640" s="150" t="str">
        <f t="shared" si="56"/>
        <v/>
      </c>
      <c r="Q640" s="150" t="str">
        <f t="shared" si="57"/>
        <v/>
      </c>
      <c r="R640" s="150" t="str">
        <f t="shared" si="58"/>
        <v/>
      </c>
      <c r="S640" s="185" t="str">
        <f t="shared" si="59"/>
        <v/>
      </c>
    </row>
    <row r="641" spans="14:19" ht="14.4">
      <c r="N641" s="150" t="str">
        <f t="shared" si="54"/>
        <v/>
      </c>
      <c r="O641" s="150" t="str">
        <f t="shared" si="55"/>
        <v/>
      </c>
      <c r="P641" s="150" t="str">
        <f t="shared" si="56"/>
        <v/>
      </c>
      <c r="Q641" s="150" t="str">
        <f t="shared" si="57"/>
        <v/>
      </c>
      <c r="R641" s="150" t="str">
        <f t="shared" si="58"/>
        <v/>
      </c>
      <c r="S641" s="185" t="str">
        <f t="shared" si="59"/>
        <v/>
      </c>
    </row>
    <row r="642" spans="14:19" ht="14.4">
      <c r="N642" s="150" t="str">
        <f t="shared" si="54"/>
        <v/>
      </c>
      <c r="O642" s="150" t="str">
        <f t="shared" si="55"/>
        <v/>
      </c>
      <c r="P642" s="150" t="str">
        <f t="shared" si="56"/>
        <v/>
      </c>
      <c r="Q642" s="150" t="str">
        <f t="shared" si="57"/>
        <v/>
      </c>
      <c r="R642" s="150" t="str">
        <f t="shared" si="58"/>
        <v/>
      </c>
      <c r="S642" s="185" t="str">
        <f t="shared" si="59"/>
        <v/>
      </c>
    </row>
    <row r="643" spans="14:19" ht="14.4">
      <c r="N643" s="150" t="str">
        <f t="shared" ref="N643:N706" si="60">IF(LEN(A643)&gt;18,A643,"")</f>
        <v/>
      </c>
      <c r="O643" s="150" t="str">
        <f t="shared" ref="O643:O706" si="61">IF(ISNUMBER(IF(N643="",B643,"")),B643,"")</f>
        <v/>
      </c>
      <c r="P643" s="150" t="str">
        <f t="shared" ref="P643:P706" si="62">IF(ISNUMBER(IF($N643="",C643,"")),C643,"")</f>
        <v/>
      </c>
      <c r="Q643" s="150" t="str">
        <f t="shared" ref="Q643:Q706" si="63">IF(ISNUMBER(IF($N643="",D643,"")),D643,"")</f>
        <v/>
      </c>
      <c r="R643" s="150" t="str">
        <f t="shared" ref="R643:R706" si="64">IF(ISNUMBER(IF($N643="",F643,"")),F643,"")</f>
        <v/>
      </c>
      <c r="S643" s="185" t="str">
        <f t="shared" ref="S643:S706" si="65">IF(ISNUMBER(IF($N643="",H643,"")),H643,"")</f>
        <v/>
      </c>
    </row>
    <row r="644" spans="14:19" ht="14.4">
      <c r="N644" s="150" t="str">
        <f t="shared" si="60"/>
        <v/>
      </c>
      <c r="O644" s="150" t="str">
        <f t="shared" si="61"/>
        <v/>
      </c>
      <c r="P644" s="150" t="str">
        <f t="shared" si="62"/>
        <v/>
      </c>
      <c r="Q644" s="150" t="str">
        <f t="shared" si="63"/>
        <v/>
      </c>
      <c r="R644" s="150" t="str">
        <f t="shared" si="64"/>
        <v/>
      </c>
      <c r="S644" s="185" t="str">
        <f t="shared" si="65"/>
        <v/>
      </c>
    </row>
    <row r="645" spans="14:19" ht="14.4">
      <c r="N645" s="150" t="str">
        <f t="shared" si="60"/>
        <v/>
      </c>
      <c r="O645" s="150" t="str">
        <f t="shared" si="61"/>
        <v/>
      </c>
      <c r="P645" s="150" t="str">
        <f t="shared" si="62"/>
        <v/>
      </c>
      <c r="Q645" s="150" t="str">
        <f t="shared" si="63"/>
        <v/>
      </c>
      <c r="R645" s="150" t="str">
        <f t="shared" si="64"/>
        <v/>
      </c>
      <c r="S645" s="185" t="str">
        <f t="shared" si="65"/>
        <v/>
      </c>
    </row>
    <row r="646" spans="14:19" ht="14.4">
      <c r="N646" s="150" t="str">
        <f t="shared" si="60"/>
        <v/>
      </c>
      <c r="O646" s="150" t="str">
        <f t="shared" si="61"/>
        <v/>
      </c>
      <c r="P646" s="150" t="str">
        <f t="shared" si="62"/>
        <v/>
      </c>
      <c r="Q646" s="150" t="str">
        <f t="shared" si="63"/>
        <v/>
      </c>
      <c r="R646" s="150" t="str">
        <f t="shared" si="64"/>
        <v/>
      </c>
      <c r="S646" s="185" t="str">
        <f t="shared" si="65"/>
        <v/>
      </c>
    </row>
    <row r="647" spans="14:19" ht="14.4">
      <c r="N647" s="150" t="str">
        <f t="shared" si="60"/>
        <v/>
      </c>
      <c r="O647" s="150" t="str">
        <f t="shared" si="61"/>
        <v/>
      </c>
      <c r="P647" s="150" t="str">
        <f t="shared" si="62"/>
        <v/>
      </c>
      <c r="Q647" s="150" t="str">
        <f t="shared" si="63"/>
        <v/>
      </c>
      <c r="R647" s="150" t="str">
        <f t="shared" si="64"/>
        <v/>
      </c>
      <c r="S647" s="185" t="str">
        <f t="shared" si="65"/>
        <v/>
      </c>
    </row>
    <row r="648" spans="14:19" ht="14.4">
      <c r="N648" s="150" t="str">
        <f t="shared" si="60"/>
        <v/>
      </c>
      <c r="O648" s="150" t="str">
        <f t="shared" si="61"/>
        <v/>
      </c>
      <c r="P648" s="150" t="str">
        <f t="shared" si="62"/>
        <v/>
      </c>
      <c r="Q648" s="150" t="str">
        <f t="shared" si="63"/>
        <v/>
      </c>
      <c r="R648" s="150" t="str">
        <f t="shared" si="64"/>
        <v/>
      </c>
      <c r="S648" s="185" t="str">
        <f t="shared" si="65"/>
        <v/>
      </c>
    </row>
    <row r="649" spans="14:19" ht="14.4">
      <c r="N649" s="150" t="str">
        <f t="shared" si="60"/>
        <v/>
      </c>
      <c r="O649" s="150" t="str">
        <f t="shared" si="61"/>
        <v/>
      </c>
      <c r="P649" s="150" t="str">
        <f t="shared" si="62"/>
        <v/>
      </c>
      <c r="Q649" s="150" t="str">
        <f t="shared" si="63"/>
        <v/>
      </c>
      <c r="R649" s="150" t="str">
        <f t="shared" si="64"/>
        <v/>
      </c>
      <c r="S649" s="185" t="str">
        <f t="shared" si="65"/>
        <v/>
      </c>
    </row>
    <row r="650" spans="14:19" ht="14.4">
      <c r="N650" s="150" t="str">
        <f t="shared" si="60"/>
        <v/>
      </c>
      <c r="O650" s="150" t="str">
        <f t="shared" si="61"/>
        <v/>
      </c>
      <c r="P650" s="150" t="str">
        <f t="shared" si="62"/>
        <v/>
      </c>
      <c r="Q650" s="150" t="str">
        <f t="shared" si="63"/>
        <v/>
      </c>
      <c r="R650" s="150" t="str">
        <f t="shared" si="64"/>
        <v/>
      </c>
      <c r="S650" s="185" t="str">
        <f t="shared" si="65"/>
        <v/>
      </c>
    </row>
    <row r="651" spans="14:19" ht="14.4">
      <c r="N651" s="150" t="str">
        <f t="shared" si="60"/>
        <v/>
      </c>
      <c r="O651" s="150" t="str">
        <f t="shared" si="61"/>
        <v/>
      </c>
      <c r="P651" s="150" t="str">
        <f t="shared" si="62"/>
        <v/>
      </c>
      <c r="Q651" s="150" t="str">
        <f t="shared" si="63"/>
        <v/>
      </c>
      <c r="R651" s="150" t="str">
        <f t="shared" si="64"/>
        <v/>
      </c>
      <c r="S651" s="185" t="str">
        <f t="shared" si="65"/>
        <v/>
      </c>
    </row>
    <row r="652" spans="14:19" ht="14.4">
      <c r="N652" s="150" t="str">
        <f t="shared" si="60"/>
        <v/>
      </c>
      <c r="O652" s="150" t="str">
        <f t="shared" si="61"/>
        <v/>
      </c>
      <c r="P652" s="150" t="str">
        <f t="shared" si="62"/>
        <v/>
      </c>
      <c r="Q652" s="150" t="str">
        <f t="shared" si="63"/>
        <v/>
      </c>
      <c r="R652" s="150" t="str">
        <f t="shared" si="64"/>
        <v/>
      </c>
      <c r="S652" s="185" t="str">
        <f t="shared" si="65"/>
        <v/>
      </c>
    </row>
    <row r="653" spans="14:19" ht="14.4">
      <c r="N653" s="150" t="str">
        <f t="shared" si="60"/>
        <v/>
      </c>
      <c r="O653" s="150" t="str">
        <f t="shared" si="61"/>
        <v/>
      </c>
      <c r="P653" s="150" t="str">
        <f t="shared" si="62"/>
        <v/>
      </c>
      <c r="Q653" s="150" t="str">
        <f t="shared" si="63"/>
        <v/>
      </c>
      <c r="R653" s="150" t="str">
        <f t="shared" si="64"/>
        <v/>
      </c>
      <c r="S653" s="185" t="str">
        <f t="shared" si="65"/>
        <v/>
      </c>
    </row>
    <row r="654" spans="14:19" ht="14.4">
      <c r="N654" s="150" t="str">
        <f t="shared" si="60"/>
        <v/>
      </c>
      <c r="O654" s="150" t="str">
        <f t="shared" si="61"/>
        <v/>
      </c>
      <c r="P654" s="150" t="str">
        <f t="shared" si="62"/>
        <v/>
      </c>
      <c r="Q654" s="150" t="str">
        <f t="shared" si="63"/>
        <v/>
      </c>
      <c r="R654" s="150" t="str">
        <f t="shared" si="64"/>
        <v/>
      </c>
      <c r="S654" s="185" t="str">
        <f t="shared" si="65"/>
        <v/>
      </c>
    </row>
    <row r="655" spans="14:19" ht="14.4">
      <c r="N655" s="150" t="str">
        <f t="shared" si="60"/>
        <v/>
      </c>
      <c r="O655" s="150" t="str">
        <f t="shared" si="61"/>
        <v/>
      </c>
      <c r="P655" s="150" t="str">
        <f t="shared" si="62"/>
        <v/>
      </c>
      <c r="Q655" s="150" t="str">
        <f t="shared" si="63"/>
        <v/>
      </c>
      <c r="R655" s="150" t="str">
        <f t="shared" si="64"/>
        <v/>
      </c>
      <c r="S655" s="185" t="str">
        <f t="shared" si="65"/>
        <v/>
      </c>
    </row>
    <row r="656" spans="14:19" ht="14.4">
      <c r="N656" s="150" t="str">
        <f t="shared" si="60"/>
        <v/>
      </c>
      <c r="O656" s="150" t="str">
        <f t="shared" si="61"/>
        <v/>
      </c>
      <c r="P656" s="150" t="str">
        <f t="shared" si="62"/>
        <v/>
      </c>
      <c r="Q656" s="150" t="str">
        <f t="shared" si="63"/>
        <v/>
      </c>
      <c r="R656" s="150" t="str">
        <f t="shared" si="64"/>
        <v/>
      </c>
      <c r="S656" s="185" t="str">
        <f t="shared" si="65"/>
        <v/>
      </c>
    </row>
    <row r="657" spans="14:19" ht="14.4">
      <c r="N657" s="150" t="str">
        <f t="shared" si="60"/>
        <v/>
      </c>
      <c r="O657" s="150" t="str">
        <f t="shared" si="61"/>
        <v/>
      </c>
      <c r="P657" s="150" t="str">
        <f t="shared" si="62"/>
        <v/>
      </c>
      <c r="Q657" s="150" t="str">
        <f t="shared" si="63"/>
        <v/>
      </c>
      <c r="R657" s="150" t="str">
        <f t="shared" si="64"/>
        <v/>
      </c>
      <c r="S657" s="185" t="str">
        <f t="shared" si="65"/>
        <v/>
      </c>
    </row>
    <row r="658" spans="14:19" ht="14.4">
      <c r="N658" s="150" t="str">
        <f t="shared" si="60"/>
        <v/>
      </c>
      <c r="O658" s="150" t="str">
        <f t="shared" si="61"/>
        <v/>
      </c>
      <c r="P658" s="150" t="str">
        <f t="shared" si="62"/>
        <v/>
      </c>
      <c r="Q658" s="150" t="str">
        <f t="shared" si="63"/>
        <v/>
      </c>
      <c r="R658" s="150" t="str">
        <f t="shared" si="64"/>
        <v/>
      </c>
      <c r="S658" s="185" t="str">
        <f t="shared" si="65"/>
        <v/>
      </c>
    </row>
    <row r="659" spans="14:19" ht="14.4">
      <c r="N659" s="150" t="str">
        <f t="shared" si="60"/>
        <v/>
      </c>
      <c r="O659" s="150" t="str">
        <f t="shared" si="61"/>
        <v/>
      </c>
      <c r="P659" s="150" t="str">
        <f t="shared" si="62"/>
        <v/>
      </c>
      <c r="Q659" s="150" t="str">
        <f t="shared" si="63"/>
        <v/>
      </c>
      <c r="R659" s="150" t="str">
        <f t="shared" si="64"/>
        <v/>
      </c>
      <c r="S659" s="185" t="str">
        <f t="shared" si="65"/>
        <v/>
      </c>
    </row>
    <row r="660" spans="14:19" ht="14.4">
      <c r="N660" s="150" t="str">
        <f t="shared" si="60"/>
        <v/>
      </c>
      <c r="O660" s="150" t="str">
        <f t="shared" si="61"/>
        <v/>
      </c>
      <c r="P660" s="150" t="str">
        <f t="shared" si="62"/>
        <v/>
      </c>
      <c r="Q660" s="150" t="str">
        <f t="shared" si="63"/>
        <v/>
      </c>
      <c r="R660" s="150" t="str">
        <f t="shared" si="64"/>
        <v/>
      </c>
      <c r="S660" s="185" t="str">
        <f t="shared" si="65"/>
        <v/>
      </c>
    </row>
    <row r="661" spans="14:19" ht="14.4">
      <c r="N661" s="150" t="str">
        <f t="shared" si="60"/>
        <v/>
      </c>
      <c r="O661" s="150" t="str">
        <f t="shared" si="61"/>
        <v/>
      </c>
      <c r="P661" s="150" t="str">
        <f t="shared" si="62"/>
        <v/>
      </c>
      <c r="Q661" s="150" t="str">
        <f t="shared" si="63"/>
        <v/>
      </c>
      <c r="R661" s="150" t="str">
        <f t="shared" si="64"/>
        <v/>
      </c>
      <c r="S661" s="185" t="str">
        <f t="shared" si="65"/>
        <v/>
      </c>
    </row>
    <row r="662" spans="14:19" ht="14.4">
      <c r="N662" s="150" t="str">
        <f t="shared" si="60"/>
        <v/>
      </c>
      <c r="O662" s="150" t="str">
        <f t="shared" si="61"/>
        <v/>
      </c>
      <c r="P662" s="150" t="str">
        <f t="shared" si="62"/>
        <v/>
      </c>
      <c r="Q662" s="150" t="str">
        <f t="shared" si="63"/>
        <v/>
      </c>
      <c r="R662" s="150" t="str">
        <f t="shared" si="64"/>
        <v/>
      </c>
      <c r="S662" s="185" t="str">
        <f t="shared" si="65"/>
        <v/>
      </c>
    </row>
    <row r="663" spans="14:19" ht="14.4">
      <c r="N663" s="150" t="str">
        <f t="shared" si="60"/>
        <v/>
      </c>
      <c r="O663" s="150" t="str">
        <f t="shared" si="61"/>
        <v/>
      </c>
      <c r="P663" s="150" t="str">
        <f t="shared" si="62"/>
        <v/>
      </c>
      <c r="Q663" s="150" t="str">
        <f t="shared" si="63"/>
        <v/>
      </c>
      <c r="R663" s="150" t="str">
        <f t="shared" si="64"/>
        <v/>
      </c>
      <c r="S663" s="185" t="str">
        <f t="shared" si="65"/>
        <v/>
      </c>
    </row>
    <row r="664" spans="14:19" ht="14.4">
      <c r="N664" s="150" t="str">
        <f t="shared" si="60"/>
        <v/>
      </c>
      <c r="O664" s="150" t="str">
        <f t="shared" si="61"/>
        <v/>
      </c>
      <c r="P664" s="150" t="str">
        <f t="shared" si="62"/>
        <v/>
      </c>
      <c r="Q664" s="150" t="str">
        <f t="shared" si="63"/>
        <v/>
      </c>
      <c r="R664" s="150" t="str">
        <f t="shared" si="64"/>
        <v/>
      </c>
      <c r="S664" s="185" t="str">
        <f t="shared" si="65"/>
        <v/>
      </c>
    </row>
    <row r="665" spans="14:19" ht="14.4">
      <c r="N665" s="150" t="str">
        <f t="shared" si="60"/>
        <v/>
      </c>
      <c r="O665" s="150" t="str">
        <f t="shared" si="61"/>
        <v/>
      </c>
      <c r="P665" s="150" t="str">
        <f t="shared" si="62"/>
        <v/>
      </c>
      <c r="Q665" s="150" t="str">
        <f t="shared" si="63"/>
        <v/>
      </c>
      <c r="R665" s="150" t="str">
        <f t="shared" si="64"/>
        <v/>
      </c>
      <c r="S665" s="185" t="str">
        <f t="shared" si="65"/>
        <v/>
      </c>
    </row>
    <row r="666" spans="14:19" ht="14.4">
      <c r="N666" s="150" t="str">
        <f t="shared" si="60"/>
        <v/>
      </c>
      <c r="O666" s="150" t="str">
        <f t="shared" si="61"/>
        <v/>
      </c>
      <c r="P666" s="150" t="str">
        <f t="shared" si="62"/>
        <v/>
      </c>
      <c r="Q666" s="150" t="str">
        <f t="shared" si="63"/>
        <v/>
      </c>
      <c r="R666" s="150" t="str">
        <f t="shared" si="64"/>
        <v/>
      </c>
      <c r="S666" s="185" t="str">
        <f t="shared" si="65"/>
        <v/>
      </c>
    </row>
    <row r="667" spans="14:19" ht="14.4">
      <c r="N667" s="150" t="str">
        <f t="shared" si="60"/>
        <v/>
      </c>
      <c r="O667" s="150" t="str">
        <f t="shared" si="61"/>
        <v/>
      </c>
      <c r="P667" s="150" t="str">
        <f t="shared" si="62"/>
        <v/>
      </c>
      <c r="Q667" s="150" t="str">
        <f t="shared" si="63"/>
        <v/>
      </c>
      <c r="R667" s="150" t="str">
        <f t="shared" si="64"/>
        <v/>
      </c>
      <c r="S667" s="185" t="str">
        <f t="shared" si="65"/>
        <v/>
      </c>
    </row>
    <row r="668" spans="14:19" ht="14.4">
      <c r="N668" s="150" t="str">
        <f t="shared" si="60"/>
        <v/>
      </c>
      <c r="O668" s="150" t="str">
        <f t="shared" si="61"/>
        <v/>
      </c>
      <c r="P668" s="150" t="str">
        <f t="shared" si="62"/>
        <v/>
      </c>
      <c r="Q668" s="150" t="str">
        <f t="shared" si="63"/>
        <v/>
      </c>
      <c r="R668" s="150" t="str">
        <f t="shared" si="64"/>
        <v/>
      </c>
      <c r="S668" s="185" t="str">
        <f t="shared" si="65"/>
        <v/>
      </c>
    </row>
    <row r="669" spans="14:19" ht="14.4">
      <c r="N669" s="150" t="str">
        <f t="shared" si="60"/>
        <v/>
      </c>
      <c r="O669" s="150" t="str">
        <f t="shared" si="61"/>
        <v/>
      </c>
      <c r="P669" s="150" t="str">
        <f t="shared" si="62"/>
        <v/>
      </c>
      <c r="Q669" s="150" t="str">
        <f t="shared" si="63"/>
        <v/>
      </c>
      <c r="R669" s="150" t="str">
        <f t="shared" si="64"/>
        <v/>
      </c>
      <c r="S669" s="185" t="str">
        <f t="shared" si="65"/>
        <v/>
      </c>
    </row>
    <row r="670" spans="14:19" ht="14.4">
      <c r="N670" s="150" t="str">
        <f t="shared" si="60"/>
        <v/>
      </c>
      <c r="O670" s="150" t="str">
        <f t="shared" si="61"/>
        <v/>
      </c>
      <c r="P670" s="150" t="str">
        <f t="shared" si="62"/>
        <v/>
      </c>
      <c r="Q670" s="150" t="str">
        <f t="shared" si="63"/>
        <v/>
      </c>
      <c r="R670" s="150" t="str">
        <f t="shared" si="64"/>
        <v/>
      </c>
      <c r="S670" s="185" t="str">
        <f t="shared" si="65"/>
        <v/>
      </c>
    </row>
    <row r="671" spans="14:19" ht="14.4">
      <c r="N671" s="150" t="str">
        <f t="shared" si="60"/>
        <v/>
      </c>
      <c r="O671" s="150" t="str">
        <f t="shared" si="61"/>
        <v/>
      </c>
      <c r="P671" s="150" t="str">
        <f t="shared" si="62"/>
        <v/>
      </c>
      <c r="Q671" s="150" t="str">
        <f t="shared" si="63"/>
        <v/>
      </c>
      <c r="R671" s="150" t="str">
        <f t="shared" si="64"/>
        <v/>
      </c>
      <c r="S671" s="185" t="str">
        <f t="shared" si="65"/>
        <v/>
      </c>
    </row>
    <row r="672" spans="14:19" ht="14.4">
      <c r="N672" s="150" t="str">
        <f t="shared" si="60"/>
        <v/>
      </c>
      <c r="O672" s="150" t="str">
        <f t="shared" si="61"/>
        <v/>
      </c>
      <c r="P672" s="150" t="str">
        <f t="shared" si="62"/>
        <v/>
      </c>
      <c r="Q672" s="150" t="str">
        <f t="shared" si="63"/>
        <v/>
      </c>
      <c r="R672" s="150" t="str">
        <f t="shared" si="64"/>
        <v/>
      </c>
      <c r="S672" s="185" t="str">
        <f t="shared" si="65"/>
        <v/>
      </c>
    </row>
    <row r="673" spans="14:19" ht="14.4">
      <c r="N673" s="150" t="str">
        <f t="shared" si="60"/>
        <v/>
      </c>
      <c r="O673" s="150" t="str">
        <f t="shared" si="61"/>
        <v/>
      </c>
      <c r="P673" s="150" t="str">
        <f t="shared" si="62"/>
        <v/>
      </c>
      <c r="Q673" s="150" t="str">
        <f t="shared" si="63"/>
        <v/>
      </c>
      <c r="R673" s="150" t="str">
        <f t="shared" si="64"/>
        <v/>
      </c>
      <c r="S673" s="185" t="str">
        <f t="shared" si="65"/>
        <v/>
      </c>
    </row>
    <row r="674" spans="14:19" ht="14.4">
      <c r="N674" s="150" t="str">
        <f t="shared" si="60"/>
        <v/>
      </c>
      <c r="O674" s="150" t="str">
        <f t="shared" si="61"/>
        <v/>
      </c>
      <c r="P674" s="150" t="str">
        <f t="shared" si="62"/>
        <v/>
      </c>
      <c r="Q674" s="150" t="str">
        <f t="shared" si="63"/>
        <v/>
      </c>
      <c r="R674" s="150" t="str">
        <f t="shared" si="64"/>
        <v/>
      </c>
      <c r="S674" s="185" t="str">
        <f t="shared" si="65"/>
        <v/>
      </c>
    </row>
    <row r="675" spans="14:19" ht="14.4">
      <c r="N675" s="150" t="str">
        <f t="shared" si="60"/>
        <v/>
      </c>
      <c r="O675" s="150" t="str">
        <f t="shared" si="61"/>
        <v/>
      </c>
      <c r="P675" s="150" t="str">
        <f t="shared" si="62"/>
        <v/>
      </c>
      <c r="Q675" s="150" t="str">
        <f t="shared" si="63"/>
        <v/>
      </c>
      <c r="R675" s="150" t="str">
        <f t="shared" si="64"/>
        <v/>
      </c>
      <c r="S675" s="185" t="str">
        <f t="shared" si="65"/>
        <v/>
      </c>
    </row>
    <row r="676" spans="14:19" ht="14.4">
      <c r="N676" s="150" t="str">
        <f t="shared" si="60"/>
        <v/>
      </c>
      <c r="O676" s="150" t="str">
        <f t="shared" si="61"/>
        <v/>
      </c>
      <c r="P676" s="150" t="str">
        <f t="shared" si="62"/>
        <v/>
      </c>
      <c r="Q676" s="150" t="str">
        <f t="shared" si="63"/>
        <v/>
      </c>
      <c r="R676" s="150" t="str">
        <f t="shared" si="64"/>
        <v/>
      </c>
      <c r="S676" s="185" t="str">
        <f t="shared" si="65"/>
        <v/>
      </c>
    </row>
    <row r="677" spans="14:19" ht="14.4">
      <c r="N677" s="150" t="str">
        <f t="shared" si="60"/>
        <v/>
      </c>
      <c r="O677" s="150" t="str">
        <f t="shared" si="61"/>
        <v/>
      </c>
      <c r="P677" s="150" t="str">
        <f t="shared" si="62"/>
        <v/>
      </c>
      <c r="Q677" s="150" t="str">
        <f t="shared" si="63"/>
        <v/>
      </c>
      <c r="R677" s="150" t="str">
        <f t="shared" si="64"/>
        <v/>
      </c>
      <c r="S677" s="185" t="str">
        <f t="shared" si="65"/>
        <v/>
      </c>
    </row>
    <row r="678" spans="14:19" ht="14.4">
      <c r="N678" s="150" t="str">
        <f t="shared" si="60"/>
        <v/>
      </c>
      <c r="O678" s="150" t="str">
        <f t="shared" si="61"/>
        <v/>
      </c>
      <c r="P678" s="150" t="str">
        <f t="shared" si="62"/>
        <v/>
      </c>
      <c r="Q678" s="150" t="str">
        <f t="shared" si="63"/>
        <v/>
      </c>
      <c r="R678" s="150" t="str">
        <f t="shared" si="64"/>
        <v/>
      </c>
      <c r="S678" s="185" t="str">
        <f t="shared" si="65"/>
        <v/>
      </c>
    </row>
    <row r="679" spans="14:19" ht="14.4">
      <c r="N679" s="150" t="str">
        <f t="shared" si="60"/>
        <v/>
      </c>
      <c r="O679" s="150" t="str">
        <f t="shared" si="61"/>
        <v/>
      </c>
      <c r="P679" s="150" t="str">
        <f t="shared" si="62"/>
        <v/>
      </c>
      <c r="Q679" s="150" t="str">
        <f t="shared" si="63"/>
        <v/>
      </c>
      <c r="R679" s="150" t="str">
        <f t="shared" si="64"/>
        <v/>
      </c>
      <c r="S679" s="185" t="str">
        <f t="shared" si="65"/>
        <v/>
      </c>
    </row>
    <row r="680" spans="14:19" ht="14.4">
      <c r="N680" s="150" t="str">
        <f t="shared" si="60"/>
        <v/>
      </c>
      <c r="O680" s="150" t="str">
        <f t="shared" si="61"/>
        <v/>
      </c>
      <c r="P680" s="150" t="str">
        <f t="shared" si="62"/>
        <v/>
      </c>
      <c r="Q680" s="150" t="str">
        <f t="shared" si="63"/>
        <v/>
      </c>
      <c r="R680" s="150" t="str">
        <f t="shared" si="64"/>
        <v/>
      </c>
      <c r="S680" s="185" t="str">
        <f t="shared" si="65"/>
        <v/>
      </c>
    </row>
    <row r="681" spans="14:19" ht="14.4">
      <c r="N681" s="150" t="str">
        <f t="shared" si="60"/>
        <v/>
      </c>
      <c r="O681" s="150" t="str">
        <f t="shared" si="61"/>
        <v/>
      </c>
      <c r="P681" s="150" t="str">
        <f t="shared" si="62"/>
        <v/>
      </c>
      <c r="Q681" s="150" t="str">
        <f t="shared" si="63"/>
        <v/>
      </c>
      <c r="R681" s="150" t="str">
        <f t="shared" si="64"/>
        <v/>
      </c>
      <c r="S681" s="185" t="str">
        <f t="shared" si="65"/>
        <v/>
      </c>
    </row>
    <row r="682" spans="14:19" ht="14.4">
      <c r="N682" s="150" t="str">
        <f t="shared" si="60"/>
        <v/>
      </c>
      <c r="O682" s="150" t="str">
        <f t="shared" si="61"/>
        <v/>
      </c>
      <c r="P682" s="150" t="str">
        <f t="shared" si="62"/>
        <v/>
      </c>
      <c r="Q682" s="150" t="str">
        <f t="shared" si="63"/>
        <v/>
      </c>
      <c r="R682" s="150" t="str">
        <f t="shared" si="64"/>
        <v/>
      </c>
      <c r="S682" s="185" t="str">
        <f t="shared" si="65"/>
        <v/>
      </c>
    </row>
    <row r="683" spans="14:19" ht="14.4">
      <c r="N683" s="150" t="str">
        <f t="shared" si="60"/>
        <v/>
      </c>
      <c r="O683" s="150" t="str">
        <f t="shared" si="61"/>
        <v/>
      </c>
      <c r="P683" s="150" t="str">
        <f t="shared" si="62"/>
        <v/>
      </c>
      <c r="Q683" s="150" t="str">
        <f t="shared" si="63"/>
        <v/>
      </c>
      <c r="R683" s="150" t="str">
        <f t="shared" si="64"/>
        <v/>
      </c>
      <c r="S683" s="185" t="str">
        <f t="shared" si="65"/>
        <v/>
      </c>
    </row>
    <row r="684" spans="14:19" ht="14.4">
      <c r="N684" s="150" t="str">
        <f t="shared" si="60"/>
        <v/>
      </c>
      <c r="O684" s="150" t="str">
        <f t="shared" si="61"/>
        <v/>
      </c>
      <c r="P684" s="150" t="str">
        <f t="shared" si="62"/>
        <v/>
      </c>
      <c r="Q684" s="150" t="str">
        <f t="shared" si="63"/>
        <v/>
      </c>
      <c r="R684" s="150" t="str">
        <f t="shared" si="64"/>
        <v/>
      </c>
      <c r="S684" s="185" t="str">
        <f t="shared" si="65"/>
        <v/>
      </c>
    </row>
    <row r="685" spans="14:19" ht="14.4">
      <c r="N685" s="150" t="str">
        <f t="shared" si="60"/>
        <v/>
      </c>
      <c r="O685" s="150" t="str">
        <f t="shared" si="61"/>
        <v/>
      </c>
      <c r="P685" s="150" t="str">
        <f t="shared" si="62"/>
        <v/>
      </c>
      <c r="Q685" s="150" t="str">
        <f t="shared" si="63"/>
        <v/>
      </c>
      <c r="R685" s="150" t="str">
        <f t="shared" si="64"/>
        <v/>
      </c>
      <c r="S685" s="185" t="str">
        <f t="shared" si="65"/>
        <v/>
      </c>
    </row>
    <row r="686" spans="14:19" ht="14.4">
      <c r="N686" s="150" t="str">
        <f t="shared" si="60"/>
        <v/>
      </c>
      <c r="O686" s="150" t="str">
        <f t="shared" si="61"/>
        <v/>
      </c>
      <c r="P686" s="150" t="str">
        <f t="shared" si="62"/>
        <v/>
      </c>
      <c r="Q686" s="150" t="str">
        <f t="shared" si="63"/>
        <v/>
      </c>
      <c r="R686" s="150" t="str">
        <f t="shared" si="64"/>
        <v/>
      </c>
      <c r="S686" s="185" t="str">
        <f t="shared" si="65"/>
        <v/>
      </c>
    </row>
    <row r="687" spans="14:19" ht="14.4">
      <c r="N687" s="150" t="str">
        <f t="shared" si="60"/>
        <v/>
      </c>
      <c r="O687" s="150" t="str">
        <f t="shared" si="61"/>
        <v/>
      </c>
      <c r="P687" s="150" t="str">
        <f t="shared" si="62"/>
        <v/>
      </c>
      <c r="Q687" s="150" t="str">
        <f t="shared" si="63"/>
        <v/>
      </c>
      <c r="R687" s="150" t="str">
        <f t="shared" si="64"/>
        <v/>
      </c>
      <c r="S687" s="185" t="str">
        <f t="shared" si="65"/>
        <v/>
      </c>
    </row>
    <row r="688" spans="14:19" ht="14.4">
      <c r="N688" s="150" t="str">
        <f t="shared" si="60"/>
        <v/>
      </c>
      <c r="O688" s="150" t="str">
        <f t="shared" si="61"/>
        <v/>
      </c>
      <c r="P688" s="150" t="str">
        <f t="shared" si="62"/>
        <v/>
      </c>
      <c r="Q688" s="150" t="str">
        <f t="shared" si="63"/>
        <v/>
      </c>
      <c r="R688" s="150" t="str">
        <f t="shared" si="64"/>
        <v/>
      </c>
      <c r="S688" s="185" t="str">
        <f t="shared" si="65"/>
        <v/>
      </c>
    </row>
    <row r="689" spans="14:19" ht="14.4">
      <c r="N689" s="150" t="str">
        <f t="shared" si="60"/>
        <v/>
      </c>
      <c r="O689" s="150" t="str">
        <f t="shared" si="61"/>
        <v/>
      </c>
      <c r="P689" s="150" t="str">
        <f t="shared" si="62"/>
        <v/>
      </c>
      <c r="Q689" s="150" t="str">
        <f t="shared" si="63"/>
        <v/>
      </c>
      <c r="R689" s="150" t="str">
        <f t="shared" si="64"/>
        <v/>
      </c>
      <c r="S689" s="185" t="str">
        <f t="shared" si="65"/>
        <v/>
      </c>
    </row>
    <row r="690" spans="14:19" ht="14.4">
      <c r="N690" s="150" t="str">
        <f t="shared" si="60"/>
        <v/>
      </c>
      <c r="O690" s="150" t="str">
        <f t="shared" si="61"/>
        <v/>
      </c>
      <c r="P690" s="150" t="str">
        <f t="shared" si="62"/>
        <v/>
      </c>
      <c r="Q690" s="150" t="str">
        <f t="shared" si="63"/>
        <v/>
      </c>
      <c r="R690" s="150" t="str">
        <f t="shared" si="64"/>
        <v/>
      </c>
      <c r="S690" s="185" t="str">
        <f t="shared" si="65"/>
        <v/>
      </c>
    </row>
    <row r="691" spans="14:19" ht="14.4">
      <c r="N691" s="150" t="str">
        <f t="shared" si="60"/>
        <v/>
      </c>
      <c r="O691" s="150" t="str">
        <f t="shared" si="61"/>
        <v/>
      </c>
      <c r="P691" s="150" t="str">
        <f t="shared" si="62"/>
        <v/>
      </c>
      <c r="Q691" s="150" t="str">
        <f t="shared" si="63"/>
        <v/>
      </c>
      <c r="R691" s="150" t="str">
        <f t="shared" si="64"/>
        <v/>
      </c>
      <c r="S691" s="185" t="str">
        <f t="shared" si="65"/>
        <v/>
      </c>
    </row>
    <row r="692" spans="14:19" ht="14.4">
      <c r="N692" s="150" t="str">
        <f t="shared" si="60"/>
        <v/>
      </c>
      <c r="O692" s="150" t="str">
        <f t="shared" si="61"/>
        <v/>
      </c>
      <c r="P692" s="150" t="str">
        <f t="shared" si="62"/>
        <v/>
      </c>
      <c r="Q692" s="150" t="str">
        <f t="shared" si="63"/>
        <v/>
      </c>
      <c r="R692" s="150" t="str">
        <f t="shared" si="64"/>
        <v/>
      </c>
      <c r="S692" s="185" t="str">
        <f t="shared" si="65"/>
        <v/>
      </c>
    </row>
    <row r="693" spans="14:19" ht="14.4">
      <c r="N693" s="150" t="str">
        <f t="shared" si="60"/>
        <v/>
      </c>
      <c r="O693" s="150" t="str">
        <f t="shared" si="61"/>
        <v/>
      </c>
      <c r="P693" s="150" t="str">
        <f t="shared" si="62"/>
        <v/>
      </c>
      <c r="Q693" s="150" t="str">
        <f t="shared" si="63"/>
        <v/>
      </c>
      <c r="R693" s="150" t="str">
        <f t="shared" si="64"/>
        <v/>
      </c>
      <c r="S693" s="185" t="str">
        <f t="shared" si="65"/>
        <v/>
      </c>
    </row>
    <row r="694" spans="14:19" ht="14.4">
      <c r="N694" s="150" t="str">
        <f t="shared" si="60"/>
        <v/>
      </c>
      <c r="O694" s="150" t="str">
        <f t="shared" si="61"/>
        <v/>
      </c>
      <c r="P694" s="150" t="str">
        <f t="shared" si="62"/>
        <v/>
      </c>
      <c r="Q694" s="150" t="str">
        <f t="shared" si="63"/>
        <v/>
      </c>
      <c r="R694" s="150" t="str">
        <f t="shared" si="64"/>
        <v/>
      </c>
      <c r="S694" s="185" t="str">
        <f t="shared" si="65"/>
        <v/>
      </c>
    </row>
    <row r="695" spans="14:19" ht="14.4">
      <c r="N695" s="150" t="str">
        <f t="shared" si="60"/>
        <v/>
      </c>
      <c r="O695" s="150" t="str">
        <f t="shared" si="61"/>
        <v/>
      </c>
      <c r="P695" s="150" t="str">
        <f t="shared" si="62"/>
        <v/>
      </c>
      <c r="Q695" s="150" t="str">
        <f t="shared" si="63"/>
        <v/>
      </c>
      <c r="R695" s="150" t="str">
        <f t="shared" si="64"/>
        <v/>
      </c>
      <c r="S695" s="185" t="str">
        <f t="shared" si="65"/>
        <v/>
      </c>
    </row>
    <row r="696" spans="14:19" ht="14.4">
      <c r="N696" s="150" t="str">
        <f t="shared" si="60"/>
        <v/>
      </c>
      <c r="O696" s="150" t="str">
        <f t="shared" si="61"/>
        <v/>
      </c>
      <c r="P696" s="150" t="str">
        <f t="shared" si="62"/>
        <v/>
      </c>
      <c r="Q696" s="150" t="str">
        <f t="shared" si="63"/>
        <v/>
      </c>
      <c r="R696" s="150" t="str">
        <f t="shared" si="64"/>
        <v/>
      </c>
      <c r="S696" s="185" t="str">
        <f t="shared" si="65"/>
        <v/>
      </c>
    </row>
    <row r="697" spans="14:19" ht="14.4">
      <c r="N697" s="150" t="str">
        <f t="shared" si="60"/>
        <v/>
      </c>
      <c r="O697" s="150" t="str">
        <f t="shared" si="61"/>
        <v/>
      </c>
      <c r="P697" s="150" t="str">
        <f t="shared" si="62"/>
        <v/>
      </c>
      <c r="Q697" s="150" t="str">
        <f t="shared" si="63"/>
        <v/>
      </c>
      <c r="R697" s="150" t="str">
        <f t="shared" si="64"/>
        <v/>
      </c>
      <c r="S697" s="185" t="str">
        <f t="shared" si="65"/>
        <v/>
      </c>
    </row>
    <row r="698" spans="14:19" ht="14.4">
      <c r="N698" s="150" t="str">
        <f t="shared" si="60"/>
        <v/>
      </c>
      <c r="O698" s="150" t="str">
        <f t="shared" si="61"/>
        <v/>
      </c>
      <c r="P698" s="150" t="str">
        <f t="shared" si="62"/>
        <v/>
      </c>
      <c r="Q698" s="150" t="str">
        <f t="shared" si="63"/>
        <v/>
      </c>
      <c r="R698" s="150" t="str">
        <f t="shared" si="64"/>
        <v/>
      </c>
      <c r="S698" s="185" t="str">
        <f t="shared" si="65"/>
        <v/>
      </c>
    </row>
    <row r="699" spans="14:19" ht="14.4">
      <c r="N699" s="150" t="str">
        <f t="shared" si="60"/>
        <v/>
      </c>
      <c r="O699" s="150" t="str">
        <f t="shared" si="61"/>
        <v/>
      </c>
      <c r="P699" s="150" t="str">
        <f t="shared" si="62"/>
        <v/>
      </c>
      <c r="Q699" s="150" t="str">
        <f t="shared" si="63"/>
        <v/>
      </c>
      <c r="R699" s="150" t="str">
        <f t="shared" si="64"/>
        <v/>
      </c>
      <c r="S699" s="185" t="str">
        <f t="shared" si="65"/>
        <v/>
      </c>
    </row>
    <row r="700" spans="14:19" ht="14.4">
      <c r="N700" s="150" t="str">
        <f t="shared" si="60"/>
        <v/>
      </c>
      <c r="O700" s="150" t="str">
        <f t="shared" si="61"/>
        <v/>
      </c>
      <c r="P700" s="150" t="str">
        <f t="shared" si="62"/>
        <v/>
      </c>
      <c r="Q700" s="150" t="str">
        <f t="shared" si="63"/>
        <v/>
      </c>
      <c r="R700" s="150" t="str">
        <f t="shared" si="64"/>
        <v/>
      </c>
      <c r="S700" s="185" t="str">
        <f t="shared" si="65"/>
        <v/>
      </c>
    </row>
    <row r="701" spans="14:19" ht="14.4">
      <c r="N701" s="150" t="str">
        <f t="shared" si="60"/>
        <v/>
      </c>
      <c r="O701" s="150" t="str">
        <f t="shared" si="61"/>
        <v/>
      </c>
      <c r="P701" s="150" t="str">
        <f t="shared" si="62"/>
        <v/>
      </c>
      <c r="Q701" s="150" t="str">
        <f t="shared" si="63"/>
        <v/>
      </c>
      <c r="R701" s="150" t="str">
        <f t="shared" si="64"/>
        <v/>
      </c>
      <c r="S701" s="185" t="str">
        <f t="shared" si="65"/>
        <v/>
      </c>
    </row>
    <row r="702" spans="14:19" ht="14.4">
      <c r="N702" s="150" t="str">
        <f t="shared" si="60"/>
        <v/>
      </c>
      <c r="O702" s="150" t="str">
        <f t="shared" si="61"/>
        <v/>
      </c>
      <c r="P702" s="150" t="str">
        <f t="shared" si="62"/>
        <v/>
      </c>
      <c r="Q702" s="150" t="str">
        <f t="shared" si="63"/>
        <v/>
      </c>
      <c r="R702" s="150" t="str">
        <f t="shared" si="64"/>
        <v/>
      </c>
      <c r="S702" s="185" t="str">
        <f t="shared" si="65"/>
        <v/>
      </c>
    </row>
    <row r="703" spans="14:19" ht="14.4">
      <c r="N703" s="150" t="str">
        <f t="shared" si="60"/>
        <v/>
      </c>
      <c r="O703" s="150" t="str">
        <f t="shared" si="61"/>
        <v/>
      </c>
      <c r="P703" s="150" t="str">
        <f t="shared" si="62"/>
        <v/>
      </c>
      <c r="Q703" s="150" t="str">
        <f t="shared" si="63"/>
        <v/>
      </c>
      <c r="R703" s="150" t="str">
        <f t="shared" si="64"/>
        <v/>
      </c>
      <c r="S703" s="185" t="str">
        <f t="shared" si="65"/>
        <v/>
      </c>
    </row>
    <row r="704" spans="14:19" ht="14.4">
      <c r="N704" s="150" t="str">
        <f t="shared" si="60"/>
        <v/>
      </c>
      <c r="O704" s="150" t="str">
        <f t="shared" si="61"/>
        <v/>
      </c>
      <c r="P704" s="150" t="str">
        <f t="shared" si="62"/>
        <v/>
      </c>
      <c r="Q704" s="150" t="str">
        <f t="shared" si="63"/>
        <v/>
      </c>
      <c r="R704" s="150" t="str">
        <f t="shared" si="64"/>
        <v/>
      </c>
      <c r="S704" s="185" t="str">
        <f t="shared" si="65"/>
        <v/>
      </c>
    </row>
    <row r="705" spans="14:19" ht="14.4">
      <c r="N705" s="150" t="str">
        <f t="shared" si="60"/>
        <v/>
      </c>
      <c r="O705" s="150" t="str">
        <f t="shared" si="61"/>
        <v/>
      </c>
      <c r="P705" s="150" t="str">
        <f t="shared" si="62"/>
        <v/>
      </c>
      <c r="Q705" s="150" t="str">
        <f t="shared" si="63"/>
        <v/>
      </c>
      <c r="R705" s="150" t="str">
        <f t="shared" si="64"/>
        <v/>
      </c>
      <c r="S705" s="185" t="str">
        <f t="shared" si="65"/>
        <v/>
      </c>
    </row>
    <row r="706" spans="14:19" ht="14.4">
      <c r="N706" s="150" t="str">
        <f t="shared" si="60"/>
        <v/>
      </c>
      <c r="O706" s="150" t="str">
        <f t="shared" si="61"/>
        <v/>
      </c>
      <c r="P706" s="150" t="str">
        <f t="shared" si="62"/>
        <v/>
      </c>
      <c r="Q706" s="150" t="str">
        <f t="shared" si="63"/>
        <v/>
      </c>
      <c r="R706" s="150" t="str">
        <f t="shared" si="64"/>
        <v/>
      </c>
      <c r="S706" s="185" t="str">
        <f t="shared" si="65"/>
        <v/>
      </c>
    </row>
    <row r="707" spans="14:19" ht="14.4">
      <c r="N707" s="150" t="str">
        <f t="shared" ref="N707:N770" si="66">IF(LEN(A707)&gt;18,A707,"")</f>
        <v/>
      </c>
      <c r="O707" s="150" t="str">
        <f t="shared" ref="O707:O770" si="67">IF(ISNUMBER(IF(N707="",B707,"")),B707,"")</f>
        <v/>
      </c>
      <c r="P707" s="150" t="str">
        <f t="shared" ref="P707:P770" si="68">IF(ISNUMBER(IF($N707="",C707,"")),C707,"")</f>
        <v/>
      </c>
      <c r="Q707" s="150" t="str">
        <f t="shared" ref="Q707:Q770" si="69">IF(ISNUMBER(IF($N707="",D707,"")),D707,"")</f>
        <v/>
      </c>
      <c r="R707" s="150" t="str">
        <f t="shared" ref="R707:R770" si="70">IF(ISNUMBER(IF($N707="",F707,"")),F707,"")</f>
        <v/>
      </c>
      <c r="S707" s="185" t="str">
        <f t="shared" ref="S707:S770" si="71">IF(ISNUMBER(IF($N707="",H707,"")),H707,"")</f>
        <v/>
      </c>
    </row>
    <row r="708" spans="14:19" ht="14.4">
      <c r="N708" s="150" t="str">
        <f t="shared" si="66"/>
        <v/>
      </c>
      <c r="O708" s="150" t="str">
        <f t="shared" si="67"/>
        <v/>
      </c>
      <c r="P708" s="150" t="str">
        <f t="shared" si="68"/>
        <v/>
      </c>
      <c r="Q708" s="150" t="str">
        <f t="shared" si="69"/>
        <v/>
      </c>
      <c r="R708" s="150" t="str">
        <f t="shared" si="70"/>
        <v/>
      </c>
      <c r="S708" s="185" t="str">
        <f t="shared" si="71"/>
        <v/>
      </c>
    </row>
    <row r="709" spans="14:19" ht="14.4">
      <c r="N709" s="150" t="str">
        <f t="shared" si="66"/>
        <v/>
      </c>
      <c r="O709" s="150" t="str">
        <f t="shared" si="67"/>
        <v/>
      </c>
      <c r="P709" s="150" t="str">
        <f t="shared" si="68"/>
        <v/>
      </c>
      <c r="Q709" s="150" t="str">
        <f t="shared" si="69"/>
        <v/>
      </c>
      <c r="R709" s="150" t="str">
        <f t="shared" si="70"/>
        <v/>
      </c>
      <c r="S709" s="185" t="str">
        <f t="shared" si="71"/>
        <v/>
      </c>
    </row>
    <row r="710" spans="14:19" ht="14.4">
      <c r="N710" s="150" t="str">
        <f t="shared" si="66"/>
        <v/>
      </c>
      <c r="O710" s="150" t="str">
        <f t="shared" si="67"/>
        <v/>
      </c>
      <c r="P710" s="150" t="str">
        <f t="shared" si="68"/>
        <v/>
      </c>
      <c r="Q710" s="150" t="str">
        <f t="shared" si="69"/>
        <v/>
      </c>
      <c r="R710" s="150" t="str">
        <f t="shared" si="70"/>
        <v/>
      </c>
      <c r="S710" s="185" t="str">
        <f t="shared" si="71"/>
        <v/>
      </c>
    </row>
    <row r="711" spans="14:19" ht="14.4">
      <c r="N711" s="150" t="str">
        <f t="shared" si="66"/>
        <v/>
      </c>
      <c r="O711" s="150" t="str">
        <f t="shared" si="67"/>
        <v/>
      </c>
      <c r="P711" s="150" t="str">
        <f t="shared" si="68"/>
        <v/>
      </c>
      <c r="Q711" s="150" t="str">
        <f t="shared" si="69"/>
        <v/>
      </c>
      <c r="R711" s="150" t="str">
        <f t="shared" si="70"/>
        <v/>
      </c>
      <c r="S711" s="185" t="str">
        <f t="shared" si="71"/>
        <v/>
      </c>
    </row>
    <row r="712" spans="14:19" ht="14.4">
      <c r="N712" s="150" t="str">
        <f t="shared" si="66"/>
        <v/>
      </c>
      <c r="O712" s="150" t="str">
        <f t="shared" si="67"/>
        <v/>
      </c>
      <c r="P712" s="150" t="str">
        <f t="shared" si="68"/>
        <v/>
      </c>
      <c r="Q712" s="150" t="str">
        <f t="shared" si="69"/>
        <v/>
      </c>
      <c r="R712" s="150" t="str">
        <f t="shared" si="70"/>
        <v/>
      </c>
      <c r="S712" s="185" t="str">
        <f t="shared" si="71"/>
        <v/>
      </c>
    </row>
    <row r="713" spans="14:19" ht="14.4">
      <c r="N713" s="150" t="str">
        <f t="shared" si="66"/>
        <v/>
      </c>
      <c r="O713" s="150" t="str">
        <f t="shared" si="67"/>
        <v/>
      </c>
      <c r="P713" s="150" t="str">
        <f t="shared" si="68"/>
        <v/>
      </c>
      <c r="Q713" s="150" t="str">
        <f t="shared" si="69"/>
        <v/>
      </c>
      <c r="R713" s="150" t="str">
        <f t="shared" si="70"/>
        <v/>
      </c>
      <c r="S713" s="185" t="str">
        <f t="shared" si="71"/>
        <v/>
      </c>
    </row>
    <row r="714" spans="14:19" ht="14.4">
      <c r="N714" s="150" t="str">
        <f t="shared" si="66"/>
        <v/>
      </c>
      <c r="O714" s="150" t="str">
        <f t="shared" si="67"/>
        <v/>
      </c>
      <c r="P714" s="150" t="str">
        <f t="shared" si="68"/>
        <v/>
      </c>
      <c r="Q714" s="150" t="str">
        <f t="shared" si="69"/>
        <v/>
      </c>
      <c r="R714" s="150" t="str">
        <f t="shared" si="70"/>
        <v/>
      </c>
      <c r="S714" s="185" t="str">
        <f t="shared" si="71"/>
        <v/>
      </c>
    </row>
    <row r="715" spans="14:19" ht="14.4">
      <c r="N715" s="150" t="str">
        <f t="shared" si="66"/>
        <v/>
      </c>
      <c r="O715" s="150" t="str">
        <f t="shared" si="67"/>
        <v/>
      </c>
      <c r="P715" s="150" t="str">
        <f t="shared" si="68"/>
        <v/>
      </c>
      <c r="Q715" s="150" t="str">
        <f t="shared" si="69"/>
        <v/>
      </c>
      <c r="R715" s="150" t="str">
        <f t="shared" si="70"/>
        <v/>
      </c>
      <c r="S715" s="185" t="str">
        <f t="shared" si="71"/>
        <v/>
      </c>
    </row>
    <row r="716" spans="14:19" ht="14.4">
      <c r="N716" s="150" t="str">
        <f t="shared" si="66"/>
        <v/>
      </c>
      <c r="O716" s="150" t="str">
        <f t="shared" si="67"/>
        <v/>
      </c>
      <c r="P716" s="150" t="str">
        <f t="shared" si="68"/>
        <v/>
      </c>
      <c r="Q716" s="150" t="str">
        <f t="shared" si="69"/>
        <v/>
      </c>
      <c r="R716" s="150" t="str">
        <f t="shared" si="70"/>
        <v/>
      </c>
      <c r="S716" s="185" t="str">
        <f t="shared" si="71"/>
        <v/>
      </c>
    </row>
    <row r="717" spans="14:19" ht="14.4">
      <c r="N717" s="150" t="str">
        <f t="shared" si="66"/>
        <v/>
      </c>
      <c r="O717" s="150" t="str">
        <f t="shared" si="67"/>
        <v/>
      </c>
      <c r="P717" s="150" t="str">
        <f t="shared" si="68"/>
        <v/>
      </c>
      <c r="Q717" s="150" t="str">
        <f t="shared" si="69"/>
        <v/>
      </c>
      <c r="R717" s="150" t="str">
        <f t="shared" si="70"/>
        <v/>
      </c>
      <c r="S717" s="185" t="str">
        <f t="shared" si="71"/>
        <v/>
      </c>
    </row>
    <row r="718" spans="14:19" ht="14.4">
      <c r="N718" s="150" t="str">
        <f t="shared" si="66"/>
        <v/>
      </c>
      <c r="O718" s="150" t="str">
        <f t="shared" si="67"/>
        <v/>
      </c>
      <c r="P718" s="150" t="str">
        <f t="shared" si="68"/>
        <v/>
      </c>
      <c r="Q718" s="150" t="str">
        <f t="shared" si="69"/>
        <v/>
      </c>
      <c r="R718" s="150" t="str">
        <f t="shared" si="70"/>
        <v/>
      </c>
      <c r="S718" s="185" t="str">
        <f t="shared" si="71"/>
        <v/>
      </c>
    </row>
    <row r="719" spans="14:19" ht="14.4">
      <c r="N719" s="150" t="str">
        <f t="shared" si="66"/>
        <v/>
      </c>
      <c r="O719" s="150" t="str">
        <f t="shared" si="67"/>
        <v/>
      </c>
      <c r="P719" s="150" t="str">
        <f t="shared" si="68"/>
        <v/>
      </c>
      <c r="Q719" s="150" t="str">
        <f t="shared" si="69"/>
        <v/>
      </c>
      <c r="R719" s="150" t="str">
        <f t="shared" si="70"/>
        <v/>
      </c>
      <c r="S719" s="185" t="str">
        <f t="shared" si="71"/>
        <v/>
      </c>
    </row>
    <row r="720" spans="14:19" ht="14.4">
      <c r="N720" s="150" t="str">
        <f t="shared" si="66"/>
        <v/>
      </c>
      <c r="O720" s="150" t="str">
        <f t="shared" si="67"/>
        <v/>
      </c>
      <c r="P720" s="150" t="str">
        <f t="shared" si="68"/>
        <v/>
      </c>
      <c r="Q720" s="150" t="str">
        <f t="shared" si="69"/>
        <v/>
      </c>
      <c r="R720" s="150" t="str">
        <f t="shared" si="70"/>
        <v/>
      </c>
      <c r="S720" s="185" t="str">
        <f t="shared" si="71"/>
        <v/>
      </c>
    </row>
    <row r="721" spans="14:19" ht="14.4">
      <c r="N721" s="150" t="str">
        <f t="shared" si="66"/>
        <v/>
      </c>
      <c r="O721" s="150" t="str">
        <f t="shared" si="67"/>
        <v/>
      </c>
      <c r="P721" s="150" t="str">
        <f t="shared" si="68"/>
        <v/>
      </c>
      <c r="Q721" s="150" t="str">
        <f t="shared" si="69"/>
        <v/>
      </c>
      <c r="R721" s="150" t="str">
        <f t="shared" si="70"/>
        <v/>
      </c>
      <c r="S721" s="185" t="str">
        <f t="shared" si="71"/>
        <v/>
      </c>
    </row>
    <row r="722" spans="14:19" ht="14.4">
      <c r="N722" s="150" t="str">
        <f t="shared" si="66"/>
        <v/>
      </c>
      <c r="O722" s="150" t="str">
        <f t="shared" si="67"/>
        <v/>
      </c>
      <c r="P722" s="150" t="str">
        <f t="shared" si="68"/>
        <v/>
      </c>
      <c r="Q722" s="150" t="str">
        <f t="shared" si="69"/>
        <v/>
      </c>
      <c r="R722" s="150" t="str">
        <f t="shared" si="70"/>
        <v/>
      </c>
      <c r="S722" s="185" t="str">
        <f t="shared" si="71"/>
        <v/>
      </c>
    </row>
    <row r="723" spans="14:19" ht="14.4">
      <c r="N723" s="150" t="str">
        <f t="shared" si="66"/>
        <v/>
      </c>
      <c r="O723" s="150" t="str">
        <f t="shared" si="67"/>
        <v/>
      </c>
      <c r="P723" s="150" t="str">
        <f t="shared" si="68"/>
        <v/>
      </c>
      <c r="Q723" s="150" t="str">
        <f t="shared" si="69"/>
        <v/>
      </c>
      <c r="R723" s="150" t="str">
        <f t="shared" si="70"/>
        <v/>
      </c>
      <c r="S723" s="185" t="str">
        <f t="shared" si="71"/>
        <v/>
      </c>
    </row>
    <row r="724" spans="14:19" ht="14.4">
      <c r="N724" s="150" t="str">
        <f t="shared" si="66"/>
        <v/>
      </c>
      <c r="O724" s="150" t="str">
        <f t="shared" si="67"/>
        <v/>
      </c>
      <c r="P724" s="150" t="str">
        <f t="shared" si="68"/>
        <v/>
      </c>
      <c r="Q724" s="150" t="str">
        <f t="shared" si="69"/>
        <v/>
      </c>
      <c r="R724" s="150" t="str">
        <f t="shared" si="70"/>
        <v/>
      </c>
      <c r="S724" s="185" t="str">
        <f t="shared" si="71"/>
        <v/>
      </c>
    </row>
    <row r="725" spans="14:19" ht="14.4">
      <c r="N725" s="150" t="str">
        <f t="shared" si="66"/>
        <v/>
      </c>
      <c r="O725" s="150" t="str">
        <f t="shared" si="67"/>
        <v/>
      </c>
      <c r="P725" s="150" t="str">
        <f t="shared" si="68"/>
        <v/>
      </c>
      <c r="Q725" s="150" t="str">
        <f t="shared" si="69"/>
        <v/>
      </c>
      <c r="R725" s="150" t="str">
        <f t="shared" si="70"/>
        <v/>
      </c>
      <c r="S725" s="185" t="str">
        <f t="shared" si="71"/>
        <v/>
      </c>
    </row>
    <row r="726" spans="14:19" ht="14.4">
      <c r="N726" s="150" t="str">
        <f t="shared" si="66"/>
        <v/>
      </c>
      <c r="O726" s="150" t="str">
        <f t="shared" si="67"/>
        <v/>
      </c>
      <c r="P726" s="150" t="str">
        <f t="shared" si="68"/>
        <v/>
      </c>
      <c r="Q726" s="150" t="str">
        <f t="shared" si="69"/>
        <v/>
      </c>
      <c r="R726" s="150" t="str">
        <f t="shared" si="70"/>
        <v/>
      </c>
      <c r="S726" s="185" t="str">
        <f t="shared" si="71"/>
        <v/>
      </c>
    </row>
    <row r="727" spans="14:19" ht="14.4">
      <c r="N727" s="150" t="str">
        <f t="shared" si="66"/>
        <v/>
      </c>
      <c r="O727" s="150" t="str">
        <f t="shared" si="67"/>
        <v/>
      </c>
      <c r="P727" s="150" t="str">
        <f t="shared" si="68"/>
        <v/>
      </c>
      <c r="Q727" s="150" t="str">
        <f t="shared" si="69"/>
        <v/>
      </c>
      <c r="R727" s="150" t="str">
        <f t="shared" si="70"/>
        <v/>
      </c>
      <c r="S727" s="185" t="str">
        <f t="shared" si="71"/>
        <v/>
      </c>
    </row>
    <row r="728" spans="14:19" ht="14.4">
      <c r="N728" s="150" t="str">
        <f t="shared" si="66"/>
        <v/>
      </c>
      <c r="O728" s="150" t="str">
        <f t="shared" si="67"/>
        <v/>
      </c>
      <c r="P728" s="150" t="str">
        <f t="shared" si="68"/>
        <v/>
      </c>
      <c r="Q728" s="150" t="str">
        <f t="shared" si="69"/>
        <v/>
      </c>
      <c r="R728" s="150" t="str">
        <f t="shared" si="70"/>
        <v/>
      </c>
      <c r="S728" s="185" t="str">
        <f t="shared" si="71"/>
        <v/>
      </c>
    </row>
    <row r="729" spans="14:19" ht="14.4">
      <c r="N729" s="150" t="str">
        <f t="shared" si="66"/>
        <v/>
      </c>
      <c r="O729" s="150" t="str">
        <f t="shared" si="67"/>
        <v/>
      </c>
      <c r="P729" s="150" t="str">
        <f t="shared" si="68"/>
        <v/>
      </c>
      <c r="Q729" s="150" t="str">
        <f t="shared" si="69"/>
        <v/>
      </c>
      <c r="R729" s="150" t="str">
        <f t="shared" si="70"/>
        <v/>
      </c>
      <c r="S729" s="185" t="str">
        <f t="shared" si="71"/>
        <v/>
      </c>
    </row>
    <row r="730" spans="14:19" ht="14.4">
      <c r="N730" s="150" t="str">
        <f t="shared" si="66"/>
        <v/>
      </c>
      <c r="O730" s="150" t="str">
        <f t="shared" si="67"/>
        <v/>
      </c>
      <c r="P730" s="150" t="str">
        <f t="shared" si="68"/>
        <v/>
      </c>
      <c r="Q730" s="150" t="str">
        <f t="shared" si="69"/>
        <v/>
      </c>
      <c r="R730" s="150" t="str">
        <f t="shared" si="70"/>
        <v/>
      </c>
      <c r="S730" s="185" t="str">
        <f t="shared" si="71"/>
        <v/>
      </c>
    </row>
    <row r="731" spans="14:19" ht="14.4">
      <c r="N731" s="150" t="str">
        <f t="shared" si="66"/>
        <v/>
      </c>
      <c r="O731" s="150" t="str">
        <f t="shared" si="67"/>
        <v/>
      </c>
      <c r="P731" s="150" t="str">
        <f t="shared" si="68"/>
        <v/>
      </c>
      <c r="Q731" s="150" t="str">
        <f t="shared" si="69"/>
        <v/>
      </c>
      <c r="R731" s="150" t="str">
        <f t="shared" si="70"/>
        <v/>
      </c>
      <c r="S731" s="185" t="str">
        <f t="shared" si="71"/>
        <v/>
      </c>
    </row>
    <row r="732" spans="14:19" ht="14.4">
      <c r="N732" s="150" t="str">
        <f t="shared" si="66"/>
        <v/>
      </c>
      <c r="O732" s="150" t="str">
        <f t="shared" si="67"/>
        <v/>
      </c>
      <c r="P732" s="150" t="str">
        <f t="shared" si="68"/>
        <v/>
      </c>
      <c r="Q732" s="150" t="str">
        <f t="shared" si="69"/>
        <v/>
      </c>
      <c r="R732" s="150" t="str">
        <f t="shared" si="70"/>
        <v/>
      </c>
      <c r="S732" s="185" t="str">
        <f t="shared" si="71"/>
        <v/>
      </c>
    </row>
    <row r="733" spans="14:19" ht="14.4">
      <c r="N733" s="150" t="str">
        <f t="shared" si="66"/>
        <v/>
      </c>
      <c r="O733" s="150" t="str">
        <f t="shared" si="67"/>
        <v/>
      </c>
      <c r="P733" s="150" t="str">
        <f t="shared" si="68"/>
        <v/>
      </c>
      <c r="Q733" s="150" t="str">
        <f t="shared" si="69"/>
        <v/>
      </c>
      <c r="R733" s="150" t="str">
        <f t="shared" si="70"/>
        <v/>
      </c>
      <c r="S733" s="185" t="str">
        <f t="shared" si="71"/>
        <v/>
      </c>
    </row>
    <row r="734" spans="14:19" ht="14.4">
      <c r="N734" s="150" t="str">
        <f t="shared" si="66"/>
        <v/>
      </c>
      <c r="O734" s="150" t="str">
        <f t="shared" si="67"/>
        <v/>
      </c>
      <c r="P734" s="150" t="str">
        <f t="shared" si="68"/>
        <v/>
      </c>
      <c r="Q734" s="150" t="str">
        <f t="shared" si="69"/>
        <v/>
      </c>
      <c r="R734" s="150" t="str">
        <f t="shared" si="70"/>
        <v/>
      </c>
      <c r="S734" s="185" t="str">
        <f t="shared" si="71"/>
        <v/>
      </c>
    </row>
    <row r="735" spans="14:19" ht="14.4">
      <c r="N735" s="150" t="str">
        <f t="shared" si="66"/>
        <v/>
      </c>
      <c r="O735" s="150" t="str">
        <f t="shared" si="67"/>
        <v/>
      </c>
      <c r="P735" s="150" t="str">
        <f t="shared" si="68"/>
        <v/>
      </c>
      <c r="Q735" s="150" t="str">
        <f t="shared" si="69"/>
        <v/>
      </c>
      <c r="R735" s="150" t="str">
        <f t="shared" si="70"/>
        <v/>
      </c>
      <c r="S735" s="185" t="str">
        <f t="shared" si="71"/>
        <v/>
      </c>
    </row>
    <row r="736" spans="14:19" ht="14.4">
      <c r="N736" s="150" t="str">
        <f t="shared" si="66"/>
        <v/>
      </c>
      <c r="O736" s="150" t="str">
        <f t="shared" si="67"/>
        <v/>
      </c>
      <c r="P736" s="150" t="str">
        <f t="shared" si="68"/>
        <v/>
      </c>
      <c r="Q736" s="150" t="str">
        <f t="shared" si="69"/>
        <v/>
      </c>
      <c r="R736" s="150" t="str">
        <f t="shared" si="70"/>
        <v/>
      </c>
      <c r="S736" s="185" t="str">
        <f t="shared" si="71"/>
        <v/>
      </c>
    </row>
    <row r="737" spans="14:19" ht="14.4">
      <c r="N737" s="150" t="str">
        <f t="shared" si="66"/>
        <v/>
      </c>
      <c r="O737" s="150" t="str">
        <f t="shared" si="67"/>
        <v/>
      </c>
      <c r="P737" s="150" t="str">
        <f t="shared" si="68"/>
        <v/>
      </c>
      <c r="Q737" s="150" t="str">
        <f t="shared" si="69"/>
        <v/>
      </c>
      <c r="R737" s="150" t="str">
        <f t="shared" si="70"/>
        <v/>
      </c>
      <c r="S737" s="185" t="str">
        <f t="shared" si="71"/>
        <v/>
      </c>
    </row>
    <row r="738" spans="14:19" ht="14.4">
      <c r="N738" s="150" t="str">
        <f t="shared" si="66"/>
        <v/>
      </c>
      <c r="O738" s="150" t="str">
        <f t="shared" si="67"/>
        <v/>
      </c>
      <c r="P738" s="150" t="str">
        <f t="shared" si="68"/>
        <v/>
      </c>
      <c r="Q738" s="150" t="str">
        <f t="shared" si="69"/>
        <v/>
      </c>
      <c r="R738" s="150" t="str">
        <f t="shared" si="70"/>
        <v/>
      </c>
      <c r="S738" s="185" t="str">
        <f t="shared" si="71"/>
        <v/>
      </c>
    </row>
    <row r="739" spans="14:19" ht="14.4">
      <c r="N739" s="150" t="str">
        <f t="shared" si="66"/>
        <v/>
      </c>
      <c r="O739" s="150" t="str">
        <f t="shared" si="67"/>
        <v/>
      </c>
      <c r="P739" s="150" t="str">
        <f t="shared" si="68"/>
        <v/>
      </c>
      <c r="Q739" s="150" t="str">
        <f t="shared" si="69"/>
        <v/>
      </c>
      <c r="R739" s="150" t="str">
        <f t="shared" si="70"/>
        <v/>
      </c>
      <c r="S739" s="185" t="str">
        <f t="shared" si="71"/>
        <v/>
      </c>
    </row>
    <row r="740" spans="14:19" ht="14.4">
      <c r="N740" s="150" t="str">
        <f t="shared" si="66"/>
        <v/>
      </c>
      <c r="O740" s="150" t="str">
        <f t="shared" si="67"/>
        <v/>
      </c>
      <c r="P740" s="150" t="str">
        <f t="shared" si="68"/>
        <v/>
      </c>
      <c r="Q740" s="150" t="str">
        <f t="shared" si="69"/>
        <v/>
      </c>
      <c r="R740" s="150" t="str">
        <f t="shared" si="70"/>
        <v/>
      </c>
      <c r="S740" s="185" t="str">
        <f t="shared" si="71"/>
        <v/>
      </c>
    </row>
    <row r="741" spans="14:19" ht="14.4">
      <c r="N741" s="150" t="str">
        <f t="shared" si="66"/>
        <v/>
      </c>
      <c r="O741" s="150" t="str">
        <f t="shared" si="67"/>
        <v/>
      </c>
      <c r="P741" s="150" t="str">
        <f t="shared" si="68"/>
        <v/>
      </c>
      <c r="Q741" s="150" t="str">
        <f t="shared" si="69"/>
        <v/>
      </c>
      <c r="R741" s="150" t="str">
        <f t="shared" si="70"/>
        <v/>
      </c>
      <c r="S741" s="185" t="str">
        <f t="shared" si="71"/>
        <v/>
      </c>
    </row>
    <row r="742" spans="14:19" ht="14.4">
      <c r="N742" s="150" t="str">
        <f t="shared" si="66"/>
        <v/>
      </c>
      <c r="O742" s="150" t="str">
        <f t="shared" si="67"/>
        <v/>
      </c>
      <c r="P742" s="150" t="str">
        <f t="shared" si="68"/>
        <v/>
      </c>
      <c r="Q742" s="150" t="str">
        <f t="shared" si="69"/>
        <v/>
      </c>
      <c r="R742" s="150" t="str">
        <f t="shared" si="70"/>
        <v/>
      </c>
      <c r="S742" s="185" t="str">
        <f t="shared" si="71"/>
        <v/>
      </c>
    </row>
    <row r="743" spans="14:19" ht="14.4">
      <c r="N743" s="150" t="str">
        <f t="shared" si="66"/>
        <v/>
      </c>
      <c r="O743" s="150" t="str">
        <f t="shared" si="67"/>
        <v/>
      </c>
      <c r="P743" s="150" t="str">
        <f t="shared" si="68"/>
        <v/>
      </c>
      <c r="Q743" s="150" t="str">
        <f t="shared" si="69"/>
        <v/>
      </c>
      <c r="R743" s="150" t="str">
        <f t="shared" si="70"/>
        <v/>
      </c>
      <c r="S743" s="185" t="str">
        <f t="shared" si="71"/>
        <v/>
      </c>
    </row>
    <row r="744" spans="14:19" ht="14.4">
      <c r="N744" s="150" t="str">
        <f t="shared" si="66"/>
        <v/>
      </c>
      <c r="O744" s="150" t="str">
        <f t="shared" si="67"/>
        <v/>
      </c>
      <c r="P744" s="150" t="str">
        <f t="shared" si="68"/>
        <v/>
      </c>
      <c r="Q744" s="150" t="str">
        <f t="shared" si="69"/>
        <v/>
      </c>
      <c r="R744" s="150" t="str">
        <f t="shared" si="70"/>
        <v/>
      </c>
      <c r="S744" s="185" t="str">
        <f t="shared" si="71"/>
        <v/>
      </c>
    </row>
    <row r="745" spans="14:19" ht="14.4">
      <c r="N745" s="150" t="str">
        <f t="shared" si="66"/>
        <v/>
      </c>
      <c r="O745" s="150" t="str">
        <f t="shared" si="67"/>
        <v/>
      </c>
      <c r="P745" s="150" t="str">
        <f t="shared" si="68"/>
        <v/>
      </c>
      <c r="Q745" s="150" t="str">
        <f t="shared" si="69"/>
        <v/>
      </c>
      <c r="R745" s="150" t="str">
        <f t="shared" si="70"/>
        <v/>
      </c>
      <c r="S745" s="185" t="str">
        <f t="shared" si="71"/>
        <v/>
      </c>
    </row>
    <row r="746" spans="14:19" ht="14.4">
      <c r="N746" s="150" t="str">
        <f t="shared" si="66"/>
        <v/>
      </c>
      <c r="O746" s="150" t="str">
        <f t="shared" si="67"/>
        <v/>
      </c>
      <c r="P746" s="150" t="str">
        <f t="shared" si="68"/>
        <v/>
      </c>
      <c r="Q746" s="150" t="str">
        <f t="shared" si="69"/>
        <v/>
      </c>
      <c r="R746" s="150" t="str">
        <f t="shared" si="70"/>
        <v/>
      </c>
      <c r="S746" s="185" t="str">
        <f t="shared" si="71"/>
        <v/>
      </c>
    </row>
    <row r="747" spans="14:19" ht="14.4">
      <c r="N747" s="150" t="str">
        <f t="shared" si="66"/>
        <v/>
      </c>
      <c r="O747" s="150" t="str">
        <f t="shared" si="67"/>
        <v/>
      </c>
      <c r="P747" s="150" t="str">
        <f t="shared" si="68"/>
        <v/>
      </c>
      <c r="Q747" s="150" t="str">
        <f t="shared" si="69"/>
        <v/>
      </c>
      <c r="R747" s="150" t="str">
        <f t="shared" si="70"/>
        <v/>
      </c>
      <c r="S747" s="185" t="str">
        <f t="shared" si="71"/>
        <v/>
      </c>
    </row>
    <row r="748" spans="14:19" ht="14.4">
      <c r="N748" s="150" t="str">
        <f t="shared" si="66"/>
        <v/>
      </c>
      <c r="O748" s="150" t="str">
        <f t="shared" si="67"/>
        <v/>
      </c>
      <c r="P748" s="150" t="str">
        <f t="shared" si="68"/>
        <v/>
      </c>
      <c r="Q748" s="150" t="str">
        <f t="shared" si="69"/>
        <v/>
      </c>
      <c r="R748" s="150" t="str">
        <f t="shared" si="70"/>
        <v/>
      </c>
      <c r="S748" s="185" t="str">
        <f t="shared" si="71"/>
        <v/>
      </c>
    </row>
    <row r="749" spans="14:19" ht="14.4">
      <c r="N749" s="150" t="str">
        <f t="shared" si="66"/>
        <v/>
      </c>
      <c r="O749" s="150" t="str">
        <f t="shared" si="67"/>
        <v/>
      </c>
      <c r="P749" s="150" t="str">
        <f t="shared" si="68"/>
        <v/>
      </c>
      <c r="Q749" s="150" t="str">
        <f t="shared" si="69"/>
        <v/>
      </c>
      <c r="R749" s="150" t="str">
        <f t="shared" si="70"/>
        <v/>
      </c>
      <c r="S749" s="185" t="str">
        <f t="shared" si="71"/>
        <v/>
      </c>
    </row>
    <row r="750" spans="14:19" ht="14.4">
      <c r="N750" s="150" t="str">
        <f t="shared" si="66"/>
        <v/>
      </c>
      <c r="O750" s="150" t="str">
        <f t="shared" si="67"/>
        <v/>
      </c>
      <c r="P750" s="150" t="str">
        <f t="shared" si="68"/>
        <v/>
      </c>
      <c r="Q750" s="150" t="str">
        <f t="shared" si="69"/>
        <v/>
      </c>
      <c r="R750" s="150" t="str">
        <f t="shared" si="70"/>
        <v/>
      </c>
      <c r="S750" s="185" t="str">
        <f t="shared" si="71"/>
        <v/>
      </c>
    </row>
    <row r="751" spans="14:19" ht="14.4">
      <c r="N751" s="150" t="str">
        <f t="shared" si="66"/>
        <v/>
      </c>
      <c r="O751" s="150" t="str">
        <f t="shared" si="67"/>
        <v/>
      </c>
      <c r="P751" s="150" t="str">
        <f t="shared" si="68"/>
        <v/>
      </c>
      <c r="Q751" s="150" t="str">
        <f t="shared" si="69"/>
        <v/>
      </c>
      <c r="R751" s="150" t="str">
        <f t="shared" si="70"/>
        <v/>
      </c>
      <c r="S751" s="185" t="str">
        <f t="shared" si="71"/>
        <v/>
      </c>
    </row>
    <row r="752" spans="14:19" ht="14.4">
      <c r="N752" s="150" t="str">
        <f t="shared" si="66"/>
        <v/>
      </c>
      <c r="O752" s="150" t="str">
        <f t="shared" si="67"/>
        <v/>
      </c>
      <c r="P752" s="150" t="str">
        <f t="shared" si="68"/>
        <v/>
      </c>
      <c r="Q752" s="150" t="str">
        <f t="shared" si="69"/>
        <v/>
      </c>
      <c r="R752" s="150" t="str">
        <f t="shared" si="70"/>
        <v/>
      </c>
      <c r="S752" s="185" t="str">
        <f t="shared" si="71"/>
        <v/>
      </c>
    </row>
    <row r="753" spans="14:19" ht="14.4">
      <c r="N753" s="150" t="str">
        <f t="shared" si="66"/>
        <v/>
      </c>
      <c r="O753" s="150" t="str">
        <f t="shared" si="67"/>
        <v/>
      </c>
      <c r="P753" s="150" t="str">
        <f t="shared" si="68"/>
        <v/>
      </c>
      <c r="Q753" s="150" t="str">
        <f t="shared" si="69"/>
        <v/>
      </c>
      <c r="R753" s="150" t="str">
        <f t="shared" si="70"/>
        <v/>
      </c>
      <c r="S753" s="185" t="str">
        <f t="shared" si="71"/>
        <v/>
      </c>
    </row>
    <row r="754" spans="14:19" ht="14.4">
      <c r="N754" s="150" t="str">
        <f t="shared" si="66"/>
        <v/>
      </c>
      <c r="O754" s="150" t="str">
        <f t="shared" si="67"/>
        <v/>
      </c>
      <c r="P754" s="150" t="str">
        <f t="shared" si="68"/>
        <v/>
      </c>
      <c r="Q754" s="150" t="str">
        <f t="shared" si="69"/>
        <v/>
      </c>
      <c r="R754" s="150" t="str">
        <f t="shared" si="70"/>
        <v/>
      </c>
      <c r="S754" s="185" t="str">
        <f t="shared" si="71"/>
        <v/>
      </c>
    </row>
    <row r="755" spans="14:19" ht="14.4">
      <c r="N755" s="150" t="str">
        <f t="shared" si="66"/>
        <v/>
      </c>
      <c r="O755" s="150" t="str">
        <f t="shared" si="67"/>
        <v/>
      </c>
      <c r="P755" s="150" t="str">
        <f t="shared" si="68"/>
        <v/>
      </c>
      <c r="Q755" s="150" t="str">
        <f t="shared" si="69"/>
        <v/>
      </c>
      <c r="R755" s="150" t="str">
        <f t="shared" si="70"/>
        <v/>
      </c>
      <c r="S755" s="185" t="str">
        <f t="shared" si="71"/>
        <v/>
      </c>
    </row>
    <row r="756" spans="14:19" ht="14.4">
      <c r="N756" s="150" t="str">
        <f t="shared" si="66"/>
        <v/>
      </c>
      <c r="O756" s="150" t="str">
        <f t="shared" si="67"/>
        <v/>
      </c>
      <c r="P756" s="150" t="str">
        <f t="shared" si="68"/>
        <v/>
      </c>
      <c r="Q756" s="150" t="str">
        <f t="shared" si="69"/>
        <v/>
      </c>
      <c r="R756" s="150" t="str">
        <f t="shared" si="70"/>
        <v/>
      </c>
      <c r="S756" s="185" t="str">
        <f t="shared" si="71"/>
        <v/>
      </c>
    </row>
    <row r="757" spans="14:19" ht="14.4">
      <c r="N757" s="150" t="str">
        <f t="shared" si="66"/>
        <v/>
      </c>
      <c r="O757" s="150" t="str">
        <f t="shared" si="67"/>
        <v/>
      </c>
      <c r="P757" s="150" t="str">
        <f t="shared" si="68"/>
        <v/>
      </c>
      <c r="Q757" s="150" t="str">
        <f t="shared" si="69"/>
        <v/>
      </c>
      <c r="R757" s="150" t="str">
        <f t="shared" si="70"/>
        <v/>
      </c>
      <c r="S757" s="185" t="str">
        <f t="shared" si="71"/>
        <v/>
      </c>
    </row>
    <row r="758" spans="14:19" ht="14.4">
      <c r="N758" s="150" t="str">
        <f t="shared" si="66"/>
        <v/>
      </c>
      <c r="O758" s="150" t="str">
        <f t="shared" si="67"/>
        <v/>
      </c>
      <c r="P758" s="150" t="str">
        <f t="shared" si="68"/>
        <v/>
      </c>
      <c r="Q758" s="150" t="str">
        <f t="shared" si="69"/>
        <v/>
      </c>
      <c r="R758" s="150" t="str">
        <f t="shared" si="70"/>
        <v/>
      </c>
      <c r="S758" s="185" t="str">
        <f t="shared" si="71"/>
        <v/>
      </c>
    </row>
    <row r="759" spans="14:19" ht="14.4">
      <c r="N759" s="150" t="str">
        <f t="shared" si="66"/>
        <v/>
      </c>
      <c r="O759" s="150" t="str">
        <f t="shared" si="67"/>
        <v/>
      </c>
      <c r="P759" s="150" t="str">
        <f t="shared" si="68"/>
        <v/>
      </c>
      <c r="Q759" s="150" t="str">
        <f t="shared" si="69"/>
        <v/>
      </c>
      <c r="R759" s="150" t="str">
        <f t="shared" si="70"/>
        <v/>
      </c>
      <c r="S759" s="185" t="str">
        <f t="shared" si="71"/>
        <v/>
      </c>
    </row>
    <row r="760" spans="14:19" ht="14.4">
      <c r="N760" s="150" t="str">
        <f t="shared" si="66"/>
        <v/>
      </c>
      <c r="O760" s="150" t="str">
        <f t="shared" si="67"/>
        <v/>
      </c>
      <c r="P760" s="150" t="str">
        <f t="shared" si="68"/>
        <v/>
      </c>
      <c r="Q760" s="150" t="str">
        <f t="shared" si="69"/>
        <v/>
      </c>
      <c r="R760" s="150" t="str">
        <f t="shared" si="70"/>
        <v/>
      </c>
      <c r="S760" s="185" t="str">
        <f t="shared" si="71"/>
        <v/>
      </c>
    </row>
    <row r="761" spans="14:19" ht="14.4">
      <c r="N761" s="150" t="str">
        <f t="shared" si="66"/>
        <v/>
      </c>
      <c r="O761" s="150" t="str">
        <f t="shared" si="67"/>
        <v/>
      </c>
      <c r="P761" s="150" t="str">
        <f t="shared" si="68"/>
        <v/>
      </c>
      <c r="Q761" s="150" t="str">
        <f t="shared" si="69"/>
        <v/>
      </c>
      <c r="R761" s="150" t="str">
        <f t="shared" si="70"/>
        <v/>
      </c>
      <c r="S761" s="185" t="str">
        <f t="shared" si="71"/>
        <v/>
      </c>
    </row>
    <row r="762" spans="14:19" ht="14.4">
      <c r="N762" s="150" t="str">
        <f t="shared" si="66"/>
        <v/>
      </c>
      <c r="O762" s="150" t="str">
        <f t="shared" si="67"/>
        <v/>
      </c>
      <c r="P762" s="150" t="str">
        <f t="shared" si="68"/>
        <v/>
      </c>
      <c r="Q762" s="150" t="str">
        <f t="shared" si="69"/>
        <v/>
      </c>
      <c r="R762" s="150" t="str">
        <f t="shared" si="70"/>
        <v/>
      </c>
      <c r="S762" s="185" t="str">
        <f t="shared" si="71"/>
        <v/>
      </c>
    </row>
    <row r="763" spans="14:19" ht="14.4">
      <c r="N763" s="150" t="str">
        <f t="shared" si="66"/>
        <v/>
      </c>
      <c r="O763" s="150" t="str">
        <f t="shared" si="67"/>
        <v/>
      </c>
      <c r="P763" s="150" t="str">
        <f t="shared" si="68"/>
        <v/>
      </c>
      <c r="Q763" s="150" t="str">
        <f t="shared" si="69"/>
        <v/>
      </c>
      <c r="R763" s="150" t="str">
        <f t="shared" si="70"/>
        <v/>
      </c>
      <c r="S763" s="185" t="str">
        <f t="shared" si="71"/>
        <v/>
      </c>
    </row>
    <row r="764" spans="14:19" ht="14.4">
      <c r="N764" s="150" t="str">
        <f t="shared" si="66"/>
        <v/>
      </c>
      <c r="O764" s="150" t="str">
        <f t="shared" si="67"/>
        <v/>
      </c>
      <c r="P764" s="150" t="str">
        <f t="shared" si="68"/>
        <v/>
      </c>
      <c r="Q764" s="150" t="str">
        <f t="shared" si="69"/>
        <v/>
      </c>
      <c r="R764" s="150" t="str">
        <f t="shared" si="70"/>
        <v/>
      </c>
      <c r="S764" s="185" t="str">
        <f t="shared" si="71"/>
        <v/>
      </c>
    </row>
    <row r="765" spans="14:19" ht="14.4">
      <c r="N765" s="150" t="str">
        <f t="shared" si="66"/>
        <v/>
      </c>
      <c r="O765" s="150" t="str">
        <f t="shared" si="67"/>
        <v/>
      </c>
      <c r="P765" s="150" t="str">
        <f t="shared" si="68"/>
        <v/>
      </c>
      <c r="Q765" s="150" t="str">
        <f t="shared" si="69"/>
        <v/>
      </c>
      <c r="R765" s="150" t="str">
        <f t="shared" si="70"/>
        <v/>
      </c>
      <c r="S765" s="185" t="str">
        <f t="shared" si="71"/>
        <v/>
      </c>
    </row>
    <row r="766" spans="14:19" ht="14.4">
      <c r="N766" s="150" t="str">
        <f t="shared" si="66"/>
        <v/>
      </c>
      <c r="O766" s="150" t="str">
        <f t="shared" si="67"/>
        <v/>
      </c>
      <c r="P766" s="150" t="str">
        <f t="shared" si="68"/>
        <v/>
      </c>
      <c r="Q766" s="150" t="str">
        <f t="shared" si="69"/>
        <v/>
      </c>
      <c r="R766" s="150" t="str">
        <f t="shared" si="70"/>
        <v/>
      </c>
      <c r="S766" s="185" t="str">
        <f t="shared" si="71"/>
        <v/>
      </c>
    </row>
    <row r="767" spans="14:19" ht="14.4">
      <c r="N767" s="150" t="str">
        <f t="shared" si="66"/>
        <v/>
      </c>
      <c r="O767" s="150" t="str">
        <f t="shared" si="67"/>
        <v/>
      </c>
      <c r="P767" s="150" t="str">
        <f t="shared" si="68"/>
        <v/>
      </c>
      <c r="Q767" s="150" t="str">
        <f t="shared" si="69"/>
        <v/>
      </c>
      <c r="R767" s="150" t="str">
        <f t="shared" si="70"/>
        <v/>
      </c>
      <c r="S767" s="185" t="str">
        <f t="shared" si="71"/>
        <v/>
      </c>
    </row>
    <row r="768" spans="14:19" ht="14.4">
      <c r="N768" s="150" t="str">
        <f t="shared" si="66"/>
        <v/>
      </c>
      <c r="O768" s="150" t="str">
        <f t="shared" si="67"/>
        <v/>
      </c>
      <c r="P768" s="150" t="str">
        <f t="shared" si="68"/>
        <v/>
      </c>
      <c r="Q768" s="150" t="str">
        <f t="shared" si="69"/>
        <v/>
      </c>
      <c r="R768" s="150" t="str">
        <f t="shared" si="70"/>
        <v/>
      </c>
      <c r="S768" s="185" t="str">
        <f t="shared" si="71"/>
        <v/>
      </c>
    </row>
    <row r="769" spans="14:19" ht="14.4">
      <c r="N769" s="150" t="str">
        <f t="shared" si="66"/>
        <v/>
      </c>
      <c r="O769" s="150" t="str">
        <f t="shared" si="67"/>
        <v/>
      </c>
      <c r="P769" s="150" t="str">
        <f t="shared" si="68"/>
        <v/>
      </c>
      <c r="Q769" s="150" t="str">
        <f t="shared" si="69"/>
        <v/>
      </c>
      <c r="R769" s="150" t="str">
        <f t="shared" si="70"/>
        <v/>
      </c>
      <c r="S769" s="185" t="str">
        <f t="shared" si="71"/>
        <v/>
      </c>
    </row>
    <row r="770" spans="14:19" ht="14.4">
      <c r="N770" s="150" t="str">
        <f t="shared" si="66"/>
        <v/>
      </c>
      <c r="O770" s="150" t="str">
        <f t="shared" si="67"/>
        <v/>
      </c>
      <c r="P770" s="150" t="str">
        <f t="shared" si="68"/>
        <v/>
      </c>
      <c r="Q770" s="150" t="str">
        <f t="shared" si="69"/>
        <v/>
      </c>
      <c r="R770" s="150" t="str">
        <f t="shared" si="70"/>
        <v/>
      </c>
      <c r="S770" s="185" t="str">
        <f t="shared" si="71"/>
        <v/>
      </c>
    </row>
    <row r="771" spans="14:19" ht="14.4">
      <c r="N771" s="150" t="str">
        <f t="shared" ref="N771:N834" si="72">IF(LEN(A771)&gt;18,A771,"")</f>
        <v/>
      </c>
      <c r="O771" s="150" t="str">
        <f t="shared" ref="O771:O834" si="73">IF(ISNUMBER(IF(N771="",B771,"")),B771,"")</f>
        <v/>
      </c>
      <c r="P771" s="150" t="str">
        <f t="shared" ref="P771:P834" si="74">IF(ISNUMBER(IF($N771="",C771,"")),C771,"")</f>
        <v/>
      </c>
      <c r="Q771" s="150" t="str">
        <f t="shared" ref="Q771:Q834" si="75">IF(ISNUMBER(IF($N771="",D771,"")),D771,"")</f>
        <v/>
      </c>
      <c r="R771" s="150" t="str">
        <f t="shared" ref="R771:R834" si="76">IF(ISNUMBER(IF($N771="",F771,"")),F771,"")</f>
        <v/>
      </c>
      <c r="S771" s="185" t="str">
        <f t="shared" ref="S771:S834" si="77">IF(ISNUMBER(IF($N771="",H771,"")),H771,"")</f>
        <v/>
      </c>
    </row>
    <row r="772" spans="14:19" ht="14.4">
      <c r="N772" s="150" t="str">
        <f t="shared" si="72"/>
        <v/>
      </c>
      <c r="O772" s="150" t="str">
        <f t="shared" si="73"/>
        <v/>
      </c>
      <c r="P772" s="150" t="str">
        <f t="shared" si="74"/>
        <v/>
      </c>
      <c r="Q772" s="150" t="str">
        <f t="shared" si="75"/>
        <v/>
      </c>
      <c r="R772" s="150" t="str">
        <f t="shared" si="76"/>
        <v/>
      </c>
      <c r="S772" s="185" t="str">
        <f t="shared" si="77"/>
        <v/>
      </c>
    </row>
    <row r="773" spans="14:19" ht="14.4">
      <c r="N773" s="150" t="str">
        <f t="shared" si="72"/>
        <v/>
      </c>
      <c r="O773" s="150" t="str">
        <f t="shared" si="73"/>
        <v/>
      </c>
      <c r="P773" s="150" t="str">
        <f t="shared" si="74"/>
        <v/>
      </c>
      <c r="Q773" s="150" t="str">
        <f t="shared" si="75"/>
        <v/>
      </c>
      <c r="R773" s="150" t="str">
        <f t="shared" si="76"/>
        <v/>
      </c>
      <c r="S773" s="185" t="str">
        <f t="shared" si="77"/>
        <v/>
      </c>
    </row>
    <row r="774" spans="14:19" ht="14.4">
      <c r="N774" s="150" t="str">
        <f t="shared" si="72"/>
        <v/>
      </c>
      <c r="O774" s="150" t="str">
        <f t="shared" si="73"/>
        <v/>
      </c>
      <c r="P774" s="150" t="str">
        <f t="shared" si="74"/>
        <v/>
      </c>
      <c r="Q774" s="150" t="str">
        <f t="shared" si="75"/>
        <v/>
      </c>
      <c r="R774" s="150" t="str">
        <f t="shared" si="76"/>
        <v/>
      </c>
      <c r="S774" s="185" t="str">
        <f t="shared" si="77"/>
        <v/>
      </c>
    </row>
    <row r="775" spans="14:19" ht="14.4">
      <c r="N775" s="150" t="str">
        <f t="shared" si="72"/>
        <v/>
      </c>
      <c r="O775" s="150" t="str">
        <f t="shared" si="73"/>
        <v/>
      </c>
      <c r="P775" s="150" t="str">
        <f t="shared" si="74"/>
        <v/>
      </c>
      <c r="Q775" s="150" t="str">
        <f t="shared" si="75"/>
        <v/>
      </c>
      <c r="R775" s="150" t="str">
        <f t="shared" si="76"/>
        <v/>
      </c>
      <c r="S775" s="185" t="str">
        <f t="shared" si="77"/>
        <v/>
      </c>
    </row>
    <row r="776" spans="14:19" ht="14.4">
      <c r="N776" s="150" t="str">
        <f t="shared" si="72"/>
        <v/>
      </c>
      <c r="O776" s="150" t="str">
        <f t="shared" si="73"/>
        <v/>
      </c>
      <c r="P776" s="150" t="str">
        <f t="shared" si="74"/>
        <v/>
      </c>
      <c r="Q776" s="150" t="str">
        <f t="shared" si="75"/>
        <v/>
      </c>
      <c r="R776" s="150" t="str">
        <f t="shared" si="76"/>
        <v/>
      </c>
      <c r="S776" s="185" t="str">
        <f t="shared" si="77"/>
        <v/>
      </c>
    </row>
    <row r="777" spans="14:19" ht="14.4">
      <c r="N777" s="150" t="str">
        <f t="shared" si="72"/>
        <v/>
      </c>
      <c r="O777" s="150" t="str">
        <f t="shared" si="73"/>
        <v/>
      </c>
      <c r="P777" s="150" t="str">
        <f t="shared" si="74"/>
        <v/>
      </c>
      <c r="Q777" s="150" t="str">
        <f t="shared" si="75"/>
        <v/>
      </c>
      <c r="R777" s="150" t="str">
        <f t="shared" si="76"/>
        <v/>
      </c>
      <c r="S777" s="185" t="str">
        <f t="shared" si="77"/>
        <v/>
      </c>
    </row>
    <row r="778" spans="14:19" ht="14.4">
      <c r="N778" s="150" t="str">
        <f t="shared" si="72"/>
        <v/>
      </c>
      <c r="O778" s="150" t="str">
        <f t="shared" si="73"/>
        <v/>
      </c>
      <c r="P778" s="150" t="str">
        <f t="shared" si="74"/>
        <v/>
      </c>
      <c r="Q778" s="150" t="str">
        <f t="shared" si="75"/>
        <v/>
      </c>
      <c r="R778" s="150" t="str">
        <f t="shared" si="76"/>
        <v/>
      </c>
      <c r="S778" s="185" t="str">
        <f t="shared" si="77"/>
        <v/>
      </c>
    </row>
    <row r="779" spans="14:19" ht="14.4">
      <c r="N779" s="150" t="str">
        <f t="shared" si="72"/>
        <v/>
      </c>
      <c r="O779" s="150" t="str">
        <f t="shared" si="73"/>
        <v/>
      </c>
      <c r="P779" s="150" t="str">
        <f t="shared" si="74"/>
        <v/>
      </c>
      <c r="Q779" s="150" t="str">
        <f t="shared" si="75"/>
        <v/>
      </c>
      <c r="R779" s="150" t="str">
        <f t="shared" si="76"/>
        <v/>
      </c>
      <c r="S779" s="185" t="str">
        <f t="shared" si="77"/>
        <v/>
      </c>
    </row>
    <row r="780" spans="14:19" ht="14.4">
      <c r="N780" s="150" t="str">
        <f t="shared" si="72"/>
        <v/>
      </c>
      <c r="O780" s="150" t="str">
        <f t="shared" si="73"/>
        <v/>
      </c>
      <c r="P780" s="150" t="str">
        <f t="shared" si="74"/>
        <v/>
      </c>
      <c r="Q780" s="150" t="str">
        <f t="shared" si="75"/>
        <v/>
      </c>
      <c r="R780" s="150" t="str">
        <f t="shared" si="76"/>
        <v/>
      </c>
      <c r="S780" s="185" t="str">
        <f t="shared" si="77"/>
        <v/>
      </c>
    </row>
    <row r="781" spans="14:19" ht="14.4">
      <c r="N781" s="150" t="str">
        <f t="shared" si="72"/>
        <v/>
      </c>
      <c r="O781" s="150" t="str">
        <f t="shared" si="73"/>
        <v/>
      </c>
      <c r="P781" s="150" t="str">
        <f t="shared" si="74"/>
        <v/>
      </c>
      <c r="Q781" s="150" t="str">
        <f t="shared" si="75"/>
        <v/>
      </c>
      <c r="R781" s="150" t="str">
        <f t="shared" si="76"/>
        <v/>
      </c>
      <c r="S781" s="185" t="str">
        <f t="shared" si="77"/>
        <v/>
      </c>
    </row>
    <row r="782" spans="14:19" ht="14.4">
      <c r="N782" s="150" t="str">
        <f t="shared" si="72"/>
        <v/>
      </c>
      <c r="O782" s="150" t="str">
        <f t="shared" si="73"/>
        <v/>
      </c>
      <c r="P782" s="150" t="str">
        <f t="shared" si="74"/>
        <v/>
      </c>
      <c r="Q782" s="150" t="str">
        <f t="shared" si="75"/>
        <v/>
      </c>
      <c r="R782" s="150" t="str">
        <f t="shared" si="76"/>
        <v/>
      </c>
      <c r="S782" s="185" t="str">
        <f t="shared" si="77"/>
        <v/>
      </c>
    </row>
    <row r="783" spans="14:19" ht="14.4">
      <c r="N783" s="150" t="str">
        <f t="shared" si="72"/>
        <v/>
      </c>
      <c r="O783" s="150" t="str">
        <f t="shared" si="73"/>
        <v/>
      </c>
      <c r="P783" s="150" t="str">
        <f t="shared" si="74"/>
        <v/>
      </c>
      <c r="Q783" s="150" t="str">
        <f t="shared" si="75"/>
        <v/>
      </c>
      <c r="R783" s="150" t="str">
        <f t="shared" si="76"/>
        <v/>
      </c>
      <c r="S783" s="185" t="str">
        <f t="shared" si="77"/>
        <v/>
      </c>
    </row>
    <row r="784" spans="14:19" ht="14.4">
      <c r="N784" s="150" t="str">
        <f t="shared" si="72"/>
        <v/>
      </c>
      <c r="O784" s="150" t="str">
        <f t="shared" si="73"/>
        <v/>
      </c>
      <c r="P784" s="150" t="str">
        <f t="shared" si="74"/>
        <v/>
      </c>
      <c r="Q784" s="150" t="str">
        <f t="shared" si="75"/>
        <v/>
      </c>
      <c r="R784" s="150" t="str">
        <f t="shared" si="76"/>
        <v/>
      </c>
      <c r="S784" s="185" t="str">
        <f t="shared" si="77"/>
        <v/>
      </c>
    </row>
    <row r="785" spans="14:19" ht="14.4">
      <c r="N785" s="150" t="str">
        <f t="shared" si="72"/>
        <v/>
      </c>
      <c r="O785" s="150" t="str">
        <f t="shared" si="73"/>
        <v/>
      </c>
      <c r="P785" s="150" t="str">
        <f t="shared" si="74"/>
        <v/>
      </c>
      <c r="Q785" s="150" t="str">
        <f t="shared" si="75"/>
        <v/>
      </c>
      <c r="R785" s="150" t="str">
        <f t="shared" si="76"/>
        <v/>
      </c>
      <c r="S785" s="185" t="str">
        <f t="shared" si="77"/>
        <v/>
      </c>
    </row>
    <row r="786" spans="14:19" ht="14.4">
      <c r="N786" s="150" t="str">
        <f t="shared" si="72"/>
        <v/>
      </c>
      <c r="O786" s="150" t="str">
        <f t="shared" si="73"/>
        <v/>
      </c>
      <c r="P786" s="150" t="str">
        <f t="shared" si="74"/>
        <v/>
      </c>
      <c r="Q786" s="150" t="str">
        <f t="shared" si="75"/>
        <v/>
      </c>
      <c r="R786" s="150" t="str">
        <f t="shared" si="76"/>
        <v/>
      </c>
      <c r="S786" s="185" t="str">
        <f t="shared" si="77"/>
        <v/>
      </c>
    </row>
    <row r="787" spans="14:19" ht="14.4">
      <c r="N787" s="150" t="str">
        <f t="shared" si="72"/>
        <v/>
      </c>
      <c r="O787" s="150" t="str">
        <f t="shared" si="73"/>
        <v/>
      </c>
      <c r="P787" s="150" t="str">
        <f t="shared" si="74"/>
        <v/>
      </c>
      <c r="Q787" s="150" t="str">
        <f t="shared" si="75"/>
        <v/>
      </c>
      <c r="R787" s="150" t="str">
        <f t="shared" si="76"/>
        <v/>
      </c>
      <c r="S787" s="185" t="str">
        <f t="shared" si="77"/>
        <v/>
      </c>
    </row>
    <row r="788" spans="14:19" ht="14.4">
      <c r="N788" s="150" t="str">
        <f t="shared" si="72"/>
        <v/>
      </c>
      <c r="O788" s="150" t="str">
        <f t="shared" si="73"/>
        <v/>
      </c>
      <c r="P788" s="150" t="str">
        <f t="shared" si="74"/>
        <v/>
      </c>
      <c r="Q788" s="150" t="str">
        <f t="shared" si="75"/>
        <v/>
      </c>
      <c r="R788" s="150" t="str">
        <f t="shared" si="76"/>
        <v/>
      </c>
      <c r="S788" s="185" t="str">
        <f t="shared" si="77"/>
        <v/>
      </c>
    </row>
    <row r="789" spans="14:19" ht="14.4">
      <c r="N789" s="150" t="str">
        <f t="shared" si="72"/>
        <v/>
      </c>
      <c r="O789" s="150" t="str">
        <f t="shared" si="73"/>
        <v/>
      </c>
      <c r="P789" s="150" t="str">
        <f t="shared" si="74"/>
        <v/>
      </c>
      <c r="Q789" s="150" t="str">
        <f t="shared" si="75"/>
        <v/>
      </c>
      <c r="R789" s="150" t="str">
        <f t="shared" si="76"/>
        <v/>
      </c>
      <c r="S789" s="185" t="str">
        <f t="shared" si="77"/>
        <v/>
      </c>
    </row>
    <row r="790" spans="14:19" ht="14.4">
      <c r="N790" s="150" t="str">
        <f t="shared" si="72"/>
        <v/>
      </c>
      <c r="O790" s="150" t="str">
        <f t="shared" si="73"/>
        <v/>
      </c>
      <c r="P790" s="150" t="str">
        <f t="shared" si="74"/>
        <v/>
      </c>
      <c r="Q790" s="150" t="str">
        <f t="shared" si="75"/>
        <v/>
      </c>
      <c r="R790" s="150" t="str">
        <f t="shared" si="76"/>
        <v/>
      </c>
      <c r="S790" s="185" t="str">
        <f t="shared" si="77"/>
        <v/>
      </c>
    </row>
    <row r="791" spans="14:19" ht="14.4">
      <c r="N791" s="150" t="str">
        <f t="shared" si="72"/>
        <v/>
      </c>
      <c r="O791" s="150" t="str">
        <f t="shared" si="73"/>
        <v/>
      </c>
      <c r="P791" s="150" t="str">
        <f t="shared" si="74"/>
        <v/>
      </c>
      <c r="Q791" s="150" t="str">
        <f t="shared" si="75"/>
        <v/>
      </c>
      <c r="R791" s="150" t="str">
        <f t="shared" si="76"/>
        <v/>
      </c>
      <c r="S791" s="185" t="str">
        <f t="shared" si="77"/>
        <v/>
      </c>
    </row>
    <row r="792" spans="14:19" ht="14.4">
      <c r="N792" s="150" t="str">
        <f t="shared" si="72"/>
        <v/>
      </c>
      <c r="O792" s="150" t="str">
        <f t="shared" si="73"/>
        <v/>
      </c>
      <c r="P792" s="150" t="str">
        <f t="shared" si="74"/>
        <v/>
      </c>
      <c r="Q792" s="150" t="str">
        <f t="shared" si="75"/>
        <v/>
      </c>
      <c r="R792" s="150" t="str">
        <f t="shared" si="76"/>
        <v/>
      </c>
      <c r="S792" s="185" t="str">
        <f t="shared" si="77"/>
        <v/>
      </c>
    </row>
    <row r="793" spans="14:19" ht="14.4">
      <c r="N793" s="150" t="str">
        <f t="shared" si="72"/>
        <v/>
      </c>
      <c r="O793" s="150" t="str">
        <f t="shared" si="73"/>
        <v/>
      </c>
      <c r="P793" s="150" t="str">
        <f t="shared" si="74"/>
        <v/>
      </c>
      <c r="Q793" s="150" t="str">
        <f t="shared" si="75"/>
        <v/>
      </c>
      <c r="R793" s="150" t="str">
        <f t="shared" si="76"/>
        <v/>
      </c>
      <c r="S793" s="185" t="str">
        <f t="shared" si="77"/>
        <v/>
      </c>
    </row>
    <row r="794" spans="14:19" ht="14.4">
      <c r="N794" s="150" t="str">
        <f t="shared" si="72"/>
        <v/>
      </c>
      <c r="O794" s="150" t="str">
        <f t="shared" si="73"/>
        <v/>
      </c>
      <c r="P794" s="150" t="str">
        <f t="shared" si="74"/>
        <v/>
      </c>
      <c r="Q794" s="150" t="str">
        <f t="shared" si="75"/>
        <v/>
      </c>
      <c r="R794" s="150" t="str">
        <f t="shared" si="76"/>
        <v/>
      </c>
      <c r="S794" s="185" t="str">
        <f t="shared" si="77"/>
        <v/>
      </c>
    </row>
    <row r="795" spans="14:19" ht="14.4">
      <c r="N795" s="150" t="str">
        <f t="shared" si="72"/>
        <v/>
      </c>
      <c r="O795" s="150" t="str">
        <f t="shared" si="73"/>
        <v/>
      </c>
      <c r="P795" s="150" t="str">
        <f t="shared" si="74"/>
        <v/>
      </c>
      <c r="Q795" s="150" t="str">
        <f t="shared" si="75"/>
        <v/>
      </c>
      <c r="R795" s="150" t="str">
        <f t="shared" si="76"/>
        <v/>
      </c>
      <c r="S795" s="185" t="str">
        <f t="shared" si="77"/>
        <v/>
      </c>
    </row>
    <row r="796" spans="14:19" ht="14.4">
      <c r="N796" s="150" t="str">
        <f t="shared" si="72"/>
        <v/>
      </c>
      <c r="O796" s="150" t="str">
        <f t="shared" si="73"/>
        <v/>
      </c>
      <c r="P796" s="150" t="str">
        <f t="shared" si="74"/>
        <v/>
      </c>
      <c r="Q796" s="150" t="str">
        <f t="shared" si="75"/>
        <v/>
      </c>
      <c r="R796" s="150" t="str">
        <f t="shared" si="76"/>
        <v/>
      </c>
      <c r="S796" s="185" t="str">
        <f t="shared" si="77"/>
        <v/>
      </c>
    </row>
    <row r="797" spans="14:19" ht="14.4">
      <c r="N797" s="150" t="str">
        <f t="shared" si="72"/>
        <v/>
      </c>
      <c r="O797" s="150" t="str">
        <f t="shared" si="73"/>
        <v/>
      </c>
      <c r="P797" s="150" t="str">
        <f t="shared" si="74"/>
        <v/>
      </c>
      <c r="Q797" s="150" t="str">
        <f t="shared" si="75"/>
        <v/>
      </c>
      <c r="R797" s="150" t="str">
        <f t="shared" si="76"/>
        <v/>
      </c>
      <c r="S797" s="185" t="str">
        <f t="shared" si="77"/>
        <v/>
      </c>
    </row>
    <row r="798" spans="14:19" ht="14.4">
      <c r="N798" s="150" t="str">
        <f t="shared" si="72"/>
        <v/>
      </c>
      <c r="O798" s="150" t="str">
        <f t="shared" si="73"/>
        <v/>
      </c>
      <c r="P798" s="150" t="str">
        <f t="shared" si="74"/>
        <v/>
      </c>
      <c r="Q798" s="150" t="str">
        <f t="shared" si="75"/>
        <v/>
      </c>
      <c r="R798" s="150" t="str">
        <f t="shared" si="76"/>
        <v/>
      </c>
      <c r="S798" s="185" t="str">
        <f t="shared" si="77"/>
        <v/>
      </c>
    </row>
    <row r="799" spans="14:19" ht="14.4">
      <c r="N799" s="150" t="str">
        <f t="shared" si="72"/>
        <v/>
      </c>
      <c r="O799" s="150" t="str">
        <f t="shared" si="73"/>
        <v/>
      </c>
      <c r="P799" s="150" t="str">
        <f t="shared" si="74"/>
        <v/>
      </c>
      <c r="Q799" s="150" t="str">
        <f t="shared" si="75"/>
        <v/>
      </c>
      <c r="R799" s="150" t="str">
        <f t="shared" si="76"/>
        <v/>
      </c>
      <c r="S799" s="185" t="str">
        <f t="shared" si="77"/>
        <v/>
      </c>
    </row>
    <row r="800" spans="14:19" ht="14.4">
      <c r="N800" s="150" t="str">
        <f t="shared" si="72"/>
        <v/>
      </c>
      <c r="O800" s="150" t="str">
        <f t="shared" si="73"/>
        <v/>
      </c>
      <c r="P800" s="150" t="str">
        <f t="shared" si="74"/>
        <v/>
      </c>
      <c r="Q800" s="150" t="str">
        <f t="shared" si="75"/>
        <v/>
      </c>
      <c r="R800" s="150" t="str">
        <f t="shared" si="76"/>
        <v/>
      </c>
      <c r="S800" s="185" t="str">
        <f t="shared" si="77"/>
        <v/>
      </c>
    </row>
    <row r="801" spans="14:19" ht="14.4">
      <c r="N801" s="150" t="str">
        <f t="shared" si="72"/>
        <v/>
      </c>
      <c r="O801" s="150" t="str">
        <f t="shared" si="73"/>
        <v/>
      </c>
      <c r="P801" s="150" t="str">
        <f t="shared" si="74"/>
        <v/>
      </c>
      <c r="Q801" s="150" t="str">
        <f t="shared" si="75"/>
        <v/>
      </c>
      <c r="R801" s="150" t="str">
        <f t="shared" si="76"/>
        <v/>
      </c>
      <c r="S801" s="185" t="str">
        <f t="shared" si="77"/>
        <v/>
      </c>
    </row>
    <row r="802" spans="14:19" ht="14.4">
      <c r="N802" s="150" t="str">
        <f t="shared" si="72"/>
        <v/>
      </c>
      <c r="O802" s="150" t="str">
        <f t="shared" si="73"/>
        <v/>
      </c>
      <c r="P802" s="150" t="str">
        <f t="shared" si="74"/>
        <v/>
      </c>
      <c r="Q802" s="150" t="str">
        <f t="shared" si="75"/>
        <v/>
      </c>
      <c r="R802" s="150" t="str">
        <f t="shared" si="76"/>
        <v/>
      </c>
      <c r="S802" s="185" t="str">
        <f t="shared" si="77"/>
        <v/>
      </c>
    </row>
    <row r="803" spans="14:19" ht="14.4">
      <c r="N803" s="150" t="str">
        <f t="shared" si="72"/>
        <v/>
      </c>
      <c r="O803" s="150" t="str">
        <f t="shared" si="73"/>
        <v/>
      </c>
      <c r="P803" s="150" t="str">
        <f t="shared" si="74"/>
        <v/>
      </c>
      <c r="Q803" s="150" t="str">
        <f t="shared" si="75"/>
        <v/>
      </c>
      <c r="R803" s="150" t="str">
        <f t="shared" si="76"/>
        <v/>
      </c>
      <c r="S803" s="185" t="str">
        <f t="shared" si="77"/>
        <v/>
      </c>
    </row>
    <row r="804" spans="14:19" ht="14.4">
      <c r="N804" s="150" t="str">
        <f t="shared" si="72"/>
        <v/>
      </c>
      <c r="O804" s="150" t="str">
        <f t="shared" si="73"/>
        <v/>
      </c>
      <c r="P804" s="150" t="str">
        <f t="shared" si="74"/>
        <v/>
      </c>
      <c r="Q804" s="150" t="str">
        <f t="shared" si="75"/>
        <v/>
      </c>
      <c r="R804" s="150" t="str">
        <f t="shared" si="76"/>
        <v/>
      </c>
      <c r="S804" s="185" t="str">
        <f t="shared" si="77"/>
        <v/>
      </c>
    </row>
    <row r="805" spans="14:19" ht="14.4">
      <c r="N805" s="150" t="str">
        <f t="shared" si="72"/>
        <v/>
      </c>
      <c r="O805" s="150" t="str">
        <f t="shared" si="73"/>
        <v/>
      </c>
      <c r="P805" s="150" t="str">
        <f t="shared" si="74"/>
        <v/>
      </c>
      <c r="Q805" s="150" t="str">
        <f t="shared" si="75"/>
        <v/>
      </c>
      <c r="R805" s="150" t="str">
        <f t="shared" si="76"/>
        <v/>
      </c>
      <c r="S805" s="185" t="str">
        <f t="shared" si="77"/>
        <v/>
      </c>
    </row>
    <row r="806" spans="14:19" ht="14.4">
      <c r="N806" s="150" t="str">
        <f t="shared" si="72"/>
        <v/>
      </c>
      <c r="O806" s="150" t="str">
        <f t="shared" si="73"/>
        <v/>
      </c>
      <c r="P806" s="150" t="str">
        <f t="shared" si="74"/>
        <v/>
      </c>
      <c r="Q806" s="150" t="str">
        <f t="shared" si="75"/>
        <v/>
      </c>
      <c r="R806" s="150" t="str">
        <f t="shared" si="76"/>
        <v/>
      </c>
      <c r="S806" s="185" t="str">
        <f t="shared" si="77"/>
        <v/>
      </c>
    </row>
    <row r="807" spans="14:19" ht="14.4">
      <c r="N807" s="150" t="str">
        <f t="shared" si="72"/>
        <v/>
      </c>
      <c r="O807" s="150" t="str">
        <f t="shared" si="73"/>
        <v/>
      </c>
      <c r="P807" s="150" t="str">
        <f t="shared" si="74"/>
        <v/>
      </c>
      <c r="Q807" s="150" t="str">
        <f t="shared" si="75"/>
        <v/>
      </c>
      <c r="R807" s="150" t="str">
        <f t="shared" si="76"/>
        <v/>
      </c>
      <c r="S807" s="185" t="str">
        <f t="shared" si="77"/>
        <v/>
      </c>
    </row>
    <row r="808" spans="14:19" ht="14.4">
      <c r="N808" s="150" t="str">
        <f t="shared" si="72"/>
        <v/>
      </c>
      <c r="O808" s="150" t="str">
        <f t="shared" si="73"/>
        <v/>
      </c>
      <c r="P808" s="150" t="str">
        <f t="shared" si="74"/>
        <v/>
      </c>
      <c r="Q808" s="150" t="str">
        <f t="shared" si="75"/>
        <v/>
      </c>
      <c r="R808" s="150" t="str">
        <f t="shared" si="76"/>
        <v/>
      </c>
      <c r="S808" s="185" t="str">
        <f t="shared" si="77"/>
        <v/>
      </c>
    </row>
    <row r="809" spans="14:19" ht="14.4">
      <c r="N809" s="150" t="str">
        <f t="shared" si="72"/>
        <v/>
      </c>
      <c r="O809" s="150" t="str">
        <f t="shared" si="73"/>
        <v/>
      </c>
      <c r="P809" s="150" t="str">
        <f t="shared" si="74"/>
        <v/>
      </c>
      <c r="Q809" s="150" t="str">
        <f t="shared" si="75"/>
        <v/>
      </c>
      <c r="R809" s="150" t="str">
        <f t="shared" si="76"/>
        <v/>
      </c>
      <c r="S809" s="185" t="str">
        <f t="shared" si="77"/>
        <v/>
      </c>
    </row>
    <row r="810" spans="14:19" ht="14.4">
      <c r="N810" s="150" t="str">
        <f t="shared" si="72"/>
        <v/>
      </c>
      <c r="O810" s="150" t="str">
        <f t="shared" si="73"/>
        <v/>
      </c>
      <c r="P810" s="150" t="str">
        <f t="shared" si="74"/>
        <v/>
      </c>
      <c r="Q810" s="150" t="str">
        <f t="shared" si="75"/>
        <v/>
      </c>
      <c r="R810" s="150" t="str">
        <f t="shared" si="76"/>
        <v/>
      </c>
      <c r="S810" s="185" t="str">
        <f t="shared" si="77"/>
        <v/>
      </c>
    </row>
    <row r="811" spans="14:19" ht="14.4">
      <c r="N811" s="150" t="str">
        <f t="shared" si="72"/>
        <v/>
      </c>
      <c r="O811" s="150" t="str">
        <f t="shared" si="73"/>
        <v/>
      </c>
      <c r="P811" s="150" t="str">
        <f t="shared" si="74"/>
        <v/>
      </c>
      <c r="Q811" s="150" t="str">
        <f t="shared" si="75"/>
        <v/>
      </c>
      <c r="R811" s="150" t="str">
        <f t="shared" si="76"/>
        <v/>
      </c>
      <c r="S811" s="185" t="str">
        <f t="shared" si="77"/>
        <v/>
      </c>
    </row>
    <row r="812" spans="14:19" ht="14.4">
      <c r="N812" s="150" t="str">
        <f t="shared" si="72"/>
        <v/>
      </c>
      <c r="O812" s="150" t="str">
        <f t="shared" si="73"/>
        <v/>
      </c>
      <c r="P812" s="150" t="str">
        <f t="shared" si="74"/>
        <v/>
      </c>
      <c r="Q812" s="150" t="str">
        <f t="shared" si="75"/>
        <v/>
      </c>
      <c r="R812" s="150" t="str">
        <f t="shared" si="76"/>
        <v/>
      </c>
      <c r="S812" s="185" t="str">
        <f t="shared" si="77"/>
        <v/>
      </c>
    </row>
    <row r="813" spans="14:19" ht="14.4">
      <c r="N813" s="150" t="str">
        <f t="shared" si="72"/>
        <v/>
      </c>
      <c r="O813" s="150" t="str">
        <f t="shared" si="73"/>
        <v/>
      </c>
      <c r="P813" s="150" t="str">
        <f t="shared" si="74"/>
        <v/>
      </c>
      <c r="Q813" s="150" t="str">
        <f t="shared" si="75"/>
        <v/>
      </c>
      <c r="R813" s="150" t="str">
        <f t="shared" si="76"/>
        <v/>
      </c>
      <c r="S813" s="185" t="str">
        <f t="shared" si="77"/>
        <v/>
      </c>
    </row>
    <row r="814" spans="14:19" ht="14.4">
      <c r="N814" s="150" t="str">
        <f t="shared" si="72"/>
        <v/>
      </c>
      <c r="O814" s="150" t="str">
        <f t="shared" si="73"/>
        <v/>
      </c>
      <c r="P814" s="150" t="str">
        <f t="shared" si="74"/>
        <v/>
      </c>
      <c r="Q814" s="150" t="str">
        <f t="shared" si="75"/>
        <v/>
      </c>
      <c r="R814" s="150" t="str">
        <f t="shared" si="76"/>
        <v/>
      </c>
      <c r="S814" s="185" t="str">
        <f t="shared" si="77"/>
        <v/>
      </c>
    </row>
    <row r="815" spans="14:19" ht="14.4">
      <c r="N815" s="150" t="str">
        <f t="shared" si="72"/>
        <v/>
      </c>
      <c r="O815" s="150" t="str">
        <f t="shared" si="73"/>
        <v/>
      </c>
      <c r="P815" s="150" t="str">
        <f t="shared" si="74"/>
        <v/>
      </c>
      <c r="Q815" s="150" t="str">
        <f t="shared" si="75"/>
        <v/>
      </c>
      <c r="R815" s="150" t="str">
        <f t="shared" si="76"/>
        <v/>
      </c>
      <c r="S815" s="185" t="str">
        <f t="shared" si="77"/>
        <v/>
      </c>
    </row>
    <row r="816" spans="14:19" ht="14.4">
      <c r="N816" s="150" t="str">
        <f t="shared" si="72"/>
        <v/>
      </c>
      <c r="O816" s="150" t="str">
        <f t="shared" si="73"/>
        <v/>
      </c>
      <c r="P816" s="150" t="str">
        <f t="shared" si="74"/>
        <v/>
      </c>
      <c r="Q816" s="150" t="str">
        <f t="shared" si="75"/>
        <v/>
      </c>
      <c r="R816" s="150" t="str">
        <f t="shared" si="76"/>
        <v/>
      </c>
      <c r="S816" s="185" t="str">
        <f t="shared" si="77"/>
        <v/>
      </c>
    </row>
    <row r="817" spans="14:19" ht="14.4">
      <c r="N817" s="150" t="str">
        <f t="shared" si="72"/>
        <v/>
      </c>
      <c r="O817" s="150" t="str">
        <f t="shared" si="73"/>
        <v/>
      </c>
      <c r="P817" s="150" t="str">
        <f t="shared" si="74"/>
        <v/>
      </c>
      <c r="Q817" s="150" t="str">
        <f t="shared" si="75"/>
        <v/>
      </c>
      <c r="R817" s="150" t="str">
        <f t="shared" si="76"/>
        <v/>
      </c>
      <c r="S817" s="185" t="str">
        <f t="shared" si="77"/>
        <v/>
      </c>
    </row>
    <row r="818" spans="14:19" ht="14.4">
      <c r="N818" s="150" t="str">
        <f t="shared" si="72"/>
        <v/>
      </c>
      <c r="O818" s="150" t="str">
        <f t="shared" si="73"/>
        <v/>
      </c>
      <c r="P818" s="150" t="str">
        <f t="shared" si="74"/>
        <v/>
      </c>
      <c r="Q818" s="150" t="str">
        <f t="shared" si="75"/>
        <v/>
      </c>
      <c r="R818" s="150" t="str">
        <f t="shared" si="76"/>
        <v/>
      </c>
      <c r="S818" s="185" t="str">
        <f t="shared" si="77"/>
        <v/>
      </c>
    </row>
    <row r="819" spans="14:19" ht="14.4">
      <c r="N819" s="150" t="str">
        <f t="shared" si="72"/>
        <v/>
      </c>
      <c r="O819" s="150" t="str">
        <f t="shared" si="73"/>
        <v/>
      </c>
      <c r="P819" s="150" t="str">
        <f t="shared" si="74"/>
        <v/>
      </c>
      <c r="Q819" s="150" t="str">
        <f t="shared" si="75"/>
        <v/>
      </c>
      <c r="R819" s="150" t="str">
        <f t="shared" si="76"/>
        <v/>
      </c>
      <c r="S819" s="185" t="str">
        <f t="shared" si="77"/>
        <v/>
      </c>
    </row>
    <row r="820" spans="14:19" ht="14.4">
      <c r="N820" s="150" t="str">
        <f t="shared" si="72"/>
        <v/>
      </c>
      <c r="O820" s="150" t="str">
        <f t="shared" si="73"/>
        <v/>
      </c>
      <c r="P820" s="150" t="str">
        <f t="shared" si="74"/>
        <v/>
      </c>
      <c r="Q820" s="150" t="str">
        <f t="shared" si="75"/>
        <v/>
      </c>
      <c r="R820" s="150" t="str">
        <f t="shared" si="76"/>
        <v/>
      </c>
      <c r="S820" s="185" t="str">
        <f t="shared" si="77"/>
        <v/>
      </c>
    </row>
    <row r="821" spans="14:19" ht="14.4">
      <c r="N821" s="150" t="str">
        <f t="shared" si="72"/>
        <v/>
      </c>
      <c r="O821" s="150" t="str">
        <f t="shared" si="73"/>
        <v/>
      </c>
      <c r="P821" s="150" t="str">
        <f t="shared" si="74"/>
        <v/>
      </c>
      <c r="Q821" s="150" t="str">
        <f t="shared" si="75"/>
        <v/>
      </c>
      <c r="R821" s="150" t="str">
        <f t="shared" si="76"/>
        <v/>
      </c>
      <c r="S821" s="185" t="str">
        <f t="shared" si="77"/>
        <v/>
      </c>
    </row>
    <row r="822" spans="14:19" ht="14.4">
      <c r="N822" s="150" t="str">
        <f t="shared" si="72"/>
        <v/>
      </c>
      <c r="O822" s="150" t="str">
        <f t="shared" si="73"/>
        <v/>
      </c>
      <c r="P822" s="150" t="str">
        <f t="shared" si="74"/>
        <v/>
      </c>
      <c r="Q822" s="150" t="str">
        <f t="shared" si="75"/>
        <v/>
      </c>
      <c r="R822" s="150" t="str">
        <f t="shared" si="76"/>
        <v/>
      </c>
      <c r="S822" s="185" t="str">
        <f t="shared" si="77"/>
        <v/>
      </c>
    </row>
    <row r="823" spans="14:19" ht="14.4">
      <c r="N823" s="150" t="str">
        <f t="shared" si="72"/>
        <v/>
      </c>
      <c r="O823" s="150" t="str">
        <f t="shared" si="73"/>
        <v/>
      </c>
      <c r="P823" s="150" t="str">
        <f t="shared" si="74"/>
        <v/>
      </c>
      <c r="Q823" s="150" t="str">
        <f t="shared" si="75"/>
        <v/>
      </c>
      <c r="R823" s="150" t="str">
        <f t="shared" si="76"/>
        <v/>
      </c>
      <c r="S823" s="185" t="str">
        <f t="shared" si="77"/>
        <v/>
      </c>
    </row>
    <row r="824" spans="14:19" ht="14.4">
      <c r="N824" s="150" t="str">
        <f t="shared" si="72"/>
        <v/>
      </c>
      <c r="O824" s="150" t="str">
        <f t="shared" si="73"/>
        <v/>
      </c>
      <c r="P824" s="150" t="str">
        <f t="shared" si="74"/>
        <v/>
      </c>
      <c r="Q824" s="150" t="str">
        <f t="shared" si="75"/>
        <v/>
      </c>
      <c r="R824" s="150" t="str">
        <f t="shared" si="76"/>
        <v/>
      </c>
      <c r="S824" s="185" t="str">
        <f t="shared" si="77"/>
        <v/>
      </c>
    </row>
    <row r="825" spans="14:19" ht="14.4">
      <c r="N825" s="150" t="str">
        <f t="shared" si="72"/>
        <v/>
      </c>
      <c r="O825" s="150" t="str">
        <f t="shared" si="73"/>
        <v/>
      </c>
      <c r="P825" s="150" t="str">
        <f t="shared" si="74"/>
        <v/>
      </c>
      <c r="Q825" s="150" t="str">
        <f t="shared" si="75"/>
        <v/>
      </c>
      <c r="R825" s="150" t="str">
        <f t="shared" si="76"/>
        <v/>
      </c>
      <c r="S825" s="185" t="str">
        <f t="shared" si="77"/>
        <v/>
      </c>
    </row>
    <row r="826" spans="14:19" ht="14.4">
      <c r="N826" s="150" t="str">
        <f t="shared" si="72"/>
        <v/>
      </c>
      <c r="O826" s="150" t="str">
        <f t="shared" si="73"/>
        <v/>
      </c>
      <c r="P826" s="150" t="str">
        <f t="shared" si="74"/>
        <v/>
      </c>
      <c r="Q826" s="150" t="str">
        <f t="shared" si="75"/>
        <v/>
      </c>
      <c r="R826" s="150" t="str">
        <f t="shared" si="76"/>
        <v/>
      </c>
      <c r="S826" s="185" t="str">
        <f t="shared" si="77"/>
        <v/>
      </c>
    </row>
    <row r="827" spans="14:19" ht="14.4">
      <c r="N827" s="150" t="str">
        <f t="shared" si="72"/>
        <v/>
      </c>
      <c r="O827" s="150" t="str">
        <f t="shared" si="73"/>
        <v/>
      </c>
      <c r="P827" s="150" t="str">
        <f t="shared" si="74"/>
        <v/>
      </c>
      <c r="Q827" s="150" t="str">
        <f t="shared" si="75"/>
        <v/>
      </c>
      <c r="R827" s="150" t="str">
        <f t="shared" si="76"/>
        <v/>
      </c>
      <c r="S827" s="185" t="str">
        <f t="shared" si="77"/>
        <v/>
      </c>
    </row>
    <row r="828" spans="14:19" ht="14.4">
      <c r="N828" s="150" t="str">
        <f t="shared" si="72"/>
        <v/>
      </c>
      <c r="O828" s="150" t="str">
        <f t="shared" si="73"/>
        <v/>
      </c>
      <c r="P828" s="150" t="str">
        <f t="shared" si="74"/>
        <v/>
      </c>
      <c r="Q828" s="150" t="str">
        <f t="shared" si="75"/>
        <v/>
      </c>
      <c r="R828" s="150" t="str">
        <f t="shared" si="76"/>
        <v/>
      </c>
      <c r="S828" s="185" t="str">
        <f t="shared" si="77"/>
        <v/>
      </c>
    </row>
    <row r="829" spans="14:19" ht="14.4">
      <c r="N829" s="150" t="str">
        <f t="shared" si="72"/>
        <v/>
      </c>
      <c r="O829" s="150" t="str">
        <f t="shared" si="73"/>
        <v/>
      </c>
      <c r="P829" s="150" t="str">
        <f t="shared" si="74"/>
        <v/>
      </c>
      <c r="Q829" s="150" t="str">
        <f t="shared" si="75"/>
        <v/>
      </c>
      <c r="R829" s="150" t="str">
        <f t="shared" si="76"/>
        <v/>
      </c>
      <c r="S829" s="185" t="str">
        <f t="shared" si="77"/>
        <v/>
      </c>
    </row>
    <row r="830" spans="14:19" ht="14.4">
      <c r="N830" s="150" t="str">
        <f t="shared" si="72"/>
        <v/>
      </c>
      <c r="O830" s="150" t="str">
        <f t="shared" si="73"/>
        <v/>
      </c>
      <c r="P830" s="150" t="str">
        <f t="shared" si="74"/>
        <v/>
      </c>
      <c r="Q830" s="150" t="str">
        <f t="shared" si="75"/>
        <v/>
      </c>
      <c r="R830" s="150" t="str">
        <f t="shared" si="76"/>
        <v/>
      </c>
      <c r="S830" s="185" t="str">
        <f t="shared" si="77"/>
        <v/>
      </c>
    </row>
    <row r="831" spans="14:19" ht="14.4">
      <c r="N831" s="150" t="str">
        <f t="shared" si="72"/>
        <v/>
      </c>
      <c r="O831" s="150" t="str">
        <f t="shared" si="73"/>
        <v/>
      </c>
      <c r="P831" s="150" t="str">
        <f t="shared" si="74"/>
        <v/>
      </c>
      <c r="Q831" s="150" t="str">
        <f t="shared" si="75"/>
        <v/>
      </c>
      <c r="R831" s="150" t="str">
        <f t="shared" si="76"/>
        <v/>
      </c>
      <c r="S831" s="185" t="str">
        <f t="shared" si="77"/>
        <v/>
      </c>
    </row>
    <row r="832" spans="14:19" ht="14.4">
      <c r="N832" s="150" t="str">
        <f t="shared" si="72"/>
        <v/>
      </c>
      <c r="O832" s="150" t="str">
        <f t="shared" si="73"/>
        <v/>
      </c>
      <c r="P832" s="150" t="str">
        <f t="shared" si="74"/>
        <v/>
      </c>
      <c r="Q832" s="150" t="str">
        <f t="shared" si="75"/>
        <v/>
      </c>
      <c r="R832" s="150" t="str">
        <f t="shared" si="76"/>
        <v/>
      </c>
      <c r="S832" s="185" t="str">
        <f t="shared" si="77"/>
        <v/>
      </c>
    </row>
    <row r="833" spans="14:19" ht="14.4">
      <c r="N833" s="150" t="str">
        <f t="shared" si="72"/>
        <v/>
      </c>
      <c r="O833" s="150" t="str">
        <f t="shared" si="73"/>
        <v/>
      </c>
      <c r="P833" s="150" t="str">
        <f t="shared" si="74"/>
        <v/>
      </c>
      <c r="Q833" s="150" t="str">
        <f t="shared" si="75"/>
        <v/>
      </c>
      <c r="R833" s="150" t="str">
        <f t="shared" si="76"/>
        <v/>
      </c>
      <c r="S833" s="185" t="str">
        <f t="shared" si="77"/>
        <v/>
      </c>
    </row>
    <row r="834" spans="14:19" ht="14.4">
      <c r="N834" s="150" t="str">
        <f t="shared" si="72"/>
        <v/>
      </c>
      <c r="O834" s="150" t="str">
        <f t="shared" si="73"/>
        <v/>
      </c>
      <c r="P834" s="150" t="str">
        <f t="shared" si="74"/>
        <v/>
      </c>
      <c r="Q834" s="150" t="str">
        <f t="shared" si="75"/>
        <v/>
      </c>
      <c r="R834" s="150" t="str">
        <f t="shared" si="76"/>
        <v/>
      </c>
      <c r="S834" s="185" t="str">
        <f t="shared" si="77"/>
        <v/>
      </c>
    </row>
    <row r="835" spans="14:19" ht="14.4">
      <c r="N835" s="150" t="str">
        <f t="shared" ref="N835:N898" si="78">IF(LEN(A835)&gt;18,A835,"")</f>
        <v/>
      </c>
      <c r="O835" s="150" t="str">
        <f t="shared" ref="O835:O898" si="79">IF(ISNUMBER(IF(N835="",B835,"")),B835,"")</f>
        <v/>
      </c>
      <c r="P835" s="150" t="str">
        <f t="shared" ref="P835:P898" si="80">IF(ISNUMBER(IF($N835="",C835,"")),C835,"")</f>
        <v/>
      </c>
      <c r="Q835" s="150" t="str">
        <f t="shared" ref="Q835:Q898" si="81">IF(ISNUMBER(IF($N835="",D835,"")),D835,"")</f>
        <v/>
      </c>
      <c r="R835" s="150" t="str">
        <f t="shared" ref="R835:R898" si="82">IF(ISNUMBER(IF($N835="",F835,"")),F835,"")</f>
        <v/>
      </c>
      <c r="S835" s="185" t="str">
        <f t="shared" ref="S835:S898" si="83">IF(ISNUMBER(IF($N835="",H835,"")),H835,"")</f>
        <v/>
      </c>
    </row>
    <row r="836" spans="14:19" ht="14.4">
      <c r="N836" s="150" t="str">
        <f t="shared" si="78"/>
        <v/>
      </c>
      <c r="O836" s="150" t="str">
        <f t="shared" si="79"/>
        <v/>
      </c>
      <c r="P836" s="150" t="str">
        <f t="shared" si="80"/>
        <v/>
      </c>
      <c r="Q836" s="150" t="str">
        <f t="shared" si="81"/>
        <v/>
      </c>
      <c r="R836" s="150" t="str">
        <f t="shared" si="82"/>
        <v/>
      </c>
      <c r="S836" s="185" t="str">
        <f t="shared" si="83"/>
        <v/>
      </c>
    </row>
    <row r="837" spans="14:19" ht="14.4">
      <c r="N837" s="150" t="str">
        <f t="shared" si="78"/>
        <v/>
      </c>
      <c r="O837" s="150" t="str">
        <f t="shared" si="79"/>
        <v/>
      </c>
      <c r="P837" s="150" t="str">
        <f t="shared" si="80"/>
        <v/>
      </c>
      <c r="Q837" s="150" t="str">
        <f t="shared" si="81"/>
        <v/>
      </c>
      <c r="R837" s="150" t="str">
        <f t="shared" si="82"/>
        <v/>
      </c>
      <c r="S837" s="185" t="str">
        <f t="shared" si="83"/>
        <v/>
      </c>
    </row>
    <row r="838" spans="14:19" ht="14.4">
      <c r="N838" s="150" t="str">
        <f t="shared" si="78"/>
        <v/>
      </c>
      <c r="O838" s="150" t="str">
        <f t="shared" si="79"/>
        <v/>
      </c>
      <c r="P838" s="150" t="str">
        <f t="shared" si="80"/>
        <v/>
      </c>
      <c r="Q838" s="150" t="str">
        <f t="shared" si="81"/>
        <v/>
      </c>
      <c r="R838" s="150" t="str">
        <f t="shared" si="82"/>
        <v/>
      </c>
      <c r="S838" s="185" t="str">
        <f t="shared" si="83"/>
        <v/>
      </c>
    </row>
    <row r="839" spans="14:19" ht="14.4">
      <c r="N839" s="150" t="str">
        <f t="shared" si="78"/>
        <v/>
      </c>
      <c r="O839" s="150" t="str">
        <f t="shared" si="79"/>
        <v/>
      </c>
      <c r="P839" s="150" t="str">
        <f t="shared" si="80"/>
        <v/>
      </c>
      <c r="Q839" s="150" t="str">
        <f t="shared" si="81"/>
        <v/>
      </c>
      <c r="R839" s="150" t="str">
        <f t="shared" si="82"/>
        <v/>
      </c>
      <c r="S839" s="185" t="str">
        <f t="shared" si="83"/>
        <v/>
      </c>
    </row>
    <row r="840" spans="14:19" ht="14.4">
      <c r="N840" s="150" t="str">
        <f t="shared" si="78"/>
        <v/>
      </c>
      <c r="O840" s="150" t="str">
        <f t="shared" si="79"/>
        <v/>
      </c>
      <c r="P840" s="150" t="str">
        <f t="shared" si="80"/>
        <v/>
      </c>
      <c r="Q840" s="150" t="str">
        <f t="shared" si="81"/>
        <v/>
      </c>
      <c r="R840" s="150" t="str">
        <f t="shared" si="82"/>
        <v/>
      </c>
      <c r="S840" s="185" t="str">
        <f t="shared" si="83"/>
        <v/>
      </c>
    </row>
    <row r="841" spans="14:19" ht="14.4">
      <c r="N841" s="150" t="str">
        <f t="shared" si="78"/>
        <v/>
      </c>
      <c r="O841" s="150" t="str">
        <f t="shared" si="79"/>
        <v/>
      </c>
      <c r="P841" s="150" t="str">
        <f t="shared" si="80"/>
        <v/>
      </c>
      <c r="Q841" s="150" t="str">
        <f t="shared" si="81"/>
        <v/>
      </c>
      <c r="R841" s="150" t="str">
        <f t="shared" si="82"/>
        <v/>
      </c>
      <c r="S841" s="185" t="str">
        <f t="shared" si="83"/>
        <v/>
      </c>
    </row>
    <row r="842" spans="14:19" ht="14.4">
      <c r="N842" s="150" t="str">
        <f t="shared" si="78"/>
        <v/>
      </c>
      <c r="O842" s="150" t="str">
        <f t="shared" si="79"/>
        <v/>
      </c>
      <c r="P842" s="150" t="str">
        <f t="shared" si="80"/>
        <v/>
      </c>
      <c r="Q842" s="150" t="str">
        <f t="shared" si="81"/>
        <v/>
      </c>
      <c r="R842" s="150" t="str">
        <f t="shared" si="82"/>
        <v/>
      </c>
      <c r="S842" s="185" t="str">
        <f t="shared" si="83"/>
        <v/>
      </c>
    </row>
    <row r="843" spans="14:19" ht="14.4">
      <c r="N843" s="150" t="str">
        <f t="shared" si="78"/>
        <v/>
      </c>
      <c r="O843" s="150" t="str">
        <f t="shared" si="79"/>
        <v/>
      </c>
      <c r="P843" s="150" t="str">
        <f t="shared" si="80"/>
        <v/>
      </c>
      <c r="Q843" s="150" t="str">
        <f t="shared" si="81"/>
        <v/>
      </c>
      <c r="R843" s="150" t="str">
        <f t="shared" si="82"/>
        <v/>
      </c>
      <c r="S843" s="185" t="str">
        <f t="shared" si="83"/>
        <v/>
      </c>
    </row>
    <row r="844" spans="14:19" ht="14.4">
      <c r="N844" s="150" t="str">
        <f t="shared" si="78"/>
        <v/>
      </c>
      <c r="O844" s="150" t="str">
        <f t="shared" si="79"/>
        <v/>
      </c>
      <c r="P844" s="150" t="str">
        <f t="shared" si="80"/>
        <v/>
      </c>
      <c r="Q844" s="150" t="str">
        <f t="shared" si="81"/>
        <v/>
      </c>
      <c r="R844" s="150" t="str">
        <f t="shared" si="82"/>
        <v/>
      </c>
      <c r="S844" s="185" t="str">
        <f t="shared" si="83"/>
        <v/>
      </c>
    </row>
    <row r="845" spans="14:19" ht="14.4">
      <c r="N845" s="150" t="str">
        <f t="shared" si="78"/>
        <v/>
      </c>
      <c r="O845" s="150" t="str">
        <f t="shared" si="79"/>
        <v/>
      </c>
      <c r="P845" s="150" t="str">
        <f t="shared" si="80"/>
        <v/>
      </c>
      <c r="Q845" s="150" t="str">
        <f t="shared" si="81"/>
        <v/>
      </c>
      <c r="R845" s="150" t="str">
        <f t="shared" si="82"/>
        <v/>
      </c>
      <c r="S845" s="185" t="str">
        <f t="shared" si="83"/>
        <v/>
      </c>
    </row>
    <row r="846" spans="14:19" ht="14.4">
      <c r="N846" s="150" t="str">
        <f t="shared" si="78"/>
        <v/>
      </c>
      <c r="O846" s="150" t="str">
        <f t="shared" si="79"/>
        <v/>
      </c>
      <c r="P846" s="150" t="str">
        <f t="shared" si="80"/>
        <v/>
      </c>
      <c r="Q846" s="150" t="str">
        <f t="shared" si="81"/>
        <v/>
      </c>
      <c r="R846" s="150" t="str">
        <f t="shared" si="82"/>
        <v/>
      </c>
      <c r="S846" s="185" t="str">
        <f t="shared" si="83"/>
        <v/>
      </c>
    </row>
    <row r="847" spans="14:19" ht="14.4">
      <c r="N847" s="150" t="str">
        <f t="shared" si="78"/>
        <v/>
      </c>
      <c r="O847" s="150" t="str">
        <f t="shared" si="79"/>
        <v/>
      </c>
      <c r="P847" s="150" t="str">
        <f t="shared" si="80"/>
        <v/>
      </c>
      <c r="Q847" s="150" t="str">
        <f t="shared" si="81"/>
        <v/>
      </c>
      <c r="R847" s="150" t="str">
        <f t="shared" si="82"/>
        <v/>
      </c>
      <c r="S847" s="185" t="str">
        <f t="shared" si="83"/>
        <v/>
      </c>
    </row>
    <row r="848" spans="14:19" ht="14.4">
      <c r="N848" s="150" t="str">
        <f t="shared" si="78"/>
        <v/>
      </c>
      <c r="O848" s="150" t="str">
        <f t="shared" si="79"/>
        <v/>
      </c>
      <c r="P848" s="150" t="str">
        <f t="shared" si="80"/>
        <v/>
      </c>
      <c r="Q848" s="150" t="str">
        <f t="shared" si="81"/>
        <v/>
      </c>
      <c r="R848" s="150" t="str">
        <f t="shared" si="82"/>
        <v/>
      </c>
      <c r="S848" s="185" t="str">
        <f t="shared" si="83"/>
        <v/>
      </c>
    </row>
    <row r="849" spans="14:19" ht="14.4">
      <c r="N849" s="150" t="str">
        <f t="shared" si="78"/>
        <v/>
      </c>
      <c r="O849" s="150" t="str">
        <f t="shared" si="79"/>
        <v/>
      </c>
      <c r="P849" s="150" t="str">
        <f t="shared" si="80"/>
        <v/>
      </c>
      <c r="Q849" s="150" t="str">
        <f t="shared" si="81"/>
        <v/>
      </c>
      <c r="R849" s="150" t="str">
        <f t="shared" si="82"/>
        <v/>
      </c>
      <c r="S849" s="185" t="str">
        <f t="shared" si="83"/>
        <v/>
      </c>
    </row>
    <row r="850" spans="14:19" ht="14.4">
      <c r="N850" s="150" t="str">
        <f t="shared" si="78"/>
        <v/>
      </c>
      <c r="O850" s="150" t="str">
        <f t="shared" si="79"/>
        <v/>
      </c>
      <c r="P850" s="150" t="str">
        <f t="shared" si="80"/>
        <v/>
      </c>
      <c r="Q850" s="150" t="str">
        <f t="shared" si="81"/>
        <v/>
      </c>
      <c r="R850" s="150" t="str">
        <f t="shared" si="82"/>
        <v/>
      </c>
      <c r="S850" s="185" t="str">
        <f t="shared" si="83"/>
        <v/>
      </c>
    </row>
    <row r="851" spans="14:19" ht="14.4">
      <c r="N851" s="150" t="str">
        <f t="shared" si="78"/>
        <v/>
      </c>
      <c r="O851" s="150" t="str">
        <f t="shared" si="79"/>
        <v/>
      </c>
      <c r="P851" s="150" t="str">
        <f t="shared" si="80"/>
        <v/>
      </c>
      <c r="Q851" s="150" t="str">
        <f t="shared" si="81"/>
        <v/>
      </c>
      <c r="R851" s="150" t="str">
        <f t="shared" si="82"/>
        <v/>
      </c>
      <c r="S851" s="185" t="str">
        <f t="shared" si="83"/>
        <v/>
      </c>
    </row>
    <row r="852" spans="14:19" ht="14.4">
      <c r="N852" s="150" t="str">
        <f t="shared" si="78"/>
        <v/>
      </c>
      <c r="O852" s="150" t="str">
        <f t="shared" si="79"/>
        <v/>
      </c>
      <c r="P852" s="150" t="str">
        <f t="shared" si="80"/>
        <v/>
      </c>
      <c r="Q852" s="150" t="str">
        <f t="shared" si="81"/>
        <v/>
      </c>
      <c r="R852" s="150" t="str">
        <f t="shared" si="82"/>
        <v/>
      </c>
      <c r="S852" s="185" t="str">
        <f t="shared" si="83"/>
        <v/>
      </c>
    </row>
    <row r="853" spans="14:19" ht="14.4">
      <c r="N853" s="150" t="str">
        <f t="shared" si="78"/>
        <v/>
      </c>
      <c r="O853" s="150" t="str">
        <f t="shared" si="79"/>
        <v/>
      </c>
      <c r="P853" s="150" t="str">
        <f t="shared" si="80"/>
        <v/>
      </c>
      <c r="Q853" s="150" t="str">
        <f t="shared" si="81"/>
        <v/>
      </c>
      <c r="R853" s="150" t="str">
        <f t="shared" si="82"/>
        <v/>
      </c>
      <c r="S853" s="185" t="str">
        <f t="shared" si="83"/>
        <v/>
      </c>
    </row>
    <row r="854" spans="14:19" ht="14.4">
      <c r="N854" s="150" t="str">
        <f t="shared" si="78"/>
        <v/>
      </c>
      <c r="O854" s="150" t="str">
        <f t="shared" si="79"/>
        <v/>
      </c>
      <c r="P854" s="150" t="str">
        <f t="shared" si="80"/>
        <v/>
      </c>
      <c r="Q854" s="150" t="str">
        <f t="shared" si="81"/>
        <v/>
      </c>
      <c r="R854" s="150" t="str">
        <f t="shared" si="82"/>
        <v/>
      </c>
      <c r="S854" s="185" t="str">
        <f t="shared" si="83"/>
        <v/>
      </c>
    </row>
    <row r="855" spans="14:19" ht="14.4">
      <c r="N855" s="150" t="str">
        <f t="shared" si="78"/>
        <v/>
      </c>
      <c r="O855" s="150" t="str">
        <f t="shared" si="79"/>
        <v/>
      </c>
      <c r="P855" s="150" t="str">
        <f t="shared" si="80"/>
        <v/>
      </c>
      <c r="Q855" s="150" t="str">
        <f t="shared" si="81"/>
        <v/>
      </c>
      <c r="R855" s="150" t="str">
        <f t="shared" si="82"/>
        <v/>
      </c>
      <c r="S855" s="185" t="str">
        <f t="shared" si="83"/>
        <v/>
      </c>
    </row>
    <row r="856" spans="14:19" ht="14.4">
      <c r="N856" s="150" t="str">
        <f t="shared" si="78"/>
        <v/>
      </c>
      <c r="O856" s="150" t="str">
        <f t="shared" si="79"/>
        <v/>
      </c>
      <c r="P856" s="150" t="str">
        <f t="shared" si="80"/>
        <v/>
      </c>
      <c r="Q856" s="150" t="str">
        <f t="shared" si="81"/>
        <v/>
      </c>
      <c r="R856" s="150" t="str">
        <f t="shared" si="82"/>
        <v/>
      </c>
      <c r="S856" s="185" t="str">
        <f t="shared" si="83"/>
        <v/>
      </c>
    </row>
    <row r="857" spans="14:19" ht="14.4">
      <c r="N857" s="150" t="str">
        <f t="shared" si="78"/>
        <v/>
      </c>
      <c r="O857" s="150" t="str">
        <f t="shared" si="79"/>
        <v/>
      </c>
      <c r="P857" s="150" t="str">
        <f t="shared" si="80"/>
        <v/>
      </c>
      <c r="Q857" s="150" t="str">
        <f t="shared" si="81"/>
        <v/>
      </c>
      <c r="R857" s="150" t="str">
        <f t="shared" si="82"/>
        <v/>
      </c>
      <c r="S857" s="185" t="str">
        <f t="shared" si="83"/>
        <v/>
      </c>
    </row>
    <row r="858" spans="14:19" ht="14.4">
      <c r="N858" s="150" t="str">
        <f t="shared" si="78"/>
        <v/>
      </c>
      <c r="O858" s="150" t="str">
        <f t="shared" si="79"/>
        <v/>
      </c>
      <c r="P858" s="150" t="str">
        <f t="shared" si="80"/>
        <v/>
      </c>
      <c r="Q858" s="150" t="str">
        <f t="shared" si="81"/>
        <v/>
      </c>
      <c r="R858" s="150" t="str">
        <f t="shared" si="82"/>
        <v/>
      </c>
      <c r="S858" s="185" t="str">
        <f t="shared" si="83"/>
        <v/>
      </c>
    </row>
    <row r="859" spans="14:19" ht="14.4">
      <c r="N859" s="150" t="str">
        <f t="shared" si="78"/>
        <v/>
      </c>
      <c r="O859" s="150" t="str">
        <f t="shared" si="79"/>
        <v/>
      </c>
      <c r="P859" s="150" t="str">
        <f t="shared" si="80"/>
        <v/>
      </c>
      <c r="Q859" s="150" t="str">
        <f t="shared" si="81"/>
        <v/>
      </c>
      <c r="R859" s="150" t="str">
        <f t="shared" si="82"/>
        <v/>
      </c>
      <c r="S859" s="185" t="str">
        <f t="shared" si="83"/>
        <v/>
      </c>
    </row>
    <row r="860" spans="14:19" ht="14.4">
      <c r="N860" s="150" t="str">
        <f t="shared" si="78"/>
        <v/>
      </c>
      <c r="O860" s="150" t="str">
        <f t="shared" si="79"/>
        <v/>
      </c>
      <c r="P860" s="150" t="str">
        <f t="shared" si="80"/>
        <v/>
      </c>
      <c r="Q860" s="150" t="str">
        <f t="shared" si="81"/>
        <v/>
      </c>
      <c r="R860" s="150" t="str">
        <f t="shared" si="82"/>
        <v/>
      </c>
      <c r="S860" s="185" t="str">
        <f t="shared" si="83"/>
        <v/>
      </c>
    </row>
    <row r="861" spans="14:19" ht="14.4">
      <c r="N861" s="150" t="str">
        <f t="shared" si="78"/>
        <v/>
      </c>
      <c r="O861" s="150" t="str">
        <f t="shared" si="79"/>
        <v/>
      </c>
      <c r="P861" s="150" t="str">
        <f t="shared" si="80"/>
        <v/>
      </c>
      <c r="Q861" s="150" t="str">
        <f t="shared" si="81"/>
        <v/>
      </c>
      <c r="R861" s="150" t="str">
        <f t="shared" si="82"/>
        <v/>
      </c>
      <c r="S861" s="185" t="str">
        <f t="shared" si="83"/>
        <v/>
      </c>
    </row>
    <row r="862" spans="14:19" ht="14.4">
      <c r="N862" s="150" t="str">
        <f t="shared" si="78"/>
        <v/>
      </c>
      <c r="O862" s="150" t="str">
        <f t="shared" si="79"/>
        <v/>
      </c>
      <c r="P862" s="150" t="str">
        <f t="shared" si="80"/>
        <v/>
      </c>
      <c r="Q862" s="150" t="str">
        <f t="shared" si="81"/>
        <v/>
      </c>
      <c r="R862" s="150" t="str">
        <f t="shared" si="82"/>
        <v/>
      </c>
      <c r="S862" s="185" t="str">
        <f t="shared" si="83"/>
        <v/>
      </c>
    </row>
    <row r="863" spans="14:19" ht="14.4">
      <c r="N863" s="150" t="str">
        <f t="shared" si="78"/>
        <v/>
      </c>
      <c r="O863" s="150" t="str">
        <f t="shared" si="79"/>
        <v/>
      </c>
      <c r="P863" s="150" t="str">
        <f t="shared" si="80"/>
        <v/>
      </c>
      <c r="Q863" s="150" t="str">
        <f t="shared" si="81"/>
        <v/>
      </c>
      <c r="R863" s="150" t="str">
        <f t="shared" si="82"/>
        <v/>
      </c>
      <c r="S863" s="185" t="str">
        <f t="shared" si="83"/>
        <v/>
      </c>
    </row>
    <row r="864" spans="14:19" ht="14.4">
      <c r="N864" s="150" t="str">
        <f t="shared" si="78"/>
        <v/>
      </c>
      <c r="O864" s="150" t="str">
        <f t="shared" si="79"/>
        <v/>
      </c>
      <c r="P864" s="150" t="str">
        <f t="shared" si="80"/>
        <v/>
      </c>
      <c r="Q864" s="150" t="str">
        <f t="shared" si="81"/>
        <v/>
      </c>
      <c r="R864" s="150" t="str">
        <f t="shared" si="82"/>
        <v/>
      </c>
      <c r="S864" s="185" t="str">
        <f t="shared" si="83"/>
        <v/>
      </c>
    </row>
    <row r="865" spans="14:19" ht="14.4">
      <c r="N865" s="150" t="str">
        <f t="shared" si="78"/>
        <v/>
      </c>
      <c r="O865" s="150" t="str">
        <f t="shared" si="79"/>
        <v/>
      </c>
      <c r="P865" s="150" t="str">
        <f t="shared" si="80"/>
        <v/>
      </c>
      <c r="Q865" s="150" t="str">
        <f t="shared" si="81"/>
        <v/>
      </c>
      <c r="R865" s="150" t="str">
        <f t="shared" si="82"/>
        <v/>
      </c>
      <c r="S865" s="185" t="str">
        <f t="shared" si="83"/>
        <v/>
      </c>
    </row>
    <row r="866" spans="14:19" ht="14.4">
      <c r="N866" s="150" t="str">
        <f t="shared" si="78"/>
        <v/>
      </c>
      <c r="O866" s="150" t="str">
        <f t="shared" si="79"/>
        <v/>
      </c>
      <c r="P866" s="150" t="str">
        <f t="shared" si="80"/>
        <v/>
      </c>
      <c r="Q866" s="150" t="str">
        <f t="shared" si="81"/>
        <v/>
      </c>
      <c r="R866" s="150" t="str">
        <f t="shared" si="82"/>
        <v/>
      </c>
      <c r="S866" s="185" t="str">
        <f t="shared" si="83"/>
        <v/>
      </c>
    </row>
    <row r="867" spans="14:19" ht="14.4">
      <c r="N867" s="150" t="str">
        <f t="shared" si="78"/>
        <v/>
      </c>
      <c r="O867" s="150" t="str">
        <f t="shared" si="79"/>
        <v/>
      </c>
      <c r="P867" s="150" t="str">
        <f t="shared" si="80"/>
        <v/>
      </c>
      <c r="Q867" s="150" t="str">
        <f t="shared" si="81"/>
        <v/>
      </c>
      <c r="R867" s="150" t="str">
        <f t="shared" si="82"/>
        <v/>
      </c>
      <c r="S867" s="185" t="str">
        <f t="shared" si="83"/>
        <v/>
      </c>
    </row>
    <row r="868" spans="14:19" ht="14.4">
      <c r="N868" s="150" t="str">
        <f t="shared" si="78"/>
        <v/>
      </c>
      <c r="O868" s="150" t="str">
        <f t="shared" si="79"/>
        <v/>
      </c>
      <c r="P868" s="150" t="str">
        <f t="shared" si="80"/>
        <v/>
      </c>
      <c r="Q868" s="150" t="str">
        <f t="shared" si="81"/>
        <v/>
      </c>
      <c r="R868" s="150" t="str">
        <f t="shared" si="82"/>
        <v/>
      </c>
      <c r="S868" s="185" t="str">
        <f t="shared" si="83"/>
        <v/>
      </c>
    </row>
    <row r="869" spans="14:19" ht="14.4">
      <c r="N869" s="150" t="str">
        <f t="shared" si="78"/>
        <v/>
      </c>
      <c r="O869" s="150" t="str">
        <f t="shared" si="79"/>
        <v/>
      </c>
      <c r="P869" s="150" t="str">
        <f t="shared" si="80"/>
        <v/>
      </c>
      <c r="Q869" s="150" t="str">
        <f t="shared" si="81"/>
        <v/>
      </c>
      <c r="R869" s="150" t="str">
        <f t="shared" si="82"/>
        <v/>
      </c>
      <c r="S869" s="185" t="str">
        <f t="shared" si="83"/>
        <v/>
      </c>
    </row>
    <row r="870" spans="14:19" ht="14.4">
      <c r="N870" s="150" t="str">
        <f t="shared" si="78"/>
        <v/>
      </c>
      <c r="O870" s="150" t="str">
        <f t="shared" si="79"/>
        <v/>
      </c>
      <c r="P870" s="150" t="str">
        <f t="shared" si="80"/>
        <v/>
      </c>
      <c r="Q870" s="150" t="str">
        <f t="shared" si="81"/>
        <v/>
      </c>
      <c r="R870" s="150" t="str">
        <f t="shared" si="82"/>
        <v/>
      </c>
      <c r="S870" s="185" t="str">
        <f t="shared" si="83"/>
        <v/>
      </c>
    </row>
    <row r="871" spans="14:19" ht="14.4">
      <c r="N871" s="150" t="str">
        <f t="shared" si="78"/>
        <v/>
      </c>
      <c r="O871" s="150" t="str">
        <f t="shared" si="79"/>
        <v/>
      </c>
      <c r="P871" s="150" t="str">
        <f t="shared" si="80"/>
        <v/>
      </c>
      <c r="Q871" s="150" t="str">
        <f t="shared" si="81"/>
        <v/>
      </c>
      <c r="R871" s="150" t="str">
        <f t="shared" si="82"/>
        <v/>
      </c>
      <c r="S871" s="185" t="str">
        <f t="shared" si="83"/>
        <v/>
      </c>
    </row>
    <row r="872" spans="14:19" ht="14.4">
      <c r="N872" s="150" t="str">
        <f t="shared" si="78"/>
        <v/>
      </c>
      <c r="O872" s="150" t="str">
        <f t="shared" si="79"/>
        <v/>
      </c>
      <c r="P872" s="150" t="str">
        <f t="shared" si="80"/>
        <v/>
      </c>
      <c r="Q872" s="150" t="str">
        <f t="shared" si="81"/>
        <v/>
      </c>
      <c r="R872" s="150" t="str">
        <f t="shared" si="82"/>
        <v/>
      </c>
      <c r="S872" s="185" t="str">
        <f t="shared" si="83"/>
        <v/>
      </c>
    </row>
    <row r="873" spans="14:19" ht="14.4">
      <c r="N873" s="150" t="str">
        <f t="shared" si="78"/>
        <v/>
      </c>
      <c r="O873" s="150" t="str">
        <f t="shared" si="79"/>
        <v/>
      </c>
      <c r="P873" s="150" t="str">
        <f t="shared" si="80"/>
        <v/>
      </c>
      <c r="Q873" s="150" t="str">
        <f t="shared" si="81"/>
        <v/>
      </c>
      <c r="R873" s="150" t="str">
        <f t="shared" si="82"/>
        <v/>
      </c>
      <c r="S873" s="185" t="str">
        <f t="shared" si="83"/>
        <v/>
      </c>
    </row>
    <row r="874" spans="14:19" ht="14.4">
      <c r="N874" s="150" t="str">
        <f t="shared" si="78"/>
        <v/>
      </c>
      <c r="O874" s="150" t="str">
        <f t="shared" si="79"/>
        <v/>
      </c>
      <c r="P874" s="150" t="str">
        <f t="shared" si="80"/>
        <v/>
      </c>
      <c r="Q874" s="150" t="str">
        <f t="shared" si="81"/>
        <v/>
      </c>
      <c r="R874" s="150" t="str">
        <f t="shared" si="82"/>
        <v/>
      </c>
      <c r="S874" s="185" t="str">
        <f t="shared" si="83"/>
        <v/>
      </c>
    </row>
    <row r="875" spans="14:19" ht="14.4">
      <c r="N875" s="150" t="str">
        <f t="shared" si="78"/>
        <v/>
      </c>
      <c r="O875" s="150" t="str">
        <f t="shared" si="79"/>
        <v/>
      </c>
      <c r="P875" s="150" t="str">
        <f t="shared" si="80"/>
        <v/>
      </c>
      <c r="Q875" s="150" t="str">
        <f t="shared" si="81"/>
        <v/>
      </c>
      <c r="R875" s="150" t="str">
        <f t="shared" si="82"/>
        <v/>
      </c>
      <c r="S875" s="185" t="str">
        <f t="shared" si="83"/>
        <v/>
      </c>
    </row>
    <row r="876" spans="14:19" ht="14.4">
      <c r="N876" s="150" t="str">
        <f t="shared" si="78"/>
        <v/>
      </c>
      <c r="O876" s="150" t="str">
        <f t="shared" si="79"/>
        <v/>
      </c>
      <c r="P876" s="150" t="str">
        <f t="shared" si="80"/>
        <v/>
      </c>
      <c r="Q876" s="150" t="str">
        <f t="shared" si="81"/>
        <v/>
      </c>
      <c r="R876" s="150" t="str">
        <f t="shared" si="82"/>
        <v/>
      </c>
      <c r="S876" s="185" t="str">
        <f t="shared" si="83"/>
        <v/>
      </c>
    </row>
    <row r="877" spans="14:19" ht="14.4">
      <c r="N877" s="150" t="str">
        <f t="shared" si="78"/>
        <v/>
      </c>
      <c r="O877" s="150" t="str">
        <f t="shared" si="79"/>
        <v/>
      </c>
      <c r="P877" s="150" t="str">
        <f t="shared" si="80"/>
        <v/>
      </c>
      <c r="Q877" s="150" t="str">
        <f t="shared" si="81"/>
        <v/>
      </c>
      <c r="R877" s="150" t="str">
        <f t="shared" si="82"/>
        <v/>
      </c>
      <c r="S877" s="185" t="str">
        <f t="shared" si="83"/>
        <v/>
      </c>
    </row>
    <row r="878" spans="14:19" ht="14.4">
      <c r="N878" s="150" t="str">
        <f t="shared" si="78"/>
        <v/>
      </c>
      <c r="O878" s="150" t="str">
        <f t="shared" si="79"/>
        <v/>
      </c>
      <c r="P878" s="150" t="str">
        <f t="shared" si="80"/>
        <v/>
      </c>
      <c r="Q878" s="150" t="str">
        <f t="shared" si="81"/>
        <v/>
      </c>
      <c r="R878" s="150" t="str">
        <f t="shared" si="82"/>
        <v/>
      </c>
      <c r="S878" s="185" t="str">
        <f t="shared" si="83"/>
        <v/>
      </c>
    </row>
    <row r="879" spans="14:19" ht="14.4">
      <c r="N879" s="150" t="str">
        <f t="shared" si="78"/>
        <v/>
      </c>
      <c r="O879" s="150" t="str">
        <f t="shared" si="79"/>
        <v/>
      </c>
      <c r="P879" s="150" t="str">
        <f t="shared" si="80"/>
        <v/>
      </c>
      <c r="Q879" s="150" t="str">
        <f t="shared" si="81"/>
        <v/>
      </c>
      <c r="R879" s="150" t="str">
        <f t="shared" si="82"/>
        <v/>
      </c>
      <c r="S879" s="185" t="str">
        <f t="shared" si="83"/>
        <v/>
      </c>
    </row>
    <row r="880" spans="14:19" ht="14.4">
      <c r="N880" s="150" t="str">
        <f t="shared" si="78"/>
        <v/>
      </c>
      <c r="O880" s="150" t="str">
        <f t="shared" si="79"/>
        <v/>
      </c>
      <c r="P880" s="150" t="str">
        <f t="shared" si="80"/>
        <v/>
      </c>
      <c r="Q880" s="150" t="str">
        <f t="shared" si="81"/>
        <v/>
      </c>
      <c r="R880" s="150" t="str">
        <f t="shared" si="82"/>
        <v/>
      </c>
      <c r="S880" s="185" t="str">
        <f t="shared" si="83"/>
        <v/>
      </c>
    </row>
    <row r="881" spans="14:19" ht="14.4">
      <c r="N881" s="150" t="str">
        <f t="shared" si="78"/>
        <v/>
      </c>
      <c r="O881" s="150" t="str">
        <f t="shared" si="79"/>
        <v/>
      </c>
      <c r="P881" s="150" t="str">
        <f t="shared" si="80"/>
        <v/>
      </c>
      <c r="Q881" s="150" t="str">
        <f t="shared" si="81"/>
        <v/>
      </c>
      <c r="R881" s="150" t="str">
        <f t="shared" si="82"/>
        <v/>
      </c>
      <c r="S881" s="185" t="str">
        <f t="shared" si="83"/>
        <v/>
      </c>
    </row>
    <row r="882" spans="14:19" ht="14.4">
      <c r="N882" s="150" t="str">
        <f t="shared" si="78"/>
        <v/>
      </c>
      <c r="O882" s="150" t="str">
        <f t="shared" si="79"/>
        <v/>
      </c>
      <c r="P882" s="150" t="str">
        <f t="shared" si="80"/>
        <v/>
      </c>
      <c r="Q882" s="150" t="str">
        <f t="shared" si="81"/>
        <v/>
      </c>
      <c r="R882" s="150" t="str">
        <f t="shared" si="82"/>
        <v/>
      </c>
      <c r="S882" s="185" t="str">
        <f t="shared" si="83"/>
        <v/>
      </c>
    </row>
    <row r="883" spans="14:19" ht="14.4">
      <c r="N883" s="150" t="str">
        <f t="shared" si="78"/>
        <v/>
      </c>
      <c r="O883" s="150" t="str">
        <f t="shared" si="79"/>
        <v/>
      </c>
      <c r="P883" s="150" t="str">
        <f t="shared" si="80"/>
        <v/>
      </c>
      <c r="Q883" s="150" t="str">
        <f t="shared" si="81"/>
        <v/>
      </c>
      <c r="R883" s="150" t="str">
        <f t="shared" si="82"/>
        <v/>
      </c>
      <c r="S883" s="185" t="str">
        <f t="shared" si="83"/>
        <v/>
      </c>
    </row>
    <row r="884" spans="14:19" ht="14.4">
      <c r="N884" s="150" t="str">
        <f t="shared" si="78"/>
        <v/>
      </c>
      <c r="O884" s="150" t="str">
        <f t="shared" si="79"/>
        <v/>
      </c>
      <c r="P884" s="150" t="str">
        <f t="shared" si="80"/>
        <v/>
      </c>
      <c r="Q884" s="150" t="str">
        <f t="shared" si="81"/>
        <v/>
      </c>
      <c r="R884" s="150" t="str">
        <f t="shared" si="82"/>
        <v/>
      </c>
      <c r="S884" s="185" t="str">
        <f t="shared" si="83"/>
        <v/>
      </c>
    </row>
    <row r="885" spans="14:19" ht="14.4">
      <c r="N885" s="150" t="str">
        <f t="shared" si="78"/>
        <v/>
      </c>
      <c r="O885" s="150" t="str">
        <f t="shared" si="79"/>
        <v/>
      </c>
      <c r="P885" s="150" t="str">
        <f t="shared" si="80"/>
        <v/>
      </c>
      <c r="Q885" s="150" t="str">
        <f t="shared" si="81"/>
        <v/>
      </c>
      <c r="R885" s="150" t="str">
        <f t="shared" si="82"/>
        <v/>
      </c>
      <c r="S885" s="185" t="str">
        <f t="shared" si="83"/>
        <v/>
      </c>
    </row>
    <row r="886" spans="14:19" ht="14.4">
      <c r="N886" s="150" t="str">
        <f t="shared" si="78"/>
        <v/>
      </c>
      <c r="O886" s="150" t="str">
        <f t="shared" si="79"/>
        <v/>
      </c>
      <c r="P886" s="150" t="str">
        <f t="shared" si="80"/>
        <v/>
      </c>
      <c r="Q886" s="150" t="str">
        <f t="shared" si="81"/>
        <v/>
      </c>
      <c r="R886" s="150" t="str">
        <f t="shared" si="82"/>
        <v/>
      </c>
      <c r="S886" s="185" t="str">
        <f t="shared" si="83"/>
        <v/>
      </c>
    </row>
    <row r="887" spans="14:19" ht="14.4">
      <c r="N887" s="150" t="str">
        <f t="shared" si="78"/>
        <v/>
      </c>
      <c r="O887" s="150" t="str">
        <f t="shared" si="79"/>
        <v/>
      </c>
      <c r="P887" s="150" t="str">
        <f t="shared" si="80"/>
        <v/>
      </c>
      <c r="Q887" s="150" t="str">
        <f t="shared" si="81"/>
        <v/>
      </c>
      <c r="R887" s="150" t="str">
        <f t="shared" si="82"/>
        <v/>
      </c>
      <c r="S887" s="185" t="str">
        <f t="shared" si="83"/>
        <v/>
      </c>
    </row>
    <row r="888" spans="14:19" ht="14.4">
      <c r="N888" s="150" t="str">
        <f t="shared" si="78"/>
        <v/>
      </c>
      <c r="O888" s="150" t="str">
        <f t="shared" si="79"/>
        <v/>
      </c>
      <c r="P888" s="150" t="str">
        <f t="shared" si="80"/>
        <v/>
      </c>
      <c r="Q888" s="150" t="str">
        <f t="shared" si="81"/>
        <v/>
      </c>
      <c r="R888" s="150" t="str">
        <f t="shared" si="82"/>
        <v/>
      </c>
      <c r="S888" s="185" t="str">
        <f t="shared" si="83"/>
        <v/>
      </c>
    </row>
    <row r="889" spans="14:19" ht="14.4">
      <c r="N889" s="150" t="str">
        <f t="shared" si="78"/>
        <v/>
      </c>
      <c r="O889" s="150" t="str">
        <f t="shared" si="79"/>
        <v/>
      </c>
      <c r="P889" s="150" t="str">
        <f t="shared" si="80"/>
        <v/>
      </c>
      <c r="Q889" s="150" t="str">
        <f t="shared" si="81"/>
        <v/>
      </c>
      <c r="R889" s="150" t="str">
        <f t="shared" si="82"/>
        <v/>
      </c>
      <c r="S889" s="185" t="str">
        <f t="shared" si="83"/>
        <v/>
      </c>
    </row>
    <row r="890" spans="14:19" ht="14.4">
      <c r="N890" s="150" t="str">
        <f t="shared" si="78"/>
        <v/>
      </c>
      <c r="O890" s="150" t="str">
        <f t="shared" si="79"/>
        <v/>
      </c>
      <c r="P890" s="150" t="str">
        <f t="shared" si="80"/>
        <v/>
      </c>
      <c r="Q890" s="150" t="str">
        <f t="shared" si="81"/>
        <v/>
      </c>
      <c r="R890" s="150" t="str">
        <f t="shared" si="82"/>
        <v/>
      </c>
      <c r="S890" s="185" t="str">
        <f t="shared" si="83"/>
        <v/>
      </c>
    </row>
    <row r="891" spans="14:19" ht="14.4">
      <c r="N891" s="150" t="str">
        <f t="shared" si="78"/>
        <v/>
      </c>
      <c r="O891" s="150" t="str">
        <f t="shared" si="79"/>
        <v/>
      </c>
      <c r="P891" s="150" t="str">
        <f t="shared" si="80"/>
        <v/>
      </c>
      <c r="Q891" s="150" t="str">
        <f t="shared" si="81"/>
        <v/>
      </c>
      <c r="R891" s="150" t="str">
        <f t="shared" si="82"/>
        <v/>
      </c>
      <c r="S891" s="185" t="str">
        <f t="shared" si="83"/>
        <v/>
      </c>
    </row>
    <row r="892" spans="14:19" ht="14.4">
      <c r="N892" s="150" t="str">
        <f t="shared" si="78"/>
        <v/>
      </c>
      <c r="O892" s="150" t="str">
        <f t="shared" si="79"/>
        <v/>
      </c>
      <c r="P892" s="150" t="str">
        <f t="shared" si="80"/>
        <v/>
      </c>
      <c r="Q892" s="150" t="str">
        <f t="shared" si="81"/>
        <v/>
      </c>
      <c r="R892" s="150" t="str">
        <f t="shared" si="82"/>
        <v/>
      </c>
      <c r="S892" s="185" t="str">
        <f t="shared" si="83"/>
        <v/>
      </c>
    </row>
    <row r="893" spans="14:19" ht="14.4">
      <c r="N893" s="150" t="str">
        <f t="shared" si="78"/>
        <v/>
      </c>
      <c r="O893" s="150" t="str">
        <f t="shared" si="79"/>
        <v/>
      </c>
      <c r="P893" s="150" t="str">
        <f t="shared" si="80"/>
        <v/>
      </c>
      <c r="Q893" s="150" t="str">
        <f t="shared" si="81"/>
        <v/>
      </c>
      <c r="R893" s="150" t="str">
        <f t="shared" si="82"/>
        <v/>
      </c>
      <c r="S893" s="185" t="str">
        <f t="shared" si="83"/>
        <v/>
      </c>
    </row>
    <row r="894" spans="14:19" ht="14.4">
      <c r="N894" s="150" t="str">
        <f t="shared" si="78"/>
        <v/>
      </c>
      <c r="O894" s="150" t="str">
        <f t="shared" si="79"/>
        <v/>
      </c>
      <c r="P894" s="150" t="str">
        <f t="shared" si="80"/>
        <v/>
      </c>
      <c r="Q894" s="150" t="str">
        <f t="shared" si="81"/>
        <v/>
      </c>
      <c r="R894" s="150" t="str">
        <f t="shared" si="82"/>
        <v/>
      </c>
      <c r="S894" s="185" t="str">
        <f t="shared" si="83"/>
        <v/>
      </c>
    </row>
    <row r="895" spans="14:19" ht="14.4">
      <c r="N895" s="150" t="str">
        <f t="shared" si="78"/>
        <v/>
      </c>
      <c r="O895" s="150" t="str">
        <f t="shared" si="79"/>
        <v/>
      </c>
      <c r="P895" s="150" t="str">
        <f t="shared" si="80"/>
        <v/>
      </c>
      <c r="Q895" s="150" t="str">
        <f t="shared" si="81"/>
        <v/>
      </c>
      <c r="R895" s="150" t="str">
        <f t="shared" si="82"/>
        <v/>
      </c>
      <c r="S895" s="185" t="str">
        <f t="shared" si="83"/>
        <v/>
      </c>
    </row>
    <row r="896" spans="14:19" ht="14.4">
      <c r="N896" s="150" t="str">
        <f t="shared" si="78"/>
        <v/>
      </c>
      <c r="O896" s="150" t="str">
        <f t="shared" si="79"/>
        <v/>
      </c>
      <c r="P896" s="150" t="str">
        <f t="shared" si="80"/>
        <v/>
      </c>
      <c r="Q896" s="150" t="str">
        <f t="shared" si="81"/>
        <v/>
      </c>
      <c r="R896" s="150" t="str">
        <f t="shared" si="82"/>
        <v/>
      </c>
      <c r="S896" s="185" t="str">
        <f t="shared" si="83"/>
        <v/>
      </c>
    </row>
    <row r="897" spans="14:19" ht="14.4">
      <c r="N897" s="150" t="str">
        <f t="shared" si="78"/>
        <v/>
      </c>
      <c r="O897" s="150" t="str">
        <f t="shared" si="79"/>
        <v/>
      </c>
      <c r="P897" s="150" t="str">
        <f t="shared" si="80"/>
        <v/>
      </c>
      <c r="Q897" s="150" t="str">
        <f t="shared" si="81"/>
        <v/>
      </c>
      <c r="R897" s="150" t="str">
        <f t="shared" si="82"/>
        <v/>
      </c>
      <c r="S897" s="185" t="str">
        <f t="shared" si="83"/>
        <v/>
      </c>
    </row>
    <row r="898" spans="14:19" ht="14.4">
      <c r="N898" s="150" t="str">
        <f t="shared" si="78"/>
        <v/>
      </c>
      <c r="O898" s="150" t="str">
        <f t="shared" si="79"/>
        <v/>
      </c>
      <c r="P898" s="150" t="str">
        <f t="shared" si="80"/>
        <v/>
      </c>
      <c r="Q898" s="150" t="str">
        <f t="shared" si="81"/>
        <v/>
      </c>
      <c r="R898" s="150" t="str">
        <f t="shared" si="82"/>
        <v/>
      </c>
      <c r="S898" s="185" t="str">
        <f t="shared" si="83"/>
        <v/>
      </c>
    </row>
    <row r="899" spans="14:19" ht="14.4">
      <c r="N899" s="150" t="str">
        <f t="shared" ref="N899:N962" si="84">IF(LEN(A899)&gt;18,A899,"")</f>
        <v/>
      </c>
      <c r="O899" s="150" t="str">
        <f t="shared" ref="O899:O962" si="85">IF(ISNUMBER(IF(N899="",B899,"")),B899,"")</f>
        <v/>
      </c>
      <c r="P899" s="150" t="str">
        <f t="shared" ref="P899:P962" si="86">IF(ISNUMBER(IF($N899="",C899,"")),C899,"")</f>
        <v/>
      </c>
      <c r="Q899" s="150" t="str">
        <f t="shared" ref="Q899:Q962" si="87">IF(ISNUMBER(IF($N899="",D899,"")),D899,"")</f>
        <v/>
      </c>
      <c r="R899" s="150" t="str">
        <f t="shared" ref="R899:R962" si="88">IF(ISNUMBER(IF($N899="",F899,"")),F899,"")</f>
        <v/>
      </c>
      <c r="S899" s="185" t="str">
        <f t="shared" ref="S899:S962" si="89">IF(ISNUMBER(IF($N899="",H899,"")),H899,"")</f>
        <v/>
      </c>
    </row>
    <row r="900" spans="14:19" ht="14.4">
      <c r="N900" s="150" t="str">
        <f t="shared" si="84"/>
        <v/>
      </c>
      <c r="O900" s="150" t="str">
        <f t="shared" si="85"/>
        <v/>
      </c>
      <c r="P900" s="150" t="str">
        <f t="shared" si="86"/>
        <v/>
      </c>
      <c r="Q900" s="150" t="str">
        <f t="shared" si="87"/>
        <v/>
      </c>
      <c r="R900" s="150" t="str">
        <f t="shared" si="88"/>
        <v/>
      </c>
      <c r="S900" s="185" t="str">
        <f t="shared" si="89"/>
        <v/>
      </c>
    </row>
    <row r="901" spans="14:19" ht="14.4">
      <c r="N901" s="150" t="str">
        <f t="shared" si="84"/>
        <v/>
      </c>
      <c r="O901" s="150" t="str">
        <f t="shared" si="85"/>
        <v/>
      </c>
      <c r="P901" s="150" t="str">
        <f t="shared" si="86"/>
        <v/>
      </c>
      <c r="Q901" s="150" t="str">
        <f t="shared" si="87"/>
        <v/>
      </c>
      <c r="R901" s="150" t="str">
        <f t="shared" si="88"/>
        <v/>
      </c>
      <c r="S901" s="185" t="str">
        <f t="shared" si="89"/>
        <v/>
      </c>
    </row>
    <row r="902" spans="14:19" ht="14.4">
      <c r="N902" s="150" t="str">
        <f t="shared" si="84"/>
        <v/>
      </c>
      <c r="O902" s="150" t="str">
        <f t="shared" si="85"/>
        <v/>
      </c>
      <c r="P902" s="150" t="str">
        <f t="shared" si="86"/>
        <v/>
      </c>
      <c r="Q902" s="150" t="str">
        <f t="shared" si="87"/>
        <v/>
      </c>
      <c r="R902" s="150" t="str">
        <f t="shared" si="88"/>
        <v/>
      </c>
      <c r="S902" s="185" t="str">
        <f t="shared" si="89"/>
        <v/>
      </c>
    </row>
    <row r="903" spans="14:19" ht="14.4">
      <c r="N903" s="150" t="str">
        <f t="shared" si="84"/>
        <v/>
      </c>
      <c r="O903" s="150" t="str">
        <f t="shared" si="85"/>
        <v/>
      </c>
      <c r="P903" s="150" t="str">
        <f t="shared" si="86"/>
        <v/>
      </c>
      <c r="Q903" s="150" t="str">
        <f t="shared" si="87"/>
        <v/>
      </c>
      <c r="R903" s="150" t="str">
        <f t="shared" si="88"/>
        <v/>
      </c>
      <c r="S903" s="185" t="str">
        <f t="shared" si="89"/>
        <v/>
      </c>
    </row>
    <row r="904" spans="14:19" ht="14.4">
      <c r="N904" s="150" t="str">
        <f t="shared" si="84"/>
        <v/>
      </c>
      <c r="O904" s="150" t="str">
        <f t="shared" si="85"/>
        <v/>
      </c>
      <c r="P904" s="150" t="str">
        <f t="shared" si="86"/>
        <v/>
      </c>
      <c r="Q904" s="150" t="str">
        <f t="shared" si="87"/>
        <v/>
      </c>
      <c r="R904" s="150" t="str">
        <f t="shared" si="88"/>
        <v/>
      </c>
      <c r="S904" s="185" t="str">
        <f t="shared" si="89"/>
        <v/>
      </c>
    </row>
    <row r="905" spans="14:19" ht="14.4">
      <c r="N905" s="150" t="str">
        <f t="shared" si="84"/>
        <v/>
      </c>
      <c r="O905" s="150" t="str">
        <f t="shared" si="85"/>
        <v/>
      </c>
      <c r="P905" s="150" t="str">
        <f t="shared" si="86"/>
        <v/>
      </c>
      <c r="Q905" s="150" t="str">
        <f t="shared" si="87"/>
        <v/>
      </c>
      <c r="R905" s="150" t="str">
        <f t="shared" si="88"/>
        <v/>
      </c>
      <c r="S905" s="185" t="str">
        <f t="shared" si="89"/>
        <v/>
      </c>
    </row>
    <row r="906" spans="14:19" ht="14.4">
      <c r="N906" s="150" t="str">
        <f t="shared" si="84"/>
        <v/>
      </c>
      <c r="O906" s="150" t="str">
        <f t="shared" si="85"/>
        <v/>
      </c>
      <c r="P906" s="150" t="str">
        <f t="shared" si="86"/>
        <v/>
      </c>
      <c r="Q906" s="150" t="str">
        <f t="shared" si="87"/>
        <v/>
      </c>
      <c r="R906" s="150" t="str">
        <f t="shared" si="88"/>
        <v/>
      </c>
      <c r="S906" s="185" t="str">
        <f t="shared" si="89"/>
        <v/>
      </c>
    </row>
    <row r="907" spans="14:19" ht="14.4">
      <c r="N907" s="150" t="str">
        <f t="shared" si="84"/>
        <v/>
      </c>
      <c r="O907" s="150" t="str">
        <f t="shared" si="85"/>
        <v/>
      </c>
      <c r="P907" s="150" t="str">
        <f t="shared" si="86"/>
        <v/>
      </c>
      <c r="Q907" s="150" t="str">
        <f t="shared" si="87"/>
        <v/>
      </c>
      <c r="R907" s="150" t="str">
        <f t="shared" si="88"/>
        <v/>
      </c>
      <c r="S907" s="185" t="str">
        <f t="shared" si="89"/>
        <v/>
      </c>
    </row>
    <row r="908" spans="14:19" ht="14.4">
      <c r="N908" s="150" t="str">
        <f t="shared" si="84"/>
        <v/>
      </c>
      <c r="O908" s="150" t="str">
        <f t="shared" si="85"/>
        <v/>
      </c>
      <c r="P908" s="150" t="str">
        <f t="shared" si="86"/>
        <v/>
      </c>
      <c r="Q908" s="150" t="str">
        <f t="shared" si="87"/>
        <v/>
      </c>
      <c r="R908" s="150" t="str">
        <f t="shared" si="88"/>
        <v/>
      </c>
      <c r="S908" s="185" t="str">
        <f t="shared" si="89"/>
        <v/>
      </c>
    </row>
    <row r="909" spans="14:19" ht="14.4">
      <c r="N909" s="150" t="str">
        <f t="shared" si="84"/>
        <v/>
      </c>
      <c r="O909" s="150" t="str">
        <f t="shared" si="85"/>
        <v/>
      </c>
      <c r="P909" s="150" t="str">
        <f t="shared" si="86"/>
        <v/>
      </c>
      <c r="Q909" s="150" t="str">
        <f t="shared" si="87"/>
        <v/>
      </c>
      <c r="R909" s="150" t="str">
        <f t="shared" si="88"/>
        <v/>
      </c>
      <c r="S909" s="185" t="str">
        <f t="shared" si="89"/>
        <v/>
      </c>
    </row>
    <row r="910" spans="14:19" ht="14.4">
      <c r="N910" s="150" t="str">
        <f t="shared" si="84"/>
        <v/>
      </c>
      <c r="O910" s="150" t="str">
        <f t="shared" si="85"/>
        <v/>
      </c>
      <c r="P910" s="150" t="str">
        <f t="shared" si="86"/>
        <v/>
      </c>
      <c r="Q910" s="150" t="str">
        <f t="shared" si="87"/>
        <v/>
      </c>
      <c r="R910" s="150" t="str">
        <f t="shared" si="88"/>
        <v/>
      </c>
      <c r="S910" s="185" t="str">
        <f t="shared" si="89"/>
        <v/>
      </c>
    </row>
    <row r="911" spans="14:19" ht="14.4">
      <c r="N911" s="150" t="str">
        <f t="shared" si="84"/>
        <v/>
      </c>
      <c r="O911" s="150" t="str">
        <f t="shared" si="85"/>
        <v/>
      </c>
      <c r="P911" s="150" t="str">
        <f t="shared" si="86"/>
        <v/>
      </c>
      <c r="Q911" s="150" t="str">
        <f t="shared" si="87"/>
        <v/>
      </c>
      <c r="R911" s="150" t="str">
        <f t="shared" si="88"/>
        <v/>
      </c>
      <c r="S911" s="185" t="str">
        <f t="shared" si="89"/>
        <v/>
      </c>
    </row>
    <row r="912" spans="14:19" ht="14.4">
      <c r="N912" s="150" t="str">
        <f t="shared" si="84"/>
        <v/>
      </c>
      <c r="O912" s="150" t="str">
        <f t="shared" si="85"/>
        <v/>
      </c>
      <c r="P912" s="150" t="str">
        <f t="shared" si="86"/>
        <v/>
      </c>
      <c r="Q912" s="150" t="str">
        <f t="shared" si="87"/>
        <v/>
      </c>
      <c r="R912" s="150" t="str">
        <f t="shared" si="88"/>
        <v/>
      </c>
      <c r="S912" s="185" t="str">
        <f t="shared" si="89"/>
        <v/>
      </c>
    </row>
    <row r="913" spans="14:19" ht="14.4">
      <c r="N913" s="150" t="str">
        <f t="shared" si="84"/>
        <v/>
      </c>
      <c r="O913" s="150" t="str">
        <f t="shared" si="85"/>
        <v/>
      </c>
      <c r="P913" s="150" t="str">
        <f t="shared" si="86"/>
        <v/>
      </c>
      <c r="Q913" s="150" t="str">
        <f t="shared" si="87"/>
        <v/>
      </c>
      <c r="R913" s="150" t="str">
        <f t="shared" si="88"/>
        <v/>
      </c>
      <c r="S913" s="185" t="str">
        <f t="shared" si="89"/>
        <v/>
      </c>
    </row>
    <row r="914" spans="14:19" ht="14.4">
      <c r="N914" s="150" t="str">
        <f t="shared" si="84"/>
        <v/>
      </c>
      <c r="O914" s="150" t="str">
        <f t="shared" si="85"/>
        <v/>
      </c>
      <c r="P914" s="150" t="str">
        <f t="shared" si="86"/>
        <v/>
      </c>
      <c r="Q914" s="150" t="str">
        <f t="shared" si="87"/>
        <v/>
      </c>
      <c r="R914" s="150" t="str">
        <f t="shared" si="88"/>
        <v/>
      </c>
      <c r="S914" s="185" t="str">
        <f t="shared" si="89"/>
        <v/>
      </c>
    </row>
    <row r="915" spans="14:19" ht="14.4">
      <c r="N915" s="150" t="str">
        <f t="shared" si="84"/>
        <v/>
      </c>
      <c r="O915" s="150" t="str">
        <f t="shared" si="85"/>
        <v/>
      </c>
      <c r="P915" s="150" t="str">
        <f t="shared" si="86"/>
        <v/>
      </c>
      <c r="Q915" s="150" t="str">
        <f t="shared" si="87"/>
        <v/>
      </c>
      <c r="R915" s="150" t="str">
        <f t="shared" si="88"/>
        <v/>
      </c>
      <c r="S915" s="185" t="str">
        <f t="shared" si="89"/>
        <v/>
      </c>
    </row>
    <row r="916" spans="14:19" ht="14.4">
      <c r="N916" s="150" t="str">
        <f t="shared" si="84"/>
        <v/>
      </c>
      <c r="O916" s="150" t="str">
        <f t="shared" si="85"/>
        <v/>
      </c>
      <c r="P916" s="150" t="str">
        <f t="shared" si="86"/>
        <v/>
      </c>
      <c r="Q916" s="150" t="str">
        <f t="shared" si="87"/>
        <v/>
      </c>
      <c r="R916" s="150" t="str">
        <f t="shared" si="88"/>
        <v/>
      </c>
      <c r="S916" s="185" t="str">
        <f t="shared" si="89"/>
        <v/>
      </c>
    </row>
    <row r="917" spans="14:19" ht="14.4">
      <c r="N917" s="150" t="str">
        <f t="shared" si="84"/>
        <v/>
      </c>
      <c r="O917" s="150" t="str">
        <f t="shared" si="85"/>
        <v/>
      </c>
      <c r="P917" s="150" t="str">
        <f t="shared" si="86"/>
        <v/>
      </c>
      <c r="Q917" s="150" t="str">
        <f t="shared" si="87"/>
        <v/>
      </c>
      <c r="R917" s="150" t="str">
        <f t="shared" si="88"/>
        <v/>
      </c>
      <c r="S917" s="185" t="str">
        <f t="shared" si="89"/>
        <v/>
      </c>
    </row>
    <row r="918" spans="14:19" ht="14.4">
      <c r="N918" s="150" t="str">
        <f t="shared" si="84"/>
        <v/>
      </c>
      <c r="O918" s="150" t="str">
        <f t="shared" si="85"/>
        <v/>
      </c>
      <c r="P918" s="150" t="str">
        <f t="shared" si="86"/>
        <v/>
      </c>
      <c r="Q918" s="150" t="str">
        <f t="shared" si="87"/>
        <v/>
      </c>
      <c r="R918" s="150" t="str">
        <f t="shared" si="88"/>
        <v/>
      </c>
      <c r="S918" s="185" t="str">
        <f t="shared" si="89"/>
        <v/>
      </c>
    </row>
    <row r="919" spans="14:19" ht="14.4">
      <c r="N919" s="150" t="str">
        <f t="shared" si="84"/>
        <v/>
      </c>
      <c r="O919" s="150" t="str">
        <f t="shared" si="85"/>
        <v/>
      </c>
      <c r="P919" s="150" t="str">
        <f t="shared" si="86"/>
        <v/>
      </c>
      <c r="Q919" s="150" t="str">
        <f t="shared" si="87"/>
        <v/>
      </c>
      <c r="R919" s="150" t="str">
        <f t="shared" si="88"/>
        <v/>
      </c>
      <c r="S919" s="185" t="str">
        <f t="shared" si="89"/>
        <v/>
      </c>
    </row>
    <row r="920" spans="14:19" ht="14.4">
      <c r="N920" s="150" t="str">
        <f t="shared" si="84"/>
        <v/>
      </c>
      <c r="O920" s="150" t="str">
        <f t="shared" si="85"/>
        <v/>
      </c>
      <c r="P920" s="150" t="str">
        <f t="shared" si="86"/>
        <v/>
      </c>
      <c r="Q920" s="150" t="str">
        <f t="shared" si="87"/>
        <v/>
      </c>
      <c r="R920" s="150" t="str">
        <f t="shared" si="88"/>
        <v/>
      </c>
      <c r="S920" s="185" t="str">
        <f t="shared" si="89"/>
        <v/>
      </c>
    </row>
    <row r="921" spans="14:19" ht="14.4">
      <c r="N921" s="150" t="str">
        <f t="shared" si="84"/>
        <v/>
      </c>
      <c r="O921" s="150" t="str">
        <f t="shared" si="85"/>
        <v/>
      </c>
      <c r="P921" s="150" t="str">
        <f t="shared" si="86"/>
        <v/>
      </c>
      <c r="Q921" s="150" t="str">
        <f t="shared" si="87"/>
        <v/>
      </c>
      <c r="R921" s="150" t="str">
        <f t="shared" si="88"/>
        <v/>
      </c>
      <c r="S921" s="185" t="str">
        <f t="shared" si="89"/>
        <v/>
      </c>
    </row>
    <row r="922" spans="14:19" ht="14.4">
      <c r="N922" s="150" t="str">
        <f t="shared" si="84"/>
        <v/>
      </c>
      <c r="O922" s="150" t="str">
        <f t="shared" si="85"/>
        <v/>
      </c>
      <c r="P922" s="150" t="str">
        <f t="shared" si="86"/>
        <v/>
      </c>
      <c r="Q922" s="150" t="str">
        <f t="shared" si="87"/>
        <v/>
      </c>
      <c r="R922" s="150" t="str">
        <f t="shared" si="88"/>
        <v/>
      </c>
      <c r="S922" s="185" t="str">
        <f t="shared" si="89"/>
        <v/>
      </c>
    </row>
    <row r="923" spans="14:19" ht="14.4">
      <c r="N923" s="150" t="str">
        <f t="shared" si="84"/>
        <v/>
      </c>
      <c r="O923" s="150" t="str">
        <f t="shared" si="85"/>
        <v/>
      </c>
      <c r="P923" s="150" t="str">
        <f t="shared" si="86"/>
        <v/>
      </c>
      <c r="Q923" s="150" t="str">
        <f t="shared" si="87"/>
        <v/>
      </c>
      <c r="R923" s="150" t="str">
        <f t="shared" si="88"/>
        <v/>
      </c>
      <c r="S923" s="185" t="str">
        <f t="shared" si="89"/>
        <v/>
      </c>
    </row>
    <row r="924" spans="14:19" ht="14.4">
      <c r="N924" s="150" t="str">
        <f t="shared" si="84"/>
        <v/>
      </c>
      <c r="O924" s="150" t="str">
        <f t="shared" si="85"/>
        <v/>
      </c>
      <c r="P924" s="150" t="str">
        <f t="shared" si="86"/>
        <v/>
      </c>
      <c r="Q924" s="150" t="str">
        <f t="shared" si="87"/>
        <v/>
      </c>
      <c r="R924" s="150" t="str">
        <f t="shared" si="88"/>
        <v/>
      </c>
      <c r="S924" s="185" t="str">
        <f t="shared" si="89"/>
        <v/>
      </c>
    </row>
    <row r="925" spans="14:19" ht="14.4">
      <c r="N925" s="150" t="str">
        <f t="shared" si="84"/>
        <v/>
      </c>
      <c r="O925" s="150" t="str">
        <f t="shared" si="85"/>
        <v/>
      </c>
      <c r="P925" s="150" t="str">
        <f t="shared" si="86"/>
        <v/>
      </c>
      <c r="Q925" s="150" t="str">
        <f t="shared" si="87"/>
        <v/>
      </c>
      <c r="R925" s="150" t="str">
        <f t="shared" si="88"/>
        <v/>
      </c>
      <c r="S925" s="185" t="str">
        <f t="shared" si="89"/>
        <v/>
      </c>
    </row>
    <row r="926" spans="14:19" ht="14.4">
      <c r="N926" s="150" t="str">
        <f t="shared" si="84"/>
        <v/>
      </c>
      <c r="O926" s="150" t="str">
        <f t="shared" si="85"/>
        <v/>
      </c>
      <c r="P926" s="150" t="str">
        <f t="shared" si="86"/>
        <v/>
      </c>
      <c r="Q926" s="150" t="str">
        <f t="shared" si="87"/>
        <v/>
      </c>
      <c r="R926" s="150" t="str">
        <f t="shared" si="88"/>
        <v/>
      </c>
      <c r="S926" s="185" t="str">
        <f t="shared" si="89"/>
        <v/>
      </c>
    </row>
    <row r="927" spans="14:19" ht="14.4">
      <c r="N927" s="150" t="str">
        <f t="shared" si="84"/>
        <v/>
      </c>
      <c r="O927" s="150" t="str">
        <f t="shared" si="85"/>
        <v/>
      </c>
      <c r="P927" s="150" t="str">
        <f t="shared" si="86"/>
        <v/>
      </c>
      <c r="Q927" s="150" t="str">
        <f t="shared" si="87"/>
        <v/>
      </c>
      <c r="R927" s="150" t="str">
        <f t="shared" si="88"/>
        <v/>
      </c>
      <c r="S927" s="185" t="str">
        <f t="shared" si="89"/>
        <v/>
      </c>
    </row>
    <row r="928" spans="14:19" ht="14.4">
      <c r="N928" s="150" t="str">
        <f t="shared" si="84"/>
        <v/>
      </c>
      <c r="O928" s="150" t="str">
        <f t="shared" si="85"/>
        <v/>
      </c>
      <c r="P928" s="150" t="str">
        <f t="shared" si="86"/>
        <v/>
      </c>
      <c r="Q928" s="150" t="str">
        <f t="shared" si="87"/>
        <v/>
      </c>
      <c r="R928" s="150" t="str">
        <f t="shared" si="88"/>
        <v/>
      </c>
      <c r="S928" s="185" t="str">
        <f t="shared" si="89"/>
        <v/>
      </c>
    </row>
    <row r="929" spans="14:19" ht="14.4">
      <c r="N929" s="150" t="str">
        <f t="shared" si="84"/>
        <v/>
      </c>
      <c r="O929" s="150" t="str">
        <f t="shared" si="85"/>
        <v/>
      </c>
      <c r="P929" s="150" t="str">
        <f t="shared" si="86"/>
        <v/>
      </c>
      <c r="Q929" s="150" t="str">
        <f t="shared" si="87"/>
        <v/>
      </c>
      <c r="R929" s="150" t="str">
        <f t="shared" si="88"/>
        <v/>
      </c>
      <c r="S929" s="185" t="str">
        <f t="shared" si="89"/>
        <v/>
      </c>
    </row>
    <row r="930" spans="14:19" ht="14.4">
      <c r="N930" s="150" t="str">
        <f t="shared" si="84"/>
        <v/>
      </c>
      <c r="O930" s="150" t="str">
        <f t="shared" si="85"/>
        <v/>
      </c>
      <c r="P930" s="150" t="str">
        <f t="shared" si="86"/>
        <v/>
      </c>
      <c r="Q930" s="150" t="str">
        <f t="shared" si="87"/>
        <v/>
      </c>
      <c r="R930" s="150" t="str">
        <f t="shared" si="88"/>
        <v/>
      </c>
      <c r="S930" s="185" t="str">
        <f t="shared" si="89"/>
        <v/>
      </c>
    </row>
    <row r="931" spans="14:19" ht="14.4">
      <c r="N931" s="150" t="str">
        <f t="shared" si="84"/>
        <v/>
      </c>
      <c r="O931" s="150" t="str">
        <f t="shared" si="85"/>
        <v/>
      </c>
      <c r="P931" s="150" t="str">
        <f t="shared" si="86"/>
        <v/>
      </c>
      <c r="Q931" s="150" t="str">
        <f t="shared" si="87"/>
        <v/>
      </c>
      <c r="R931" s="150" t="str">
        <f t="shared" si="88"/>
        <v/>
      </c>
      <c r="S931" s="185" t="str">
        <f t="shared" si="89"/>
        <v/>
      </c>
    </row>
    <row r="932" spans="14:19" ht="14.4">
      <c r="N932" s="150" t="str">
        <f t="shared" si="84"/>
        <v/>
      </c>
      <c r="O932" s="150" t="str">
        <f t="shared" si="85"/>
        <v/>
      </c>
      <c r="P932" s="150" t="str">
        <f t="shared" si="86"/>
        <v/>
      </c>
      <c r="Q932" s="150" t="str">
        <f t="shared" si="87"/>
        <v/>
      </c>
      <c r="R932" s="150" t="str">
        <f t="shared" si="88"/>
        <v/>
      </c>
      <c r="S932" s="185" t="str">
        <f t="shared" si="89"/>
        <v/>
      </c>
    </row>
    <row r="933" spans="14:19" ht="14.4">
      <c r="N933" s="150" t="str">
        <f t="shared" si="84"/>
        <v/>
      </c>
      <c r="O933" s="150" t="str">
        <f t="shared" si="85"/>
        <v/>
      </c>
      <c r="P933" s="150" t="str">
        <f t="shared" si="86"/>
        <v/>
      </c>
      <c r="Q933" s="150" t="str">
        <f t="shared" si="87"/>
        <v/>
      </c>
      <c r="R933" s="150" t="str">
        <f t="shared" si="88"/>
        <v/>
      </c>
      <c r="S933" s="185" t="str">
        <f t="shared" si="89"/>
        <v/>
      </c>
    </row>
    <row r="934" spans="14:19" ht="14.4">
      <c r="N934" s="150" t="str">
        <f t="shared" si="84"/>
        <v/>
      </c>
      <c r="O934" s="150" t="str">
        <f t="shared" si="85"/>
        <v/>
      </c>
      <c r="P934" s="150" t="str">
        <f t="shared" si="86"/>
        <v/>
      </c>
      <c r="Q934" s="150" t="str">
        <f t="shared" si="87"/>
        <v/>
      </c>
      <c r="R934" s="150" t="str">
        <f t="shared" si="88"/>
        <v/>
      </c>
      <c r="S934" s="185" t="str">
        <f t="shared" si="89"/>
        <v/>
      </c>
    </row>
    <row r="935" spans="14:19" ht="14.4">
      <c r="N935" s="150" t="str">
        <f t="shared" si="84"/>
        <v/>
      </c>
      <c r="O935" s="150" t="str">
        <f t="shared" si="85"/>
        <v/>
      </c>
      <c r="P935" s="150" t="str">
        <f t="shared" si="86"/>
        <v/>
      </c>
      <c r="Q935" s="150" t="str">
        <f t="shared" si="87"/>
        <v/>
      </c>
      <c r="R935" s="150" t="str">
        <f t="shared" si="88"/>
        <v/>
      </c>
      <c r="S935" s="185" t="str">
        <f t="shared" si="89"/>
        <v/>
      </c>
    </row>
    <row r="936" spans="14:19" ht="14.4">
      <c r="N936" s="150" t="str">
        <f t="shared" si="84"/>
        <v/>
      </c>
      <c r="O936" s="150" t="str">
        <f t="shared" si="85"/>
        <v/>
      </c>
      <c r="P936" s="150" t="str">
        <f t="shared" si="86"/>
        <v/>
      </c>
      <c r="Q936" s="150" t="str">
        <f t="shared" si="87"/>
        <v/>
      </c>
      <c r="R936" s="150" t="str">
        <f t="shared" si="88"/>
        <v/>
      </c>
      <c r="S936" s="185" t="str">
        <f t="shared" si="89"/>
        <v/>
      </c>
    </row>
    <row r="937" spans="14:19" ht="14.4">
      <c r="N937" s="150" t="str">
        <f t="shared" si="84"/>
        <v/>
      </c>
      <c r="O937" s="150" t="str">
        <f t="shared" si="85"/>
        <v/>
      </c>
      <c r="P937" s="150" t="str">
        <f t="shared" si="86"/>
        <v/>
      </c>
      <c r="Q937" s="150" t="str">
        <f t="shared" si="87"/>
        <v/>
      </c>
      <c r="R937" s="150" t="str">
        <f t="shared" si="88"/>
        <v/>
      </c>
      <c r="S937" s="185" t="str">
        <f t="shared" si="89"/>
        <v/>
      </c>
    </row>
    <row r="938" spans="14:19" ht="14.4">
      <c r="N938" s="150" t="str">
        <f t="shared" si="84"/>
        <v/>
      </c>
      <c r="O938" s="150" t="str">
        <f t="shared" si="85"/>
        <v/>
      </c>
      <c r="P938" s="150" t="str">
        <f t="shared" si="86"/>
        <v/>
      </c>
      <c r="Q938" s="150" t="str">
        <f t="shared" si="87"/>
        <v/>
      </c>
      <c r="R938" s="150" t="str">
        <f t="shared" si="88"/>
        <v/>
      </c>
      <c r="S938" s="185" t="str">
        <f t="shared" si="89"/>
        <v/>
      </c>
    </row>
    <row r="939" spans="14:19" ht="14.4">
      <c r="N939" s="150" t="str">
        <f t="shared" si="84"/>
        <v/>
      </c>
      <c r="O939" s="150" t="str">
        <f t="shared" si="85"/>
        <v/>
      </c>
      <c r="P939" s="150" t="str">
        <f t="shared" si="86"/>
        <v/>
      </c>
      <c r="Q939" s="150" t="str">
        <f t="shared" si="87"/>
        <v/>
      </c>
      <c r="R939" s="150" t="str">
        <f t="shared" si="88"/>
        <v/>
      </c>
      <c r="S939" s="185" t="str">
        <f t="shared" si="89"/>
        <v/>
      </c>
    </row>
    <row r="940" spans="14:19" ht="14.4">
      <c r="N940" s="150" t="str">
        <f t="shared" si="84"/>
        <v/>
      </c>
      <c r="O940" s="150" t="str">
        <f t="shared" si="85"/>
        <v/>
      </c>
      <c r="P940" s="150" t="str">
        <f t="shared" si="86"/>
        <v/>
      </c>
      <c r="Q940" s="150" t="str">
        <f t="shared" si="87"/>
        <v/>
      </c>
      <c r="R940" s="150" t="str">
        <f t="shared" si="88"/>
        <v/>
      </c>
      <c r="S940" s="185" t="str">
        <f t="shared" si="89"/>
        <v/>
      </c>
    </row>
    <row r="941" spans="14:19" ht="14.4">
      <c r="N941" s="150" t="str">
        <f t="shared" si="84"/>
        <v/>
      </c>
      <c r="O941" s="150" t="str">
        <f t="shared" si="85"/>
        <v/>
      </c>
      <c r="P941" s="150" t="str">
        <f t="shared" si="86"/>
        <v/>
      </c>
      <c r="Q941" s="150" t="str">
        <f t="shared" si="87"/>
        <v/>
      </c>
      <c r="R941" s="150" t="str">
        <f t="shared" si="88"/>
        <v/>
      </c>
      <c r="S941" s="185" t="str">
        <f t="shared" si="89"/>
        <v/>
      </c>
    </row>
    <row r="942" spans="14:19" ht="14.4">
      <c r="N942" s="150" t="str">
        <f t="shared" si="84"/>
        <v/>
      </c>
      <c r="O942" s="150" t="str">
        <f t="shared" si="85"/>
        <v/>
      </c>
      <c r="P942" s="150" t="str">
        <f t="shared" si="86"/>
        <v/>
      </c>
      <c r="Q942" s="150" t="str">
        <f t="shared" si="87"/>
        <v/>
      </c>
      <c r="R942" s="150" t="str">
        <f t="shared" si="88"/>
        <v/>
      </c>
      <c r="S942" s="185" t="str">
        <f t="shared" si="89"/>
        <v/>
      </c>
    </row>
    <row r="943" spans="14:19" ht="14.4">
      <c r="N943" s="150" t="str">
        <f t="shared" si="84"/>
        <v/>
      </c>
      <c r="O943" s="150" t="str">
        <f t="shared" si="85"/>
        <v/>
      </c>
      <c r="P943" s="150" t="str">
        <f t="shared" si="86"/>
        <v/>
      </c>
      <c r="Q943" s="150" t="str">
        <f t="shared" si="87"/>
        <v/>
      </c>
      <c r="R943" s="150" t="str">
        <f t="shared" si="88"/>
        <v/>
      </c>
      <c r="S943" s="185" t="str">
        <f t="shared" si="89"/>
        <v/>
      </c>
    </row>
    <row r="944" spans="14:19" ht="14.4">
      <c r="N944" s="150" t="str">
        <f t="shared" si="84"/>
        <v/>
      </c>
      <c r="O944" s="150" t="str">
        <f t="shared" si="85"/>
        <v/>
      </c>
      <c r="P944" s="150" t="str">
        <f t="shared" si="86"/>
        <v/>
      </c>
      <c r="Q944" s="150" t="str">
        <f t="shared" si="87"/>
        <v/>
      </c>
      <c r="R944" s="150" t="str">
        <f t="shared" si="88"/>
        <v/>
      </c>
      <c r="S944" s="185" t="str">
        <f t="shared" si="89"/>
        <v/>
      </c>
    </row>
    <row r="945" spans="14:19" ht="14.4">
      <c r="N945" s="150" t="str">
        <f t="shared" si="84"/>
        <v/>
      </c>
      <c r="O945" s="150" t="str">
        <f t="shared" si="85"/>
        <v/>
      </c>
      <c r="P945" s="150" t="str">
        <f t="shared" si="86"/>
        <v/>
      </c>
      <c r="Q945" s="150" t="str">
        <f t="shared" si="87"/>
        <v/>
      </c>
      <c r="R945" s="150" t="str">
        <f t="shared" si="88"/>
        <v/>
      </c>
      <c r="S945" s="185" t="str">
        <f t="shared" si="89"/>
        <v/>
      </c>
    </row>
    <row r="946" spans="14:19" ht="14.4">
      <c r="N946" s="150" t="str">
        <f t="shared" si="84"/>
        <v/>
      </c>
      <c r="O946" s="150" t="str">
        <f t="shared" si="85"/>
        <v/>
      </c>
      <c r="P946" s="150" t="str">
        <f t="shared" si="86"/>
        <v/>
      </c>
      <c r="Q946" s="150" t="str">
        <f t="shared" si="87"/>
        <v/>
      </c>
      <c r="R946" s="150" t="str">
        <f t="shared" si="88"/>
        <v/>
      </c>
      <c r="S946" s="185" t="str">
        <f t="shared" si="89"/>
        <v/>
      </c>
    </row>
    <row r="947" spans="14:19" ht="14.4">
      <c r="N947" s="150" t="str">
        <f t="shared" si="84"/>
        <v/>
      </c>
      <c r="O947" s="150" t="str">
        <f t="shared" si="85"/>
        <v/>
      </c>
      <c r="P947" s="150" t="str">
        <f t="shared" si="86"/>
        <v/>
      </c>
      <c r="Q947" s="150" t="str">
        <f t="shared" si="87"/>
        <v/>
      </c>
      <c r="R947" s="150" t="str">
        <f t="shared" si="88"/>
        <v/>
      </c>
      <c r="S947" s="185" t="str">
        <f t="shared" si="89"/>
        <v/>
      </c>
    </row>
    <row r="948" spans="14:19" ht="14.4">
      <c r="N948" s="150" t="str">
        <f t="shared" si="84"/>
        <v/>
      </c>
      <c r="O948" s="150" t="str">
        <f t="shared" si="85"/>
        <v/>
      </c>
      <c r="P948" s="150" t="str">
        <f t="shared" si="86"/>
        <v/>
      </c>
      <c r="Q948" s="150" t="str">
        <f t="shared" si="87"/>
        <v/>
      </c>
      <c r="R948" s="150" t="str">
        <f t="shared" si="88"/>
        <v/>
      </c>
      <c r="S948" s="185" t="str">
        <f t="shared" si="89"/>
        <v/>
      </c>
    </row>
    <row r="949" spans="14:19" ht="14.4">
      <c r="N949" s="150" t="str">
        <f t="shared" si="84"/>
        <v/>
      </c>
      <c r="O949" s="150" t="str">
        <f t="shared" si="85"/>
        <v/>
      </c>
      <c r="P949" s="150" t="str">
        <f t="shared" si="86"/>
        <v/>
      </c>
      <c r="Q949" s="150" t="str">
        <f t="shared" si="87"/>
        <v/>
      </c>
      <c r="R949" s="150" t="str">
        <f t="shared" si="88"/>
        <v/>
      </c>
      <c r="S949" s="185" t="str">
        <f t="shared" si="89"/>
        <v/>
      </c>
    </row>
    <row r="950" spans="14:19" ht="14.4">
      <c r="N950" s="150" t="str">
        <f t="shared" si="84"/>
        <v/>
      </c>
      <c r="O950" s="150" t="str">
        <f t="shared" si="85"/>
        <v/>
      </c>
      <c r="P950" s="150" t="str">
        <f t="shared" si="86"/>
        <v/>
      </c>
      <c r="Q950" s="150" t="str">
        <f t="shared" si="87"/>
        <v/>
      </c>
      <c r="R950" s="150" t="str">
        <f t="shared" si="88"/>
        <v/>
      </c>
      <c r="S950" s="185" t="str">
        <f t="shared" si="89"/>
        <v/>
      </c>
    </row>
    <row r="951" spans="14:19" ht="14.4">
      <c r="N951" s="150" t="str">
        <f t="shared" si="84"/>
        <v/>
      </c>
      <c r="O951" s="150" t="str">
        <f t="shared" si="85"/>
        <v/>
      </c>
      <c r="P951" s="150" t="str">
        <f t="shared" si="86"/>
        <v/>
      </c>
      <c r="Q951" s="150" t="str">
        <f t="shared" si="87"/>
        <v/>
      </c>
      <c r="R951" s="150" t="str">
        <f t="shared" si="88"/>
        <v/>
      </c>
      <c r="S951" s="185" t="str">
        <f t="shared" si="89"/>
        <v/>
      </c>
    </row>
    <row r="952" spans="14:19" ht="14.4">
      <c r="N952" s="150" t="str">
        <f t="shared" si="84"/>
        <v/>
      </c>
      <c r="O952" s="150" t="str">
        <f t="shared" si="85"/>
        <v/>
      </c>
      <c r="P952" s="150" t="str">
        <f t="shared" si="86"/>
        <v/>
      </c>
      <c r="Q952" s="150" t="str">
        <f t="shared" si="87"/>
        <v/>
      </c>
      <c r="R952" s="150" t="str">
        <f t="shared" si="88"/>
        <v/>
      </c>
      <c r="S952" s="185" t="str">
        <f t="shared" si="89"/>
        <v/>
      </c>
    </row>
    <row r="953" spans="14:19" ht="14.4">
      <c r="N953" s="150" t="str">
        <f t="shared" si="84"/>
        <v/>
      </c>
      <c r="O953" s="150" t="str">
        <f t="shared" si="85"/>
        <v/>
      </c>
      <c r="P953" s="150" t="str">
        <f t="shared" si="86"/>
        <v/>
      </c>
      <c r="Q953" s="150" t="str">
        <f t="shared" si="87"/>
        <v/>
      </c>
      <c r="R953" s="150" t="str">
        <f t="shared" si="88"/>
        <v/>
      </c>
      <c r="S953" s="185" t="str">
        <f t="shared" si="89"/>
        <v/>
      </c>
    </row>
    <row r="954" spans="14:19" ht="14.4">
      <c r="N954" s="150" t="str">
        <f t="shared" si="84"/>
        <v/>
      </c>
      <c r="O954" s="150" t="str">
        <f t="shared" si="85"/>
        <v/>
      </c>
      <c r="P954" s="150" t="str">
        <f t="shared" si="86"/>
        <v/>
      </c>
      <c r="Q954" s="150" t="str">
        <f t="shared" si="87"/>
        <v/>
      </c>
      <c r="R954" s="150" t="str">
        <f t="shared" si="88"/>
        <v/>
      </c>
      <c r="S954" s="185" t="str">
        <f t="shared" si="89"/>
        <v/>
      </c>
    </row>
    <row r="955" spans="14:19" ht="14.4">
      <c r="N955" s="150" t="str">
        <f t="shared" si="84"/>
        <v/>
      </c>
      <c r="O955" s="150" t="str">
        <f t="shared" si="85"/>
        <v/>
      </c>
      <c r="P955" s="150" t="str">
        <f t="shared" si="86"/>
        <v/>
      </c>
      <c r="Q955" s="150" t="str">
        <f t="shared" si="87"/>
        <v/>
      </c>
      <c r="R955" s="150" t="str">
        <f t="shared" si="88"/>
        <v/>
      </c>
      <c r="S955" s="185" t="str">
        <f t="shared" si="89"/>
        <v/>
      </c>
    </row>
    <row r="956" spans="14:19" ht="14.4">
      <c r="N956" s="150" t="str">
        <f t="shared" si="84"/>
        <v/>
      </c>
      <c r="O956" s="150" t="str">
        <f t="shared" si="85"/>
        <v/>
      </c>
      <c r="P956" s="150" t="str">
        <f t="shared" si="86"/>
        <v/>
      </c>
      <c r="Q956" s="150" t="str">
        <f t="shared" si="87"/>
        <v/>
      </c>
      <c r="R956" s="150" t="str">
        <f t="shared" si="88"/>
        <v/>
      </c>
      <c r="S956" s="185" t="str">
        <f t="shared" si="89"/>
        <v/>
      </c>
    </row>
    <row r="957" spans="14:19" ht="14.4">
      <c r="N957" s="150" t="str">
        <f t="shared" si="84"/>
        <v/>
      </c>
      <c r="O957" s="150" t="str">
        <f t="shared" si="85"/>
        <v/>
      </c>
      <c r="P957" s="150" t="str">
        <f t="shared" si="86"/>
        <v/>
      </c>
      <c r="Q957" s="150" t="str">
        <f t="shared" si="87"/>
        <v/>
      </c>
      <c r="R957" s="150" t="str">
        <f t="shared" si="88"/>
        <v/>
      </c>
      <c r="S957" s="185" t="str">
        <f t="shared" si="89"/>
        <v/>
      </c>
    </row>
    <row r="958" spans="14:19" ht="14.4">
      <c r="N958" s="150" t="str">
        <f t="shared" si="84"/>
        <v/>
      </c>
      <c r="O958" s="150" t="str">
        <f t="shared" si="85"/>
        <v/>
      </c>
      <c r="P958" s="150" t="str">
        <f t="shared" si="86"/>
        <v/>
      </c>
      <c r="Q958" s="150" t="str">
        <f t="shared" si="87"/>
        <v/>
      </c>
      <c r="R958" s="150" t="str">
        <f t="shared" si="88"/>
        <v/>
      </c>
      <c r="S958" s="185" t="str">
        <f t="shared" si="89"/>
        <v/>
      </c>
    </row>
    <row r="959" spans="14:19" ht="14.4">
      <c r="N959" s="150" t="str">
        <f t="shared" si="84"/>
        <v/>
      </c>
      <c r="O959" s="150" t="str">
        <f t="shared" si="85"/>
        <v/>
      </c>
      <c r="P959" s="150" t="str">
        <f t="shared" si="86"/>
        <v/>
      </c>
      <c r="Q959" s="150" t="str">
        <f t="shared" si="87"/>
        <v/>
      </c>
      <c r="R959" s="150" t="str">
        <f t="shared" si="88"/>
        <v/>
      </c>
      <c r="S959" s="185" t="str">
        <f t="shared" si="89"/>
        <v/>
      </c>
    </row>
    <row r="960" spans="14:19" ht="14.4">
      <c r="N960" s="150" t="str">
        <f t="shared" si="84"/>
        <v/>
      </c>
      <c r="O960" s="150" t="str">
        <f t="shared" si="85"/>
        <v/>
      </c>
      <c r="P960" s="150" t="str">
        <f t="shared" si="86"/>
        <v/>
      </c>
      <c r="Q960" s="150" t="str">
        <f t="shared" si="87"/>
        <v/>
      </c>
      <c r="R960" s="150" t="str">
        <f t="shared" si="88"/>
        <v/>
      </c>
      <c r="S960" s="185" t="str">
        <f t="shared" si="89"/>
        <v/>
      </c>
    </row>
    <row r="961" spans="14:19" ht="14.4">
      <c r="N961" s="150" t="str">
        <f t="shared" si="84"/>
        <v/>
      </c>
      <c r="O961" s="150" t="str">
        <f t="shared" si="85"/>
        <v/>
      </c>
      <c r="P961" s="150" t="str">
        <f t="shared" si="86"/>
        <v/>
      </c>
      <c r="Q961" s="150" t="str">
        <f t="shared" si="87"/>
        <v/>
      </c>
      <c r="R961" s="150" t="str">
        <f t="shared" si="88"/>
        <v/>
      </c>
      <c r="S961" s="185" t="str">
        <f t="shared" si="89"/>
        <v/>
      </c>
    </row>
    <row r="962" spans="14:19" ht="14.4">
      <c r="N962" s="150" t="str">
        <f t="shared" si="84"/>
        <v/>
      </c>
      <c r="O962" s="150" t="str">
        <f t="shared" si="85"/>
        <v/>
      </c>
      <c r="P962" s="150" t="str">
        <f t="shared" si="86"/>
        <v/>
      </c>
      <c r="Q962" s="150" t="str">
        <f t="shared" si="87"/>
        <v/>
      </c>
      <c r="R962" s="150" t="str">
        <f t="shared" si="88"/>
        <v/>
      </c>
      <c r="S962" s="185" t="str">
        <f t="shared" si="89"/>
        <v/>
      </c>
    </row>
    <row r="963" spans="14:19" ht="14.4">
      <c r="N963" s="150" t="str">
        <f t="shared" ref="N963:N1000" si="90">IF(LEN(A963)&gt;18,A963,"")</f>
        <v/>
      </c>
      <c r="O963" s="150" t="str">
        <f t="shared" ref="O963:O1000" si="91">IF(ISNUMBER(IF(N963="",B963,"")),B963,"")</f>
        <v/>
      </c>
      <c r="P963" s="150" t="str">
        <f t="shared" ref="P963:P1000" si="92">IF(ISNUMBER(IF($N963="",C963,"")),C963,"")</f>
        <v/>
      </c>
      <c r="Q963" s="150" t="str">
        <f t="shared" ref="Q963:Q1000" si="93">IF(ISNUMBER(IF($N963="",D963,"")),D963,"")</f>
        <v/>
      </c>
      <c r="R963" s="150" t="str">
        <f t="shared" ref="R963:R1000" si="94">IF(ISNUMBER(IF($N963="",F963,"")),F963,"")</f>
        <v/>
      </c>
      <c r="S963" s="185" t="str">
        <f t="shared" ref="S963:S1000" si="95">IF(ISNUMBER(IF($N963="",H963,"")),H963,"")</f>
        <v/>
      </c>
    </row>
    <row r="964" spans="14:19" ht="14.4">
      <c r="N964" s="150" t="str">
        <f t="shared" si="90"/>
        <v/>
      </c>
      <c r="O964" s="150" t="str">
        <f t="shared" si="91"/>
        <v/>
      </c>
      <c r="P964" s="150" t="str">
        <f t="shared" si="92"/>
        <v/>
      </c>
      <c r="Q964" s="150" t="str">
        <f t="shared" si="93"/>
        <v/>
      </c>
      <c r="R964" s="150" t="str">
        <f t="shared" si="94"/>
        <v/>
      </c>
      <c r="S964" s="185" t="str">
        <f t="shared" si="95"/>
        <v/>
      </c>
    </row>
    <row r="965" spans="14:19" ht="14.4">
      <c r="N965" s="150" t="str">
        <f t="shared" si="90"/>
        <v/>
      </c>
      <c r="O965" s="150" t="str">
        <f t="shared" si="91"/>
        <v/>
      </c>
      <c r="P965" s="150" t="str">
        <f t="shared" si="92"/>
        <v/>
      </c>
      <c r="Q965" s="150" t="str">
        <f t="shared" si="93"/>
        <v/>
      </c>
      <c r="R965" s="150" t="str">
        <f t="shared" si="94"/>
        <v/>
      </c>
      <c r="S965" s="185" t="str">
        <f t="shared" si="95"/>
        <v/>
      </c>
    </row>
    <row r="966" spans="14:19" ht="14.4">
      <c r="N966" s="150" t="str">
        <f t="shared" si="90"/>
        <v/>
      </c>
      <c r="O966" s="150" t="str">
        <f t="shared" si="91"/>
        <v/>
      </c>
      <c r="P966" s="150" t="str">
        <f t="shared" si="92"/>
        <v/>
      </c>
      <c r="Q966" s="150" t="str">
        <f t="shared" si="93"/>
        <v/>
      </c>
      <c r="R966" s="150" t="str">
        <f t="shared" si="94"/>
        <v/>
      </c>
      <c r="S966" s="185" t="str">
        <f t="shared" si="95"/>
        <v/>
      </c>
    </row>
    <row r="967" spans="14:19" ht="14.4">
      <c r="N967" s="150" t="str">
        <f t="shared" si="90"/>
        <v/>
      </c>
      <c r="O967" s="150" t="str">
        <f t="shared" si="91"/>
        <v/>
      </c>
      <c r="P967" s="150" t="str">
        <f t="shared" si="92"/>
        <v/>
      </c>
      <c r="Q967" s="150" t="str">
        <f t="shared" si="93"/>
        <v/>
      </c>
      <c r="R967" s="150" t="str">
        <f t="shared" si="94"/>
        <v/>
      </c>
      <c r="S967" s="185" t="str">
        <f t="shared" si="95"/>
        <v/>
      </c>
    </row>
    <row r="968" spans="14:19" ht="14.4">
      <c r="N968" s="150" t="str">
        <f t="shared" si="90"/>
        <v/>
      </c>
      <c r="O968" s="150" t="str">
        <f t="shared" si="91"/>
        <v/>
      </c>
      <c r="P968" s="150" t="str">
        <f t="shared" si="92"/>
        <v/>
      </c>
      <c r="Q968" s="150" t="str">
        <f t="shared" si="93"/>
        <v/>
      </c>
      <c r="R968" s="150" t="str">
        <f t="shared" si="94"/>
        <v/>
      </c>
      <c r="S968" s="185" t="str">
        <f t="shared" si="95"/>
        <v/>
      </c>
    </row>
    <row r="969" spans="14:19" ht="14.4">
      <c r="N969" s="150" t="str">
        <f t="shared" si="90"/>
        <v/>
      </c>
      <c r="O969" s="150" t="str">
        <f t="shared" si="91"/>
        <v/>
      </c>
      <c r="P969" s="150" t="str">
        <f t="shared" si="92"/>
        <v/>
      </c>
      <c r="Q969" s="150" t="str">
        <f t="shared" si="93"/>
        <v/>
      </c>
      <c r="R969" s="150" t="str">
        <f t="shared" si="94"/>
        <v/>
      </c>
      <c r="S969" s="185" t="str">
        <f t="shared" si="95"/>
        <v/>
      </c>
    </row>
    <row r="970" spans="14:19" ht="14.4">
      <c r="N970" s="150" t="str">
        <f t="shared" si="90"/>
        <v/>
      </c>
      <c r="O970" s="150" t="str">
        <f t="shared" si="91"/>
        <v/>
      </c>
      <c r="P970" s="150" t="str">
        <f t="shared" si="92"/>
        <v/>
      </c>
      <c r="Q970" s="150" t="str">
        <f t="shared" si="93"/>
        <v/>
      </c>
      <c r="R970" s="150" t="str">
        <f t="shared" si="94"/>
        <v/>
      </c>
      <c r="S970" s="185" t="str">
        <f t="shared" si="95"/>
        <v/>
      </c>
    </row>
    <row r="971" spans="14:19" ht="14.4">
      <c r="N971" s="150" t="str">
        <f t="shared" si="90"/>
        <v/>
      </c>
      <c r="O971" s="150" t="str">
        <f t="shared" si="91"/>
        <v/>
      </c>
      <c r="P971" s="150" t="str">
        <f t="shared" si="92"/>
        <v/>
      </c>
      <c r="Q971" s="150" t="str">
        <f t="shared" si="93"/>
        <v/>
      </c>
      <c r="R971" s="150" t="str">
        <f t="shared" si="94"/>
        <v/>
      </c>
      <c r="S971" s="185" t="str">
        <f t="shared" si="95"/>
        <v/>
      </c>
    </row>
    <row r="972" spans="14:19" ht="14.4">
      <c r="N972" s="150" t="str">
        <f t="shared" si="90"/>
        <v/>
      </c>
      <c r="O972" s="150" t="str">
        <f t="shared" si="91"/>
        <v/>
      </c>
      <c r="P972" s="150" t="str">
        <f t="shared" si="92"/>
        <v/>
      </c>
      <c r="Q972" s="150" t="str">
        <f t="shared" si="93"/>
        <v/>
      </c>
      <c r="R972" s="150" t="str">
        <f t="shared" si="94"/>
        <v/>
      </c>
      <c r="S972" s="185" t="str">
        <f t="shared" si="95"/>
        <v/>
      </c>
    </row>
    <row r="973" spans="14:19" ht="14.4">
      <c r="N973" s="150" t="str">
        <f t="shared" si="90"/>
        <v/>
      </c>
      <c r="O973" s="150" t="str">
        <f t="shared" si="91"/>
        <v/>
      </c>
      <c r="P973" s="150" t="str">
        <f t="shared" si="92"/>
        <v/>
      </c>
      <c r="Q973" s="150" t="str">
        <f t="shared" si="93"/>
        <v/>
      </c>
      <c r="R973" s="150" t="str">
        <f t="shared" si="94"/>
        <v/>
      </c>
      <c r="S973" s="185" t="str">
        <f t="shared" si="95"/>
        <v/>
      </c>
    </row>
    <row r="974" spans="14:19" ht="14.4">
      <c r="N974" s="150" t="str">
        <f t="shared" si="90"/>
        <v/>
      </c>
      <c r="O974" s="150" t="str">
        <f t="shared" si="91"/>
        <v/>
      </c>
      <c r="P974" s="150" t="str">
        <f t="shared" si="92"/>
        <v/>
      </c>
      <c r="Q974" s="150" t="str">
        <f t="shared" si="93"/>
        <v/>
      </c>
      <c r="R974" s="150" t="str">
        <f t="shared" si="94"/>
        <v/>
      </c>
      <c r="S974" s="185" t="str">
        <f t="shared" si="95"/>
        <v/>
      </c>
    </row>
    <row r="975" spans="14:19" ht="14.4">
      <c r="N975" s="150" t="str">
        <f t="shared" si="90"/>
        <v/>
      </c>
      <c r="O975" s="150" t="str">
        <f t="shared" si="91"/>
        <v/>
      </c>
      <c r="P975" s="150" t="str">
        <f t="shared" si="92"/>
        <v/>
      </c>
      <c r="Q975" s="150" t="str">
        <f t="shared" si="93"/>
        <v/>
      </c>
      <c r="R975" s="150" t="str">
        <f t="shared" si="94"/>
        <v/>
      </c>
      <c r="S975" s="185" t="str">
        <f t="shared" si="95"/>
        <v/>
      </c>
    </row>
    <row r="976" spans="14:19" ht="14.4">
      <c r="N976" s="150" t="str">
        <f t="shared" si="90"/>
        <v/>
      </c>
      <c r="O976" s="150" t="str">
        <f t="shared" si="91"/>
        <v/>
      </c>
      <c r="P976" s="150" t="str">
        <f t="shared" si="92"/>
        <v/>
      </c>
      <c r="Q976" s="150" t="str">
        <f t="shared" si="93"/>
        <v/>
      </c>
      <c r="R976" s="150" t="str">
        <f t="shared" si="94"/>
        <v/>
      </c>
      <c r="S976" s="185" t="str">
        <f t="shared" si="95"/>
        <v/>
      </c>
    </row>
    <row r="977" spans="14:19" ht="14.4">
      <c r="N977" s="150" t="str">
        <f t="shared" si="90"/>
        <v/>
      </c>
      <c r="O977" s="150" t="str">
        <f t="shared" si="91"/>
        <v/>
      </c>
      <c r="P977" s="150" t="str">
        <f t="shared" si="92"/>
        <v/>
      </c>
      <c r="Q977" s="150" t="str">
        <f t="shared" si="93"/>
        <v/>
      </c>
      <c r="R977" s="150" t="str">
        <f t="shared" si="94"/>
        <v/>
      </c>
      <c r="S977" s="185" t="str">
        <f t="shared" si="95"/>
        <v/>
      </c>
    </row>
    <row r="978" spans="14:19" ht="14.4">
      <c r="N978" s="150" t="str">
        <f t="shared" si="90"/>
        <v/>
      </c>
      <c r="O978" s="150" t="str">
        <f t="shared" si="91"/>
        <v/>
      </c>
      <c r="P978" s="150" t="str">
        <f t="shared" si="92"/>
        <v/>
      </c>
      <c r="Q978" s="150" t="str">
        <f t="shared" si="93"/>
        <v/>
      </c>
      <c r="R978" s="150" t="str">
        <f t="shared" si="94"/>
        <v/>
      </c>
      <c r="S978" s="185" t="str">
        <f t="shared" si="95"/>
        <v/>
      </c>
    </row>
    <row r="979" spans="14:19" ht="14.4">
      <c r="N979" s="150" t="str">
        <f t="shared" si="90"/>
        <v/>
      </c>
      <c r="O979" s="150" t="str">
        <f t="shared" si="91"/>
        <v/>
      </c>
      <c r="P979" s="150" t="str">
        <f t="shared" si="92"/>
        <v/>
      </c>
      <c r="Q979" s="150" t="str">
        <f t="shared" si="93"/>
        <v/>
      </c>
      <c r="R979" s="150" t="str">
        <f t="shared" si="94"/>
        <v/>
      </c>
      <c r="S979" s="185" t="str">
        <f t="shared" si="95"/>
        <v/>
      </c>
    </row>
    <row r="980" spans="14:19" ht="14.4">
      <c r="N980" s="150" t="str">
        <f t="shared" si="90"/>
        <v/>
      </c>
      <c r="O980" s="150" t="str">
        <f t="shared" si="91"/>
        <v/>
      </c>
      <c r="P980" s="150" t="str">
        <f t="shared" si="92"/>
        <v/>
      </c>
      <c r="Q980" s="150" t="str">
        <f t="shared" si="93"/>
        <v/>
      </c>
      <c r="R980" s="150" t="str">
        <f t="shared" si="94"/>
        <v/>
      </c>
      <c r="S980" s="185" t="str">
        <f t="shared" si="95"/>
        <v/>
      </c>
    </row>
    <row r="981" spans="14:19" ht="14.4">
      <c r="N981" s="150" t="str">
        <f t="shared" si="90"/>
        <v/>
      </c>
      <c r="O981" s="150" t="str">
        <f t="shared" si="91"/>
        <v/>
      </c>
      <c r="P981" s="150" t="str">
        <f t="shared" si="92"/>
        <v/>
      </c>
      <c r="Q981" s="150" t="str">
        <f t="shared" si="93"/>
        <v/>
      </c>
      <c r="R981" s="150" t="str">
        <f t="shared" si="94"/>
        <v/>
      </c>
      <c r="S981" s="185" t="str">
        <f t="shared" si="95"/>
        <v/>
      </c>
    </row>
    <row r="982" spans="14:19" ht="14.4">
      <c r="N982" s="150" t="str">
        <f t="shared" si="90"/>
        <v/>
      </c>
      <c r="O982" s="150" t="str">
        <f t="shared" si="91"/>
        <v/>
      </c>
      <c r="P982" s="150" t="str">
        <f t="shared" si="92"/>
        <v/>
      </c>
      <c r="Q982" s="150" t="str">
        <f t="shared" si="93"/>
        <v/>
      </c>
      <c r="R982" s="150" t="str">
        <f t="shared" si="94"/>
        <v/>
      </c>
      <c r="S982" s="185" t="str">
        <f t="shared" si="95"/>
        <v/>
      </c>
    </row>
    <row r="983" spans="14:19" ht="14.4">
      <c r="N983" s="150" t="str">
        <f t="shared" si="90"/>
        <v/>
      </c>
      <c r="O983" s="150" t="str">
        <f t="shared" si="91"/>
        <v/>
      </c>
      <c r="P983" s="150" t="str">
        <f t="shared" si="92"/>
        <v/>
      </c>
      <c r="Q983" s="150" t="str">
        <f t="shared" si="93"/>
        <v/>
      </c>
      <c r="R983" s="150" t="str">
        <f t="shared" si="94"/>
        <v/>
      </c>
      <c r="S983" s="185" t="str">
        <f t="shared" si="95"/>
        <v/>
      </c>
    </row>
    <row r="984" spans="14:19" ht="14.4">
      <c r="N984" s="150" t="str">
        <f t="shared" si="90"/>
        <v/>
      </c>
      <c r="O984" s="150" t="str">
        <f t="shared" si="91"/>
        <v/>
      </c>
      <c r="P984" s="150" t="str">
        <f t="shared" si="92"/>
        <v/>
      </c>
      <c r="Q984" s="150" t="str">
        <f t="shared" si="93"/>
        <v/>
      </c>
      <c r="R984" s="150" t="str">
        <f t="shared" si="94"/>
        <v/>
      </c>
      <c r="S984" s="185" t="str">
        <f t="shared" si="95"/>
        <v/>
      </c>
    </row>
    <row r="985" spans="14:19" ht="14.4">
      <c r="N985" s="150" t="str">
        <f t="shared" si="90"/>
        <v/>
      </c>
      <c r="O985" s="150" t="str">
        <f t="shared" si="91"/>
        <v/>
      </c>
      <c r="P985" s="150" t="str">
        <f t="shared" si="92"/>
        <v/>
      </c>
      <c r="Q985" s="150" t="str">
        <f t="shared" si="93"/>
        <v/>
      </c>
      <c r="R985" s="150" t="str">
        <f t="shared" si="94"/>
        <v/>
      </c>
      <c r="S985" s="185" t="str">
        <f t="shared" si="95"/>
        <v/>
      </c>
    </row>
    <row r="986" spans="14:19" ht="14.4">
      <c r="N986" s="150" t="str">
        <f t="shared" si="90"/>
        <v/>
      </c>
      <c r="O986" s="150" t="str">
        <f t="shared" si="91"/>
        <v/>
      </c>
      <c r="P986" s="150" t="str">
        <f t="shared" si="92"/>
        <v/>
      </c>
      <c r="Q986" s="150" t="str">
        <f t="shared" si="93"/>
        <v/>
      </c>
      <c r="R986" s="150" t="str">
        <f t="shared" si="94"/>
        <v/>
      </c>
      <c r="S986" s="185" t="str">
        <f t="shared" si="95"/>
        <v/>
      </c>
    </row>
    <row r="987" spans="14:19" ht="14.4">
      <c r="N987" s="150" t="str">
        <f t="shared" si="90"/>
        <v/>
      </c>
      <c r="O987" s="150" t="str">
        <f t="shared" si="91"/>
        <v/>
      </c>
      <c r="P987" s="150" t="str">
        <f t="shared" si="92"/>
        <v/>
      </c>
      <c r="Q987" s="150" t="str">
        <f t="shared" si="93"/>
        <v/>
      </c>
      <c r="R987" s="150" t="str">
        <f t="shared" si="94"/>
        <v/>
      </c>
      <c r="S987" s="185" t="str">
        <f t="shared" si="95"/>
        <v/>
      </c>
    </row>
    <row r="988" spans="14:19" ht="14.4">
      <c r="N988" s="150" t="str">
        <f t="shared" si="90"/>
        <v/>
      </c>
      <c r="O988" s="150" t="str">
        <f t="shared" si="91"/>
        <v/>
      </c>
      <c r="P988" s="150" t="str">
        <f t="shared" si="92"/>
        <v/>
      </c>
      <c r="Q988" s="150" t="str">
        <f t="shared" si="93"/>
        <v/>
      </c>
      <c r="R988" s="150" t="str">
        <f t="shared" si="94"/>
        <v/>
      </c>
      <c r="S988" s="185" t="str">
        <f t="shared" si="95"/>
        <v/>
      </c>
    </row>
    <row r="989" spans="14:19" ht="14.4">
      <c r="N989" s="150" t="str">
        <f t="shared" si="90"/>
        <v/>
      </c>
      <c r="O989" s="150" t="str">
        <f t="shared" si="91"/>
        <v/>
      </c>
      <c r="P989" s="150" t="str">
        <f t="shared" si="92"/>
        <v/>
      </c>
      <c r="Q989" s="150" t="str">
        <f t="shared" si="93"/>
        <v/>
      </c>
      <c r="R989" s="150" t="str">
        <f t="shared" si="94"/>
        <v/>
      </c>
      <c r="S989" s="185" t="str">
        <f t="shared" si="95"/>
        <v/>
      </c>
    </row>
    <row r="990" spans="14:19" ht="14.4">
      <c r="N990" s="150" t="str">
        <f t="shared" si="90"/>
        <v/>
      </c>
      <c r="O990" s="150" t="str">
        <f t="shared" si="91"/>
        <v/>
      </c>
      <c r="P990" s="150" t="str">
        <f t="shared" si="92"/>
        <v/>
      </c>
      <c r="Q990" s="150" t="str">
        <f t="shared" si="93"/>
        <v/>
      </c>
      <c r="R990" s="150" t="str">
        <f t="shared" si="94"/>
        <v/>
      </c>
      <c r="S990" s="185" t="str">
        <f t="shared" si="95"/>
        <v/>
      </c>
    </row>
    <row r="991" spans="14:19" ht="14.4">
      <c r="N991" s="150" t="str">
        <f t="shared" si="90"/>
        <v/>
      </c>
      <c r="O991" s="150" t="str">
        <f t="shared" si="91"/>
        <v/>
      </c>
      <c r="P991" s="150" t="str">
        <f t="shared" si="92"/>
        <v/>
      </c>
      <c r="Q991" s="150" t="str">
        <f t="shared" si="93"/>
        <v/>
      </c>
      <c r="R991" s="150" t="str">
        <f t="shared" si="94"/>
        <v/>
      </c>
      <c r="S991" s="185" t="str">
        <f t="shared" si="95"/>
        <v/>
      </c>
    </row>
    <row r="992" spans="14:19" ht="14.4">
      <c r="N992" s="150" t="str">
        <f t="shared" si="90"/>
        <v/>
      </c>
      <c r="O992" s="150" t="str">
        <f t="shared" si="91"/>
        <v/>
      </c>
      <c r="P992" s="150" t="str">
        <f t="shared" si="92"/>
        <v/>
      </c>
      <c r="Q992" s="150" t="str">
        <f t="shared" si="93"/>
        <v/>
      </c>
      <c r="R992" s="150" t="str">
        <f t="shared" si="94"/>
        <v/>
      </c>
      <c r="S992" s="185" t="str">
        <f t="shared" si="95"/>
        <v/>
      </c>
    </row>
    <row r="993" spans="14:19" ht="14.4">
      <c r="N993" s="150" t="str">
        <f t="shared" si="90"/>
        <v/>
      </c>
      <c r="O993" s="150" t="str">
        <f t="shared" si="91"/>
        <v/>
      </c>
      <c r="P993" s="150" t="str">
        <f t="shared" si="92"/>
        <v/>
      </c>
      <c r="Q993" s="150" t="str">
        <f t="shared" si="93"/>
        <v/>
      </c>
      <c r="R993" s="150" t="str">
        <f t="shared" si="94"/>
        <v/>
      </c>
      <c r="S993" s="185" t="str">
        <f t="shared" si="95"/>
        <v/>
      </c>
    </row>
    <row r="994" spans="14:19" ht="14.4">
      <c r="N994" s="150" t="str">
        <f t="shared" si="90"/>
        <v/>
      </c>
      <c r="O994" s="150" t="str">
        <f t="shared" si="91"/>
        <v/>
      </c>
      <c r="P994" s="150" t="str">
        <f t="shared" si="92"/>
        <v/>
      </c>
      <c r="Q994" s="150" t="str">
        <f t="shared" si="93"/>
        <v/>
      </c>
      <c r="R994" s="150" t="str">
        <f t="shared" si="94"/>
        <v/>
      </c>
      <c r="S994" s="185" t="str">
        <f t="shared" si="95"/>
        <v/>
      </c>
    </row>
    <row r="995" spans="14:19" ht="14.4">
      <c r="N995" s="150" t="str">
        <f t="shared" si="90"/>
        <v/>
      </c>
      <c r="O995" s="150" t="str">
        <f t="shared" si="91"/>
        <v/>
      </c>
      <c r="P995" s="150" t="str">
        <f t="shared" si="92"/>
        <v/>
      </c>
      <c r="Q995" s="150" t="str">
        <f t="shared" si="93"/>
        <v/>
      </c>
      <c r="R995" s="150" t="str">
        <f t="shared" si="94"/>
        <v/>
      </c>
      <c r="S995" s="185" t="str">
        <f t="shared" si="95"/>
        <v/>
      </c>
    </row>
    <row r="996" spans="14:19" ht="14.4">
      <c r="N996" s="150" t="str">
        <f t="shared" si="90"/>
        <v/>
      </c>
      <c r="O996" s="150" t="str">
        <f t="shared" si="91"/>
        <v/>
      </c>
      <c r="P996" s="150" t="str">
        <f t="shared" si="92"/>
        <v/>
      </c>
      <c r="Q996" s="150" t="str">
        <f t="shared" si="93"/>
        <v/>
      </c>
      <c r="R996" s="150" t="str">
        <f t="shared" si="94"/>
        <v/>
      </c>
      <c r="S996" s="185" t="str">
        <f t="shared" si="95"/>
        <v/>
      </c>
    </row>
    <row r="997" spans="14:19" ht="14.4">
      <c r="N997" s="150" t="str">
        <f t="shared" si="90"/>
        <v/>
      </c>
      <c r="O997" s="150" t="str">
        <f t="shared" si="91"/>
        <v/>
      </c>
      <c r="P997" s="150" t="str">
        <f t="shared" si="92"/>
        <v/>
      </c>
      <c r="Q997" s="150" t="str">
        <f t="shared" si="93"/>
        <v/>
      </c>
      <c r="R997" s="150" t="str">
        <f t="shared" si="94"/>
        <v/>
      </c>
      <c r="S997" s="185" t="str">
        <f t="shared" si="95"/>
        <v/>
      </c>
    </row>
    <row r="998" spans="14:19" ht="14.4">
      <c r="N998" s="150" t="str">
        <f t="shared" si="90"/>
        <v/>
      </c>
      <c r="O998" s="150" t="str">
        <f t="shared" si="91"/>
        <v/>
      </c>
      <c r="P998" s="150" t="str">
        <f t="shared" si="92"/>
        <v/>
      </c>
      <c r="Q998" s="150" t="str">
        <f t="shared" si="93"/>
        <v/>
      </c>
      <c r="R998" s="150" t="str">
        <f t="shared" si="94"/>
        <v/>
      </c>
      <c r="S998" s="185" t="str">
        <f t="shared" si="95"/>
        <v/>
      </c>
    </row>
    <row r="999" spans="14:19" ht="14.4">
      <c r="N999" s="150" t="str">
        <f t="shared" si="90"/>
        <v/>
      </c>
      <c r="O999" s="150" t="str">
        <f t="shared" si="91"/>
        <v/>
      </c>
      <c r="P999" s="150" t="str">
        <f t="shared" si="92"/>
        <v/>
      </c>
      <c r="Q999" s="150" t="str">
        <f t="shared" si="93"/>
        <v/>
      </c>
      <c r="R999" s="150" t="str">
        <f t="shared" si="94"/>
        <v/>
      </c>
      <c r="S999" s="185" t="str">
        <f t="shared" si="95"/>
        <v/>
      </c>
    </row>
    <row r="1000" spans="14:19" ht="14.4">
      <c r="N1000" s="150" t="str">
        <f t="shared" si="90"/>
        <v/>
      </c>
      <c r="O1000" s="150" t="str">
        <f t="shared" si="91"/>
        <v/>
      </c>
      <c r="P1000" s="150" t="str">
        <f t="shared" si="92"/>
        <v/>
      </c>
      <c r="Q1000" s="150" t="str">
        <f t="shared" si="93"/>
        <v/>
      </c>
      <c r="R1000" s="150" t="str">
        <f t="shared" si="94"/>
        <v/>
      </c>
      <c r="S1000" s="185" t="str">
        <f t="shared" si="95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/>
    <outlinePr summaryBelow="0" summaryRight="0"/>
  </sheetPr>
  <dimension ref="A1:AG1001"/>
  <sheetViews>
    <sheetView workbookViewId="0"/>
  </sheetViews>
  <sheetFormatPr defaultColWidth="12.6640625" defaultRowHeight="15.75" customHeight="1"/>
  <cols>
    <col min="27" max="27" width="15.6640625" customWidth="1"/>
    <col min="28" max="28" width="15.109375" customWidth="1"/>
  </cols>
  <sheetData>
    <row r="1" spans="1:33" ht="15.75" customHeight="1">
      <c r="A1" s="1" t="s">
        <v>527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58"/>
      <c r="Z1" s="58"/>
      <c r="AA1" s="1"/>
      <c r="AB1" s="1"/>
      <c r="AC1" s="1"/>
      <c r="AD1" s="59"/>
      <c r="AE1" s="1"/>
      <c r="AF1" s="1"/>
      <c r="AG1" s="1"/>
    </row>
    <row r="2" spans="1:33" ht="15.75" customHeight="1">
      <c r="A2" s="1" t="s">
        <v>528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58"/>
      <c r="Z2" s="58"/>
      <c r="AA2" s="1"/>
      <c r="AB2" s="1"/>
      <c r="AC2" s="1"/>
      <c r="AD2" s="59"/>
      <c r="AE2" s="1"/>
      <c r="AF2" s="1"/>
      <c r="AG2" s="1"/>
    </row>
    <row r="3" spans="1:33" ht="15.75" customHeight="1">
      <c r="A3" s="1" t="s">
        <v>529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58"/>
      <c r="Z3" s="58"/>
      <c r="AA3" s="1"/>
      <c r="AB3" s="1"/>
      <c r="AC3" s="1"/>
      <c r="AD3" s="59"/>
      <c r="AE3" s="1"/>
      <c r="AF3" s="204" t="s">
        <v>493</v>
      </c>
      <c r="AG3" s="206"/>
    </row>
    <row r="4" spans="1:33" ht="15.75" customHeight="1">
      <c r="A4" s="1" t="s">
        <v>530</v>
      </c>
      <c r="B4" s="1" t="s">
        <v>481</v>
      </c>
      <c r="C4" s="1" t="s">
        <v>531</v>
      </c>
      <c r="D4" s="1" t="s">
        <v>513</v>
      </c>
      <c r="E4" s="1" t="s">
        <v>514</v>
      </c>
      <c r="F4" s="1" t="s">
        <v>532</v>
      </c>
      <c r="G4" s="1" t="s">
        <v>533</v>
      </c>
      <c r="H4" s="1" t="s">
        <v>534</v>
      </c>
      <c r="I4" s="1" t="s">
        <v>535</v>
      </c>
      <c r="J4" s="1" t="s">
        <v>536</v>
      </c>
      <c r="K4" s="1" t="s">
        <v>537</v>
      </c>
      <c r="L4" s="1" t="s">
        <v>538</v>
      </c>
      <c r="M4" s="1" t="s">
        <v>539</v>
      </c>
      <c r="N4" s="1" t="s">
        <v>540</v>
      </c>
      <c r="O4" s="1" t="s">
        <v>541</v>
      </c>
      <c r="P4" s="1" t="s">
        <v>542</v>
      </c>
      <c r="Q4" s="1" t="s">
        <v>543</v>
      </c>
      <c r="R4" s="1" t="s">
        <v>544</v>
      </c>
      <c r="S4" s="1" t="s">
        <v>545</v>
      </c>
      <c r="T4" s="1" t="s">
        <v>546</v>
      </c>
      <c r="U4" s="1" t="s">
        <v>547</v>
      </c>
      <c r="V4" s="1" t="s">
        <v>548</v>
      </c>
      <c r="W4" s="1" t="s">
        <v>549</v>
      </c>
      <c r="Y4" s="60" t="s">
        <v>481</v>
      </c>
      <c r="Z4" s="61" t="s">
        <v>481</v>
      </c>
      <c r="AA4" s="62" t="s">
        <v>481</v>
      </c>
      <c r="AB4" s="62" t="s">
        <v>481</v>
      </c>
      <c r="AC4" s="62" t="s">
        <v>514</v>
      </c>
      <c r="AD4" s="63" t="s">
        <v>534</v>
      </c>
      <c r="AE4" s="1"/>
      <c r="AF4" s="46" t="s">
        <v>550</v>
      </c>
      <c r="AG4" s="46" t="s">
        <v>551</v>
      </c>
    </row>
    <row r="5" spans="1:33" ht="15.75" customHeight="1">
      <c r="A5" s="24">
        <v>1474311</v>
      </c>
      <c r="B5" s="64" t="s">
        <v>552</v>
      </c>
      <c r="C5" s="1" t="s">
        <v>553</v>
      </c>
      <c r="D5" s="24">
        <v>64</v>
      </c>
      <c r="E5" s="24">
        <v>53</v>
      </c>
      <c r="F5" s="24">
        <v>0</v>
      </c>
      <c r="G5" s="24">
        <v>10</v>
      </c>
      <c r="H5" s="44">
        <v>0.14344907407407406</v>
      </c>
      <c r="I5" s="44">
        <v>0.33143518518518517</v>
      </c>
      <c r="J5" s="54">
        <v>0.43280000000000002</v>
      </c>
      <c r="K5" s="44">
        <v>1.0451388888888889E-2</v>
      </c>
      <c r="L5" s="54">
        <v>13.7254</v>
      </c>
      <c r="M5" s="44">
        <v>0.17238425925925926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  <c r="S5" s="44">
        <v>1.0474537037037037E-2</v>
      </c>
      <c r="T5" s="44">
        <v>0.14344907407407406</v>
      </c>
      <c r="U5" s="44">
        <v>0.15905092592592593</v>
      </c>
      <c r="V5" s="44">
        <v>9.2824074074074076E-3</v>
      </c>
      <c r="W5" s="44">
        <v>0</v>
      </c>
      <c r="Y5" s="60" t="str">
        <f t="shared" ref="Y5:Y17" si="0">IF(AND(A5&lt;&gt;"",ISNUMBER(A5)),B5,"")</f>
        <v>Smith, James</v>
      </c>
      <c r="Z5" s="61" t="str">
        <f t="shared" ref="Z5:Z17" si="1">IFERROR(RIGHT(Y5,LEN(Y5)-FIND(" ",Y5))&amp;" "&amp;LEFT(Y5,FIND(" ",Y5)-2),"")</f>
        <v>James Smith</v>
      </c>
      <c r="AA5" s="7" t="str">
        <f ca="1">IFERROR(__xludf.DUMMYFUNCTION("FILTER($Y$5:$Y$401,Y5:Y401&lt;&gt;"""")"),"Smith, James")</f>
        <v>Smith, James</v>
      </c>
      <c r="AB5" s="7" t="str">
        <f ca="1">IFERROR(__xludf.DUMMYFUNCTION("FILTER($Z$5:$Z$401,$Z$5:$Z$401&lt;&gt;"""")"),"James Smith")</f>
        <v>James Smith</v>
      </c>
      <c r="AC5" s="48">
        <f ca="1">IFERROR(VLOOKUP(AA5,$B$4:$I$801,MATCH('Agent Activity'!AC$4,'Agent Activity'!$B$4:$I$4,0),0),"")</f>
        <v>53</v>
      </c>
      <c r="AD5" s="65">
        <f ca="1">IFERROR(VLOOKUP(AA5,$B$4:$I$801,MATCH('Agent Activity'!AD$4,'Agent Activity'!$B$4:$I$4,0),0),"")</f>
        <v>0.14344907407407406</v>
      </c>
      <c r="AE5" s="1"/>
      <c r="AF5" s="49" t="s">
        <v>554</v>
      </c>
      <c r="AG5" s="48">
        <f ca="1">_xlfn.IFNA(VLOOKUP("*"&amp;AF5&amp;"*",$AB$5:$AD$41,2,0),0)</f>
        <v>53</v>
      </c>
    </row>
    <row r="6" spans="1:33" ht="15.75" customHeight="1">
      <c r="A6" s="1"/>
      <c r="B6" s="1" t="s">
        <v>555</v>
      </c>
      <c r="C6" s="1" t="s">
        <v>556</v>
      </c>
      <c r="D6" s="1" t="s">
        <v>557</v>
      </c>
      <c r="E6" s="1" t="s">
        <v>534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58" t="str">
        <f t="shared" si="0"/>
        <v/>
      </c>
      <c r="Z6" s="66" t="str">
        <f t="shared" si="1"/>
        <v/>
      </c>
      <c r="AA6" s="7" t="str">
        <f ca="1">IFERROR(__xludf.DUMMYFUNCTION("""COMPUTED_VALUE"""),"Johnson, Emily")</f>
        <v>Johnson, Emily</v>
      </c>
      <c r="AB6" s="7" t="str">
        <f ca="1">IFERROR(__xludf.DUMMYFUNCTION("""COMPUTED_VALUE"""),"Emily Johnson")</f>
        <v>Emily Johnson</v>
      </c>
      <c r="AC6" s="48">
        <f ca="1">IFERROR(VLOOKUP(AA6,$B$4:$I$801,MATCH('Agent Activity'!AC$4,'Agent Activity'!$B$4:$I$4,0),0),"")</f>
        <v>26</v>
      </c>
      <c r="AD6" s="65">
        <f ca="1">IFERROR(VLOOKUP(AA6,$B$4:$I$801,MATCH('Agent Activity'!AD$4,'Agent Activity'!$B$4:$I$4,0),0),"")</f>
        <v>4.6979166666666669E-2</v>
      </c>
      <c r="AE6" s="1"/>
      <c r="AF6" s="50" t="s">
        <v>558</v>
      </c>
      <c r="AG6" s="48">
        <f t="shared" ref="AG6:AG18" ca="1" si="2">_xlfn.IFNA(VLOOKUP("*"&amp;AF6&amp;"*",$AB$5:$AD$41,2,0),0)</f>
        <v>26</v>
      </c>
    </row>
    <row r="7" spans="1:33" ht="15.75" customHeight="1">
      <c r="A7" s="1"/>
      <c r="B7" s="1" t="s">
        <v>559</v>
      </c>
      <c r="C7" s="1" t="s">
        <v>526</v>
      </c>
      <c r="D7" s="24">
        <v>53</v>
      </c>
      <c r="E7" s="44">
        <v>0.14344907407407406</v>
      </c>
      <c r="F7" s="1"/>
      <c r="G7" s="1"/>
      <c r="H7" s="45"/>
      <c r="I7" s="45"/>
      <c r="J7" s="57"/>
      <c r="K7" s="45"/>
      <c r="L7" s="57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Y7" s="58" t="str">
        <f t="shared" si="0"/>
        <v/>
      </c>
      <c r="Z7" s="66" t="str">
        <f t="shared" si="1"/>
        <v/>
      </c>
      <c r="AA7" s="7" t="str">
        <f ca="1">IFERROR(__xludf.DUMMYFUNCTION("""COMPUTED_VALUE"""),"Brown, Michael")</f>
        <v>Brown, Michael</v>
      </c>
      <c r="AB7" s="7" t="str">
        <f ca="1">IFERROR(__xludf.DUMMYFUNCTION("""COMPUTED_VALUE"""),"Michael Brown")</f>
        <v>Michael Brown</v>
      </c>
      <c r="AC7" s="48">
        <f ca="1">IFERROR(VLOOKUP(AA7,$B$4:$I$801,MATCH('Agent Activity'!AC$4,'Agent Activity'!$B$4:$I$4,0),0),"")</f>
        <v>2</v>
      </c>
      <c r="AD7" s="65">
        <f ca="1">IFERROR(VLOOKUP(AA7,$B$4:$I$801,MATCH('Agent Activity'!AD$4,'Agent Activity'!$B$4:$I$4,0),0),"")</f>
        <v>3.6342592592592594E-3</v>
      </c>
      <c r="AE7" s="1"/>
      <c r="AF7" s="50" t="s">
        <v>560</v>
      </c>
      <c r="AG7" s="48">
        <f t="shared" ca="1" si="2"/>
        <v>2</v>
      </c>
    </row>
    <row r="8" spans="1:33" ht="15.75" customHeight="1">
      <c r="A8" s="1"/>
      <c r="B8" s="1" t="s">
        <v>561</v>
      </c>
      <c r="C8" s="1"/>
      <c r="D8" s="24">
        <v>53</v>
      </c>
      <c r="E8" s="44">
        <v>0.14344907407407406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58" t="str">
        <f t="shared" si="0"/>
        <v/>
      </c>
      <c r="Z8" s="66" t="str">
        <f t="shared" si="1"/>
        <v/>
      </c>
      <c r="AA8" s="7" t="str">
        <f ca="1">IFERROR(__xludf.DUMMYFUNCTION("""COMPUTED_VALUE"""),"Davis, Sarah")</f>
        <v>Davis, Sarah</v>
      </c>
      <c r="AB8" s="7" t="str">
        <f ca="1">IFERROR(__xludf.DUMMYFUNCTION("""COMPUTED_VALUE"""),"Sarah Davis")</f>
        <v>Sarah Davis</v>
      </c>
      <c r="AC8" s="48">
        <f ca="1">IFERROR(VLOOKUP(AA8,$B$4:$I$801,MATCH('Agent Activity'!AC$4,'Agent Activity'!$B$4:$I$4,0),0),"")</f>
        <v>10</v>
      </c>
      <c r="AD8" s="65">
        <f ca="1">IFERROR(VLOOKUP(AA8,$B$4:$I$801,MATCH('Agent Activity'!AD$4,'Agent Activity'!$B$4:$I$4,0),0),"")</f>
        <v>1.9375E-2</v>
      </c>
      <c r="AE8" s="1"/>
      <c r="AF8" s="50" t="s">
        <v>562</v>
      </c>
      <c r="AG8" s="48">
        <f t="shared" ca="1" si="2"/>
        <v>10</v>
      </c>
    </row>
    <row r="9" spans="1:33" ht="15.75" customHeight="1">
      <c r="A9" s="1" t="s">
        <v>530</v>
      </c>
      <c r="B9" s="1" t="s">
        <v>481</v>
      </c>
      <c r="C9" s="1" t="s">
        <v>531</v>
      </c>
      <c r="D9" s="1" t="s">
        <v>513</v>
      </c>
      <c r="E9" s="1" t="s">
        <v>514</v>
      </c>
      <c r="F9" s="1" t="s">
        <v>532</v>
      </c>
      <c r="G9" s="1" t="s">
        <v>533</v>
      </c>
      <c r="H9" s="1" t="s">
        <v>534</v>
      </c>
      <c r="I9" s="1" t="s">
        <v>535</v>
      </c>
      <c r="J9" s="1" t="s">
        <v>536</v>
      </c>
      <c r="K9" s="1" t="s">
        <v>537</v>
      </c>
      <c r="L9" s="1" t="s">
        <v>538</v>
      </c>
      <c r="M9" s="1" t="s">
        <v>539</v>
      </c>
      <c r="N9" s="1" t="s">
        <v>540</v>
      </c>
      <c r="O9" s="1" t="s">
        <v>541</v>
      </c>
      <c r="P9" s="1" t="s">
        <v>542</v>
      </c>
      <c r="Q9" s="1" t="s">
        <v>543</v>
      </c>
      <c r="R9" s="1" t="s">
        <v>544</v>
      </c>
      <c r="S9" s="1" t="s">
        <v>545</v>
      </c>
      <c r="T9" s="1" t="s">
        <v>546</v>
      </c>
      <c r="U9" s="1" t="s">
        <v>547</v>
      </c>
      <c r="V9" s="1" t="s">
        <v>548</v>
      </c>
      <c r="W9" s="1" t="s">
        <v>549</v>
      </c>
      <c r="Y9" s="58" t="str">
        <f t="shared" si="0"/>
        <v/>
      </c>
      <c r="Z9" s="66" t="str">
        <f t="shared" si="1"/>
        <v/>
      </c>
      <c r="AA9" s="7" t="str">
        <f ca="1">IFERROR(__xludf.DUMMYFUNCTION("""COMPUTED_VALUE"""),"Wilson, David")</f>
        <v>Wilson, David</v>
      </c>
      <c r="AB9" s="7" t="str">
        <f ca="1">IFERROR(__xludf.DUMMYFUNCTION("""COMPUTED_VALUE"""),"David Wilson")</f>
        <v>David Wilson</v>
      </c>
      <c r="AC9" s="48">
        <f ca="1">IFERROR(VLOOKUP(AA9,$B$4:$I$801,MATCH('Agent Activity'!AC$4,'Agent Activity'!$B$4:$I$4,0),0),"")</f>
        <v>7</v>
      </c>
      <c r="AD9" s="65">
        <f ca="1">IFERROR(VLOOKUP(AA9,$B$4:$I$801,MATCH('Agent Activity'!AD$4,'Agent Activity'!$B$4:$I$4,0),0),"")</f>
        <v>1.0601851851851852E-2</v>
      </c>
      <c r="AE9" s="1"/>
      <c r="AF9" s="50" t="s">
        <v>563</v>
      </c>
      <c r="AG9" s="48">
        <f t="shared" ca="1" si="2"/>
        <v>7</v>
      </c>
    </row>
    <row r="10" spans="1:33" ht="15.75" customHeight="1">
      <c r="A10" s="24">
        <v>1474939</v>
      </c>
      <c r="B10" s="64" t="s">
        <v>564</v>
      </c>
      <c r="C10" s="1" t="s">
        <v>553</v>
      </c>
      <c r="D10" s="24">
        <v>40</v>
      </c>
      <c r="E10" s="24">
        <v>26</v>
      </c>
      <c r="F10" s="24">
        <v>0</v>
      </c>
      <c r="G10" s="24">
        <v>12</v>
      </c>
      <c r="H10" s="44">
        <v>4.6979166666666669E-2</v>
      </c>
      <c r="I10" s="44">
        <v>0.34383101851851849</v>
      </c>
      <c r="J10" s="54">
        <v>0.1366</v>
      </c>
      <c r="K10" s="44">
        <v>3.0208333333333333E-3</v>
      </c>
      <c r="L10" s="54">
        <v>15.5517</v>
      </c>
      <c r="M10" s="44">
        <v>6.3344907407407405E-2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8.0787037037037043E-3</v>
      </c>
      <c r="T10" s="44">
        <v>4.6979166666666669E-2</v>
      </c>
      <c r="U10" s="44">
        <v>0.2804861111111111</v>
      </c>
      <c r="V10" s="44">
        <v>0</v>
      </c>
      <c r="W10" s="44">
        <v>0</v>
      </c>
      <c r="Y10" s="60" t="str">
        <f t="shared" si="0"/>
        <v>Johnson, Emily</v>
      </c>
      <c r="Z10" s="61" t="str">
        <f t="shared" si="1"/>
        <v>Emily Johnson</v>
      </c>
      <c r="AA10" s="7" t="str">
        <f ca="1">IFERROR(__xludf.DUMMYFUNCTION("""COMPUTED_VALUE"""),"Miller, Jessica")</f>
        <v>Miller, Jessica</v>
      </c>
      <c r="AB10" s="7" t="str">
        <f ca="1">IFERROR(__xludf.DUMMYFUNCTION("""COMPUTED_VALUE"""),"Jessica Miller")</f>
        <v>Jessica Miller</v>
      </c>
      <c r="AC10" s="48">
        <f ca="1">IFERROR(VLOOKUP(AA10,$B$4:$I$801,MATCH('Agent Activity'!AC$4,'Agent Activity'!$B$4:$I$4,0),0),"")</f>
        <v>0</v>
      </c>
      <c r="AD10" s="65">
        <f ca="1">IFERROR(VLOOKUP(AA10,$B$4:$I$801,MATCH('Agent Activity'!AD$4,'Agent Activity'!$B$4:$I$4,0),0),"")</f>
        <v>0</v>
      </c>
      <c r="AE10" s="1"/>
      <c r="AF10" s="50" t="s">
        <v>565</v>
      </c>
      <c r="AG10" s="48">
        <f t="shared" ca="1" si="2"/>
        <v>0</v>
      </c>
    </row>
    <row r="11" spans="1:33" ht="15.75" customHeight="1">
      <c r="A11" s="1"/>
      <c r="B11" s="1" t="s">
        <v>555</v>
      </c>
      <c r="C11" s="1" t="s">
        <v>556</v>
      </c>
      <c r="D11" s="1" t="s">
        <v>557</v>
      </c>
      <c r="E11" s="1" t="s">
        <v>534</v>
      </c>
      <c r="F11" s="1"/>
      <c r="G11" s="1"/>
      <c r="H11" s="45"/>
      <c r="I11" s="45"/>
      <c r="J11" s="57"/>
      <c r="K11" s="45"/>
      <c r="L11" s="5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Y11" s="58" t="str">
        <f t="shared" si="0"/>
        <v/>
      </c>
      <c r="Z11" s="66" t="str">
        <f t="shared" si="1"/>
        <v/>
      </c>
      <c r="AA11" s="7" t="str">
        <f ca="1">IFERROR(__xludf.DUMMYFUNCTION("""COMPUTED_VALUE"""),"Anderson, John")</f>
        <v>Anderson, John</v>
      </c>
      <c r="AB11" s="7" t="str">
        <f ca="1">IFERROR(__xludf.DUMMYFUNCTION("""COMPUTED_VALUE"""),"John Anderson")</f>
        <v>John Anderson</v>
      </c>
      <c r="AC11" s="48">
        <f ca="1">IFERROR(VLOOKUP(AA11,$B$4:$I$801,MATCH('Agent Activity'!AC$4,'Agent Activity'!$B$4:$I$4,0),0),"")</f>
        <v>36</v>
      </c>
      <c r="AD11" s="65">
        <f ca="1">IFERROR(VLOOKUP(AA11,$B$4:$I$801,MATCH('Agent Activity'!AD$4,'Agent Activity'!$B$4:$I$4,0),0),"")</f>
        <v>0.12128472222222222</v>
      </c>
      <c r="AE11" s="1"/>
      <c r="AF11" s="50" t="s">
        <v>566</v>
      </c>
      <c r="AG11" s="48">
        <f t="shared" ca="1" si="2"/>
        <v>36</v>
      </c>
    </row>
    <row r="12" spans="1:33" ht="15.75" customHeight="1">
      <c r="A12" s="1"/>
      <c r="B12" s="1" t="s">
        <v>559</v>
      </c>
      <c r="C12" s="1" t="s">
        <v>526</v>
      </c>
      <c r="D12" s="24">
        <v>26</v>
      </c>
      <c r="E12" s="44">
        <v>4.6979166666666669E-2</v>
      </c>
      <c r="F12" s="1"/>
      <c r="G12" s="1"/>
      <c r="H12" s="45"/>
      <c r="I12" s="59"/>
      <c r="J12" s="57"/>
      <c r="K12" s="45"/>
      <c r="L12" s="57"/>
      <c r="M12" s="45"/>
      <c r="N12" s="59"/>
      <c r="O12" s="45"/>
      <c r="P12" s="45"/>
      <c r="Q12" s="45"/>
      <c r="R12" s="45"/>
      <c r="S12" s="45"/>
      <c r="T12" s="45"/>
      <c r="U12" s="45"/>
      <c r="V12" s="45"/>
      <c r="W12" s="45"/>
      <c r="Y12" s="58" t="str">
        <f t="shared" si="0"/>
        <v/>
      </c>
      <c r="Z12" s="66" t="str">
        <f t="shared" si="1"/>
        <v/>
      </c>
      <c r="AA12" s="7" t="str">
        <f ca="1">IFERROR(__xludf.DUMMYFUNCTION("""COMPUTED_VALUE"""),"Taylor, Laura")</f>
        <v>Taylor, Laura</v>
      </c>
      <c r="AB12" s="7" t="str">
        <f ca="1">IFERROR(__xludf.DUMMYFUNCTION("""COMPUTED_VALUE"""),"Laura Taylor")</f>
        <v>Laura Taylor</v>
      </c>
      <c r="AC12" s="48">
        <f ca="1">IFERROR(VLOOKUP(AA12,$B$4:$I$801,MATCH('Agent Activity'!AC$4,'Agent Activity'!$B$4:$I$4,0),0),"")</f>
        <v>40</v>
      </c>
      <c r="AD12" s="65">
        <f ca="1">IFERROR(VLOOKUP(AA12,$B$4:$I$801,MATCH('Agent Activity'!AD$4,'Agent Activity'!$B$4:$I$4,0),0),"")</f>
        <v>8.217592592592593E-2</v>
      </c>
      <c r="AE12" s="1"/>
      <c r="AF12" s="50" t="s">
        <v>567</v>
      </c>
      <c r="AG12" s="48">
        <f t="shared" ca="1" si="2"/>
        <v>40</v>
      </c>
    </row>
    <row r="13" spans="1:33" ht="15.75" customHeight="1">
      <c r="A13" s="1"/>
      <c r="B13" s="1" t="s">
        <v>561</v>
      </c>
      <c r="C13" s="1"/>
      <c r="D13" s="24">
        <v>26</v>
      </c>
      <c r="E13" s="44">
        <v>4.6979166666666669E-2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58" t="str">
        <f t="shared" si="0"/>
        <v/>
      </c>
      <c r="Z13" s="66" t="str">
        <f t="shared" si="1"/>
        <v/>
      </c>
      <c r="AA13" s="7" t="str">
        <f ca="1">IFERROR(__xludf.DUMMYFUNCTION("""COMPUTED_VALUE"""),"Thomas, Robert")</f>
        <v>Thomas, Robert</v>
      </c>
      <c r="AB13" s="7" t="str">
        <f ca="1">IFERROR(__xludf.DUMMYFUNCTION("""COMPUTED_VALUE"""),"Robert Thomas")</f>
        <v>Robert Thomas</v>
      </c>
      <c r="AC13" s="48">
        <f ca="1">IFERROR(VLOOKUP(AA13,$B$4:$I$801,MATCH('Agent Activity'!AC$4,'Agent Activity'!$B$4:$I$4,0),0),"")</f>
        <v>59</v>
      </c>
      <c r="AD13" s="65">
        <f ca="1">IFERROR(VLOOKUP(AA13,$B$4:$I$801,MATCH('Agent Activity'!AD$4,'Agent Activity'!$B$4:$I$4,0),0),"")</f>
        <v>0.10172453703703704</v>
      </c>
      <c r="AE13" s="1"/>
      <c r="AF13" s="50" t="s">
        <v>568</v>
      </c>
      <c r="AG13" s="48">
        <f t="shared" ca="1" si="2"/>
        <v>59</v>
      </c>
    </row>
    <row r="14" spans="1:33" ht="15.75" customHeight="1">
      <c r="A14" s="1" t="s">
        <v>530</v>
      </c>
      <c r="B14" s="1" t="s">
        <v>481</v>
      </c>
      <c r="C14" s="1" t="s">
        <v>531</v>
      </c>
      <c r="D14" s="1" t="s">
        <v>513</v>
      </c>
      <c r="E14" s="1" t="s">
        <v>514</v>
      </c>
      <c r="F14" s="1" t="s">
        <v>532</v>
      </c>
      <c r="G14" s="1" t="s">
        <v>533</v>
      </c>
      <c r="H14" s="1" t="s">
        <v>534</v>
      </c>
      <c r="I14" s="1" t="s">
        <v>535</v>
      </c>
      <c r="J14" s="1" t="s">
        <v>536</v>
      </c>
      <c r="K14" s="1" t="s">
        <v>537</v>
      </c>
      <c r="L14" s="1" t="s">
        <v>538</v>
      </c>
      <c r="M14" s="1" t="s">
        <v>539</v>
      </c>
      <c r="N14" s="1" t="s">
        <v>540</v>
      </c>
      <c r="O14" s="1" t="s">
        <v>541</v>
      </c>
      <c r="P14" s="1" t="s">
        <v>542</v>
      </c>
      <c r="Q14" s="1" t="s">
        <v>543</v>
      </c>
      <c r="R14" s="1" t="s">
        <v>544</v>
      </c>
      <c r="S14" s="1" t="s">
        <v>545</v>
      </c>
      <c r="T14" s="1" t="s">
        <v>546</v>
      </c>
      <c r="U14" s="1" t="s">
        <v>547</v>
      </c>
      <c r="V14" s="1" t="s">
        <v>548</v>
      </c>
      <c r="W14" s="1" t="s">
        <v>549</v>
      </c>
      <c r="Y14" s="58" t="str">
        <f t="shared" si="0"/>
        <v/>
      </c>
      <c r="Z14" s="66" t="str">
        <f t="shared" si="1"/>
        <v/>
      </c>
      <c r="AA14" s="7" t="str">
        <f ca="1">IFERROR(__xludf.DUMMYFUNCTION("""COMPUTED_VALUE"""),"Martinez, Megan")</f>
        <v>Martinez, Megan</v>
      </c>
      <c r="AB14" s="7" t="str">
        <f ca="1">IFERROR(__xludf.DUMMYFUNCTION("""COMPUTED_VALUE"""),"Megan Martinez")</f>
        <v>Megan Martinez</v>
      </c>
      <c r="AC14" s="48">
        <f ca="1">IFERROR(VLOOKUP(AA14,$B$4:$I$801,MATCH('Agent Activity'!AC$4,'Agent Activity'!$B$4:$I$4,0),0),"")</f>
        <v>27</v>
      </c>
      <c r="AD14" s="65">
        <f ca="1">IFERROR(VLOOKUP(AA14,$B$4:$I$801,MATCH('Agent Activity'!AD$4,'Agent Activity'!$B$4:$I$4,0),0),"")</f>
        <v>4.8888888888888891E-2</v>
      </c>
      <c r="AE14" s="1"/>
      <c r="AF14" s="50" t="s">
        <v>569</v>
      </c>
      <c r="AG14" s="48">
        <f t="shared" ca="1" si="2"/>
        <v>27</v>
      </c>
    </row>
    <row r="15" spans="1:33" ht="15.75" customHeight="1">
      <c r="A15" s="24">
        <v>1474940</v>
      </c>
      <c r="B15" s="64" t="s">
        <v>570</v>
      </c>
      <c r="C15" s="1" t="s">
        <v>553</v>
      </c>
      <c r="D15" s="24">
        <v>4</v>
      </c>
      <c r="E15" s="24">
        <v>2</v>
      </c>
      <c r="F15" s="24">
        <v>0</v>
      </c>
      <c r="G15" s="24">
        <v>2</v>
      </c>
      <c r="H15" s="44">
        <v>3.6342592592592594E-3</v>
      </c>
      <c r="I15" s="44">
        <v>0.13998842592592592</v>
      </c>
      <c r="J15" s="54">
        <v>2.5999999999999999E-2</v>
      </c>
      <c r="K15" s="44">
        <v>3.5879629629629629E-3</v>
      </c>
      <c r="L15" s="54">
        <v>1.0128999999999999</v>
      </c>
      <c r="M15" s="44">
        <v>7.3611111111111108E-3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1.1689814814814816E-3</v>
      </c>
      <c r="T15" s="44">
        <v>3.6342592592592594E-3</v>
      </c>
      <c r="U15" s="44">
        <v>0.13261574074074073</v>
      </c>
      <c r="V15" s="44">
        <v>0</v>
      </c>
      <c r="W15" s="44">
        <v>0</v>
      </c>
      <c r="Y15" s="60" t="str">
        <f t="shared" si="0"/>
        <v>Brown, Michael</v>
      </c>
      <c r="Z15" s="61" t="str">
        <f t="shared" si="1"/>
        <v>Michael Brown</v>
      </c>
      <c r="AA15" s="7" t="str">
        <f ca="1">IFERROR(__xludf.DUMMYFUNCTION("""COMPUTED_VALUE"""),"Moore, Christopher")</f>
        <v>Moore, Christopher</v>
      </c>
      <c r="AB15" s="7" t="str">
        <f ca="1">IFERROR(__xludf.DUMMYFUNCTION("""COMPUTED_VALUE"""),"Christopher Moore")</f>
        <v>Christopher Moore</v>
      </c>
      <c r="AC15" s="48">
        <f ca="1">IFERROR(VLOOKUP(AA15,$B$4:$I$801,MATCH('Agent Activity'!AC$4,'Agent Activity'!$B$4:$I$4,0),0),"")</f>
        <v>61</v>
      </c>
      <c r="AD15" s="65">
        <f ca="1">IFERROR(VLOOKUP(AA15,$B$4:$I$801,MATCH('Agent Activity'!AD$4,'Agent Activity'!$B$4:$I$4,0),0),"")</f>
        <v>0.12038194444444444</v>
      </c>
      <c r="AE15" s="1"/>
      <c r="AF15" s="50" t="s">
        <v>571</v>
      </c>
      <c r="AG15" s="48">
        <f t="shared" ca="1" si="2"/>
        <v>61</v>
      </c>
    </row>
    <row r="16" spans="1:33" ht="15.75" customHeight="1">
      <c r="A16" s="1"/>
      <c r="B16" s="1" t="s">
        <v>555</v>
      </c>
      <c r="C16" s="1" t="s">
        <v>556</v>
      </c>
      <c r="D16" s="1" t="s">
        <v>557</v>
      </c>
      <c r="E16" s="1" t="s">
        <v>534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58" t="str">
        <f t="shared" si="0"/>
        <v/>
      </c>
      <c r="Z16" s="66" t="str">
        <f t="shared" si="1"/>
        <v/>
      </c>
      <c r="AA16" s="7" t="str">
        <f ca="1">IFERROR(__xludf.DUMMYFUNCTION("""COMPUTED_VALUE"""),"Harris, Amanda")</f>
        <v>Harris, Amanda</v>
      </c>
      <c r="AB16" s="7" t="str">
        <f ca="1">IFERROR(__xludf.DUMMYFUNCTION("""COMPUTED_VALUE"""),"Amanda Harris")</f>
        <v>Amanda Harris</v>
      </c>
      <c r="AC16" s="48">
        <f ca="1">IFERROR(VLOOKUP(AA16,$B$4:$I$801,MATCH('Agent Activity'!AC$4,'Agent Activity'!$B$4:$I$4,0),0),"")</f>
        <v>6</v>
      </c>
      <c r="AD16" s="65">
        <f ca="1">IFERROR(VLOOKUP(AA16,$B$4:$I$801,MATCH('Agent Activity'!AD$4,'Agent Activity'!$B$4:$I$4,0),0),"")</f>
        <v>1.2997685185185185E-2</v>
      </c>
      <c r="AE16" s="1"/>
      <c r="AF16" s="50" t="s">
        <v>572</v>
      </c>
      <c r="AG16" s="48">
        <f t="shared" ca="1" si="2"/>
        <v>6</v>
      </c>
    </row>
    <row r="17" spans="1:33" ht="15.75" customHeight="1">
      <c r="A17" s="1"/>
      <c r="B17" s="1" t="s">
        <v>559</v>
      </c>
      <c r="C17" s="1" t="s">
        <v>526</v>
      </c>
      <c r="D17" s="24">
        <v>2</v>
      </c>
      <c r="E17" s="44">
        <v>3.6342592592592594E-3</v>
      </c>
      <c r="F17" s="1"/>
      <c r="G17" s="1"/>
      <c r="H17" s="45"/>
      <c r="I17" s="45"/>
      <c r="J17" s="57"/>
      <c r="K17" s="45"/>
      <c r="L17" s="57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Y17" s="58" t="str">
        <f t="shared" si="0"/>
        <v/>
      </c>
      <c r="Z17" s="66" t="str">
        <f t="shared" si="1"/>
        <v/>
      </c>
      <c r="AA17" s="7" t="str">
        <f ca="1">IFERROR(__xludf.DUMMYFUNCTION("""COMPUTED_VALUE"""),"Clark, Matthew")</f>
        <v>Clark, Matthew</v>
      </c>
      <c r="AB17" s="7" t="str">
        <f ca="1">IFERROR(__xludf.DUMMYFUNCTION("""COMPUTED_VALUE"""),"Matthew Clark")</f>
        <v>Matthew Clark</v>
      </c>
      <c r="AC17" s="48">
        <f ca="1">IFERROR(VLOOKUP(AA17,$B$4:$I$801,MATCH('Agent Activity'!AC$4,'Agent Activity'!$B$4:$I$4,0),0),"")</f>
        <v>36</v>
      </c>
      <c r="AD17" s="65">
        <f ca="1">IFERROR(VLOOKUP(AA17,$B$4:$I$801,MATCH('Agent Activity'!AD$4,'Agent Activity'!$B$4:$I$4,0),0),"")</f>
        <v>5.7083333333333333E-2</v>
      </c>
      <c r="AE17" s="1"/>
      <c r="AF17" s="50" t="s">
        <v>573</v>
      </c>
      <c r="AG17" s="48">
        <f t="shared" ca="1" si="2"/>
        <v>36</v>
      </c>
    </row>
    <row r="18" spans="1:33" ht="15.75" customHeight="1">
      <c r="A18" s="1"/>
      <c r="B18" s="1" t="s">
        <v>561</v>
      </c>
      <c r="C18" s="1"/>
      <c r="D18" s="24">
        <v>2</v>
      </c>
      <c r="E18" s="44">
        <v>3.6342592592592594E-3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58"/>
      <c r="Z18" s="66"/>
      <c r="AA18" s="7" t="str">
        <f ca="1">IFERROR(__xludf.DUMMYFUNCTION("""COMPUTED_VALUE"""),"Lewis, Ashley")</f>
        <v>Lewis, Ashley</v>
      </c>
      <c r="AB18" s="7" t="str">
        <f ca="1">IFERROR(__xludf.DUMMYFUNCTION("""COMPUTED_VALUE"""),"Ashley Lewis")</f>
        <v>Ashley Lewis</v>
      </c>
      <c r="AC18" s="48">
        <f ca="1">IFERROR(VLOOKUP(AA18,$B$4:$I$801,MATCH('Agent Activity'!AC$4,'Agent Activity'!$B$4:$I$4,0),0),"")</f>
        <v>28</v>
      </c>
      <c r="AD18" s="65">
        <f ca="1">IFERROR(VLOOKUP(AA18,$B$4:$I$801,MATCH('Agent Activity'!AD$4,'Agent Activity'!$B$4:$I$4,0),0),"")</f>
        <v>5.8078703703703702E-2</v>
      </c>
      <c r="AE18" s="1"/>
      <c r="AF18" s="50" t="s">
        <v>574</v>
      </c>
      <c r="AG18" s="48">
        <f t="shared" ca="1" si="2"/>
        <v>28</v>
      </c>
    </row>
    <row r="19" spans="1:33" ht="15.75" customHeight="1">
      <c r="A19" s="1" t="s">
        <v>530</v>
      </c>
      <c r="B19" s="1" t="s">
        <v>481</v>
      </c>
      <c r="C19" s="1" t="s">
        <v>531</v>
      </c>
      <c r="D19" s="24" t="s">
        <v>513</v>
      </c>
      <c r="E19" s="24" t="s">
        <v>514</v>
      </c>
      <c r="F19" s="1" t="s">
        <v>532</v>
      </c>
      <c r="G19" s="1" t="s">
        <v>533</v>
      </c>
      <c r="H19" s="1" t="s">
        <v>534</v>
      </c>
      <c r="I19" s="1" t="s">
        <v>535</v>
      </c>
      <c r="J19" s="1" t="s">
        <v>536</v>
      </c>
      <c r="K19" s="1" t="s">
        <v>537</v>
      </c>
      <c r="L19" s="1" t="s">
        <v>538</v>
      </c>
      <c r="M19" s="1" t="s">
        <v>539</v>
      </c>
      <c r="N19" s="1" t="s">
        <v>540</v>
      </c>
      <c r="O19" s="1" t="s">
        <v>541</v>
      </c>
      <c r="P19" s="1" t="s">
        <v>542</v>
      </c>
      <c r="Q19" s="1" t="s">
        <v>543</v>
      </c>
      <c r="R19" s="1" t="s">
        <v>544</v>
      </c>
      <c r="S19" s="1" t="s">
        <v>545</v>
      </c>
      <c r="T19" s="1" t="s">
        <v>546</v>
      </c>
      <c r="U19" s="1" t="s">
        <v>547</v>
      </c>
      <c r="V19" s="1" t="s">
        <v>548</v>
      </c>
      <c r="W19" s="1" t="s">
        <v>549</v>
      </c>
      <c r="Y19" s="58" t="str">
        <f t="shared" ref="Y19:Y273" si="3">IF(AND(A19&lt;&gt;"",ISNUMBER(A19)),B19,"")</f>
        <v/>
      </c>
      <c r="Z19" s="58" t="str">
        <f t="shared" ref="Z19:Z273" si="4">IFERROR(RIGHT(Y19,LEN(Y19)-FIND(" ",Y19))&amp;" "&amp;LEFT(Y19,FIND(" ",Y19)-2),"")</f>
        <v/>
      </c>
      <c r="AA19" s="1"/>
      <c r="AB19" s="1"/>
      <c r="AC19" s="1" t="str">
        <f>IFERROR(VLOOKUP(AA19,$B$4:$I$801,MATCH('Agent Activity'!AC$4,'Agent Activity'!$B$4:$I$4,0),0),"")</f>
        <v/>
      </c>
      <c r="AD19" s="59" t="str">
        <f>IFERROR(VLOOKUP(AA19,$B$4:$I$801,MATCH('Agent Activity'!AD$4,'Agent Activity'!$B$4:$I$4,0),0),"")</f>
        <v/>
      </c>
      <c r="AE19" s="1"/>
      <c r="AF19" s="59"/>
      <c r="AG19" s="59"/>
    </row>
    <row r="20" spans="1:33" ht="15.75" customHeight="1">
      <c r="A20" s="24">
        <v>1474941</v>
      </c>
      <c r="B20" s="64" t="s">
        <v>575</v>
      </c>
      <c r="C20" s="1" t="s">
        <v>553</v>
      </c>
      <c r="D20" s="24">
        <v>15</v>
      </c>
      <c r="E20" s="24">
        <v>10</v>
      </c>
      <c r="F20" s="24">
        <v>0</v>
      </c>
      <c r="G20" s="24">
        <v>5</v>
      </c>
      <c r="H20" s="44">
        <v>1.9375E-2</v>
      </c>
      <c r="I20" s="44">
        <v>0.36368055555555556</v>
      </c>
      <c r="J20" s="54">
        <v>5.33E-2</v>
      </c>
      <c r="K20" s="44">
        <v>0</v>
      </c>
      <c r="L20" s="54">
        <v>0</v>
      </c>
      <c r="M20" s="44">
        <v>2.9016203703703704E-2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2.8819444444444444E-3</v>
      </c>
      <c r="T20" s="44">
        <v>1.9375E-2</v>
      </c>
      <c r="U20" s="44">
        <v>0.3346527777777778</v>
      </c>
      <c r="V20" s="44">
        <v>9.2592592592592588E-5</v>
      </c>
      <c r="W20" s="44">
        <v>0</v>
      </c>
      <c r="Y20" s="60" t="str">
        <f t="shared" si="3"/>
        <v>Davis, Sarah</v>
      </c>
      <c r="Z20" s="60" t="str">
        <f t="shared" si="4"/>
        <v>Sarah Davis</v>
      </c>
      <c r="AA20" s="1"/>
      <c r="AB20" s="1"/>
      <c r="AC20" s="1" t="str">
        <f>IFERROR(VLOOKUP(AA20,$B$4:$I$801,MATCH('Agent Activity'!AC$4,'Agent Activity'!$B$4:$I$4,0),0),"")</f>
        <v/>
      </c>
      <c r="AD20" s="59" t="str">
        <f>IFERROR(VLOOKUP(AA20,$B$4:$I$801,MATCH('Agent Activity'!AD$4,'Agent Activity'!$B$4:$I$4,0),0),"")</f>
        <v/>
      </c>
      <c r="AE20" s="1"/>
      <c r="AF20" s="59"/>
      <c r="AG20" s="59"/>
    </row>
    <row r="21" spans="1:33" ht="15.75" customHeight="1">
      <c r="A21" s="1"/>
      <c r="B21" s="1" t="s">
        <v>555</v>
      </c>
      <c r="C21" s="1" t="s">
        <v>556</v>
      </c>
      <c r="D21" s="24" t="s">
        <v>557</v>
      </c>
      <c r="E21" s="24" t="s">
        <v>534</v>
      </c>
      <c r="F21" s="1"/>
      <c r="G21" s="1"/>
      <c r="H21" s="45"/>
      <c r="I21" s="45"/>
      <c r="J21" s="57"/>
      <c r="K21" s="45"/>
      <c r="L21" s="57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Y21" s="58" t="str">
        <f t="shared" si="3"/>
        <v/>
      </c>
      <c r="Z21" s="58" t="str">
        <f t="shared" si="4"/>
        <v/>
      </c>
      <c r="AA21" s="1"/>
      <c r="AB21" s="1"/>
      <c r="AC21" s="1" t="str">
        <f>IFERROR(VLOOKUP(AA21,$B$4:$I$801,MATCH('Agent Activity'!AC$4,'Agent Activity'!$B$4:$I$4,0),0),"")</f>
        <v/>
      </c>
      <c r="AD21" s="59" t="str">
        <f>IFERROR(VLOOKUP(AA21,$B$4:$I$801,MATCH('Agent Activity'!AD$4,'Agent Activity'!$B$4:$I$4,0),0),"")</f>
        <v/>
      </c>
      <c r="AE21" s="1"/>
      <c r="AF21" s="59"/>
      <c r="AG21" s="59"/>
    </row>
    <row r="22" spans="1:33" ht="15.75" customHeight="1">
      <c r="A22" s="1"/>
      <c r="B22" s="1" t="s">
        <v>559</v>
      </c>
      <c r="C22" s="1" t="s">
        <v>526</v>
      </c>
      <c r="D22" s="24">
        <v>10</v>
      </c>
      <c r="E22" s="44">
        <v>1.9375E-2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58" t="str">
        <f t="shared" si="3"/>
        <v/>
      </c>
      <c r="Z22" s="58" t="str">
        <f t="shared" si="4"/>
        <v/>
      </c>
      <c r="AA22" s="1"/>
      <c r="AB22" s="1"/>
      <c r="AC22" s="1" t="str">
        <f>IFERROR(VLOOKUP(AA22,$B$4:$I$801,MATCH('Agent Activity'!AC$4,'Agent Activity'!$B$4:$I$4,0),0),"")</f>
        <v/>
      </c>
      <c r="AD22" s="59" t="str">
        <f>IFERROR(VLOOKUP(AA22,$B$4:$I$801,MATCH('Agent Activity'!AD$4,'Agent Activity'!$B$4:$I$4,0),0),"")</f>
        <v/>
      </c>
      <c r="AE22" s="1"/>
      <c r="AF22" s="59"/>
      <c r="AG22" s="59"/>
    </row>
    <row r="23" spans="1:33" ht="15.75" customHeight="1">
      <c r="A23" s="1"/>
      <c r="B23" s="1" t="s">
        <v>561</v>
      </c>
      <c r="C23" s="1"/>
      <c r="D23" s="24">
        <v>10</v>
      </c>
      <c r="E23" s="44">
        <v>1.9375E-2</v>
      </c>
      <c r="F23" s="1"/>
      <c r="G23" s="1"/>
      <c r="H23" s="45"/>
      <c r="I23" s="45"/>
      <c r="J23" s="57"/>
      <c r="K23" s="45"/>
      <c r="L23" s="57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Y23" s="58" t="str">
        <f t="shared" si="3"/>
        <v/>
      </c>
      <c r="Z23" s="58" t="str">
        <f t="shared" si="4"/>
        <v/>
      </c>
      <c r="AA23" s="1"/>
      <c r="AB23" s="1"/>
      <c r="AC23" s="1" t="str">
        <f>IFERROR(VLOOKUP(AA23,$B$4:$I$801,MATCH('Agent Activity'!AC$4,'Agent Activity'!$B$4:$I$4,0),0),"")</f>
        <v/>
      </c>
      <c r="AD23" s="59" t="str">
        <f>IFERROR(VLOOKUP(AA23,$B$4:$I$801,MATCH('Agent Activity'!AD$4,'Agent Activity'!$B$4:$I$4,0),0),"")</f>
        <v/>
      </c>
      <c r="AE23" s="1"/>
      <c r="AF23" s="59"/>
      <c r="AG23" s="59"/>
    </row>
    <row r="24" spans="1:33" ht="15.75" customHeight="1">
      <c r="A24" s="1" t="s">
        <v>530</v>
      </c>
      <c r="B24" s="1" t="s">
        <v>481</v>
      </c>
      <c r="C24" s="1" t="s">
        <v>531</v>
      </c>
      <c r="D24" s="24" t="s">
        <v>513</v>
      </c>
      <c r="E24" s="24" t="s">
        <v>514</v>
      </c>
      <c r="F24" s="1" t="s">
        <v>532</v>
      </c>
      <c r="G24" s="1" t="s">
        <v>533</v>
      </c>
      <c r="H24" s="1" t="s">
        <v>534</v>
      </c>
      <c r="I24" s="1" t="s">
        <v>535</v>
      </c>
      <c r="J24" s="1" t="s">
        <v>536</v>
      </c>
      <c r="K24" s="1" t="s">
        <v>537</v>
      </c>
      <c r="L24" s="1" t="s">
        <v>538</v>
      </c>
      <c r="M24" s="1" t="s">
        <v>539</v>
      </c>
      <c r="N24" s="1" t="s">
        <v>540</v>
      </c>
      <c r="O24" s="1" t="s">
        <v>541</v>
      </c>
      <c r="P24" s="1" t="s">
        <v>542</v>
      </c>
      <c r="Q24" s="1" t="s">
        <v>543</v>
      </c>
      <c r="R24" s="1" t="s">
        <v>544</v>
      </c>
      <c r="S24" s="1" t="s">
        <v>545</v>
      </c>
      <c r="T24" s="1" t="s">
        <v>546</v>
      </c>
      <c r="U24" s="1" t="s">
        <v>547</v>
      </c>
      <c r="V24" s="1" t="s">
        <v>548</v>
      </c>
      <c r="W24" s="1" t="s">
        <v>549</v>
      </c>
      <c r="Y24" s="58" t="str">
        <f t="shared" si="3"/>
        <v/>
      </c>
      <c r="Z24" s="58" t="str">
        <f t="shared" si="4"/>
        <v/>
      </c>
      <c r="AA24" s="1"/>
      <c r="AB24" s="1"/>
      <c r="AC24" s="1" t="str">
        <f>IFERROR(VLOOKUP(AA24,$B$4:$I$801,MATCH('Agent Activity'!AC$4,'Agent Activity'!$B$4:$I$4,0),0),"")</f>
        <v/>
      </c>
      <c r="AD24" s="59" t="str">
        <f>IFERROR(VLOOKUP(AA24,$B$4:$I$801,MATCH('Agent Activity'!AD$4,'Agent Activity'!$B$4:$I$4,0),0),"")</f>
        <v/>
      </c>
      <c r="AE24" s="1"/>
      <c r="AF24" s="59"/>
      <c r="AG24" s="59"/>
    </row>
    <row r="25" spans="1:33" ht="15.75" customHeight="1">
      <c r="A25" s="24">
        <v>1474942</v>
      </c>
      <c r="B25" s="64" t="s">
        <v>576</v>
      </c>
      <c r="C25" s="1" t="s">
        <v>553</v>
      </c>
      <c r="D25" s="24">
        <v>12</v>
      </c>
      <c r="E25" s="24">
        <v>7</v>
      </c>
      <c r="F25" s="24">
        <v>0</v>
      </c>
      <c r="G25" s="24">
        <v>3</v>
      </c>
      <c r="H25" s="44">
        <v>1.0601851851851852E-2</v>
      </c>
      <c r="I25" s="44">
        <v>0.36625000000000002</v>
      </c>
      <c r="J25" s="54">
        <v>2.8899999999999999E-2</v>
      </c>
      <c r="K25" s="44">
        <v>0</v>
      </c>
      <c r="L25" s="54">
        <v>0</v>
      </c>
      <c r="M25" s="44">
        <v>4.1064814814814818E-2</v>
      </c>
      <c r="N25" s="44">
        <v>9.0173611111111107E-2</v>
      </c>
      <c r="O25" s="44">
        <v>0</v>
      </c>
      <c r="P25" s="44">
        <v>1.1574074074074073E-5</v>
      </c>
      <c r="Q25" s="44">
        <v>0</v>
      </c>
      <c r="R25" s="44">
        <v>0</v>
      </c>
      <c r="S25" s="44">
        <v>2.3726851851851851E-3</v>
      </c>
      <c r="T25" s="44">
        <v>1.0601851851851852E-2</v>
      </c>
      <c r="U25" s="44">
        <v>0.23498842592592592</v>
      </c>
      <c r="V25" s="44">
        <v>2.1296296296296298E-3</v>
      </c>
      <c r="W25" s="44">
        <v>0</v>
      </c>
      <c r="Y25" s="60" t="str">
        <f t="shared" si="3"/>
        <v>Wilson, David</v>
      </c>
      <c r="Z25" s="60" t="str">
        <f t="shared" si="4"/>
        <v>David Wilson</v>
      </c>
      <c r="AA25" s="1"/>
      <c r="AB25" s="1"/>
      <c r="AC25" s="1" t="str">
        <f>IFERROR(VLOOKUP(AA25,$B$4:$I$801,MATCH('Agent Activity'!AC$4,'Agent Activity'!$B$4:$I$4,0),0),"")</f>
        <v/>
      </c>
      <c r="AD25" s="59" t="str">
        <f>IFERROR(VLOOKUP(AA25,$B$4:$I$801,MATCH('Agent Activity'!AD$4,'Agent Activity'!$B$4:$I$4,0),0),"")</f>
        <v/>
      </c>
      <c r="AE25" s="1"/>
      <c r="AF25" s="59"/>
      <c r="AG25" s="59"/>
    </row>
    <row r="26" spans="1:33" ht="15.75" customHeight="1">
      <c r="A26" s="1"/>
      <c r="B26" s="1" t="s">
        <v>555</v>
      </c>
      <c r="C26" s="1" t="s">
        <v>556</v>
      </c>
      <c r="D26" s="24" t="s">
        <v>557</v>
      </c>
      <c r="E26" s="24" t="s">
        <v>534</v>
      </c>
      <c r="F26" s="1"/>
      <c r="G26" s="1"/>
      <c r="H26" s="45"/>
      <c r="I26" s="45"/>
      <c r="J26" s="57"/>
      <c r="K26" s="45"/>
      <c r="L26" s="57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Y26" s="58" t="str">
        <f t="shared" si="3"/>
        <v/>
      </c>
      <c r="Z26" s="58" t="str">
        <f t="shared" si="4"/>
        <v/>
      </c>
      <c r="AA26" s="1"/>
      <c r="AB26" s="45"/>
      <c r="AC26" s="1" t="str">
        <f>IFERROR(VLOOKUP(AA26,$B$4:$I$801,MATCH('Agent Activity'!AC$4,'Agent Activity'!$B$4:$I$4,0),0),"")</f>
        <v/>
      </c>
      <c r="AD26" s="59" t="str">
        <f>IFERROR(VLOOKUP(AA26,$B$4:$I$801,MATCH('Agent Activity'!AD$4,'Agent Activity'!$B$4:$I$4,0),0),"")</f>
        <v/>
      </c>
      <c r="AE26" s="1"/>
      <c r="AF26" s="59"/>
      <c r="AG26" s="59"/>
    </row>
    <row r="27" spans="1:33" ht="14.4">
      <c r="A27" s="1"/>
      <c r="B27" s="1" t="s">
        <v>559</v>
      </c>
      <c r="C27" s="1" t="s">
        <v>526</v>
      </c>
      <c r="D27" s="24">
        <v>7</v>
      </c>
      <c r="E27" s="44">
        <v>1.0601851851851852E-2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58" t="str">
        <f t="shared" si="3"/>
        <v/>
      </c>
      <c r="Z27" s="58" t="str">
        <f t="shared" si="4"/>
        <v/>
      </c>
      <c r="AA27" s="1"/>
      <c r="AB27" s="45"/>
      <c r="AC27" s="1" t="str">
        <f>IFERROR(VLOOKUP(AA27,$B$4:$I$801,MATCH('Agent Activity'!AC$4,'Agent Activity'!$B$4:$I$4,0),0),"")</f>
        <v/>
      </c>
      <c r="AD27" s="59" t="str">
        <f>IFERROR(VLOOKUP(AA27,$B$4:$I$801,MATCH('Agent Activity'!AD$4,'Agent Activity'!$B$4:$I$4,0),0),"")</f>
        <v/>
      </c>
      <c r="AE27" s="1"/>
      <c r="AF27" s="59"/>
      <c r="AG27" s="59"/>
    </row>
    <row r="28" spans="1:33" ht="14.4">
      <c r="A28" s="1"/>
      <c r="B28" s="1" t="s">
        <v>561</v>
      </c>
      <c r="C28" s="1"/>
      <c r="D28" s="24">
        <v>7</v>
      </c>
      <c r="E28" s="44">
        <v>1.0601851851851852E-2</v>
      </c>
      <c r="F28" s="1"/>
      <c r="G28" s="1"/>
      <c r="H28" s="45"/>
      <c r="I28" s="59"/>
      <c r="J28" s="57"/>
      <c r="K28" s="45"/>
      <c r="L28" s="57"/>
      <c r="M28" s="45"/>
      <c r="N28" s="45"/>
      <c r="O28" s="45"/>
      <c r="P28" s="45"/>
      <c r="Q28" s="45"/>
      <c r="R28" s="45"/>
      <c r="S28" s="45"/>
      <c r="T28" s="45"/>
      <c r="U28" s="59"/>
      <c r="V28" s="45"/>
      <c r="W28" s="45"/>
      <c r="Y28" s="58" t="str">
        <f t="shared" si="3"/>
        <v/>
      </c>
      <c r="Z28" s="58" t="str">
        <f t="shared" si="4"/>
        <v/>
      </c>
      <c r="AA28" s="1"/>
      <c r="AB28" s="45"/>
      <c r="AC28" s="1" t="str">
        <f>IFERROR(VLOOKUP(AA28,$B$4:$I$801,MATCH('Agent Activity'!AC$4,'Agent Activity'!$B$4:$I$4,0),0),"")</f>
        <v/>
      </c>
      <c r="AD28" s="59" t="str">
        <f>IFERROR(VLOOKUP(AA28,$B$4:$I$801,MATCH('Agent Activity'!AD$4,'Agent Activity'!$B$4:$I$4,0),0),"")</f>
        <v/>
      </c>
      <c r="AE28" s="1"/>
      <c r="AF28" s="59"/>
      <c r="AG28" s="59"/>
    </row>
    <row r="29" spans="1:33" ht="14.4">
      <c r="A29" s="1" t="s">
        <v>530</v>
      </c>
      <c r="B29" s="1" t="s">
        <v>481</v>
      </c>
      <c r="C29" s="1" t="s">
        <v>531</v>
      </c>
      <c r="D29" s="24" t="s">
        <v>513</v>
      </c>
      <c r="E29" s="24" t="s">
        <v>514</v>
      </c>
      <c r="F29" s="1" t="s">
        <v>532</v>
      </c>
      <c r="G29" s="1" t="s">
        <v>533</v>
      </c>
      <c r="H29" s="1" t="s">
        <v>534</v>
      </c>
      <c r="I29" s="1" t="s">
        <v>535</v>
      </c>
      <c r="J29" s="1" t="s">
        <v>536</v>
      </c>
      <c r="K29" s="1" t="s">
        <v>537</v>
      </c>
      <c r="L29" s="1" t="s">
        <v>538</v>
      </c>
      <c r="M29" s="1" t="s">
        <v>539</v>
      </c>
      <c r="N29" s="1" t="s">
        <v>540</v>
      </c>
      <c r="O29" s="1" t="s">
        <v>541</v>
      </c>
      <c r="P29" s="1" t="s">
        <v>542</v>
      </c>
      <c r="Q29" s="1" t="s">
        <v>543</v>
      </c>
      <c r="R29" s="1" t="s">
        <v>544</v>
      </c>
      <c r="S29" s="1" t="s">
        <v>545</v>
      </c>
      <c r="T29" s="1" t="s">
        <v>546</v>
      </c>
      <c r="U29" s="1" t="s">
        <v>547</v>
      </c>
      <c r="V29" s="1" t="s">
        <v>548</v>
      </c>
      <c r="W29" s="1" t="s">
        <v>549</v>
      </c>
      <c r="Y29" s="58" t="str">
        <f t="shared" si="3"/>
        <v/>
      </c>
      <c r="Z29" s="58" t="str">
        <f t="shared" si="4"/>
        <v/>
      </c>
      <c r="AA29" s="1"/>
      <c r="AB29" s="45"/>
      <c r="AC29" s="1" t="str">
        <f>IFERROR(VLOOKUP(AA29,$B$4:$I$801,MATCH('Agent Activity'!AC$4,'Agent Activity'!$B$4:$I$4,0),0),"")</f>
        <v/>
      </c>
      <c r="AD29" s="59" t="str">
        <f>IFERROR(VLOOKUP(AA29,$B$4:$I$801,MATCH('Agent Activity'!AD$4,'Agent Activity'!$B$4:$I$4,0),0),"")</f>
        <v/>
      </c>
      <c r="AE29" s="1"/>
      <c r="AF29" s="59"/>
      <c r="AG29" s="59"/>
    </row>
    <row r="30" spans="1:33" ht="14.4">
      <c r="A30" s="24">
        <v>1494946</v>
      </c>
      <c r="B30" s="64" t="s">
        <v>577</v>
      </c>
      <c r="C30" s="1" t="s">
        <v>553</v>
      </c>
      <c r="D30" s="24">
        <v>0</v>
      </c>
      <c r="E30" s="24">
        <v>0</v>
      </c>
      <c r="F30" s="24">
        <v>0</v>
      </c>
      <c r="G30" s="24">
        <v>0</v>
      </c>
      <c r="H30" s="44">
        <v>0</v>
      </c>
      <c r="I30" s="44">
        <v>0.33072916666666669</v>
      </c>
      <c r="J30" s="54">
        <v>0</v>
      </c>
      <c r="K30" s="44">
        <v>0</v>
      </c>
      <c r="L30" s="54">
        <v>0</v>
      </c>
      <c r="M30" s="44">
        <v>2.5462962962962961E-4</v>
      </c>
      <c r="N30" s="44">
        <v>4.358796296296296E-2</v>
      </c>
      <c r="O30" s="44">
        <v>0</v>
      </c>
      <c r="P30" s="44">
        <v>0.28687499999999999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Y30" s="60" t="str">
        <f t="shared" si="3"/>
        <v>Miller, Jessica</v>
      </c>
      <c r="Z30" s="60" t="str">
        <f t="shared" si="4"/>
        <v>Jessica Miller</v>
      </c>
      <c r="AA30" s="1"/>
      <c r="AB30" s="1"/>
      <c r="AC30" s="1" t="str">
        <f>IFERROR(VLOOKUP(AA30,$B$4:$I$801,MATCH('Agent Activity'!AC$4,'Agent Activity'!$B$4:$I$4,0),0),"")</f>
        <v/>
      </c>
      <c r="AD30" s="59" t="str">
        <f>IFERROR(VLOOKUP(AA30,$B$4:$I$801,MATCH('Agent Activity'!AD$4,'Agent Activity'!$B$4:$I$4,0),0),"")</f>
        <v/>
      </c>
      <c r="AE30" s="1"/>
      <c r="AF30" s="59"/>
      <c r="AG30" s="59"/>
    </row>
    <row r="31" spans="1:33" ht="14.4">
      <c r="A31" s="24" t="s">
        <v>530</v>
      </c>
      <c r="B31" s="1" t="s">
        <v>481</v>
      </c>
      <c r="C31" s="1" t="s">
        <v>531</v>
      </c>
      <c r="D31" s="24" t="s">
        <v>513</v>
      </c>
      <c r="E31" s="24" t="s">
        <v>514</v>
      </c>
      <c r="F31" s="24" t="s">
        <v>532</v>
      </c>
      <c r="G31" s="24" t="s">
        <v>533</v>
      </c>
      <c r="H31" s="24" t="s">
        <v>534</v>
      </c>
      <c r="I31" s="24" t="s">
        <v>535</v>
      </c>
      <c r="J31" s="24" t="s">
        <v>536</v>
      </c>
      <c r="K31" s="24" t="s">
        <v>537</v>
      </c>
      <c r="L31" s="24" t="s">
        <v>538</v>
      </c>
      <c r="M31" s="24" t="s">
        <v>539</v>
      </c>
      <c r="N31" s="24" t="s">
        <v>540</v>
      </c>
      <c r="O31" s="24" t="s">
        <v>541</v>
      </c>
      <c r="P31" s="24" t="s">
        <v>542</v>
      </c>
      <c r="Q31" s="24" t="s">
        <v>543</v>
      </c>
      <c r="R31" s="24" t="s">
        <v>544</v>
      </c>
      <c r="S31" s="24" t="s">
        <v>545</v>
      </c>
      <c r="T31" s="24" t="s">
        <v>546</v>
      </c>
      <c r="U31" s="24" t="s">
        <v>547</v>
      </c>
      <c r="V31" s="24" t="s">
        <v>548</v>
      </c>
      <c r="W31" s="24" t="s">
        <v>549</v>
      </c>
      <c r="Y31" s="58" t="str">
        <f t="shared" si="3"/>
        <v/>
      </c>
      <c r="Z31" s="58" t="str">
        <f t="shared" si="4"/>
        <v/>
      </c>
      <c r="AA31" s="1"/>
      <c r="AB31" s="1"/>
      <c r="AC31" s="1" t="str">
        <f>IFERROR(VLOOKUP(AA31,$B$4:$I$801,MATCH('Agent Activity'!AC$4,'Agent Activity'!$B$4:$I$4,0),0),"")</f>
        <v/>
      </c>
      <c r="AD31" s="59" t="str">
        <f>IFERROR(VLOOKUP(AA31,$B$4:$I$801,MATCH('Agent Activity'!AD$4,'Agent Activity'!$B$4:$I$4,0),0),"")</f>
        <v/>
      </c>
      <c r="AE31" s="1"/>
      <c r="AF31" s="1"/>
      <c r="AG31" s="1"/>
    </row>
    <row r="32" spans="1:33" ht="14.4">
      <c r="A32" s="24">
        <v>1573372</v>
      </c>
      <c r="B32" s="64" t="s">
        <v>578</v>
      </c>
      <c r="C32" s="1" t="s">
        <v>553</v>
      </c>
      <c r="D32" s="24">
        <v>36</v>
      </c>
      <c r="E32" s="24">
        <v>36</v>
      </c>
      <c r="F32" s="24">
        <v>0</v>
      </c>
      <c r="G32" s="24">
        <v>0</v>
      </c>
      <c r="H32" s="44">
        <v>0.12128472222222222</v>
      </c>
      <c r="I32" s="44">
        <v>0.36729166666666668</v>
      </c>
      <c r="J32" s="54">
        <v>0.33019999999999999</v>
      </c>
      <c r="K32" s="44">
        <v>6.7106481481481475E-2</v>
      </c>
      <c r="L32" s="54">
        <v>1.8072999999999999</v>
      </c>
      <c r="M32" s="44">
        <v>0.14609953703703704</v>
      </c>
      <c r="N32" s="44">
        <v>0.22119212962962964</v>
      </c>
      <c r="O32" s="44">
        <v>0</v>
      </c>
      <c r="P32" s="44">
        <v>0</v>
      </c>
      <c r="Q32" s="44">
        <v>0</v>
      </c>
      <c r="R32" s="44">
        <v>0</v>
      </c>
      <c r="S32" s="44">
        <v>4.0393518518518521E-3</v>
      </c>
      <c r="T32" s="44">
        <v>0.12123842592592593</v>
      </c>
      <c r="U32" s="44">
        <v>0</v>
      </c>
      <c r="V32" s="44">
        <v>0</v>
      </c>
      <c r="W32" s="44">
        <v>0</v>
      </c>
      <c r="Y32" s="60" t="str">
        <f t="shared" si="3"/>
        <v>Anderson, John</v>
      </c>
      <c r="Z32" s="60" t="str">
        <f t="shared" si="4"/>
        <v>John Anderson</v>
      </c>
      <c r="AA32" s="1"/>
      <c r="AB32" s="1"/>
      <c r="AC32" s="1" t="str">
        <f>IFERROR(VLOOKUP(AA32,$B$4:$I$801,MATCH('Agent Activity'!AC$4,'Agent Activity'!$B$4:$I$4,0),0),"")</f>
        <v/>
      </c>
      <c r="AD32" s="59" t="str">
        <f>IFERROR(VLOOKUP(AA32,$B$4:$I$801,MATCH('Agent Activity'!AD$4,'Agent Activity'!$B$4:$I$4,0),0),"")</f>
        <v/>
      </c>
      <c r="AE32" s="1"/>
      <c r="AF32" s="1"/>
      <c r="AG32" s="1"/>
    </row>
    <row r="33" spans="1:33" ht="14.4">
      <c r="A33" s="1"/>
      <c r="B33" s="1" t="s">
        <v>555</v>
      </c>
      <c r="C33" s="1" t="s">
        <v>556</v>
      </c>
      <c r="D33" s="24" t="s">
        <v>557</v>
      </c>
      <c r="E33" s="24" t="s">
        <v>534</v>
      </c>
      <c r="F33" s="1"/>
      <c r="G33" s="1"/>
      <c r="H33" s="45"/>
      <c r="I33" s="59"/>
      <c r="J33" s="57"/>
      <c r="K33" s="45"/>
      <c r="L33" s="57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Y33" s="58" t="str">
        <f t="shared" si="3"/>
        <v/>
      </c>
      <c r="Z33" s="58" t="str">
        <f t="shared" si="4"/>
        <v/>
      </c>
      <c r="AA33" s="1"/>
      <c r="AB33" s="1"/>
      <c r="AC33" s="1" t="str">
        <f>IFERROR(VLOOKUP(AA33,$B$4:$I$801,MATCH('Agent Activity'!AC$4,'Agent Activity'!$B$4:$I$4,0),0),"")</f>
        <v/>
      </c>
      <c r="AD33" s="59" t="str">
        <f>IFERROR(VLOOKUP(AA33,$B$4:$I$801,MATCH('Agent Activity'!AD$4,'Agent Activity'!$B$4:$I$4,0),0),"")</f>
        <v/>
      </c>
      <c r="AE33" s="1"/>
      <c r="AF33" s="1"/>
      <c r="AG33" s="1"/>
    </row>
    <row r="34" spans="1:33" ht="14.4">
      <c r="A34" s="1"/>
      <c r="B34" s="1" t="s">
        <v>559</v>
      </c>
      <c r="C34" s="1" t="s">
        <v>526</v>
      </c>
      <c r="D34" s="24">
        <v>36</v>
      </c>
      <c r="E34" s="44">
        <v>0.12128472222222222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58" t="str">
        <f t="shared" si="3"/>
        <v/>
      </c>
      <c r="Z34" s="58" t="str">
        <f t="shared" si="4"/>
        <v/>
      </c>
      <c r="AA34" s="1"/>
      <c r="AB34" s="1"/>
      <c r="AC34" s="1" t="str">
        <f>IFERROR(VLOOKUP(AA34,$B$4:$I$801,MATCH('Agent Activity'!AC$4,'Agent Activity'!$B$4:$I$4,0),0),"")</f>
        <v/>
      </c>
      <c r="AD34" s="59" t="str">
        <f>IFERROR(VLOOKUP(AA34,$B$4:$I$801,MATCH('Agent Activity'!AD$4,'Agent Activity'!$B$4:$I$4,0),0),"")</f>
        <v/>
      </c>
      <c r="AE34" s="1"/>
      <c r="AF34" s="1"/>
      <c r="AG34" s="1"/>
    </row>
    <row r="35" spans="1:33" ht="14.4">
      <c r="A35" s="1"/>
      <c r="B35" s="1" t="s">
        <v>561</v>
      </c>
      <c r="C35" s="1"/>
      <c r="D35" s="24">
        <v>36</v>
      </c>
      <c r="E35" s="44">
        <v>0.12128472222222222</v>
      </c>
      <c r="F35" s="1"/>
      <c r="G35" s="1"/>
      <c r="H35" s="45"/>
      <c r="I35" s="45"/>
      <c r="J35" s="57"/>
      <c r="K35" s="45"/>
      <c r="L35" s="57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Y35" s="58" t="str">
        <f t="shared" si="3"/>
        <v/>
      </c>
      <c r="Z35" s="58" t="str">
        <f t="shared" si="4"/>
        <v/>
      </c>
      <c r="AA35" s="1"/>
      <c r="AB35" s="1"/>
      <c r="AC35" s="1" t="str">
        <f>IFERROR(VLOOKUP(AA35,$B$4:$I$801,MATCH('Agent Activity'!AC$4,'Agent Activity'!$B$4:$I$4,0),0),"")</f>
        <v/>
      </c>
      <c r="AD35" s="59" t="str">
        <f>IFERROR(VLOOKUP(AA35,$B$4:$I$801,MATCH('Agent Activity'!AD$4,'Agent Activity'!$B$4:$I$4,0),0),"")</f>
        <v/>
      </c>
      <c r="AE35" s="1"/>
      <c r="AF35" s="1"/>
      <c r="AG35" s="1"/>
    </row>
    <row r="36" spans="1:33" ht="14.4">
      <c r="A36" s="24" t="s">
        <v>530</v>
      </c>
      <c r="B36" s="1" t="s">
        <v>481</v>
      </c>
      <c r="C36" s="1" t="s">
        <v>531</v>
      </c>
      <c r="D36" s="24" t="s">
        <v>513</v>
      </c>
      <c r="E36" s="24" t="s">
        <v>514</v>
      </c>
      <c r="F36" s="24" t="s">
        <v>532</v>
      </c>
      <c r="G36" s="24" t="s">
        <v>533</v>
      </c>
      <c r="H36" s="24" t="s">
        <v>534</v>
      </c>
      <c r="I36" s="24" t="s">
        <v>535</v>
      </c>
      <c r="J36" s="24" t="s">
        <v>536</v>
      </c>
      <c r="K36" s="24" t="s">
        <v>537</v>
      </c>
      <c r="L36" s="24" t="s">
        <v>538</v>
      </c>
      <c r="M36" s="24" t="s">
        <v>539</v>
      </c>
      <c r="N36" s="24" t="s">
        <v>540</v>
      </c>
      <c r="O36" s="24" t="s">
        <v>541</v>
      </c>
      <c r="P36" s="24" t="s">
        <v>542</v>
      </c>
      <c r="Q36" s="24" t="s">
        <v>543</v>
      </c>
      <c r="R36" s="24" t="s">
        <v>544</v>
      </c>
      <c r="S36" s="24" t="s">
        <v>545</v>
      </c>
      <c r="T36" s="24" t="s">
        <v>546</v>
      </c>
      <c r="U36" s="24" t="s">
        <v>547</v>
      </c>
      <c r="V36" s="24" t="s">
        <v>548</v>
      </c>
      <c r="W36" s="24" t="s">
        <v>549</v>
      </c>
      <c r="Y36" s="58" t="str">
        <f t="shared" si="3"/>
        <v/>
      </c>
      <c r="Z36" s="58" t="str">
        <f t="shared" si="4"/>
        <v/>
      </c>
      <c r="AA36" s="1"/>
      <c r="AB36" s="1"/>
      <c r="AC36" s="1" t="str">
        <f>IFERROR(VLOOKUP(AA36,$B$4:$I$801,MATCH('Agent Activity'!AC$4,'Agent Activity'!$B$4:$I$4,0),0),"")</f>
        <v/>
      </c>
      <c r="AD36" s="59" t="str">
        <f>IFERROR(VLOOKUP(AA36,$B$4:$I$801,MATCH('Agent Activity'!AD$4,'Agent Activity'!$B$4:$I$4,0),0),"")</f>
        <v/>
      </c>
      <c r="AE36" s="1"/>
      <c r="AF36" s="1"/>
      <c r="AG36" s="1"/>
    </row>
    <row r="37" spans="1:33" ht="14.4">
      <c r="A37" s="24">
        <v>1579919</v>
      </c>
      <c r="B37" s="64" t="s">
        <v>579</v>
      </c>
      <c r="C37" s="1" t="s">
        <v>553</v>
      </c>
      <c r="D37" s="24">
        <v>72</v>
      </c>
      <c r="E37" s="24">
        <v>40</v>
      </c>
      <c r="F37" s="24">
        <v>0</v>
      </c>
      <c r="G37" s="24">
        <v>28</v>
      </c>
      <c r="H37" s="44">
        <v>8.217592592592593E-2</v>
      </c>
      <c r="I37" s="44">
        <v>0.36099537037037038</v>
      </c>
      <c r="J37" s="54">
        <v>0.2276</v>
      </c>
      <c r="K37" s="44">
        <v>2.0486111111111113E-3</v>
      </c>
      <c r="L37" s="54">
        <v>40.113</v>
      </c>
      <c r="M37" s="44">
        <v>0.11565972222222222</v>
      </c>
      <c r="N37" s="44">
        <v>2.2280092592592591E-2</v>
      </c>
      <c r="O37" s="44">
        <v>0</v>
      </c>
      <c r="P37" s="44">
        <v>2.6701388888888889E-2</v>
      </c>
      <c r="Q37" s="44">
        <v>0</v>
      </c>
      <c r="R37" s="44">
        <v>0</v>
      </c>
      <c r="S37" s="44">
        <v>8.564814814814815E-3</v>
      </c>
      <c r="T37" s="44">
        <v>8.217592592592593E-2</v>
      </c>
      <c r="U37" s="44">
        <v>0.19635416666666666</v>
      </c>
      <c r="V37" s="44">
        <v>0</v>
      </c>
      <c r="W37" s="44">
        <v>0</v>
      </c>
      <c r="Y37" s="60" t="str">
        <f t="shared" si="3"/>
        <v>Taylor, Laura</v>
      </c>
      <c r="Z37" s="60" t="str">
        <f t="shared" si="4"/>
        <v>Laura Taylor</v>
      </c>
      <c r="AA37" s="1"/>
      <c r="AB37" s="1"/>
      <c r="AC37" s="1" t="str">
        <f>IFERROR(VLOOKUP(AA37,$B$4:$I$801,MATCH('Agent Activity'!AC$4,'Agent Activity'!$B$4:$I$4,0),0),"")</f>
        <v/>
      </c>
      <c r="AD37" s="59" t="str">
        <f>IFERROR(VLOOKUP(AA37,$B$4:$I$801,MATCH('Agent Activity'!AD$4,'Agent Activity'!$B$4:$I$4,0),0),"")</f>
        <v/>
      </c>
      <c r="AE37" s="1"/>
      <c r="AF37" s="1"/>
      <c r="AG37" s="1"/>
    </row>
    <row r="38" spans="1:33" ht="14.4">
      <c r="A38" s="1"/>
      <c r="B38" s="1" t="s">
        <v>555</v>
      </c>
      <c r="C38" s="1" t="s">
        <v>556</v>
      </c>
      <c r="D38" s="24" t="s">
        <v>557</v>
      </c>
      <c r="E38" s="24" t="s">
        <v>534</v>
      </c>
      <c r="F38" s="1"/>
      <c r="G38" s="1"/>
      <c r="H38" s="45"/>
      <c r="I38" s="59"/>
      <c r="J38" s="57"/>
      <c r="K38" s="45"/>
      <c r="L38" s="57"/>
      <c r="M38" s="45"/>
      <c r="N38" s="45"/>
      <c r="O38" s="45"/>
      <c r="P38" s="59"/>
      <c r="Q38" s="45"/>
      <c r="R38" s="45"/>
      <c r="S38" s="45"/>
      <c r="T38" s="45"/>
      <c r="U38" s="45"/>
      <c r="V38" s="45"/>
      <c r="W38" s="45"/>
      <c r="Y38" s="58" t="str">
        <f t="shared" si="3"/>
        <v/>
      </c>
      <c r="Z38" s="58" t="str">
        <f t="shared" si="4"/>
        <v/>
      </c>
      <c r="AA38" s="1"/>
      <c r="AB38" s="1"/>
      <c r="AC38" s="1"/>
      <c r="AD38" s="59" t="str">
        <f>IFERROR(VLOOKUP(AA38,$B$4:$I$801,MATCH('Agent Activity'!AD$4,'Agent Activity'!$B$4:$I$4,0),0),"")</f>
        <v/>
      </c>
      <c r="AE38" s="1"/>
      <c r="AF38" s="1"/>
      <c r="AG38" s="1"/>
    </row>
    <row r="39" spans="1:33" ht="14.4">
      <c r="A39" s="1"/>
      <c r="B39" s="1" t="s">
        <v>559</v>
      </c>
      <c r="C39" s="1" t="s">
        <v>526</v>
      </c>
      <c r="D39" s="24">
        <v>40</v>
      </c>
      <c r="E39" s="44">
        <v>8.217592592592593E-2</v>
      </c>
      <c r="F39" s="1"/>
      <c r="G39" s="1"/>
      <c r="H39" s="45"/>
      <c r="I39" s="59"/>
      <c r="J39" s="57"/>
      <c r="K39" s="45"/>
      <c r="L39" s="57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Y39" s="58" t="str">
        <f t="shared" si="3"/>
        <v/>
      </c>
      <c r="Z39" s="58" t="str">
        <f t="shared" si="4"/>
        <v/>
      </c>
      <c r="AA39" s="1"/>
      <c r="AB39" s="1"/>
      <c r="AC39" s="1"/>
      <c r="AD39" s="59" t="str">
        <f>IFERROR(VLOOKUP(AA39,$B$4:$I$801,MATCH('Agent Activity'!AD$4,'Agent Activity'!$B$4:$I$4,0),0),"")</f>
        <v/>
      </c>
      <c r="AE39" s="1"/>
      <c r="AF39" s="1"/>
      <c r="AG39" s="1"/>
    </row>
    <row r="40" spans="1:33" ht="14.4">
      <c r="A40" s="1"/>
      <c r="B40" s="1" t="s">
        <v>561</v>
      </c>
      <c r="C40" s="1"/>
      <c r="D40" s="24">
        <v>40</v>
      </c>
      <c r="E40" s="44">
        <v>8.217592592592593E-2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58" t="str">
        <f t="shared" si="3"/>
        <v/>
      </c>
      <c r="Z40" s="58" t="str">
        <f t="shared" si="4"/>
        <v/>
      </c>
      <c r="AA40" s="1"/>
      <c r="AB40" s="1"/>
      <c r="AC40" s="1"/>
      <c r="AD40" s="59"/>
      <c r="AE40" s="1"/>
      <c r="AF40" s="1"/>
      <c r="AG40" s="1"/>
    </row>
    <row r="41" spans="1:33" ht="14.4">
      <c r="A41" s="1" t="s">
        <v>530</v>
      </c>
      <c r="B41" s="1" t="s">
        <v>481</v>
      </c>
      <c r="C41" s="1" t="s">
        <v>531</v>
      </c>
      <c r="D41" s="24" t="s">
        <v>513</v>
      </c>
      <c r="E41" s="24" t="s">
        <v>514</v>
      </c>
      <c r="F41" s="1" t="s">
        <v>532</v>
      </c>
      <c r="G41" s="1" t="s">
        <v>533</v>
      </c>
      <c r="H41" s="1" t="s">
        <v>534</v>
      </c>
      <c r="I41" s="1" t="s">
        <v>535</v>
      </c>
      <c r="J41" s="1" t="s">
        <v>536</v>
      </c>
      <c r="K41" s="1" t="s">
        <v>537</v>
      </c>
      <c r="L41" s="1" t="s">
        <v>538</v>
      </c>
      <c r="M41" s="1" t="s">
        <v>539</v>
      </c>
      <c r="N41" s="1" t="s">
        <v>540</v>
      </c>
      <c r="O41" s="1" t="s">
        <v>541</v>
      </c>
      <c r="P41" s="1" t="s">
        <v>542</v>
      </c>
      <c r="Q41" s="1" t="s">
        <v>543</v>
      </c>
      <c r="R41" s="1" t="s">
        <v>544</v>
      </c>
      <c r="S41" s="1" t="s">
        <v>545</v>
      </c>
      <c r="T41" s="1" t="s">
        <v>546</v>
      </c>
      <c r="U41" s="1" t="s">
        <v>547</v>
      </c>
      <c r="V41" s="1" t="s">
        <v>548</v>
      </c>
      <c r="W41" s="1" t="s">
        <v>549</v>
      </c>
      <c r="Y41" s="58" t="str">
        <f t="shared" si="3"/>
        <v/>
      </c>
      <c r="Z41" s="58" t="str">
        <f t="shared" si="4"/>
        <v/>
      </c>
      <c r="AA41" s="1"/>
      <c r="AB41" s="1"/>
      <c r="AC41" s="1"/>
      <c r="AD41" s="59" t="str">
        <f>IFERROR(VLOOKUP(AA41,$B$4:$I$801,MATCH('Agent Activity'!AD$4,'Agent Activity'!$B$4:$I$4,0),0),"")</f>
        <v/>
      </c>
      <c r="AE41" s="1"/>
      <c r="AF41" s="1"/>
      <c r="AG41" s="1"/>
    </row>
    <row r="42" spans="1:33" ht="14.4">
      <c r="A42" s="24">
        <v>1706486</v>
      </c>
      <c r="B42" s="64" t="s">
        <v>580</v>
      </c>
      <c r="C42" s="1" t="s">
        <v>553</v>
      </c>
      <c r="D42" s="24">
        <v>66</v>
      </c>
      <c r="E42" s="24">
        <v>59</v>
      </c>
      <c r="F42" s="24">
        <v>0</v>
      </c>
      <c r="G42" s="24">
        <v>5</v>
      </c>
      <c r="H42" s="44">
        <v>0.10172453703703704</v>
      </c>
      <c r="I42" s="44">
        <v>0.35771990740740739</v>
      </c>
      <c r="J42" s="54">
        <v>0.28439999999999999</v>
      </c>
      <c r="K42" s="44">
        <v>5.3125000000000004E-3</v>
      </c>
      <c r="L42" s="54">
        <v>19.148099999999999</v>
      </c>
      <c r="M42" s="44">
        <v>0.11322916666666667</v>
      </c>
      <c r="N42" s="44">
        <v>0.10884259259259259</v>
      </c>
      <c r="O42" s="44">
        <v>0</v>
      </c>
      <c r="P42" s="44">
        <v>0.12930555555555556</v>
      </c>
      <c r="Q42" s="44">
        <v>0</v>
      </c>
      <c r="R42" s="44">
        <v>0</v>
      </c>
      <c r="S42" s="44">
        <v>5.324074074074074E-3</v>
      </c>
      <c r="T42" s="44">
        <v>0.1019212962962963</v>
      </c>
      <c r="U42" s="44">
        <v>6.3310185185185188E-3</v>
      </c>
      <c r="V42" s="44">
        <v>1.3773148148148147E-3</v>
      </c>
      <c r="W42" s="44">
        <v>0</v>
      </c>
      <c r="Y42" s="60" t="str">
        <f t="shared" si="3"/>
        <v>Thomas, Robert</v>
      </c>
      <c r="Z42" s="60" t="str">
        <f t="shared" si="4"/>
        <v>Robert Thomas</v>
      </c>
      <c r="AA42" s="1"/>
      <c r="AB42" s="1"/>
      <c r="AC42" s="1"/>
      <c r="AD42" s="59" t="str">
        <f>IFERROR(VLOOKUP(AA42,$B$4:$I$801,MATCH('Agent Activity'!AD$4,'Agent Activity'!$B$4:$I$4,0),0),"")</f>
        <v/>
      </c>
      <c r="AE42" s="1"/>
      <c r="AF42" s="1"/>
      <c r="AG42" s="1"/>
    </row>
    <row r="43" spans="1:33" ht="14.4">
      <c r="A43" s="1"/>
      <c r="B43" s="1" t="s">
        <v>555</v>
      </c>
      <c r="C43" s="1" t="s">
        <v>556</v>
      </c>
      <c r="D43" s="24" t="s">
        <v>557</v>
      </c>
      <c r="E43" s="24" t="s">
        <v>534</v>
      </c>
      <c r="F43" s="1"/>
      <c r="G43" s="1"/>
      <c r="H43" s="45"/>
      <c r="I43" s="59"/>
      <c r="J43" s="57"/>
      <c r="K43" s="45"/>
      <c r="L43" s="57"/>
      <c r="M43" s="45"/>
      <c r="N43" s="59"/>
      <c r="O43" s="45"/>
      <c r="P43" s="45"/>
      <c r="Q43" s="45"/>
      <c r="R43" s="45"/>
      <c r="S43" s="45"/>
      <c r="T43" s="45"/>
      <c r="U43" s="45"/>
      <c r="V43" s="45"/>
      <c r="W43" s="45"/>
      <c r="Y43" s="58" t="str">
        <f t="shared" si="3"/>
        <v/>
      </c>
      <c r="Z43" s="58" t="str">
        <f t="shared" si="4"/>
        <v/>
      </c>
      <c r="AA43" s="1"/>
      <c r="AB43" s="1"/>
      <c r="AC43" s="1"/>
      <c r="AD43" s="59" t="str">
        <f>IFERROR(VLOOKUP(AA43,$B$4:$I$801,MATCH('Agent Activity'!AD$4,'Agent Activity'!$B$4:$I$4,0),0),"")</f>
        <v/>
      </c>
      <c r="AE43" s="1"/>
      <c r="AF43" s="1"/>
      <c r="AG43" s="1"/>
    </row>
    <row r="44" spans="1:33" ht="14.4">
      <c r="A44" s="1"/>
      <c r="B44" s="1" t="s">
        <v>559</v>
      </c>
      <c r="C44" s="1" t="s">
        <v>526</v>
      </c>
      <c r="D44" s="24">
        <v>59</v>
      </c>
      <c r="E44" s="44">
        <v>0.10172453703703704</v>
      </c>
      <c r="F44" s="1"/>
      <c r="G44" s="1"/>
      <c r="H44" s="45"/>
      <c r="I44" s="45"/>
      <c r="J44" s="57"/>
      <c r="K44" s="45"/>
      <c r="L44" s="57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Y44" s="58" t="str">
        <f t="shared" si="3"/>
        <v/>
      </c>
      <c r="Z44" s="58" t="str">
        <f t="shared" si="4"/>
        <v/>
      </c>
      <c r="AA44" s="1"/>
      <c r="AB44" s="1"/>
      <c r="AC44" s="1"/>
      <c r="AD44" s="59" t="str">
        <f>IFERROR(VLOOKUP(AA44,$B$4:$I$801,MATCH('Agent Activity'!AD$4,'Agent Activity'!$B$4:$I$4,0),0),"")</f>
        <v/>
      </c>
      <c r="AE44" s="1"/>
      <c r="AF44" s="1"/>
      <c r="AG44" s="1"/>
    </row>
    <row r="45" spans="1:33" ht="14.4">
      <c r="A45" s="1"/>
      <c r="B45" s="1" t="s">
        <v>561</v>
      </c>
      <c r="C45" s="1"/>
      <c r="D45" s="24">
        <v>59</v>
      </c>
      <c r="E45" s="44">
        <v>0.10172453703703704</v>
      </c>
      <c r="F45" s="1"/>
      <c r="G45" s="1"/>
      <c r="H45" s="45"/>
      <c r="I45" s="45"/>
      <c r="J45" s="57"/>
      <c r="K45" s="45"/>
      <c r="L45" s="57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Y45" s="58" t="str">
        <f t="shared" si="3"/>
        <v/>
      </c>
      <c r="Z45" s="58" t="str">
        <f t="shared" si="4"/>
        <v/>
      </c>
      <c r="AA45" s="1"/>
      <c r="AB45" s="1"/>
      <c r="AC45" s="1"/>
      <c r="AD45" s="59" t="str">
        <f>IFERROR(VLOOKUP(AA45,$B$4:$I$801,MATCH('Agent Activity'!AD$4,'Agent Activity'!$B$4:$I$4,0),0),"")</f>
        <v/>
      </c>
      <c r="AE45" s="1"/>
      <c r="AF45" s="1"/>
      <c r="AG45" s="1"/>
    </row>
    <row r="46" spans="1:33" ht="14.4">
      <c r="A46" s="1" t="s">
        <v>530</v>
      </c>
      <c r="B46" s="1" t="s">
        <v>481</v>
      </c>
      <c r="C46" s="1" t="s">
        <v>531</v>
      </c>
      <c r="D46" s="24" t="s">
        <v>513</v>
      </c>
      <c r="E46" s="24" t="s">
        <v>514</v>
      </c>
      <c r="F46" s="1" t="s">
        <v>532</v>
      </c>
      <c r="G46" s="1" t="s">
        <v>533</v>
      </c>
      <c r="H46" s="1" t="s">
        <v>534</v>
      </c>
      <c r="I46" s="1" t="s">
        <v>535</v>
      </c>
      <c r="J46" s="1" t="s">
        <v>536</v>
      </c>
      <c r="K46" s="1" t="s">
        <v>537</v>
      </c>
      <c r="L46" s="1" t="s">
        <v>538</v>
      </c>
      <c r="M46" s="1" t="s">
        <v>539</v>
      </c>
      <c r="N46" s="1" t="s">
        <v>540</v>
      </c>
      <c r="O46" s="1" t="s">
        <v>541</v>
      </c>
      <c r="P46" s="1" t="s">
        <v>542</v>
      </c>
      <c r="Q46" s="1" t="s">
        <v>543</v>
      </c>
      <c r="R46" s="1" t="s">
        <v>544</v>
      </c>
      <c r="S46" s="1" t="s">
        <v>545</v>
      </c>
      <c r="T46" s="1" t="s">
        <v>546</v>
      </c>
      <c r="U46" s="1" t="s">
        <v>547</v>
      </c>
      <c r="V46" s="1" t="s">
        <v>548</v>
      </c>
      <c r="W46" s="1" t="s">
        <v>549</v>
      </c>
      <c r="Y46" s="58" t="str">
        <f t="shared" si="3"/>
        <v/>
      </c>
      <c r="Z46" s="58" t="str">
        <f t="shared" si="4"/>
        <v/>
      </c>
      <c r="AA46" s="1"/>
      <c r="AB46" s="1"/>
      <c r="AC46" s="1"/>
      <c r="AD46" s="59" t="str">
        <f>IFERROR(VLOOKUP(AA46,$B$4:$I$801,MATCH('Agent Activity'!AD$4,'Agent Activity'!$B$4:$I$4,0),0),"")</f>
        <v/>
      </c>
      <c r="AE46" s="1"/>
      <c r="AF46" s="1"/>
      <c r="AG46" s="1"/>
    </row>
    <row r="47" spans="1:33" ht="14.4">
      <c r="A47" s="24">
        <v>2569967</v>
      </c>
      <c r="B47" s="64" t="s">
        <v>581</v>
      </c>
      <c r="C47" s="1" t="s">
        <v>553</v>
      </c>
      <c r="D47" s="24">
        <v>32</v>
      </c>
      <c r="E47" s="24">
        <v>27</v>
      </c>
      <c r="F47" s="24">
        <v>0</v>
      </c>
      <c r="G47" s="24">
        <v>4</v>
      </c>
      <c r="H47" s="44">
        <v>4.8888888888888891E-2</v>
      </c>
      <c r="I47" s="44">
        <v>0.3699884259259259</v>
      </c>
      <c r="J47" s="54">
        <v>0.1321</v>
      </c>
      <c r="K47" s="44">
        <v>5.9027777777777776E-3</v>
      </c>
      <c r="L47" s="54">
        <v>8.2824000000000009</v>
      </c>
      <c r="M47" s="44">
        <v>7.1921296296296303E-2</v>
      </c>
      <c r="N47" s="44">
        <v>0.14930555555555555</v>
      </c>
      <c r="O47" s="44">
        <v>0</v>
      </c>
      <c r="P47" s="44">
        <v>0.12200231481481481</v>
      </c>
      <c r="Q47" s="44">
        <v>0</v>
      </c>
      <c r="R47" s="44">
        <v>0</v>
      </c>
      <c r="S47" s="44">
        <v>3.7731481481481483E-3</v>
      </c>
      <c r="T47" s="44">
        <v>4.8796296296296296E-2</v>
      </c>
      <c r="U47" s="44">
        <v>2.6747685185185187E-2</v>
      </c>
      <c r="V47" s="44">
        <v>0</v>
      </c>
      <c r="W47" s="44">
        <v>0</v>
      </c>
      <c r="Y47" s="60" t="str">
        <f t="shared" si="3"/>
        <v>Martinez, Megan</v>
      </c>
      <c r="Z47" s="60" t="str">
        <f t="shared" si="4"/>
        <v>Megan Martinez</v>
      </c>
      <c r="AA47" s="1"/>
      <c r="AB47" s="1"/>
      <c r="AC47" s="1"/>
      <c r="AD47" s="59" t="str">
        <f>IFERROR(VLOOKUP(AA47,$B$4:$I$801,MATCH('Agent Activity'!AD$4,'Agent Activity'!$B$4:$I$4,0),0),"")</f>
        <v/>
      </c>
      <c r="AE47" s="1"/>
      <c r="AF47" s="1"/>
      <c r="AG47" s="1"/>
    </row>
    <row r="48" spans="1:33" ht="14.4">
      <c r="A48" s="1"/>
      <c r="B48" s="1" t="s">
        <v>555</v>
      </c>
      <c r="C48" s="1" t="s">
        <v>556</v>
      </c>
      <c r="D48" s="24" t="s">
        <v>557</v>
      </c>
      <c r="E48" s="24" t="s">
        <v>534</v>
      </c>
      <c r="F48" s="1"/>
      <c r="G48" s="1"/>
      <c r="H48" s="45"/>
      <c r="I48" s="59"/>
      <c r="J48" s="57"/>
      <c r="K48" s="45"/>
      <c r="L48" s="57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Y48" s="58" t="str">
        <f t="shared" si="3"/>
        <v/>
      </c>
      <c r="Z48" s="58" t="str">
        <f t="shared" si="4"/>
        <v/>
      </c>
      <c r="AA48" s="1"/>
      <c r="AB48" s="1"/>
      <c r="AC48" s="1"/>
      <c r="AD48" s="59" t="str">
        <f>IFERROR(VLOOKUP(AA48,$B$4:$I$801,MATCH('Agent Activity'!AD$4,'Agent Activity'!$B$4:$I$4,0),0),"")</f>
        <v/>
      </c>
      <c r="AE48" s="1"/>
      <c r="AF48" s="1"/>
      <c r="AG48" s="1"/>
    </row>
    <row r="49" spans="1:33" ht="14.4">
      <c r="A49" s="1"/>
      <c r="B49" s="1" t="s">
        <v>559</v>
      </c>
      <c r="C49" s="1" t="s">
        <v>526</v>
      </c>
      <c r="D49" s="24">
        <v>27</v>
      </c>
      <c r="E49" s="44">
        <v>4.8888888888888891E-2</v>
      </c>
      <c r="F49" s="1"/>
      <c r="G49" s="1"/>
      <c r="H49" s="45"/>
      <c r="I49" s="45"/>
      <c r="J49" s="57"/>
      <c r="K49" s="45"/>
      <c r="L49" s="57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Y49" s="58" t="str">
        <f t="shared" si="3"/>
        <v/>
      </c>
      <c r="Z49" s="58" t="str">
        <f t="shared" si="4"/>
        <v/>
      </c>
      <c r="AA49" s="1"/>
      <c r="AB49" s="1"/>
      <c r="AC49" s="1"/>
      <c r="AD49" s="59" t="str">
        <f>IFERROR(VLOOKUP(AA49,$B$4:$I$801,MATCH('Agent Activity'!AD$4,'Agent Activity'!$B$4:$I$4,0),0),"")</f>
        <v/>
      </c>
      <c r="AE49" s="1"/>
      <c r="AF49" s="1"/>
      <c r="AG49" s="1"/>
    </row>
    <row r="50" spans="1:33" ht="14.4">
      <c r="A50" s="1"/>
      <c r="B50" s="1" t="s">
        <v>561</v>
      </c>
      <c r="C50" s="1"/>
      <c r="D50" s="24">
        <v>27</v>
      </c>
      <c r="E50" s="44">
        <v>4.8888888888888891E-2</v>
      </c>
      <c r="F50" s="1"/>
      <c r="G50" s="1"/>
      <c r="H50" s="45"/>
      <c r="I50" s="45"/>
      <c r="J50" s="57"/>
      <c r="K50" s="45"/>
      <c r="L50" s="57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Y50" s="58" t="str">
        <f t="shared" si="3"/>
        <v/>
      </c>
      <c r="Z50" s="58" t="str">
        <f t="shared" si="4"/>
        <v/>
      </c>
      <c r="AA50" s="1"/>
      <c r="AB50" s="1"/>
      <c r="AC50" s="1"/>
      <c r="AD50" s="59" t="str">
        <f>IFERROR(VLOOKUP(AA50,$B$4:$I$801,MATCH('Agent Activity'!AD$4,'Agent Activity'!$B$4:$I$4,0),0),"")</f>
        <v/>
      </c>
      <c r="AE50" s="1"/>
      <c r="AF50" s="1"/>
      <c r="AG50" s="1"/>
    </row>
    <row r="51" spans="1:33" ht="14.4">
      <c r="A51" s="1" t="s">
        <v>530</v>
      </c>
      <c r="B51" s="1" t="s">
        <v>481</v>
      </c>
      <c r="C51" s="1" t="s">
        <v>531</v>
      </c>
      <c r="D51" s="24" t="s">
        <v>513</v>
      </c>
      <c r="E51" s="24" t="s">
        <v>514</v>
      </c>
      <c r="F51" s="1" t="s">
        <v>532</v>
      </c>
      <c r="G51" s="1" t="s">
        <v>533</v>
      </c>
      <c r="H51" s="1" t="s">
        <v>534</v>
      </c>
      <c r="I51" s="1" t="s">
        <v>535</v>
      </c>
      <c r="J51" s="1" t="s">
        <v>536</v>
      </c>
      <c r="K51" s="1" t="s">
        <v>537</v>
      </c>
      <c r="L51" s="1" t="s">
        <v>538</v>
      </c>
      <c r="M51" s="1" t="s">
        <v>539</v>
      </c>
      <c r="N51" s="1" t="s">
        <v>540</v>
      </c>
      <c r="O51" s="1" t="s">
        <v>541</v>
      </c>
      <c r="P51" s="1" t="s">
        <v>542</v>
      </c>
      <c r="Q51" s="1" t="s">
        <v>543</v>
      </c>
      <c r="R51" s="1" t="s">
        <v>544</v>
      </c>
      <c r="S51" s="1" t="s">
        <v>545</v>
      </c>
      <c r="T51" s="1" t="s">
        <v>546</v>
      </c>
      <c r="U51" s="1" t="s">
        <v>547</v>
      </c>
      <c r="V51" s="1" t="s">
        <v>548</v>
      </c>
      <c r="W51" s="1" t="s">
        <v>549</v>
      </c>
      <c r="Y51" s="58" t="str">
        <f t="shared" si="3"/>
        <v/>
      </c>
      <c r="Z51" s="58" t="str">
        <f t="shared" si="4"/>
        <v/>
      </c>
      <c r="AA51" s="1"/>
      <c r="AB51" s="1"/>
      <c r="AC51" s="1"/>
      <c r="AD51" s="59" t="str">
        <f>IFERROR(VLOOKUP(AA51,$B$4:$I$801,MATCH('Agent Activity'!AD$4,'Agent Activity'!$B$4:$I$4,0),0),"")</f>
        <v/>
      </c>
      <c r="AE51" s="1"/>
      <c r="AF51" s="1"/>
      <c r="AG51" s="1"/>
    </row>
    <row r="52" spans="1:33" ht="14.4">
      <c r="A52" s="24">
        <v>2799378</v>
      </c>
      <c r="B52" s="64" t="s">
        <v>582</v>
      </c>
      <c r="C52" s="1" t="s">
        <v>553</v>
      </c>
      <c r="D52" s="24">
        <v>64</v>
      </c>
      <c r="E52" s="24">
        <v>61</v>
      </c>
      <c r="F52" s="24">
        <v>0</v>
      </c>
      <c r="G52" s="24">
        <v>2</v>
      </c>
      <c r="H52" s="44">
        <v>0.12038194444444444</v>
      </c>
      <c r="I52" s="44">
        <v>0.36221064814814813</v>
      </c>
      <c r="J52" s="54">
        <v>0.33239999999999997</v>
      </c>
      <c r="K52" s="44">
        <v>2.7523148148148147E-2</v>
      </c>
      <c r="L52" s="54">
        <v>4.3738000000000001</v>
      </c>
      <c r="M52" s="44">
        <v>0.14071759259259259</v>
      </c>
      <c r="N52" s="44">
        <v>0.1882175925925926</v>
      </c>
      <c r="O52" s="44">
        <v>0</v>
      </c>
      <c r="P52" s="44">
        <v>2.9374999999999998E-2</v>
      </c>
      <c r="Q52" s="44">
        <v>0</v>
      </c>
      <c r="R52" s="44">
        <v>0</v>
      </c>
      <c r="S52" s="44">
        <v>5.8449074074074072E-3</v>
      </c>
      <c r="T52" s="44">
        <v>0.12</v>
      </c>
      <c r="U52" s="44">
        <v>3.8657407407407408E-3</v>
      </c>
      <c r="V52" s="44">
        <v>0</v>
      </c>
      <c r="W52" s="44">
        <v>0</v>
      </c>
      <c r="Y52" s="60" t="str">
        <f t="shared" si="3"/>
        <v>Moore, Christopher</v>
      </c>
      <c r="Z52" s="60" t="str">
        <f t="shared" si="4"/>
        <v>Christopher Moore</v>
      </c>
      <c r="AA52" s="1"/>
      <c r="AB52" s="1"/>
      <c r="AC52" s="1"/>
      <c r="AD52" s="59"/>
      <c r="AE52" s="1"/>
      <c r="AF52" s="1"/>
      <c r="AG52" s="1"/>
    </row>
    <row r="53" spans="1:33" ht="14.4">
      <c r="A53" s="1"/>
      <c r="B53" s="1" t="s">
        <v>555</v>
      </c>
      <c r="C53" s="1" t="s">
        <v>556</v>
      </c>
      <c r="D53" s="24" t="s">
        <v>557</v>
      </c>
      <c r="E53" s="24" t="s">
        <v>534</v>
      </c>
      <c r="F53" s="1"/>
      <c r="G53" s="1"/>
      <c r="H53" s="45"/>
      <c r="I53" s="59"/>
      <c r="J53" s="57"/>
      <c r="K53" s="45"/>
      <c r="L53" s="57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Y53" s="58" t="str">
        <f t="shared" si="3"/>
        <v/>
      </c>
      <c r="Z53" s="58" t="str">
        <f t="shared" si="4"/>
        <v/>
      </c>
      <c r="AA53" s="1"/>
      <c r="AB53" s="1"/>
      <c r="AC53" s="1"/>
      <c r="AD53" s="59"/>
      <c r="AE53" s="1"/>
      <c r="AF53" s="1"/>
      <c r="AG53" s="1"/>
    </row>
    <row r="54" spans="1:33" ht="14.4">
      <c r="A54" s="1"/>
      <c r="B54" s="1" t="s">
        <v>559</v>
      </c>
      <c r="C54" s="1" t="s">
        <v>526</v>
      </c>
      <c r="D54" s="24">
        <v>61</v>
      </c>
      <c r="E54" s="44">
        <v>0.12038194444444444</v>
      </c>
      <c r="F54" s="1"/>
      <c r="G54" s="1"/>
      <c r="H54" s="45"/>
      <c r="I54" s="45"/>
      <c r="J54" s="57"/>
      <c r="K54" s="45"/>
      <c r="L54" s="57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Y54" s="58" t="str">
        <f t="shared" si="3"/>
        <v/>
      </c>
      <c r="Z54" s="58" t="str">
        <f t="shared" si="4"/>
        <v/>
      </c>
      <c r="AA54" s="1"/>
      <c r="AB54" s="1"/>
      <c r="AC54" s="1"/>
      <c r="AD54" s="59"/>
      <c r="AE54" s="1"/>
      <c r="AF54" s="1"/>
      <c r="AG54" s="1"/>
    </row>
    <row r="55" spans="1:33" ht="14.4">
      <c r="A55" s="1"/>
      <c r="B55" s="1" t="s">
        <v>561</v>
      </c>
      <c r="C55" s="1"/>
      <c r="D55" s="24">
        <v>61</v>
      </c>
      <c r="E55" s="44">
        <v>0.12038194444444444</v>
      </c>
      <c r="F55" s="1"/>
      <c r="G55" s="1"/>
      <c r="H55" s="45"/>
      <c r="I55" s="59"/>
      <c r="J55" s="57"/>
      <c r="K55" s="45"/>
      <c r="L55" s="57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Y55" s="58" t="str">
        <f t="shared" si="3"/>
        <v/>
      </c>
      <c r="Z55" s="58" t="str">
        <f t="shared" si="4"/>
        <v/>
      </c>
      <c r="AA55" s="1"/>
      <c r="AB55" s="1"/>
      <c r="AC55" s="1"/>
      <c r="AD55" s="59"/>
      <c r="AE55" s="1"/>
      <c r="AF55" s="1"/>
      <c r="AG55" s="1"/>
    </row>
    <row r="56" spans="1:33" ht="14.4">
      <c r="A56" s="1" t="s">
        <v>530</v>
      </c>
      <c r="B56" s="1" t="s">
        <v>481</v>
      </c>
      <c r="C56" s="1" t="s">
        <v>531</v>
      </c>
      <c r="D56" s="24" t="s">
        <v>513</v>
      </c>
      <c r="E56" s="24" t="s">
        <v>514</v>
      </c>
      <c r="F56" s="1" t="s">
        <v>532</v>
      </c>
      <c r="G56" s="1" t="s">
        <v>533</v>
      </c>
      <c r="H56" s="1" t="s">
        <v>534</v>
      </c>
      <c r="I56" s="1" t="s">
        <v>535</v>
      </c>
      <c r="J56" s="1" t="s">
        <v>536</v>
      </c>
      <c r="K56" s="1" t="s">
        <v>537</v>
      </c>
      <c r="L56" s="1" t="s">
        <v>538</v>
      </c>
      <c r="M56" s="1" t="s">
        <v>539</v>
      </c>
      <c r="N56" s="1" t="s">
        <v>540</v>
      </c>
      <c r="O56" s="1" t="s">
        <v>541</v>
      </c>
      <c r="P56" s="1" t="s">
        <v>542</v>
      </c>
      <c r="Q56" s="1" t="s">
        <v>543</v>
      </c>
      <c r="R56" s="1" t="s">
        <v>544</v>
      </c>
      <c r="S56" s="1" t="s">
        <v>545</v>
      </c>
      <c r="T56" s="1" t="s">
        <v>546</v>
      </c>
      <c r="U56" s="1" t="s">
        <v>547</v>
      </c>
      <c r="V56" s="1" t="s">
        <v>548</v>
      </c>
      <c r="W56" s="1" t="s">
        <v>549</v>
      </c>
      <c r="Y56" s="58" t="str">
        <f t="shared" si="3"/>
        <v/>
      </c>
      <c r="Z56" s="58" t="str">
        <f t="shared" si="4"/>
        <v/>
      </c>
      <c r="AA56" s="1"/>
      <c r="AB56" s="1"/>
      <c r="AC56" s="1"/>
      <c r="AD56" s="59"/>
      <c r="AE56" s="1"/>
      <c r="AF56" s="1"/>
      <c r="AG56" s="1"/>
    </row>
    <row r="57" spans="1:33" ht="14.4">
      <c r="A57" s="24">
        <v>3093051</v>
      </c>
      <c r="B57" s="64" t="s">
        <v>583</v>
      </c>
      <c r="C57" s="1" t="s">
        <v>553</v>
      </c>
      <c r="D57" s="24">
        <v>7</v>
      </c>
      <c r="E57" s="24">
        <v>6</v>
      </c>
      <c r="F57" s="24">
        <v>0</v>
      </c>
      <c r="G57" s="24">
        <v>0</v>
      </c>
      <c r="H57" s="44">
        <v>1.2997685185185185E-2</v>
      </c>
      <c r="I57" s="44">
        <v>0.36091435185185183</v>
      </c>
      <c r="J57" s="54">
        <v>3.5999999999999997E-2</v>
      </c>
      <c r="K57" s="44">
        <v>0</v>
      </c>
      <c r="L57" s="54">
        <v>0</v>
      </c>
      <c r="M57" s="44">
        <v>0.36091435185185183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5.6712962962962967E-4</v>
      </c>
      <c r="T57" s="44">
        <v>1.2997685185185185E-2</v>
      </c>
      <c r="U57" s="44">
        <v>0</v>
      </c>
      <c r="V57" s="44">
        <v>3.2407407407407406E-3</v>
      </c>
      <c r="W57" s="44">
        <v>0</v>
      </c>
      <c r="Y57" s="60" t="str">
        <f t="shared" si="3"/>
        <v>Harris, Amanda</v>
      </c>
      <c r="Z57" s="60" t="str">
        <f t="shared" si="4"/>
        <v>Amanda Harris</v>
      </c>
      <c r="AA57" s="1"/>
      <c r="AB57" s="1"/>
      <c r="AC57" s="1"/>
      <c r="AD57" s="59"/>
      <c r="AE57" s="1"/>
      <c r="AF57" s="1"/>
      <c r="AG57" s="1"/>
    </row>
    <row r="58" spans="1:33" ht="14.4">
      <c r="A58" s="1"/>
      <c r="B58" s="1" t="s">
        <v>555</v>
      </c>
      <c r="C58" s="1" t="s">
        <v>556</v>
      </c>
      <c r="D58" s="24" t="s">
        <v>557</v>
      </c>
      <c r="E58" s="24" t="s">
        <v>534</v>
      </c>
      <c r="F58" s="1"/>
      <c r="G58" s="1"/>
      <c r="H58" s="45"/>
      <c r="I58" s="59"/>
      <c r="J58" s="57"/>
      <c r="K58" s="45"/>
      <c r="L58" s="57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Y58" s="58" t="str">
        <f t="shared" si="3"/>
        <v/>
      </c>
      <c r="Z58" s="58" t="str">
        <f t="shared" si="4"/>
        <v/>
      </c>
      <c r="AA58" s="1"/>
      <c r="AB58" s="1"/>
      <c r="AC58" s="1"/>
      <c r="AD58" s="59"/>
      <c r="AE58" s="1"/>
      <c r="AF58" s="1"/>
      <c r="AG58" s="1"/>
    </row>
    <row r="59" spans="1:33" ht="14.4">
      <c r="A59" s="1"/>
      <c r="B59" s="1" t="s">
        <v>559</v>
      </c>
      <c r="C59" s="1" t="s">
        <v>525</v>
      </c>
      <c r="D59" s="24">
        <v>6</v>
      </c>
      <c r="E59" s="44">
        <v>1.2997685185185185E-2</v>
      </c>
      <c r="F59" s="1"/>
      <c r="G59" s="1"/>
      <c r="H59" s="45"/>
      <c r="I59" s="45"/>
      <c r="J59" s="57"/>
      <c r="K59" s="45"/>
      <c r="L59" s="57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Y59" s="58" t="str">
        <f t="shared" si="3"/>
        <v/>
      </c>
      <c r="Z59" s="58" t="str">
        <f t="shared" si="4"/>
        <v/>
      </c>
      <c r="AA59" s="1"/>
      <c r="AB59" s="1"/>
      <c r="AC59" s="1"/>
      <c r="AD59" s="59"/>
      <c r="AE59" s="1"/>
      <c r="AF59" s="1"/>
      <c r="AG59" s="1"/>
    </row>
    <row r="60" spans="1:33" ht="14.4">
      <c r="A60" s="1"/>
      <c r="B60" s="1" t="s">
        <v>561</v>
      </c>
      <c r="C60" s="1"/>
      <c r="D60" s="24">
        <v>6</v>
      </c>
      <c r="E60" s="44">
        <v>1.2997685185185185E-2</v>
      </c>
      <c r="F60" s="1"/>
      <c r="G60" s="1"/>
      <c r="H60" s="45"/>
      <c r="I60" s="59"/>
      <c r="J60" s="57"/>
      <c r="K60" s="45"/>
      <c r="L60" s="57"/>
      <c r="M60" s="45"/>
      <c r="N60" s="59"/>
      <c r="O60" s="45"/>
      <c r="P60" s="45"/>
      <c r="Q60" s="45"/>
      <c r="R60" s="45"/>
      <c r="S60" s="45"/>
      <c r="T60" s="45"/>
      <c r="U60" s="45"/>
      <c r="V60" s="45"/>
      <c r="W60" s="45"/>
      <c r="Y60" s="58" t="str">
        <f t="shared" si="3"/>
        <v/>
      </c>
      <c r="Z60" s="58" t="str">
        <f t="shared" si="4"/>
        <v/>
      </c>
      <c r="AA60" s="1"/>
      <c r="AB60" s="1"/>
      <c r="AC60" s="1"/>
      <c r="AD60" s="59"/>
      <c r="AE60" s="1"/>
      <c r="AF60" s="1"/>
      <c r="AG60" s="1"/>
    </row>
    <row r="61" spans="1:33" ht="14.4">
      <c r="A61" s="1" t="s">
        <v>530</v>
      </c>
      <c r="B61" s="1" t="s">
        <v>481</v>
      </c>
      <c r="C61" s="1" t="s">
        <v>531</v>
      </c>
      <c r="D61" s="24" t="s">
        <v>513</v>
      </c>
      <c r="E61" s="24" t="s">
        <v>514</v>
      </c>
      <c r="F61" s="1" t="s">
        <v>532</v>
      </c>
      <c r="G61" s="1" t="s">
        <v>533</v>
      </c>
      <c r="H61" s="1" t="s">
        <v>534</v>
      </c>
      <c r="I61" s="1" t="s">
        <v>535</v>
      </c>
      <c r="J61" s="1" t="s">
        <v>536</v>
      </c>
      <c r="K61" s="1" t="s">
        <v>537</v>
      </c>
      <c r="L61" s="1" t="s">
        <v>538</v>
      </c>
      <c r="M61" s="1" t="s">
        <v>539</v>
      </c>
      <c r="N61" s="1" t="s">
        <v>540</v>
      </c>
      <c r="O61" s="1" t="s">
        <v>541</v>
      </c>
      <c r="P61" s="1" t="s">
        <v>542</v>
      </c>
      <c r="Q61" s="1" t="s">
        <v>543</v>
      </c>
      <c r="R61" s="1" t="s">
        <v>544</v>
      </c>
      <c r="S61" s="1" t="s">
        <v>545</v>
      </c>
      <c r="T61" s="1" t="s">
        <v>546</v>
      </c>
      <c r="U61" s="1" t="s">
        <v>547</v>
      </c>
      <c r="V61" s="1" t="s">
        <v>548</v>
      </c>
      <c r="W61" s="1" t="s">
        <v>549</v>
      </c>
      <c r="Y61" s="58" t="str">
        <f t="shared" si="3"/>
        <v/>
      </c>
      <c r="Z61" s="58" t="str">
        <f t="shared" si="4"/>
        <v/>
      </c>
      <c r="AA61" s="1"/>
      <c r="AB61" s="1"/>
      <c r="AC61" s="1"/>
      <c r="AD61" s="59"/>
      <c r="AE61" s="1"/>
      <c r="AF61" s="1"/>
      <c r="AG61" s="1"/>
    </row>
    <row r="62" spans="1:33" ht="14.4">
      <c r="A62" s="24">
        <v>3182995</v>
      </c>
      <c r="B62" s="64" t="s">
        <v>584</v>
      </c>
      <c r="C62" s="1" t="s">
        <v>553</v>
      </c>
      <c r="D62" s="24">
        <v>45</v>
      </c>
      <c r="E62" s="24">
        <v>36</v>
      </c>
      <c r="F62" s="24">
        <v>0</v>
      </c>
      <c r="G62" s="24">
        <v>7</v>
      </c>
      <c r="H62" s="44">
        <v>5.7083333333333333E-2</v>
      </c>
      <c r="I62" s="44">
        <v>0.35891203703703706</v>
      </c>
      <c r="J62" s="54">
        <v>0.159</v>
      </c>
      <c r="K62" s="44">
        <v>3.0671296296296297E-3</v>
      </c>
      <c r="L62" s="54">
        <v>18.6113</v>
      </c>
      <c r="M62" s="44">
        <v>7.1585648148148148E-2</v>
      </c>
      <c r="N62" s="44">
        <v>3.6527777777777777E-2</v>
      </c>
      <c r="O62" s="44">
        <v>0</v>
      </c>
      <c r="P62" s="44">
        <v>8.6967592592592596E-2</v>
      </c>
      <c r="Q62" s="44">
        <v>0</v>
      </c>
      <c r="R62" s="44">
        <v>0</v>
      </c>
      <c r="S62" s="44">
        <v>5.0231481481481481E-3</v>
      </c>
      <c r="T62" s="44">
        <v>5.7083333333333333E-2</v>
      </c>
      <c r="U62" s="44">
        <v>0.16383101851851853</v>
      </c>
      <c r="V62" s="44">
        <v>4.2013888888888891E-3</v>
      </c>
      <c r="W62" s="44">
        <v>0</v>
      </c>
      <c r="Y62" s="60" t="str">
        <f t="shared" si="3"/>
        <v>Clark, Matthew</v>
      </c>
      <c r="Z62" s="60" t="str">
        <f t="shared" si="4"/>
        <v>Matthew Clark</v>
      </c>
      <c r="AA62" s="1"/>
      <c r="AB62" s="1"/>
      <c r="AC62" s="1"/>
      <c r="AD62" s="59"/>
      <c r="AE62" s="1"/>
      <c r="AF62" s="1"/>
      <c r="AG62" s="1"/>
    </row>
    <row r="63" spans="1:33" ht="14.4">
      <c r="A63" s="1"/>
      <c r="B63" s="1" t="s">
        <v>555</v>
      </c>
      <c r="C63" s="1" t="s">
        <v>556</v>
      </c>
      <c r="D63" s="24" t="s">
        <v>557</v>
      </c>
      <c r="E63" s="24" t="s">
        <v>534</v>
      </c>
      <c r="F63" s="1"/>
      <c r="G63" s="1"/>
      <c r="H63" s="45"/>
      <c r="I63" s="59"/>
      <c r="J63" s="57"/>
      <c r="K63" s="45"/>
      <c r="L63" s="57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Y63" s="58" t="str">
        <f t="shared" si="3"/>
        <v/>
      </c>
      <c r="Z63" s="58" t="str">
        <f t="shared" si="4"/>
        <v/>
      </c>
      <c r="AA63" s="1"/>
      <c r="AB63" s="1"/>
      <c r="AC63" s="1"/>
      <c r="AD63" s="59"/>
      <c r="AE63" s="1"/>
      <c r="AF63" s="1"/>
      <c r="AG63" s="1"/>
    </row>
    <row r="64" spans="1:33" ht="14.4">
      <c r="A64" s="1"/>
      <c r="B64" s="1" t="s">
        <v>559</v>
      </c>
      <c r="C64" s="1" t="s">
        <v>526</v>
      </c>
      <c r="D64" s="24">
        <v>36</v>
      </c>
      <c r="E64" s="44">
        <v>5.7083333333333333E-2</v>
      </c>
      <c r="F64" s="1"/>
      <c r="G64" s="1"/>
      <c r="H64" s="45"/>
      <c r="I64" s="45"/>
      <c r="J64" s="57"/>
      <c r="K64" s="45"/>
      <c r="L64" s="57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Y64" s="58" t="str">
        <f t="shared" si="3"/>
        <v/>
      </c>
      <c r="Z64" s="58" t="str">
        <f t="shared" si="4"/>
        <v/>
      </c>
      <c r="AA64" s="1"/>
      <c r="AB64" s="1"/>
      <c r="AC64" s="1"/>
      <c r="AD64" s="59"/>
      <c r="AE64" s="1"/>
      <c r="AF64" s="1"/>
      <c r="AG64" s="1"/>
    </row>
    <row r="65" spans="1:33" ht="14.4">
      <c r="A65" s="1"/>
      <c r="B65" s="1" t="s">
        <v>561</v>
      </c>
      <c r="C65" s="1"/>
      <c r="D65" s="24">
        <v>36</v>
      </c>
      <c r="E65" s="44">
        <v>5.7083333333333333E-2</v>
      </c>
      <c r="F65" s="1"/>
      <c r="G65" s="1"/>
      <c r="H65" s="45"/>
      <c r="I65" s="59"/>
      <c r="J65" s="57"/>
      <c r="K65" s="45"/>
      <c r="L65" s="57"/>
      <c r="M65" s="59"/>
      <c r="N65" s="45"/>
      <c r="O65" s="45"/>
      <c r="P65" s="45"/>
      <c r="Q65" s="45"/>
      <c r="R65" s="45"/>
      <c r="S65" s="45"/>
      <c r="T65" s="45"/>
      <c r="U65" s="45"/>
      <c r="V65" s="45"/>
      <c r="W65" s="45"/>
      <c r="Y65" s="58" t="str">
        <f t="shared" si="3"/>
        <v/>
      </c>
      <c r="Z65" s="58" t="str">
        <f t="shared" si="4"/>
        <v/>
      </c>
      <c r="AA65" s="1"/>
      <c r="AB65" s="1"/>
      <c r="AC65" s="1"/>
      <c r="AD65" s="59"/>
      <c r="AE65" s="1"/>
      <c r="AF65" s="1"/>
      <c r="AG65" s="1"/>
    </row>
    <row r="66" spans="1:33" ht="14.4">
      <c r="A66" s="1" t="s">
        <v>530</v>
      </c>
      <c r="B66" s="1" t="s">
        <v>481</v>
      </c>
      <c r="C66" s="1" t="s">
        <v>531</v>
      </c>
      <c r="D66" s="24" t="s">
        <v>513</v>
      </c>
      <c r="E66" s="24" t="s">
        <v>514</v>
      </c>
      <c r="F66" s="1" t="s">
        <v>532</v>
      </c>
      <c r="G66" s="1" t="s">
        <v>533</v>
      </c>
      <c r="H66" s="1" t="s">
        <v>534</v>
      </c>
      <c r="I66" s="1" t="s">
        <v>535</v>
      </c>
      <c r="J66" s="1" t="s">
        <v>536</v>
      </c>
      <c r="K66" s="1" t="s">
        <v>537</v>
      </c>
      <c r="L66" s="1" t="s">
        <v>538</v>
      </c>
      <c r="M66" s="1" t="s">
        <v>539</v>
      </c>
      <c r="N66" s="1" t="s">
        <v>540</v>
      </c>
      <c r="O66" s="1" t="s">
        <v>541</v>
      </c>
      <c r="P66" s="1" t="s">
        <v>542</v>
      </c>
      <c r="Q66" s="1" t="s">
        <v>543</v>
      </c>
      <c r="R66" s="1" t="s">
        <v>544</v>
      </c>
      <c r="S66" s="1" t="s">
        <v>545</v>
      </c>
      <c r="T66" s="1" t="s">
        <v>546</v>
      </c>
      <c r="U66" s="1" t="s">
        <v>547</v>
      </c>
      <c r="V66" s="1" t="s">
        <v>548</v>
      </c>
      <c r="W66" s="1" t="s">
        <v>549</v>
      </c>
      <c r="Y66" s="58" t="str">
        <f t="shared" si="3"/>
        <v/>
      </c>
      <c r="Z66" s="58" t="str">
        <f t="shared" si="4"/>
        <v/>
      </c>
      <c r="AA66" s="1"/>
      <c r="AB66" s="1"/>
      <c r="AC66" s="1"/>
      <c r="AD66" s="59"/>
      <c r="AE66" s="1"/>
      <c r="AF66" s="1"/>
      <c r="AG66" s="1"/>
    </row>
    <row r="67" spans="1:33" ht="14.4">
      <c r="A67" s="24">
        <v>3278357</v>
      </c>
      <c r="B67" s="64" t="s">
        <v>585</v>
      </c>
      <c r="C67" s="1" t="s">
        <v>553</v>
      </c>
      <c r="D67" s="24">
        <v>42</v>
      </c>
      <c r="E67" s="24">
        <v>28</v>
      </c>
      <c r="F67" s="24">
        <v>0</v>
      </c>
      <c r="G67" s="24">
        <v>14</v>
      </c>
      <c r="H67" s="44">
        <v>5.8078703703703702E-2</v>
      </c>
      <c r="I67" s="44">
        <v>0.35385416666666669</v>
      </c>
      <c r="J67" s="54">
        <v>0.1641</v>
      </c>
      <c r="K67" s="44">
        <v>7.9745370370370369E-3</v>
      </c>
      <c r="L67" s="54">
        <v>7.2830000000000004</v>
      </c>
      <c r="M67" s="44">
        <v>8.1006944444444451E-2</v>
      </c>
      <c r="N67" s="44">
        <v>0</v>
      </c>
      <c r="O67" s="44">
        <v>0</v>
      </c>
      <c r="P67" s="44">
        <v>5.5717592592592589E-2</v>
      </c>
      <c r="Q67" s="44">
        <v>0</v>
      </c>
      <c r="R67" s="44">
        <v>0</v>
      </c>
      <c r="S67" s="44">
        <v>4.7916666666666663E-3</v>
      </c>
      <c r="T67" s="44">
        <v>5.8078703703703702E-2</v>
      </c>
      <c r="U67" s="44">
        <v>0.21712962962962962</v>
      </c>
      <c r="V67" s="44">
        <v>5.4398148148148144E-4</v>
      </c>
      <c r="W67" s="44">
        <v>0</v>
      </c>
      <c r="Y67" s="60" t="str">
        <f t="shared" si="3"/>
        <v>Lewis, Ashley</v>
      </c>
      <c r="Z67" s="60" t="str">
        <f t="shared" si="4"/>
        <v>Ashley Lewis</v>
      </c>
      <c r="AA67" s="1"/>
      <c r="AB67" s="1"/>
      <c r="AC67" s="1"/>
      <c r="AD67" s="59"/>
      <c r="AE67" s="1"/>
      <c r="AF67" s="1"/>
      <c r="AG67" s="1"/>
    </row>
    <row r="68" spans="1:33" ht="14.4">
      <c r="A68" s="1"/>
      <c r="B68" s="1" t="s">
        <v>555</v>
      </c>
      <c r="C68" s="1" t="s">
        <v>556</v>
      </c>
      <c r="D68" s="24" t="s">
        <v>557</v>
      </c>
      <c r="E68" s="24" t="s">
        <v>534</v>
      </c>
      <c r="F68" s="1"/>
      <c r="G68" s="1"/>
      <c r="H68" s="45"/>
      <c r="I68" s="59"/>
      <c r="J68" s="57"/>
      <c r="K68" s="45"/>
      <c r="L68" s="57"/>
      <c r="M68" s="59"/>
      <c r="N68" s="45"/>
      <c r="O68" s="45"/>
      <c r="P68" s="45"/>
      <c r="Q68" s="45"/>
      <c r="R68" s="45"/>
      <c r="S68" s="45"/>
      <c r="T68" s="45"/>
      <c r="U68" s="45"/>
      <c r="V68" s="45"/>
      <c r="W68" s="45"/>
      <c r="Y68" s="58" t="str">
        <f t="shared" si="3"/>
        <v/>
      </c>
      <c r="Z68" s="58" t="str">
        <f t="shared" si="4"/>
        <v/>
      </c>
      <c r="AA68" s="1"/>
      <c r="AB68" s="1"/>
      <c r="AC68" s="1"/>
      <c r="AD68" s="59"/>
      <c r="AE68" s="1"/>
      <c r="AF68" s="1"/>
      <c r="AG68" s="1"/>
    </row>
    <row r="69" spans="1:33" ht="14.4">
      <c r="A69" s="1"/>
      <c r="B69" s="1" t="s">
        <v>559</v>
      </c>
      <c r="C69" s="1" t="s">
        <v>526</v>
      </c>
      <c r="D69" s="24">
        <v>28</v>
      </c>
      <c r="E69" s="44">
        <v>5.8078703703703702E-2</v>
      </c>
      <c r="F69" s="1"/>
      <c r="G69" s="1"/>
      <c r="H69" s="45"/>
      <c r="I69" s="59"/>
      <c r="J69" s="57"/>
      <c r="K69" s="45"/>
      <c r="L69" s="57"/>
      <c r="M69" s="59"/>
      <c r="N69" s="45"/>
      <c r="O69" s="45"/>
      <c r="P69" s="45"/>
      <c r="Q69" s="45"/>
      <c r="R69" s="45"/>
      <c r="S69" s="45"/>
      <c r="T69" s="45"/>
      <c r="U69" s="45"/>
      <c r="V69" s="45"/>
      <c r="W69" s="45"/>
      <c r="Y69" s="58" t="str">
        <f t="shared" si="3"/>
        <v/>
      </c>
      <c r="Z69" s="58" t="str">
        <f t="shared" si="4"/>
        <v/>
      </c>
      <c r="AA69" s="1"/>
      <c r="AB69" s="1"/>
      <c r="AC69" s="1"/>
      <c r="AD69" s="59"/>
      <c r="AE69" s="1"/>
      <c r="AF69" s="1"/>
      <c r="AG69" s="1"/>
    </row>
    <row r="70" spans="1:33" ht="14.4">
      <c r="A70" s="1"/>
      <c r="B70" s="1" t="s">
        <v>561</v>
      </c>
      <c r="C70" s="1"/>
      <c r="D70" s="24">
        <v>28</v>
      </c>
      <c r="E70" s="44">
        <v>5.8078703703703702E-2</v>
      </c>
      <c r="F70" s="1"/>
      <c r="G70" s="1"/>
      <c r="H70" s="45"/>
      <c r="I70" s="45"/>
      <c r="J70" s="57"/>
      <c r="K70" s="45"/>
      <c r="L70" s="57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Y70" s="58" t="str">
        <f t="shared" si="3"/>
        <v/>
      </c>
      <c r="Z70" s="58" t="str">
        <f t="shared" si="4"/>
        <v/>
      </c>
      <c r="AA70" s="1"/>
      <c r="AB70" s="1"/>
      <c r="AC70" s="1"/>
      <c r="AD70" s="59"/>
      <c r="AE70" s="1"/>
      <c r="AF70" s="1"/>
      <c r="AG70" s="1"/>
    </row>
    <row r="71" spans="1:33" ht="14.4">
      <c r="Y71" s="58" t="str">
        <f t="shared" si="3"/>
        <v/>
      </c>
      <c r="Z71" s="58" t="str">
        <f t="shared" si="4"/>
        <v/>
      </c>
      <c r="AA71" s="1"/>
      <c r="AB71" s="1"/>
      <c r="AC71" s="1"/>
      <c r="AD71" s="59"/>
      <c r="AE71" s="1"/>
      <c r="AF71" s="1"/>
      <c r="AG71" s="1"/>
    </row>
    <row r="72" spans="1:33" ht="14.4">
      <c r="Y72" s="58" t="str">
        <f t="shared" si="3"/>
        <v/>
      </c>
      <c r="Z72" s="58" t="str">
        <f t="shared" si="4"/>
        <v/>
      </c>
      <c r="AA72" s="1"/>
      <c r="AB72" s="1"/>
      <c r="AC72" s="1"/>
      <c r="AD72" s="59"/>
      <c r="AE72" s="1"/>
      <c r="AF72" s="1"/>
      <c r="AG72" s="1"/>
    </row>
    <row r="73" spans="1:33" ht="14.4">
      <c r="Y73" s="58" t="str">
        <f t="shared" si="3"/>
        <v/>
      </c>
      <c r="Z73" s="58" t="str">
        <f t="shared" si="4"/>
        <v/>
      </c>
      <c r="AA73" s="1"/>
      <c r="AB73" s="1"/>
      <c r="AC73" s="1"/>
      <c r="AD73" s="59"/>
      <c r="AE73" s="1"/>
      <c r="AF73" s="1"/>
      <c r="AG73" s="1"/>
    </row>
    <row r="74" spans="1:33" ht="14.4">
      <c r="Y74" s="58" t="str">
        <f t="shared" si="3"/>
        <v/>
      </c>
      <c r="Z74" s="58" t="str">
        <f t="shared" si="4"/>
        <v/>
      </c>
      <c r="AA74" s="1"/>
      <c r="AB74" s="1"/>
      <c r="AC74" s="1"/>
      <c r="AD74" s="59"/>
      <c r="AE74" s="1"/>
      <c r="AF74" s="1"/>
      <c r="AG74" s="1"/>
    </row>
    <row r="75" spans="1:33" ht="14.4">
      <c r="Y75" s="58" t="str">
        <f t="shared" si="3"/>
        <v/>
      </c>
      <c r="Z75" s="58" t="str">
        <f t="shared" si="4"/>
        <v/>
      </c>
      <c r="AA75" s="1"/>
      <c r="AB75" s="1"/>
      <c r="AC75" s="1"/>
      <c r="AD75" s="59"/>
      <c r="AE75" s="1"/>
      <c r="AF75" s="1"/>
      <c r="AG75" s="1"/>
    </row>
    <row r="76" spans="1:33" ht="14.4">
      <c r="Y76" s="58" t="str">
        <f t="shared" si="3"/>
        <v/>
      </c>
      <c r="Z76" s="58" t="str">
        <f t="shared" si="4"/>
        <v/>
      </c>
      <c r="AA76" s="1"/>
      <c r="AB76" s="1"/>
      <c r="AC76" s="1"/>
      <c r="AD76" s="59"/>
      <c r="AE76" s="1"/>
      <c r="AF76" s="1"/>
      <c r="AG76" s="1"/>
    </row>
    <row r="77" spans="1:33" ht="14.4">
      <c r="Y77" s="58" t="str">
        <f t="shared" si="3"/>
        <v/>
      </c>
      <c r="Z77" s="58" t="str">
        <f t="shared" si="4"/>
        <v/>
      </c>
      <c r="AA77" s="1"/>
      <c r="AB77" s="1"/>
      <c r="AC77" s="1"/>
      <c r="AD77" s="59"/>
      <c r="AE77" s="1"/>
      <c r="AF77" s="1"/>
      <c r="AG77" s="1"/>
    </row>
    <row r="78" spans="1:33" ht="14.4">
      <c r="Y78" s="58" t="str">
        <f t="shared" si="3"/>
        <v/>
      </c>
      <c r="Z78" s="58" t="str">
        <f t="shared" si="4"/>
        <v/>
      </c>
      <c r="AA78" s="1"/>
      <c r="AB78" s="1"/>
      <c r="AC78" s="1"/>
      <c r="AD78" s="59"/>
      <c r="AE78" s="1"/>
      <c r="AF78" s="1"/>
      <c r="AG78" s="1"/>
    </row>
    <row r="79" spans="1:33" ht="14.4">
      <c r="Y79" s="58" t="str">
        <f t="shared" si="3"/>
        <v/>
      </c>
      <c r="Z79" s="58" t="str">
        <f t="shared" si="4"/>
        <v/>
      </c>
      <c r="AA79" s="1"/>
      <c r="AB79" s="1"/>
      <c r="AC79" s="1"/>
      <c r="AD79" s="59"/>
      <c r="AE79" s="1"/>
      <c r="AF79" s="1"/>
      <c r="AG79" s="1"/>
    </row>
    <row r="80" spans="1:33" ht="14.4">
      <c r="Y80" s="58" t="str">
        <f t="shared" si="3"/>
        <v/>
      </c>
      <c r="Z80" s="58" t="str">
        <f t="shared" si="4"/>
        <v/>
      </c>
      <c r="AA80" s="1"/>
      <c r="AB80" s="1"/>
      <c r="AC80" s="1"/>
      <c r="AD80" s="59"/>
      <c r="AE80" s="1"/>
      <c r="AF80" s="1"/>
      <c r="AG80" s="1"/>
    </row>
    <row r="81" spans="25:33" ht="14.4">
      <c r="Y81" s="58" t="str">
        <f t="shared" si="3"/>
        <v/>
      </c>
      <c r="Z81" s="58" t="str">
        <f t="shared" si="4"/>
        <v/>
      </c>
      <c r="AA81" s="1"/>
      <c r="AB81" s="1"/>
      <c r="AC81" s="1"/>
      <c r="AD81" s="59"/>
      <c r="AE81" s="1"/>
      <c r="AF81" s="1"/>
      <c r="AG81" s="1"/>
    </row>
    <row r="82" spans="25:33" ht="14.4">
      <c r="Y82" s="58" t="str">
        <f t="shared" si="3"/>
        <v/>
      </c>
      <c r="Z82" s="58" t="str">
        <f t="shared" si="4"/>
        <v/>
      </c>
      <c r="AA82" s="1"/>
      <c r="AB82" s="1"/>
      <c r="AC82" s="1"/>
      <c r="AD82" s="59"/>
      <c r="AE82" s="1"/>
      <c r="AF82" s="1"/>
      <c r="AG82" s="1"/>
    </row>
    <row r="83" spans="25:33" ht="14.4">
      <c r="Y83" s="58" t="str">
        <f t="shared" si="3"/>
        <v/>
      </c>
      <c r="Z83" s="58" t="str">
        <f t="shared" si="4"/>
        <v/>
      </c>
      <c r="AA83" s="1"/>
      <c r="AB83" s="1"/>
      <c r="AC83" s="1"/>
      <c r="AD83" s="59"/>
      <c r="AE83" s="1"/>
      <c r="AF83" s="1"/>
      <c r="AG83" s="1"/>
    </row>
    <row r="84" spans="25:33" ht="14.4">
      <c r="Y84" s="58" t="str">
        <f t="shared" si="3"/>
        <v/>
      </c>
      <c r="Z84" s="58" t="str">
        <f t="shared" si="4"/>
        <v/>
      </c>
      <c r="AA84" s="1"/>
      <c r="AB84" s="1"/>
      <c r="AC84" s="1"/>
      <c r="AD84" s="59"/>
      <c r="AE84" s="1"/>
      <c r="AF84" s="1"/>
      <c r="AG84" s="1"/>
    </row>
    <row r="85" spans="25:33" ht="14.4">
      <c r="Y85" s="58" t="str">
        <f t="shared" si="3"/>
        <v/>
      </c>
      <c r="Z85" s="58" t="str">
        <f t="shared" si="4"/>
        <v/>
      </c>
      <c r="AA85" s="1"/>
      <c r="AB85" s="1"/>
      <c r="AC85" s="1"/>
      <c r="AD85" s="59"/>
      <c r="AE85" s="1"/>
      <c r="AF85" s="1"/>
      <c r="AG85" s="1"/>
    </row>
    <row r="86" spans="25:33" ht="14.4">
      <c r="Y86" s="58" t="str">
        <f t="shared" si="3"/>
        <v/>
      </c>
      <c r="Z86" s="58" t="str">
        <f t="shared" si="4"/>
        <v/>
      </c>
      <c r="AA86" s="1"/>
      <c r="AB86" s="1"/>
      <c r="AC86" s="1"/>
      <c r="AD86" s="59"/>
      <c r="AE86" s="1"/>
      <c r="AF86" s="1"/>
      <c r="AG86" s="1"/>
    </row>
    <row r="87" spans="25:33" ht="14.4">
      <c r="Y87" s="58" t="str">
        <f t="shared" si="3"/>
        <v/>
      </c>
      <c r="Z87" s="58" t="str">
        <f t="shared" si="4"/>
        <v/>
      </c>
      <c r="AA87" s="1"/>
      <c r="AB87" s="1"/>
      <c r="AC87" s="1"/>
      <c r="AD87" s="59"/>
      <c r="AE87" s="1"/>
      <c r="AF87" s="1"/>
      <c r="AG87" s="1"/>
    </row>
    <row r="88" spans="25:33" ht="14.4">
      <c r="Y88" s="58" t="str">
        <f t="shared" si="3"/>
        <v/>
      </c>
      <c r="Z88" s="58" t="str">
        <f t="shared" si="4"/>
        <v/>
      </c>
      <c r="AA88" s="1"/>
      <c r="AB88" s="1"/>
      <c r="AC88" s="1"/>
      <c r="AD88" s="59"/>
      <c r="AE88" s="1"/>
      <c r="AF88" s="1"/>
      <c r="AG88" s="1"/>
    </row>
    <row r="89" spans="25:33" ht="14.4">
      <c r="Y89" s="58" t="str">
        <f t="shared" si="3"/>
        <v/>
      </c>
      <c r="Z89" s="58" t="str">
        <f t="shared" si="4"/>
        <v/>
      </c>
      <c r="AA89" s="1"/>
      <c r="AB89" s="1"/>
      <c r="AC89" s="1"/>
      <c r="AD89" s="59"/>
      <c r="AE89" s="1"/>
      <c r="AF89" s="1"/>
      <c r="AG89" s="1"/>
    </row>
    <row r="90" spans="25:33" ht="14.4">
      <c r="Y90" s="58" t="str">
        <f t="shared" si="3"/>
        <v/>
      </c>
      <c r="Z90" s="58" t="str">
        <f t="shared" si="4"/>
        <v/>
      </c>
      <c r="AA90" s="1"/>
      <c r="AB90" s="1"/>
      <c r="AC90" s="1"/>
      <c r="AD90" s="59"/>
      <c r="AE90" s="1"/>
      <c r="AF90" s="1"/>
      <c r="AG90" s="1"/>
    </row>
    <row r="91" spans="25:33" ht="14.4">
      <c r="Y91" s="58" t="str">
        <f t="shared" si="3"/>
        <v/>
      </c>
      <c r="Z91" s="58" t="str">
        <f t="shared" si="4"/>
        <v/>
      </c>
      <c r="AA91" s="1"/>
      <c r="AB91" s="1"/>
      <c r="AC91" s="1"/>
      <c r="AD91" s="59"/>
      <c r="AE91" s="1"/>
      <c r="AF91" s="1"/>
      <c r="AG91" s="1"/>
    </row>
    <row r="92" spans="25:33" ht="14.4">
      <c r="Y92" s="58" t="str">
        <f t="shared" si="3"/>
        <v/>
      </c>
      <c r="Z92" s="58" t="str">
        <f t="shared" si="4"/>
        <v/>
      </c>
      <c r="AA92" s="1"/>
      <c r="AB92" s="1"/>
      <c r="AC92" s="1"/>
      <c r="AD92" s="59"/>
      <c r="AE92" s="1"/>
      <c r="AF92" s="1"/>
      <c r="AG92" s="1"/>
    </row>
    <row r="93" spans="25:33" ht="14.4">
      <c r="Y93" s="58" t="str">
        <f t="shared" si="3"/>
        <v/>
      </c>
      <c r="Z93" s="58" t="str">
        <f t="shared" si="4"/>
        <v/>
      </c>
      <c r="AA93" s="1"/>
      <c r="AB93" s="1"/>
      <c r="AC93" s="1"/>
      <c r="AD93" s="59"/>
      <c r="AE93" s="1"/>
      <c r="AF93" s="1"/>
      <c r="AG93" s="1"/>
    </row>
    <row r="94" spans="25:33" ht="14.4">
      <c r="Y94" s="58" t="str">
        <f t="shared" si="3"/>
        <v/>
      </c>
      <c r="Z94" s="58" t="str">
        <f t="shared" si="4"/>
        <v/>
      </c>
      <c r="AA94" s="1"/>
      <c r="AB94" s="1"/>
      <c r="AC94" s="1"/>
      <c r="AD94" s="59"/>
      <c r="AE94" s="1"/>
      <c r="AF94" s="1"/>
      <c r="AG94" s="1"/>
    </row>
    <row r="95" spans="25:33" ht="14.4">
      <c r="Y95" s="58" t="str">
        <f t="shared" si="3"/>
        <v/>
      </c>
      <c r="Z95" s="58" t="str">
        <f t="shared" si="4"/>
        <v/>
      </c>
      <c r="AA95" s="1"/>
      <c r="AB95" s="1"/>
      <c r="AC95" s="1"/>
      <c r="AD95" s="59"/>
      <c r="AE95" s="1"/>
      <c r="AF95" s="1"/>
      <c r="AG95" s="1"/>
    </row>
    <row r="96" spans="25:33" ht="14.4">
      <c r="Y96" s="58" t="str">
        <f t="shared" si="3"/>
        <v/>
      </c>
      <c r="Z96" s="58" t="str">
        <f t="shared" si="4"/>
        <v/>
      </c>
      <c r="AA96" s="1"/>
      <c r="AB96" s="1"/>
      <c r="AC96" s="1"/>
      <c r="AD96" s="59"/>
      <c r="AE96" s="1"/>
      <c r="AF96" s="1"/>
      <c r="AG96" s="1"/>
    </row>
    <row r="97" spans="25:33" ht="14.4">
      <c r="Y97" s="58" t="str">
        <f t="shared" si="3"/>
        <v/>
      </c>
      <c r="Z97" s="58" t="str">
        <f t="shared" si="4"/>
        <v/>
      </c>
      <c r="AA97" s="1"/>
      <c r="AB97" s="1"/>
      <c r="AC97" s="1"/>
      <c r="AD97" s="59"/>
      <c r="AE97" s="1"/>
      <c r="AF97" s="1"/>
      <c r="AG97" s="1"/>
    </row>
    <row r="98" spans="25:33" ht="14.4">
      <c r="Y98" s="58" t="str">
        <f t="shared" si="3"/>
        <v/>
      </c>
      <c r="Z98" s="58" t="str">
        <f t="shared" si="4"/>
        <v/>
      </c>
      <c r="AA98" s="1"/>
      <c r="AB98" s="1"/>
      <c r="AC98" s="1"/>
      <c r="AD98" s="59"/>
      <c r="AE98" s="1"/>
      <c r="AF98" s="1"/>
      <c r="AG98" s="1"/>
    </row>
    <row r="99" spans="25:33" ht="14.4">
      <c r="Y99" s="58" t="str">
        <f t="shared" si="3"/>
        <v/>
      </c>
      <c r="Z99" s="58" t="str">
        <f t="shared" si="4"/>
        <v/>
      </c>
      <c r="AA99" s="1"/>
      <c r="AB99" s="1"/>
      <c r="AC99" s="1"/>
      <c r="AD99" s="59"/>
      <c r="AE99" s="1"/>
      <c r="AF99" s="1"/>
      <c r="AG99" s="1"/>
    </row>
    <row r="100" spans="25:33" ht="14.4">
      <c r="Y100" s="58" t="str">
        <f t="shared" si="3"/>
        <v/>
      </c>
      <c r="Z100" s="58" t="str">
        <f t="shared" si="4"/>
        <v/>
      </c>
      <c r="AA100" s="1"/>
      <c r="AB100" s="1"/>
      <c r="AC100" s="1"/>
      <c r="AD100" s="59"/>
      <c r="AE100" s="1"/>
      <c r="AF100" s="1"/>
      <c r="AG100" s="1"/>
    </row>
    <row r="101" spans="25:33" ht="14.4">
      <c r="Y101" s="58" t="str">
        <f t="shared" si="3"/>
        <v/>
      </c>
      <c r="Z101" s="58" t="str">
        <f t="shared" si="4"/>
        <v/>
      </c>
      <c r="AA101" s="1"/>
      <c r="AB101" s="1"/>
      <c r="AC101" s="1"/>
      <c r="AD101" s="59"/>
      <c r="AE101" s="1"/>
      <c r="AF101" s="1"/>
      <c r="AG101" s="1"/>
    </row>
    <row r="102" spans="25:33" ht="14.4">
      <c r="Y102" s="58" t="str">
        <f t="shared" si="3"/>
        <v/>
      </c>
      <c r="Z102" s="58" t="str">
        <f t="shared" si="4"/>
        <v/>
      </c>
      <c r="AA102" s="1"/>
      <c r="AB102" s="1"/>
      <c r="AC102" s="1"/>
      <c r="AD102" s="59"/>
      <c r="AE102" s="1"/>
      <c r="AF102" s="1"/>
      <c r="AG102" s="1"/>
    </row>
    <row r="103" spans="25:33" ht="14.4">
      <c r="Y103" s="58" t="str">
        <f t="shared" si="3"/>
        <v/>
      </c>
      <c r="Z103" s="58" t="str">
        <f t="shared" si="4"/>
        <v/>
      </c>
      <c r="AA103" s="1"/>
      <c r="AB103" s="1"/>
      <c r="AC103" s="1"/>
      <c r="AD103" s="59"/>
      <c r="AE103" s="1"/>
      <c r="AF103" s="1"/>
      <c r="AG103" s="1"/>
    </row>
    <row r="104" spans="25:33" ht="14.4">
      <c r="Y104" s="58" t="str">
        <f t="shared" si="3"/>
        <v/>
      </c>
      <c r="Z104" s="58" t="str">
        <f t="shared" si="4"/>
        <v/>
      </c>
      <c r="AA104" s="1"/>
      <c r="AB104" s="1"/>
      <c r="AC104" s="1"/>
      <c r="AD104" s="59"/>
      <c r="AE104" s="1"/>
      <c r="AF104" s="1"/>
      <c r="AG104" s="1"/>
    </row>
    <row r="105" spans="25:33" ht="14.4">
      <c r="Y105" s="58" t="str">
        <f t="shared" si="3"/>
        <v/>
      </c>
      <c r="Z105" s="58" t="str">
        <f t="shared" si="4"/>
        <v/>
      </c>
      <c r="AA105" s="1"/>
      <c r="AB105" s="1"/>
      <c r="AC105" s="1"/>
      <c r="AD105" s="59"/>
      <c r="AE105" s="1"/>
      <c r="AF105" s="1"/>
      <c r="AG105" s="1"/>
    </row>
    <row r="106" spans="25:33" ht="14.4">
      <c r="Y106" s="58" t="str">
        <f t="shared" si="3"/>
        <v/>
      </c>
      <c r="Z106" s="58" t="str">
        <f t="shared" si="4"/>
        <v/>
      </c>
      <c r="AA106" s="1"/>
      <c r="AB106" s="1"/>
      <c r="AC106" s="1"/>
      <c r="AD106" s="59"/>
      <c r="AE106" s="1"/>
      <c r="AF106" s="1"/>
      <c r="AG106" s="1"/>
    </row>
    <row r="107" spans="25:33" ht="14.4">
      <c r="Y107" s="58" t="str">
        <f t="shared" si="3"/>
        <v/>
      </c>
      <c r="Z107" s="58" t="str">
        <f t="shared" si="4"/>
        <v/>
      </c>
      <c r="AA107" s="1"/>
      <c r="AB107" s="1"/>
      <c r="AC107" s="1"/>
      <c r="AD107" s="59"/>
      <c r="AE107" s="1"/>
      <c r="AF107" s="1"/>
      <c r="AG107" s="1"/>
    </row>
    <row r="108" spans="25:33" ht="14.4">
      <c r="Y108" s="58" t="str">
        <f t="shared" si="3"/>
        <v/>
      </c>
      <c r="Z108" s="58" t="str">
        <f t="shared" si="4"/>
        <v/>
      </c>
      <c r="AA108" s="1"/>
      <c r="AB108" s="1"/>
      <c r="AC108" s="1"/>
      <c r="AD108" s="59"/>
      <c r="AE108" s="1"/>
      <c r="AF108" s="1"/>
      <c r="AG108" s="1"/>
    </row>
    <row r="109" spans="25:33" ht="14.4">
      <c r="Y109" s="58" t="str">
        <f t="shared" si="3"/>
        <v/>
      </c>
      <c r="Z109" s="58" t="str">
        <f t="shared" si="4"/>
        <v/>
      </c>
      <c r="AA109" s="1"/>
      <c r="AB109" s="1"/>
      <c r="AC109" s="1"/>
      <c r="AD109" s="59"/>
      <c r="AE109" s="1"/>
      <c r="AF109" s="1"/>
      <c r="AG109" s="1"/>
    </row>
    <row r="110" spans="25:33" ht="14.4">
      <c r="Y110" s="58" t="str">
        <f t="shared" si="3"/>
        <v/>
      </c>
      <c r="Z110" s="58" t="str">
        <f t="shared" si="4"/>
        <v/>
      </c>
      <c r="AA110" s="1"/>
      <c r="AB110" s="1"/>
      <c r="AC110" s="1"/>
      <c r="AD110" s="59"/>
      <c r="AE110" s="1"/>
      <c r="AF110" s="1"/>
      <c r="AG110" s="1"/>
    </row>
    <row r="111" spans="25:33" ht="14.4">
      <c r="Y111" s="58" t="str">
        <f t="shared" si="3"/>
        <v/>
      </c>
      <c r="Z111" s="58" t="str">
        <f t="shared" si="4"/>
        <v/>
      </c>
      <c r="AA111" s="1"/>
      <c r="AB111" s="1"/>
      <c r="AC111" s="1"/>
      <c r="AD111" s="59"/>
      <c r="AE111" s="1"/>
      <c r="AF111" s="1"/>
      <c r="AG111" s="1"/>
    </row>
    <row r="112" spans="25:33" ht="14.4">
      <c r="Y112" s="58" t="str">
        <f t="shared" si="3"/>
        <v/>
      </c>
      <c r="Z112" s="58" t="str">
        <f t="shared" si="4"/>
        <v/>
      </c>
      <c r="AA112" s="1"/>
      <c r="AB112" s="1"/>
      <c r="AC112" s="1"/>
      <c r="AD112" s="59"/>
      <c r="AE112" s="1"/>
      <c r="AF112" s="1"/>
      <c r="AG112" s="1"/>
    </row>
    <row r="113" spans="25:33" ht="14.4">
      <c r="Y113" s="58" t="str">
        <f t="shared" si="3"/>
        <v/>
      </c>
      <c r="Z113" s="58" t="str">
        <f t="shared" si="4"/>
        <v/>
      </c>
      <c r="AA113" s="1"/>
      <c r="AB113" s="1"/>
      <c r="AC113" s="1"/>
      <c r="AD113" s="59"/>
      <c r="AE113" s="1"/>
      <c r="AF113" s="1"/>
      <c r="AG113" s="1"/>
    </row>
    <row r="114" spans="25:33" ht="14.4">
      <c r="Y114" s="58" t="str">
        <f t="shared" si="3"/>
        <v/>
      </c>
      <c r="Z114" s="58" t="str">
        <f t="shared" si="4"/>
        <v/>
      </c>
      <c r="AA114" s="1"/>
      <c r="AB114" s="1"/>
      <c r="AC114" s="1"/>
      <c r="AD114" s="59"/>
      <c r="AE114" s="1"/>
      <c r="AF114" s="1"/>
      <c r="AG114" s="1"/>
    </row>
    <row r="115" spans="25:33" ht="14.4">
      <c r="Y115" s="58" t="str">
        <f t="shared" si="3"/>
        <v/>
      </c>
      <c r="Z115" s="58" t="str">
        <f t="shared" si="4"/>
        <v/>
      </c>
      <c r="AA115" s="1"/>
      <c r="AB115" s="1"/>
      <c r="AC115" s="1"/>
      <c r="AD115" s="59"/>
      <c r="AE115" s="1"/>
      <c r="AF115" s="1"/>
      <c r="AG115" s="1"/>
    </row>
    <row r="116" spans="25:33" ht="14.4">
      <c r="Y116" s="58" t="str">
        <f t="shared" si="3"/>
        <v/>
      </c>
      <c r="Z116" s="58" t="str">
        <f t="shared" si="4"/>
        <v/>
      </c>
      <c r="AA116" s="1"/>
      <c r="AB116" s="1"/>
      <c r="AC116" s="1"/>
      <c r="AD116" s="59"/>
      <c r="AE116" s="1"/>
      <c r="AF116" s="1"/>
      <c r="AG116" s="1"/>
    </row>
    <row r="117" spans="25:33" ht="14.4">
      <c r="Y117" s="58" t="str">
        <f t="shared" si="3"/>
        <v/>
      </c>
      <c r="Z117" s="58" t="str">
        <f t="shared" si="4"/>
        <v/>
      </c>
      <c r="AA117" s="1"/>
      <c r="AB117" s="1"/>
      <c r="AC117" s="1"/>
      <c r="AD117" s="59"/>
      <c r="AE117" s="1"/>
      <c r="AF117" s="1"/>
      <c r="AG117" s="1"/>
    </row>
    <row r="118" spans="25:33" ht="14.4">
      <c r="Y118" s="58" t="str">
        <f t="shared" si="3"/>
        <v/>
      </c>
      <c r="Z118" s="58" t="str">
        <f t="shared" si="4"/>
        <v/>
      </c>
      <c r="AA118" s="1"/>
      <c r="AB118" s="1"/>
      <c r="AC118" s="1"/>
      <c r="AD118" s="59"/>
      <c r="AE118" s="1"/>
      <c r="AF118" s="1"/>
      <c r="AG118" s="1"/>
    </row>
    <row r="119" spans="25:33" ht="14.4">
      <c r="Y119" s="58" t="str">
        <f t="shared" si="3"/>
        <v/>
      </c>
      <c r="Z119" s="58" t="str">
        <f t="shared" si="4"/>
        <v/>
      </c>
      <c r="AA119" s="1"/>
      <c r="AB119" s="1"/>
      <c r="AC119" s="1"/>
      <c r="AD119" s="59"/>
      <c r="AE119" s="1"/>
      <c r="AF119" s="1"/>
      <c r="AG119" s="1"/>
    </row>
    <row r="120" spans="25:33" ht="14.4">
      <c r="Y120" s="58" t="str">
        <f t="shared" si="3"/>
        <v/>
      </c>
      <c r="Z120" s="58" t="str">
        <f t="shared" si="4"/>
        <v/>
      </c>
      <c r="AA120" s="1"/>
      <c r="AB120" s="1"/>
      <c r="AC120" s="1"/>
      <c r="AD120" s="59"/>
      <c r="AE120" s="1"/>
      <c r="AF120" s="1"/>
      <c r="AG120" s="1"/>
    </row>
    <row r="121" spans="25:33" ht="14.4">
      <c r="Y121" s="58" t="str">
        <f t="shared" si="3"/>
        <v/>
      </c>
      <c r="Z121" s="58" t="str">
        <f t="shared" si="4"/>
        <v/>
      </c>
      <c r="AA121" s="1"/>
      <c r="AB121" s="1"/>
      <c r="AC121" s="1"/>
      <c r="AD121" s="59"/>
      <c r="AE121" s="1"/>
      <c r="AF121" s="1"/>
      <c r="AG121" s="1"/>
    </row>
    <row r="122" spans="25:33" ht="14.4">
      <c r="Y122" s="58" t="str">
        <f t="shared" si="3"/>
        <v/>
      </c>
      <c r="Z122" s="58" t="str">
        <f t="shared" si="4"/>
        <v/>
      </c>
      <c r="AA122" s="1"/>
      <c r="AB122" s="1"/>
      <c r="AC122" s="1"/>
      <c r="AD122" s="59"/>
      <c r="AE122" s="1"/>
      <c r="AF122" s="1"/>
      <c r="AG122" s="1"/>
    </row>
    <row r="123" spans="25:33" ht="14.4">
      <c r="Y123" s="58" t="str">
        <f t="shared" si="3"/>
        <v/>
      </c>
      <c r="Z123" s="58" t="str">
        <f t="shared" si="4"/>
        <v/>
      </c>
      <c r="AA123" s="1"/>
      <c r="AB123" s="1"/>
      <c r="AC123" s="1"/>
      <c r="AD123" s="59"/>
      <c r="AE123" s="1"/>
      <c r="AF123" s="1"/>
      <c r="AG123" s="1"/>
    </row>
    <row r="124" spans="25:33" ht="14.4">
      <c r="Y124" s="58" t="str">
        <f t="shared" si="3"/>
        <v/>
      </c>
      <c r="Z124" s="58" t="str">
        <f t="shared" si="4"/>
        <v/>
      </c>
      <c r="AA124" s="1"/>
      <c r="AB124" s="1"/>
      <c r="AC124" s="1"/>
      <c r="AD124" s="59"/>
      <c r="AE124" s="1"/>
      <c r="AF124" s="1"/>
      <c r="AG124" s="1"/>
    </row>
    <row r="125" spans="25:33" ht="14.4">
      <c r="Y125" s="58" t="str">
        <f t="shared" si="3"/>
        <v/>
      </c>
      <c r="Z125" s="58" t="str">
        <f t="shared" si="4"/>
        <v/>
      </c>
      <c r="AA125" s="1"/>
      <c r="AB125" s="1"/>
      <c r="AC125" s="1"/>
      <c r="AD125" s="59"/>
      <c r="AE125" s="1"/>
      <c r="AF125" s="1"/>
      <c r="AG125" s="1"/>
    </row>
    <row r="126" spans="25:33" ht="14.4">
      <c r="Y126" s="58" t="str">
        <f t="shared" si="3"/>
        <v/>
      </c>
      <c r="Z126" s="58" t="str">
        <f t="shared" si="4"/>
        <v/>
      </c>
      <c r="AA126" s="1"/>
      <c r="AB126" s="1"/>
      <c r="AC126" s="1"/>
      <c r="AD126" s="59"/>
      <c r="AE126" s="1"/>
      <c r="AF126" s="1"/>
      <c r="AG126" s="1"/>
    </row>
    <row r="127" spans="25:33" ht="14.4">
      <c r="Y127" s="58" t="str">
        <f t="shared" si="3"/>
        <v/>
      </c>
      <c r="Z127" s="58" t="str">
        <f t="shared" si="4"/>
        <v/>
      </c>
      <c r="AA127" s="1"/>
      <c r="AB127" s="1"/>
      <c r="AC127" s="1"/>
      <c r="AD127" s="59"/>
      <c r="AE127" s="1"/>
      <c r="AF127" s="1"/>
      <c r="AG127" s="1"/>
    </row>
    <row r="128" spans="25:33" ht="14.4">
      <c r="Y128" s="58" t="str">
        <f t="shared" si="3"/>
        <v/>
      </c>
      <c r="Z128" s="58" t="str">
        <f t="shared" si="4"/>
        <v/>
      </c>
      <c r="AA128" s="1"/>
      <c r="AB128" s="1"/>
      <c r="AC128" s="1"/>
      <c r="AD128" s="59"/>
      <c r="AE128" s="1"/>
      <c r="AF128" s="1"/>
      <c r="AG128" s="1"/>
    </row>
    <row r="129" spans="25:33" ht="14.4">
      <c r="Y129" s="58" t="str">
        <f t="shared" si="3"/>
        <v/>
      </c>
      <c r="Z129" s="58" t="str">
        <f t="shared" si="4"/>
        <v/>
      </c>
      <c r="AA129" s="1"/>
      <c r="AB129" s="1"/>
      <c r="AC129" s="1"/>
      <c r="AD129" s="59"/>
      <c r="AE129" s="1"/>
      <c r="AF129" s="1"/>
      <c r="AG129" s="1"/>
    </row>
    <row r="130" spans="25:33" ht="14.4">
      <c r="Y130" s="58" t="str">
        <f t="shared" si="3"/>
        <v/>
      </c>
      <c r="Z130" s="58" t="str">
        <f t="shared" si="4"/>
        <v/>
      </c>
      <c r="AA130" s="1"/>
      <c r="AB130" s="1"/>
      <c r="AC130" s="1"/>
      <c r="AD130" s="59"/>
      <c r="AE130" s="1"/>
      <c r="AF130" s="1"/>
      <c r="AG130" s="1"/>
    </row>
    <row r="131" spans="25:33" ht="14.4">
      <c r="Y131" s="58" t="str">
        <f t="shared" si="3"/>
        <v/>
      </c>
      <c r="Z131" s="58" t="str">
        <f t="shared" si="4"/>
        <v/>
      </c>
      <c r="AA131" s="1"/>
      <c r="AB131" s="1"/>
      <c r="AC131" s="1"/>
      <c r="AD131" s="59"/>
      <c r="AE131" s="1"/>
      <c r="AF131" s="1"/>
      <c r="AG131" s="1"/>
    </row>
    <row r="132" spans="25:33" ht="14.4">
      <c r="Y132" s="58" t="str">
        <f t="shared" si="3"/>
        <v/>
      </c>
      <c r="Z132" s="58" t="str">
        <f t="shared" si="4"/>
        <v/>
      </c>
      <c r="AA132" s="1"/>
      <c r="AB132" s="1"/>
      <c r="AC132" s="1"/>
      <c r="AD132" s="59"/>
      <c r="AE132" s="1"/>
      <c r="AF132" s="1"/>
      <c r="AG132" s="1"/>
    </row>
    <row r="133" spans="25:33" ht="14.4">
      <c r="Y133" s="58" t="str">
        <f t="shared" si="3"/>
        <v/>
      </c>
      <c r="Z133" s="58" t="str">
        <f t="shared" si="4"/>
        <v/>
      </c>
      <c r="AA133" s="1"/>
      <c r="AB133" s="1"/>
      <c r="AC133" s="1"/>
      <c r="AD133" s="59"/>
      <c r="AE133" s="1"/>
      <c r="AF133" s="1"/>
      <c r="AG133" s="1"/>
    </row>
    <row r="134" spans="25:33" ht="14.4">
      <c r="Y134" s="58" t="str">
        <f t="shared" si="3"/>
        <v/>
      </c>
      <c r="Z134" s="58" t="str">
        <f t="shared" si="4"/>
        <v/>
      </c>
      <c r="AA134" s="1"/>
      <c r="AB134" s="1"/>
      <c r="AC134" s="1"/>
      <c r="AD134" s="59"/>
      <c r="AE134" s="1"/>
      <c r="AF134" s="1"/>
      <c r="AG134" s="1"/>
    </row>
    <row r="135" spans="25:33" ht="14.4">
      <c r="Y135" s="58" t="str">
        <f t="shared" si="3"/>
        <v/>
      </c>
      <c r="Z135" s="58" t="str">
        <f t="shared" si="4"/>
        <v/>
      </c>
      <c r="AA135" s="1"/>
      <c r="AB135" s="1"/>
      <c r="AC135" s="1"/>
      <c r="AD135" s="59"/>
      <c r="AE135" s="1"/>
      <c r="AF135" s="1"/>
      <c r="AG135" s="1"/>
    </row>
    <row r="136" spans="25:33" ht="14.4">
      <c r="Y136" s="58" t="str">
        <f t="shared" si="3"/>
        <v/>
      </c>
      <c r="Z136" s="58" t="str">
        <f t="shared" si="4"/>
        <v/>
      </c>
      <c r="AA136" s="1"/>
      <c r="AB136" s="1"/>
      <c r="AC136" s="1"/>
      <c r="AD136" s="59"/>
      <c r="AE136" s="1"/>
      <c r="AF136" s="1"/>
      <c r="AG136" s="1"/>
    </row>
    <row r="137" spans="25:33" ht="14.4">
      <c r="Y137" s="58" t="str">
        <f t="shared" si="3"/>
        <v/>
      </c>
      <c r="Z137" s="58" t="str">
        <f t="shared" si="4"/>
        <v/>
      </c>
      <c r="AA137" s="1"/>
      <c r="AB137" s="1"/>
      <c r="AC137" s="1"/>
      <c r="AD137" s="59"/>
      <c r="AE137" s="1"/>
      <c r="AF137" s="1"/>
      <c r="AG137" s="1"/>
    </row>
    <row r="138" spans="25:33" ht="14.4">
      <c r="Y138" s="58" t="str">
        <f t="shared" si="3"/>
        <v/>
      </c>
      <c r="Z138" s="58" t="str">
        <f t="shared" si="4"/>
        <v/>
      </c>
      <c r="AA138" s="1"/>
      <c r="AB138" s="1"/>
      <c r="AC138" s="1"/>
      <c r="AD138" s="59"/>
      <c r="AE138" s="1"/>
      <c r="AF138" s="1"/>
      <c r="AG138" s="1"/>
    </row>
    <row r="139" spans="25:33" ht="14.4">
      <c r="Y139" s="58" t="str">
        <f t="shared" si="3"/>
        <v/>
      </c>
      <c r="Z139" s="58" t="str">
        <f t="shared" si="4"/>
        <v/>
      </c>
      <c r="AA139" s="1"/>
      <c r="AB139" s="1"/>
      <c r="AC139" s="1"/>
      <c r="AD139" s="59"/>
      <c r="AE139" s="1"/>
      <c r="AF139" s="1"/>
      <c r="AG139" s="1"/>
    </row>
    <row r="140" spans="25:33" ht="14.4">
      <c r="Y140" s="58" t="str">
        <f t="shared" si="3"/>
        <v/>
      </c>
      <c r="Z140" s="58" t="str">
        <f t="shared" si="4"/>
        <v/>
      </c>
      <c r="AA140" s="1"/>
      <c r="AB140" s="1"/>
      <c r="AC140" s="1"/>
      <c r="AD140" s="59"/>
      <c r="AE140" s="1"/>
      <c r="AF140" s="1"/>
      <c r="AG140" s="1"/>
    </row>
    <row r="141" spans="25:33" ht="14.4">
      <c r="Y141" s="58" t="str">
        <f t="shared" si="3"/>
        <v/>
      </c>
      <c r="Z141" s="58" t="str">
        <f t="shared" si="4"/>
        <v/>
      </c>
      <c r="AA141" s="1"/>
      <c r="AB141" s="1"/>
      <c r="AC141" s="1"/>
      <c r="AD141" s="59"/>
      <c r="AE141" s="1"/>
      <c r="AF141" s="1"/>
      <c r="AG141" s="1"/>
    </row>
    <row r="142" spans="25:33" ht="14.4">
      <c r="Y142" s="58" t="str">
        <f t="shared" si="3"/>
        <v/>
      </c>
      <c r="Z142" s="58" t="str">
        <f t="shared" si="4"/>
        <v/>
      </c>
      <c r="AA142" s="1"/>
      <c r="AB142" s="1"/>
      <c r="AC142" s="1"/>
      <c r="AD142" s="59"/>
      <c r="AE142" s="1"/>
      <c r="AF142" s="1"/>
      <c r="AG142" s="1"/>
    </row>
    <row r="143" spans="25:33" ht="14.4">
      <c r="Y143" s="58" t="str">
        <f t="shared" si="3"/>
        <v/>
      </c>
      <c r="Z143" s="58" t="str">
        <f t="shared" si="4"/>
        <v/>
      </c>
      <c r="AA143" s="1"/>
      <c r="AB143" s="1"/>
      <c r="AC143" s="1"/>
      <c r="AD143" s="59"/>
      <c r="AE143" s="1"/>
      <c r="AF143" s="1"/>
      <c r="AG143" s="1"/>
    </row>
    <row r="144" spans="25:33" ht="14.4">
      <c r="Y144" s="58" t="str">
        <f t="shared" si="3"/>
        <v/>
      </c>
      <c r="Z144" s="58" t="str">
        <f t="shared" si="4"/>
        <v/>
      </c>
      <c r="AA144" s="1"/>
      <c r="AB144" s="1"/>
      <c r="AC144" s="1"/>
      <c r="AD144" s="59"/>
      <c r="AE144" s="1"/>
      <c r="AF144" s="1"/>
      <c r="AG144" s="1"/>
    </row>
    <row r="145" spans="25:33" ht="14.4">
      <c r="Y145" s="58" t="str">
        <f t="shared" si="3"/>
        <v/>
      </c>
      <c r="Z145" s="58" t="str">
        <f t="shared" si="4"/>
        <v/>
      </c>
      <c r="AA145" s="1"/>
      <c r="AB145" s="1"/>
      <c r="AC145" s="1"/>
      <c r="AD145" s="59"/>
      <c r="AE145" s="1"/>
      <c r="AF145" s="1"/>
      <c r="AG145" s="1"/>
    </row>
    <row r="146" spans="25:33" ht="14.4">
      <c r="Y146" s="58" t="str">
        <f t="shared" si="3"/>
        <v/>
      </c>
      <c r="Z146" s="58" t="str">
        <f t="shared" si="4"/>
        <v/>
      </c>
      <c r="AA146" s="1"/>
      <c r="AB146" s="1"/>
      <c r="AC146" s="1"/>
      <c r="AD146" s="59"/>
      <c r="AE146" s="1"/>
      <c r="AF146" s="1"/>
      <c r="AG146" s="1"/>
    </row>
    <row r="147" spans="25:33" ht="14.4">
      <c r="Y147" s="58" t="str">
        <f t="shared" si="3"/>
        <v/>
      </c>
      <c r="Z147" s="58" t="str">
        <f t="shared" si="4"/>
        <v/>
      </c>
      <c r="AA147" s="1"/>
      <c r="AB147" s="1"/>
      <c r="AC147" s="1"/>
      <c r="AD147" s="59"/>
      <c r="AE147" s="1"/>
      <c r="AF147" s="1"/>
      <c r="AG147" s="1"/>
    </row>
    <row r="148" spans="25:33" ht="14.4">
      <c r="Y148" s="58" t="str">
        <f t="shared" si="3"/>
        <v/>
      </c>
      <c r="Z148" s="58" t="str">
        <f t="shared" si="4"/>
        <v/>
      </c>
      <c r="AA148" s="1"/>
      <c r="AB148" s="1"/>
      <c r="AC148" s="1"/>
      <c r="AD148" s="59"/>
      <c r="AE148" s="1"/>
      <c r="AF148" s="1"/>
      <c r="AG148" s="1"/>
    </row>
    <row r="149" spans="25:33" ht="14.4">
      <c r="Y149" s="58" t="str">
        <f t="shared" si="3"/>
        <v/>
      </c>
      <c r="Z149" s="58" t="str">
        <f t="shared" si="4"/>
        <v/>
      </c>
      <c r="AA149" s="1"/>
      <c r="AB149" s="1"/>
      <c r="AC149" s="1"/>
      <c r="AD149" s="59"/>
      <c r="AE149" s="1"/>
      <c r="AF149" s="1"/>
      <c r="AG149" s="1"/>
    </row>
    <row r="150" spans="25:33" ht="14.4">
      <c r="Y150" s="58" t="str">
        <f t="shared" si="3"/>
        <v/>
      </c>
      <c r="Z150" s="58" t="str">
        <f t="shared" si="4"/>
        <v/>
      </c>
      <c r="AA150" s="1"/>
      <c r="AB150" s="1"/>
      <c r="AC150" s="1"/>
      <c r="AD150" s="59"/>
      <c r="AE150" s="1"/>
      <c r="AF150" s="1"/>
      <c r="AG150" s="1"/>
    </row>
    <row r="151" spans="25:33" ht="14.4">
      <c r="Y151" s="58" t="str">
        <f t="shared" si="3"/>
        <v/>
      </c>
      <c r="Z151" s="58" t="str">
        <f t="shared" si="4"/>
        <v/>
      </c>
      <c r="AA151" s="1"/>
      <c r="AB151" s="1"/>
      <c r="AC151" s="1"/>
      <c r="AD151" s="59"/>
      <c r="AE151" s="1"/>
      <c r="AF151" s="1"/>
      <c r="AG151" s="1"/>
    </row>
    <row r="152" spans="25:33" ht="14.4">
      <c r="Y152" s="58" t="str">
        <f t="shared" si="3"/>
        <v/>
      </c>
      <c r="Z152" s="58" t="str">
        <f t="shared" si="4"/>
        <v/>
      </c>
      <c r="AA152" s="1"/>
      <c r="AB152" s="1"/>
      <c r="AC152" s="1"/>
      <c r="AD152" s="59"/>
      <c r="AE152" s="1"/>
      <c r="AF152" s="1"/>
      <c r="AG152" s="1"/>
    </row>
    <row r="153" spans="25:33" ht="14.4">
      <c r="Y153" s="58" t="str">
        <f t="shared" si="3"/>
        <v/>
      </c>
      <c r="Z153" s="58" t="str">
        <f t="shared" si="4"/>
        <v/>
      </c>
      <c r="AA153" s="1"/>
      <c r="AB153" s="1"/>
      <c r="AC153" s="1"/>
      <c r="AD153" s="59"/>
      <c r="AE153" s="1"/>
      <c r="AF153" s="1"/>
      <c r="AG153" s="1"/>
    </row>
    <row r="154" spans="25:33" ht="14.4">
      <c r="Y154" s="58" t="str">
        <f t="shared" si="3"/>
        <v/>
      </c>
      <c r="Z154" s="58" t="str">
        <f t="shared" si="4"/>
        <v/>
      </c>
      <c r="AA154" s="1"/>
      <c r="AB154" s="1"/>
      <c r="AC154" s="1"/>
      <c r="AD154" s="59"/>
      <c r="AE154" s="1"/>
      <c r="AF154" s="1"/>
      <c r="AG154" s="1"/>
    </row>
    <row r="155" spans="25:33" ht="14.4">
      <c r="Y155" s="58" t="str">
        <f t="shared" si="3"/>
        <v/>
      </c>
      <c r="Z155" s="58" t="str">
        <f t="shared" si="4"/>
        <v/>
      </c>
      <c r="AA155" s="1"/>
      <c r="AB155" s="1"/>
      <c r="AC155" s="1"/>
      <c r="AD155" s="59"/>
      <c r="AE155" s="1"/>
      <c r="AF155" s="1"/>
      <c r="AG155" s="1"/>
    </row>
    <row r="156" spans="25:33" ht="14.4">
      <c r="Y156" s="58" t="str">
        <f t="shared" si="3"/>
        <v/>
      </c>
      <c r="Z156" s="58" t="str">
        <f t="shared" si="4"/>
        <v/>
      </c>
      <c r="AA156" s="1"/>
      <c r="AB156" s="1"/>
      <c r="AC156" s="1"/>
      <c r="AD156" s="59"/>
      <c r="AE156" s="1"/>
      <c r="AF156" s="1"/>
      <c r="AG156" s="1"/>
    </row>
    <row r="157" spans="25:33" ht="14.4">
      <c r="Y157" s="58" t="str">
        <f t="shared" si="3"/>
        <v/>
      </c>
      <c r="Z157" s="58" t="str">
        <f t="shared" si="4"/>
        <v/>
      </c>
      <c r="AA157" s="1"/>
      <c r="AB157" s="1"/>
      <c r="AC157" s="1"/>
      <c r="AD157" s="59"/>
      <c r="AE157" s="1"/>
      <c r="AF157" s="1"/>
      <c r="AG157" s="1"/>
    </row>
    <row r="158" spans="25:33" ht="14.4">
      <c r="Y158" s="58" t="str">
        <f t="shared" si="3"/>
        <v/>
      </c>
      <c r="Z158" s="58" t="str">
        <f t="shared" si="4"/>
        <v/>
      </c>
      <c r="AA158" s="1"/>
      <c r="AB158" s="1"/>
      <c r="AC158" s="1"/>
      <c r="AD158" s="59"/>
      <c r="AE158" s="1"/>
      <c r="AF158" s="1"/>
      <c r="AG158" s="1"/>
    </row>
    <row r="159" spans="25:33" ht="14.4">
      <c r="Y159" s="58" t="str">
        <f t="shared" si="3"/>
        <v/>
      </c>
      <c r="Z159" s="58" t="str">
        <f t="shared" si="4"/>
        <v/>
      </c>
      <c r="AA159" s="1"/>
      <c r="AB159" s="1"/>
      <c r="AC159" s="1"/>
      <c r="AD159" s="59"/>
      <c r="AE159" s="1"/>
      <c r="AF159" s="1"/>
      <c r="AG159" s="1"/>
    </row>
    <row r="160" spans="25:33" ht="14.4">
      <c r="Y160" s="58" t="str">
        <f t="shared" si="3"/>
        <v/>
      </c>
      <c r="Z160" s="58" t="str">
        <f t="shared" si="4"/>
        <v/>
      </c>
      <c r="AA160" s="1"/>
      <c r="AB160" s="1"/>
      <c r="AC160" s="1"/>
      <c r="AD160" s="59"/>
      <c r="AE160" s="1"/>
      <c r="AF160" s="1"/>
      <c r="AG160" s="1"/>
    </row>
    <row r="161" spans="25:33" ht="14.4">
      <c r="Y161" s="58" t="str">
        <f t="shared" si="3"/>
        <v/>
      </c>
      <c r="Z161" s="58" t="str">
        <f t="shared" si="4"/>
        <v/>
      </c>
      <c r="AA161" s="1"/>
      <c r="AB161" s="1"/>
      <c r="AC161" s="1"/>
      <c r="AD161" s="59"/>
      <c r="AE161" s="1"/>
      <c r="AF161" s="1"/>
      <c r="AG161" s="1"/>
    </row>
    <row r="162" spans="25:33" ht="14.4">
      <c r="Y162" s="58" t="str">
        <f t="shared" si="3"/>
        <v/>
      </c>
      <c r="Z162" s="58" t="str">
        <f t="shared" si="4"/>
        <v/>
      </c>
      <c r="AA162" s="1"/>
      <c r="AB162" s="1"/>
      <c r="AC162" s="1"/>
      <c r="AD162" s="59"/>
      <c r="AE162" s="1"/>
      <c r="AF162" s="1"/>
      <c r="AG162" s="1"/>
    </row>
    <row r="163" spans="25:33" ht="14.4">
      <c r="Y163" s="58" t="str">
        <f t="shared" si="3"/>
        <v/>
      </c>
      <c r="Z163" s="58" t="str">
        <f t="shared" si="4"/>
        <v/>
      </c>
      <c r="AA163" s="1"/>
      <c r="AB163" s="1"/>
      <c r="AC163" s="1"/>
      <c r="AD163" s="59"/>
      <c r="AE163" s="1"/>
      <c r="AF163" s="1"/>
      <c r="AG163" s="1"/>
    </row>
    <row r="164" spans="25:33" ht="14.4">
      <c r="Y164" s="58" t="str">
        <f t="shared" si="3"/>
        <v/>
      </c>
      <c r="Z164" s="58" t="str">
        <f t="shared" si="4"/>
        <v/>
      </c>
      <c r="AA164" s="1"/>
      <c r="AB164" s="1"/>
      <c r="AC164" s="1"/>
      <c r="AD164" s="59"/>
      <c r="AE164" s="1"/>
      <c r="AF164" s="1"/>
      <c r="AG164" s="1"/>
    </row>
    <row r="165" spans="25:33" ht="14.4">
      <c r="Y165" s="58" t="str">
        <f t="shared" si="3"/>
        <v/>
      </c>
      <c r="Z165" s="58" t="str">
        <f t="shared" si="4"/>
        <v/>
      </c>
      <c r="AA165" s="1"/>
      <c r="AB165" s="1"/>
      <c r="AC165" s="1"/>
      <c r="AD165" s="59"/>
      <c r="AE165" s="1"/>
      <c r="AF165" s="1"/>
      <c r="AG165" s="1"/>
    </row>
    <row r="166" spans="25:33" ht="14.4">
      <c r="Y166" s="58" t="str">
        <f t="shared" si="3"/>
        <v/>
      </c>
      <c r="Z166" s="58" t="str">
        <f t="shared" si="4"/>
        <v/>
      </c>
      <c r="AA166" s="1"/>
      <c r="AB166" s="1"/>
      <c r="AC166" s="1"/>
      <c r="AD166" s="59"/>
      <c r="AE166" s="1"/>
      <c r="AF166" s="1"/>
      <c r="AG166" s="1"/>
    </row>
    <row r="167" spans="25:33" ht="14.4">
      <c r="Y167" s="58" t="str">
        <f t="shared" si="3"/>
        <v/>
      </c>
      <c r="Z167" s="58" t="str">
        <f t="shared" si="4"/>
        <v/>
      </c>
      <c r="AA167" s="1"/>
      <c r="AB167" s="1"/>
      <c r="AC167" s="1"/>
      <c r="AD167" s="59"/>
      <c r="AE167" s="1"/>
      <c r="AF167" s="1"/>
      <c r="AG167" s="1"/>
    </row>
    <row r="168" spans="25:33" ht="14.4">
      <c r="Y168" s="58" t="str">
        <f t="shared" si="3"/>
        <v/>
      </c>
      <c r="Z168" s="58" t="str">
        <f t="shared" si="4"/>
        <v/>
      </c>
      <c r="AA168" s="1"/>
      <c r="AB168" s="1"/>
      <c r="AC168" s="1"/>
      <c r="AD168" s="59"/>
      <c r="AE168" s="1"/>
      <c r="AF168" s="1"/>
      <c r="AG168" s="1"/>
    </row>
    <row r="169" spans="25:33" ht="14.4">
      <c r="Y169" s="58" t="str">
        <f t="shared" si="3"/>
        <v/>
      </c>
      <c r="Z169" s="58" t="str">
        <f t="shared" si="4"/>
        <v/>
      </c>
      <c r="AA169" s="1"/>
      <c r="AB169" s="1"/>
      <c r="AC169" s="1"/>
      <c r="AD169" s="59"/>
      <c r="AE169" s="1"/>
      <c r="AF169" s="1"/>
      <c r="AG169" s="1"/>
    </row>
    <row r="170" spans="25:33" ht="14.4">
      <c r="Y170" s="58" t="str">
        <f t="shared" si="3"/>
        <v/>
      </c>
      <c r="Z170" s="58" t="str">
        <f t="shared" si="4"/>
        <v/>
      </c>
      <c r="AA170" s="1"/>
      <c r="AB170" s="1"/>
      <c r="AC170" s="1"/>
      <c r="AD170" s="59"/>
      <c r="AE170" s="1"/>
      <c r="AF170" s="1"/>
      <c r="AG170" s="1"/>
    </row>
    <row r="171" spans="25:33" ht="14.4">
      <c r="Y171" s="58" t="str">
        <f t="shared" si="3"/>
        <v/>
      </c>
      <c r="Z171" s="58" t="str">
        <f t="shared" si="4"/>
        <v/>
      </c>
      <c r="AA171" s="1"/>
      <c r="AB171" s="1"/>
      <c r="AC171" s="1"/>
      <c r="AD171" s="59"/>
      <c r="AE171" s="1"/>
      <c r="AF171" s="1"/>
      <c r="AG171" s="1"/>
    </row>
    <row r="172" spans="25:33" ht="14.4">
      <c r="Y172" s="58" t="str">
        <f t="shared" si="3"/>
        <v/>
      </c>
      <c r="Z172" s="58" t="str">
        <f t="shared" si="4"/>
        <v/>
      </c>
      <c r="AA172" s="1"/>
      <c r="AB172" s="1"/>
      <c r="AC172" s="1"/>
      <c r="AD172" s="59"/>
      <c r="AE172" s="1"/>
      <c r="AF172" s="1"/>
      <c r="AG172" s="1"/>
    </row>
    <row r="173" spans="25:33" ht="14.4">
      <c r="Y173" s="58" t="str">
        <f t="shared" si="3"/>
        <v/>
      </c>
      <c r="Z173" s="58" t="str">
        <f t="shared" si="4"/>
        <v/>
      </c>
      <c r="AA173" s="1"/>
      <c r="AB173" s="1"/>
      <c r="AC173" s="1"/>
      <c r="AD173" s="59"/>
      <c r="AE173" s="1"/>
      <c r="AF173" s="1"/>
      <c r="AG173" s="1"/>
    </row>
    <row r="174" spans="25:33" ht="14.4">
      <c r="Y174" s="58" t="str">
        <f t="shared" si="3"/>
        <v/>
      </c>
      <c r="Z174" s="58" t="str">
        <f t="shared" si="4"/>
        <v/>
      </c>
      <c r="AA174" s="1"/>
      <c r="AB174" s="1"/>
      <c r="AC174" s="1"/>
      <c r="AD174" s="59"/>
      <c r="AE174" s="1"/>
      <c r="AF174" s="1"/>
      <c r="AG174" s="1"/>
    </row>
    <row r="175" spans="25:33" ht="14.4">
      <c r="Y175" s="58" t="str">
        <f t="shared" si="3"/>
        <v/>
      </c>
      <c r="Z175" s="58" t="str">
        <f t="shared" si="4"/>
        <v/>
      </c>
      <c r="AA175" s="1"/>
      <c r="AB175" s="1"/>
      <c r="AC175" s="1"/>
      <c r="AD175" s="59"/>
      <c r="AE175" s="1"/>
      <c r="AF175" s="1"/>
      <c r="AG175" s="1"/>
    </row>
    <row r="176" spans="25:33" ht="14.4">
      <c r="Y176" s="58" t="str">
        <f t="shared" si="3"/>
        <v/>
      </c>
      <c r="Z176" s="58" t="str">
        <f t="shared" si="4"/>
        <v/>
      </c>
      <c r="AA176" s="1"/>
      <c r="AB176" s="1"/>
      <c r="AC176" s="1"/>
      <c r="AD176" s="59"/>
      <c r="AE176" s="1"/>
      <c r="AF176" s="1"/>
      <c r="AG176" s="1"/>
    </row>
    <row r="177" spans="25:33" ht="14.4">
      <c r="Y177" s="58" t="str">
        <f t="shared" si="3"/>
        <v/>
      </c>
      <c r="Z177" s="58" t="str">
        <f t="shared" si="4"/>
        <v/>
      </c>
      <c r="AA177" s="1"/>
      <c r="AB177" s="1"/>
      <c r="AC177" s="1"/>
      <c r="AD177" s="59"/>
      <c r="AE177" s="1"/>
      <c r="AF177" s="1"/>
      <c r="AG177" s="1"/>
    </row>
    <row r="178" spans="25:33" ht="14.4">
      <c r="Y178" s="58" t="str">
        <f t="shared" si="3"/>
        <v/>
      </c>
      <c r="Z178" s="58" t="str">
        <f t="shared" si="4"/>
        <v/>
      </c>
      <c r="AA178" s="1"/>
      <c r="AB178" s="1"/>
      <c r="AC178" s="1"/>
      <c r="AD178" s="59"/>
      <c r="AE178" s="1"/>
      <c r="AF178" s="1"/>
      <c r="AG178" s="1"/>
    </row>
    <row r="179" spans="25:33" ht="14.4">
      <c r="Y179" s="58" t="str">
        <f t="shared" si="3"/>
        <v/>
      </c>
      <c r="Z179" s="58" t="str">
        <f t="shared" si="4"/>
        <v/>
      </c>
      <c r="AA179" s="1"/>
      <c r="AB179" s="1"/>
      <c r="AC179" s="1"/>
      <c r="AD179" s="59"/>
      <c r="AE179" s="1"/>
      <c r="AF179" s="1"/>
      <c r="AG179" s="1"/>
    </row>
    <row r="180" spans="25:33" ht="14.4">
      <c r="Y180" s="58" t="str">
        <f t="shared" si="3"/>
        <v/>
      </c>
      <c r="Z180" s="58" t="str">
        <f t="shared" si="4"/>
        <v/>
      </c>
      <c r="AA180" s="1"/>
      <c r="AB180" s="1"/>
      <c r="AC180" s="1"/>
      <c r="AD180" s="59"/>
      <c r="AE180" s="1"/>
      <c r="AF180" s="1"/>
      <c r="AG180" s="1"/>
    </row>
    <row r="181" spans="25:33" ht="14.4">
      <c r="Y181" s="58" t="str">
        <f t="shared" si="3"/>
        <v/>
      </c>
      <c r="Z181" s="58" t="str">
        <f t="shared" si="4"/>
        <v/>
      </c>
      <c r="AA181" s="1"/>
      <c r="AB181" s="1"/>
      <c r="AC181" s="1"/>
      <c r="AD181" s="59"/>
      <c r="AE181" s="1"/>
      <c r="AF181" s="1"/>
      <c r="AG181" s="1"/>
    </row>
    <row r="182" spans="25:33" ht="14.4">
      <c r="Y182" s="58" t="str">
        <f t="shared" si="3"/>
        <v/>
      </c>
      <c r="Z182" s="58" t="str">
        <f t="shared" si="4"/>
        <v/>
      </c>
      <c r="AA182" s="1"/>
      <c r="AB182" s="1"/>
      <c r="AC182" s="1"/>
      <c r="AD182" s="59"/>
      <c r="AE182" s="1"/>
      <c r="AF182" s="1"/>
      <c r="AG182" s="1"/>
    </row>
    <row r="183" spans="25:33" ht="14.4">
      <c r="Y183" s="58" t="str">
        <f t="shared" si="3"/>
        <v/>
      </c>
      <c r="Z183" s="58" t="str">
        <f t="shared" si="4"/>
        <v/>
      </c>
      <c r="AA183" s="1"/>
      <c r="AB183" s="1"/>
      <c r="AC183" s="1"/>
      <c r="AD183" s="59"/>
      <c r="AE183" s="1"/>
      <c r="AF183" s="1"/>
      <c r="AG183" s="1"/>
    </row>
    <row r="184" spans="25:33" ht="14.4">
      <c r="Y184" s="58" t="str">
        <f t="shared" si="3"/>
        <v/>
      </c>
      <c r="Z184" s="58" t="str">
        <f t="shared" si="4"/>
        <v/>
      </c>
      <c r="AA184" s="1"/>
      <c r="AB184" s="1"/>
      <c r="AC184" s="1"/>
      <c r="AD184" s="59"/>
      <c r="AE184" s="1"/>
      <c r="AF184" s="1"/>
      <c r="AG184" s="1"/>
    </row>
    <row r="185" spans="25:33" ht="14.4">
      <c r="Y185" s="58" t="str">
        <f t="shared" si="3"/>
        <v/>
      </c>
      <c r="Z185" s="58" t="str">
        <f t="shared" si="4"/>
        <v/>
      </c>
      <c r="AA185" s="1"/>
      <c r="AB185" s="1"/>
      <c r="AC185" s="1"/>
      <c r="AD185" s="59"/>
      <c r="AE185" s="1"/>
      <c r="AF185" s="1"/>
      <c r="AG185" s="1"/>
    </row>
    <row r="186" spans="25:33" ht="14.4">
      <c r="Y186" s="58" t="str">
        <f t="shared" si="3"/>
        <v/>
      </c>
      <c r="Z186" s="58" t="str">
        <f t="shared" si="4"/>
        <v/>
      </c>
      <c r="AA186" s="1"/>
      <c r="AB186" s="1"/>
      <c r="AC186" s="1"/>
      <c r="AD186" s="59"/>
      <c r="AE186" s="1"/>
      <c r="AF186" s="1"/>
      <c r="AG186" s="1"/>
    </row>
    <row r="187" spans="25:33" ht="14.4">
      <c r="Y187" s="58" t="str">
        <f t="shared" si="3"/>
        <v/>
      </c>
      <c r="Z187" s="58" t="str">
        <f t="shared" si="4"/>
        <v/>
      </c>
      <c r="AA187" s="1"/>
      <c r="AB187" s="1"/>
      <c r="AC187" s="1"/>
      <c r="AD187" s="59"/>
      <c r="AE187" s="1"/>
      <c r="AF187" s="1"/>
      <c r="AG187" s="1"/>
    </row>
    <row r="188" spans="25:33" ht="14.4">
      <c r="Y188" s="58" t="str">
        <f t="shared" si="3"/>
        <v/>
      </c>
      <c r="Z188" s="58" t="str">
        <f t="shared" si="4"/>
        <v/>
      </c>
      <c r="AA188" s="1"/>
      <c r="AB188" s="1"/>
      <c r="AC188" s="1"/>
      <c r="AD188" s="59"/>
      <c r="AE188" s="1"/>
      <c r="AF188" s="1"/>
      <c r="AG188" s="1"/>
    </row>
    <row r="189" spans="25:33" ht="14.4">
      <c r="Y189" s="58" t="str">
        <f t="shared" si="3"/>
        <v/>
      </c>
      <c r="Z189" s="58" t="str">
        <f t="shared" si="4"/>
        <v/>
      </c>
      <c r="AA189" s="1"/>
      <c r="AB189" s="1"/>
      <c r="AC189" s="1"/>
      <c r="AD189" s="59"/>
      <c r="AE189" s="1"/>
      <c r="AF189" s="1"/>
      <c r="AG189" s="1"/>
    </row>
    <row r="190" spans="25:33" ht="14.4">
      <c r="Y190" s="58" t="str">
        <f t="shared" si="3"/>
        <v/>
      </c>
      <c r="Z190" s="58" t="str">
        <f t="shared" si="4"/>
        <v/>
      </c>
      <c r="AA190" s="1"/>
      <c r="AB190" s="1"/>
      <c r="AC190" s="1"/>
      <c r="AD190" s="59"/>
      <c r="AE190" s="1"/>
      <c r="AF190" s="1"/>
      <c r="AG190" s="1"/>
    </row>
    <row r="191" spans="25:33" ht="14.4">
      <c r="Y191" s="58" t="str">
        <f t="shared" si="3"/>
        <v/>
      </c>
      <c r="Z191" s="58" t="str">
        <f t="shared" si="4"/>
        <v/>
      </c>
      <c r="AA191" s="1"/>
      <c r="AB191" s="1"/>
      <c r="AC191" s="1"/>
      <c r="AD191" s="59"/>
      <c r="AE191" s="1"/>
      <c r="AF191" s="1"/>
      <c r="AG191" s="1"/>
    </row>
    <row r="192" spans="25:33" ht="14.4">
      <c r="Y192" s="58" t="str">
        <f t="shared" si="3"/>
        <v/>
      </c>
      <c r="Z192" s="58" t="str">
        <f t="shared" si="4"/>
        <v/>
      </c>
      <c r="AA192" s="1"/>
      <c r="AB192" s="1"/>
      <c r="AC192" s="1"/>
      <c r="AD192" s="59"/>
      <c r="AE192" s="1"/>
      <c r="AF192" s="1"/>
      <c r="AG192" s="1"/>
    </row>
    <row r="193" spans="25:33" ht="14.4">
      <c r="Y193" s="58" t="str">
        <f t="shared" si="3"/>
        <v/>
      </c>
      <c r="Z193" s="58" t="str">
        <f t="shared" si="4"/>
        <v/>
      </c>
      <c r="AA193" s="1"/>
      <c r="AB193" s="1"/>
      <c r="AC193" s="1"/>
      <c r="AD193" s="59"/>
      <c r="AE193" s="1"/>
      <c r="AF193" s="1"/>
      <c r="AG193" s="1"/>
    </row>
    <row r="194" spans="25:33" ht="14.4">
      <c r="Y194" s="58" t="str">
        <f t="shared" si="3"/>
        <v/>
      </c>
      <c r="Z194" s="58" t="str">
        <f t="shared" si="4"/>
        <v/>
      </c>
      <c r="AA194" s="1"/>
      <c r="AB194" s="1"/>
      <c r="AC194" s="1"/>
      <c r="AD194" s="59"/>
      <c r="AE194" s="1"/>
      <c r="AF194" s="1"/>
      <c r="AG194" s="1"/>
    </row>
    <row r="195" spans="25:33" ht="14.4">
      <c r="Y195" s="58" t="str">
        <f t="shared" si="3"/>
        <v/>
      </c>
      <c r="Z195" s="58" t="str">
        <f t="shared" si="4"/>
        <v/>
      </c>
      <c r="AA195" s="1"/>
      <c r="AB195" s="1"/>
      <c r="AC195" s="1"/>
      <c r="AD195" s="59"/>
      <c r="AE195" s="1"/>
      <c r="AF195" s="1"/>
      <c r="AG195" s="1"/>
    </row>
    <row r="196" spans="25:33" ht="14.4">
      <c r="Y196" s="58" t="str">
        <f t="shared" si="3"/>
        <v/>
      </c>
      <c r="Z196" s="58" t="str">
        <f t="shared" si="4"/>
        <v/>
      </c>
      <c r="AA196" s="1"/>
      <c r="AB196" s="1"/>
      <c r="AC196" s="1"/>
      <c r="AD196" s="59"/>
      <c r="AE196" s="1"/>
      <c r="AF196" s="1"/>
      <c r="AG196" s="1"/>
    </row>
    <row r="197" spans="25:33" ht="14.4">
      <c r="Y197" s="58" t="str">
        <f t="shared" si="3"/>
        <v/>
      </c>
      <c r="Z197" s="58" t="str">
        <f t="shared" si="4"/>
        <v/>
      </c>
      <c r="AA197" s="1"/>
      <c r="AB197" s="1"/>
      <c r="AC197" s="1"/>
      <c r="AD197" s="59"/>
      <c r="AE197" s="1"/>
      <c r="AF197" s="1"/>
      <c r="AG197" s="1"/>
    </row>
    <row r="198" spans="25:33" ht="14.4">
      <c r="Y198" s="58" t="str">
        <f t="shared" si="3"/>
        <v/>
      </c>
      <c r="Z198" s="58" t="str">
        <f t="shared" si="4"/>
        <v/>
      </c>
      <c r="AA198" s="1"/>
      <c r="AB198" s="1"/>
      <c r="AC198" s="1"/>
      <c r="AD198" s="59"/>
      <c r="AE198" s="1"/>
      <c r="AF198" s="1"/>
      <c r="AG198" s="1"/>
    </row>
    <row r="199" spans="25:33" ht="14.4">
      <c r="Y199" s="58" t="str">
        <f t="shared" si="3"/>
        <v/>
      </c>
      <c r="Z199" s="58" t="str">
        <f t="shared" si="4"/>
        <v/>
      </c>
      <c r="AA199" s="1"/>
      <c r="AB199" s="1"/>
      <c r="AC199" s="1"/>
      <c r="AD199" s="59"/>
      <c r="AE199" s="1"/>
      <c r="AF199" s="1"/>
      <c r="AG199" s="1"/>
    </row>
    <row r="200" spans="25:33" ht="14.4">
      <c r="Y200" s="58" t="str">
        <f t="shared" si="3"/>
        <v/>
      </c>
      <c r="Z200" s="58" t="str">
        <f t="shared" si="4"/>
        <v/>
      </c>
      <c r="AA200" s="1"/>
      <c r="AB200" s="1"/>
      <c r="AC200" s="1"/>
      <c r="AD200" s="59"/>
      <c r="AE200" s="1"/>
      <c r="AF200" s="1"/>
      <c r="AG200" s="1"/>
    </row>
    <row r="201" spans="25:33" ht="14.4">
      <c r="Y201" s="58" t="str">
        <f t="shared" si="3"/>
        <v/>
      </c>
      <c r="Z201" s="58" t="str">
        <f t="shared" si="4"/>
        <v/>
      </c>
      <c r="AA201" s="1"/>
      <c r="AB201" s="1"/>
      <c r="AC201" s="1"/>
      <c r="AD201" s="59"/>
      <c r="AE201" s="1"/>
      <c r="AF201" s="1"/>
      <c r="AG201" s="1"/>
    </row>
    <row r="202" spans="25:33" ht="14.4">
      <c r="Y202" s="58" t="str">
        <f t="shared" si="3"/>
        <v/>
      </c>
      <c r="Z202" s="58" t="str">
        <f t="shared" si="4"/>
        <v/>
      </c>
      <c r="AA202" s="1"/>
      <c r="AB202" s="1"/>
      <c r="AC202" s="1"/>
      <c r="AD202" s="59"/>
      <c r="AE202" s="1"/>
      <c r="AF202" s="1"/>
      <c r="AG202" s="1"/>
    </row>
    <row r="203" spans="25:33" ht="14.4">
      <c r="Y203" s="58" t="str">
        <f t="shared" si="3"/>
        <v/>
      </c>
      <c r="Z203" s="58" t="str">
        <f t="shared" si="4"/>
        <v/>
      </c>
      <c r="AA203" s="1"/>
      <c r="AB203" s="1"/>
      <c r="AC203" s="1"/>
      <c r="AD203" s="59"/>
      <c r="AE203" s="1"/>
      <c r="AF203" s="1"/>
      <c r="AG203" s="1"/>
    </row>
    <row r="204" spans="25:33" ht="14.4">
      <c r="Y204" s="58" t="str">
        <f t="shared" si="3"/>
        <v/>
      </c>
      <c r="Z204" s="58" t="str">
        <f t="shared" si="4"/>
        <v/>
      </c>
      <c r="AA204" s="1"/>
      <c r="AB204" s="1"/>
      <c r="AC204" s="1"/>
      <c r="AD204" s="59"/>
      <c r="AE204" s="1"/>
      <c r="AF204" s="1"/>
      <c r="AG204" s="1"/>
    </row>
    <row r="205" spans="25:33" ht="14.4">
      <c r="Y205" s="58" t="str">
        <f t="shared" si="3"/>
        <v/>
      </c>
      <c r="Z205" s="58" t="str">
        <f t="shared" si="4"/>
        <v/>
      </c>
      <c r="AA205" s="1"/>
      <c r="AB205" s="1"/>
      <c r="AC205" s="1"/>
      <c r="AD205" s="59"/>
      <c r="AE205" s="1"/>
      <c r="AF205" s="1"/>
      <c r="AG205" s="1"/>
    </row>
    <row r="206" spans="25:33" ht="14.4">
      <c r="Y206" s="58" t="str">
        <f t="shared" si="3"/>
        <v/>
      </c>
      <c r="Z206" s="58" t="str">
        <f t="shared" si="4"/>
        <v/>
      </c>
      <c r="AA206" s="1"/>
      <c r="AB206" s="1"/>
      <c r="AC206" s="1"/>
      <c r="AD206" s="59"/>
      <c r="AE206" s="1"/>
      <c r="AF206" s="1"/>
      <c r="AG206" s="1"/>
    </row>
    <row r="207" spans="25:33" ht="14.4">
      <c r="Y207" s="58" t="str">
        <f t="shared" si="3"/>
        <v/>
      </c>
      <c r="Z207" s="58" t="str">
        <f t="shared" si="4"/>
        <v/>
      </c>
      <c r="AA207" s="1"/>
      <c r="AB207" s="1"/>
      <c r="AC207" s="1"/>
      <c r="AD207" s="59"/>
      <c r="AE207" s="1"/>
      <c r="AF207" s="1"/>
      <c r="AG207" s="1"/>
    </row>
    <row r="208" spans="25:33" ht="14.4">
      <c r="Y208" s="58" t="str">
        <f t="shared" si="3"/>
        <v/>
      </c>
      <c r="Z208" s="58" t="str">
        <f t="shared" si="4"/>
        <v/>
      </c>
      <c r="AA208" s="1"/>
      <c r="AB208" s="1"/>
      <c r="AC208" s="1"/>
      <c r="AD208" s="59"/>
      <c r="AE208" s="1"/>
      <c r="AF208" s="1"/>
      <c r="AG208" s="1"/>
    </row>
    <row r="209" spans="25:33" ht="14.4">
      <c r="Y209" s="58" t="str">
        <f t="shared" si="3"/>
        <v/>
      </c>
      <c r="Z209" s="58" t="str">
        <f t="shared" si="4"/>
        <v/>
      </c>
      <c r="AA209" s="1"/>
      <c r="AB209" s="1"/>
      <c r="AC209" s="1"/>
      <c r="AD209" s="59"/>
      <c r="AE209" s="1"/>
      <c r="AF209" s="1"/>
      <c r="AG209" s="1"/>
    </row>
    <row r="210" spans="25:33" ht="14.4">
      <c r="Y210" s="58" t="str">
        <f t="shared" si="3"/>
        <v/>
      </c>
      <c r="Z210" s="58" t="str">
        <f t="shared" si="4"/>
        <v/>
      </c>
      <c r="AA210" s="1"/>
      <c r="AB210" s="1"/>
      <c r="AC210" s="1"/>
      <c r="AD210" s="59"/>
      <c r="AE210" s="1"/>
      <c r="AF210" s="1"/>
      <c r="AG210" s="1"/>
    </row>
    <row r="211" spans="25:33" ht="14.4">
      <c r="Y211" s="58" t="str">
        <f t="shared" si="3"/>
        <v/>
      </c>
      <c r="Z211" s="58" t="str">
        <f t="shared" si="4"/>
        <v/>
      </c>
      <c r="AA211" s="1"/>
      <c r="AB211" s="1"/>
      <c r="AC211" s="1"/>
      <c r="AD211" s="59"/>
      <c r="AE211" s="1"/>
      <c r="AF211" s="1"/>
      <c r="AG211" s="1"/>
    </row>
    <row r="212" spans="25:33" ht="14.4">
      <c r="Y212" s="58" t="str">
        <f t="shared" si="3"/>
        <v/>
      </c>
      <c r="Z212" s="58" t="str">
        <f t="shared" si="4"/>
        <v/>
      </c>
      <c r="AA212" s="1"/>
      <c r="AB212" s="1"/>
      <c r="AC212" s="1"/>
      <c r="AD212" s="59"/>
      <c r="AE212" s="1"/>
      <c r="AF212" s="1"/>
      <c r="AG212" s="1"/>
    </row>
    <row r="213" spans="25:33" ht="14.4">
      <c r="Y213" s="58" t="str">
        <f t="shared" si="3"/>
        <v/>
      </c>
      <c r="Z213" s="58" t="str">
        <f t="shared" si="4"/>
        <v/>
      </c>
      <c r="AA213" s="1"/>
      <c r="AB213" s="1"/>
      <c r="AC213" s="1"/>
      <c r="AD213" s="59"/>
      <c r="AE213" s="1"/>
      <c r="AF213" s="1"/>
      <c r="AG213" s="1"/>
    </row>
    <row r="214" spans="25:33" ht="14.4">
      <c r="Y214" s="58" t="str">
        <f t="shared" si="3"/>
        <v/>
      </c>
      <c r="Z214" s="58" t="str">
        <f t="shared" si="4"/>
        <v/>
      </c>
      <c r="AA214" s="1"/>
      <c r="AB214" s="1"/>
      <c r="AC214" s="1"/>
      <c r="AD214" s="59"/>
      <c r="AE214" s="1"/>
      <c r="AF214" s="1"/>
      <c r="AG214" s="1"/>
    </row>
    <row r="215" spans="25:33" ht="14.4">
      <c r="Y215" s="58" t="str">
        <f t="shared" si="3"/>
        <v/>
      </c>
      <c r="Z215" s="58" t="str">
        <f t="shared" si="4"/>
        <v/>
      </c>
      <c r="AA215" s="1"/>
      <c r="AB215" s="1"/>
      <c r="AC215" s="1"/>
      <c r="AD215" s="59"/>
      <c r="AE215" s="1"/>
      <c r="AF215" s="1"/>
      <c r="AG215" s="1"/>
    </row>
    <row r="216" spans="25:33" ht="14.4">
      <c r="Y216" s="58" t="str">
        <f t="shared" si="3"/>
        <v/>
      </c>
      <c r="Z216" s="58" t="str">
        <f t="shared" si="4"/>
        <v/>
      </c>
      <c r="AA216" s="1"/>
      <c r="AB216" s="1"/>
      <c r="AC216" s="1"/>
      <c r="AD216" s="59"/>
      <c r="AE216" s="1"/>
      <c r="AF216" s="1"/>
      <c r="AG216" s="1"/>
    </row>
    <row r="217" spans="25:33" ht="14.4">
      <c r="Y217" s="58" t="str">
        <f t="shared" si="3"/>
        <v/>
      </c>
      <c r="Z217" s="58" t="str">
        <f t="shared" si="4"/>
        <v/>
      </c>
      <c r="AA217" s="1"/>
      <c r="AB217" s="1"/>
      <c r="AC217" s="1"/>
      <c r="AD217" s="59"/>
      <c r="AE217" s="1"/>
      <c r="AF217" s="1"/>
      <c r="AG217" s="1"/>
    </row>
    <row r="218" spans="25:33" ht="14.4">
      <c r="Y218" s="58" t="str">
        <f t="shared" si="3"/>
        <v/>
      </c>
      <c r="Z218" s="58" t="str">
        <f t="shared" si="4"/>
        <v/>
      </c>
      <c r="AA218" s="1"/>
      <c r="AB218" s="1"/>
      <c r="AC218" s="1"/>
      <c r="AD218" s="59"/>
      <c r="AE218" s="1"/>
      <c r="AF218" s="1"/>
      <c r="AG218" s="1"/>
    </row>
    <row r="219" spans="25:33" ht="14.4">
      <c r="Y219" s="58" t="str">
        <f t="shared" si="3"/>
        <v/>
      </c>
      <c r="Z219" s="58" t="str">
        <f t="shared" si="4"/>
        <v/>
      </c>
      <c r="AA219" s="1"/>
      <c r="AB219" s="1"/>
      <c r="AC219" s="1"/>
      <c r="AD219" s="59"/>
      <c r="AE219" s="1"/>
      <c r="AF219" s="1"/>
      <c r="AG219" s="1"/>
    </row>
    <row r="220" spans="25:33" ht="14.4">
      <c r="Y220" s="58" t="str">
        <f t="shared" si="3"/>
        <v/>
      </c>
      <c r="Z220" s="58" t="str">
        <f t="shared" si="4"/>
        <v/>
      </c>
      <c r="AA220" s="1"/>
      <c r="AB220" s="1"/>
      <c r="AC220" s="1"/>
      <c r="AD220" s="59"/>
      <c r="AE220" s="1"/>
      <c r="AF220" s="1"/>
      <c r="AG220" s="1"/>
    </row>
    <row r="221" spans="25:33" ht="14.4">
      <c r="Y221" s="58" t="str">
        <f t="shared" si="3"/>
        <v/>
      </c>
      <c r="Z221" s="58" t="str">
        <f t="shared" si="4"/>
        <v/>
      </c>
      <c r="AA221" s="1"/>
      <c r="AB221" s="1"/>
      <c r="AC221" s="1"/>
      <c r="AD221" s="59"/>
      <c r="AE221" s="1"/>
      <c r="AF221" s="1"/>
      <c r="AG221" s="1"/>
    </row>
    <row r="222" spans="25:33" ht="14.4">
      <c r="Y222" s="58" t="str">
        <f t="shared" si="3"/>
        <v/>
      </c>
      <c r="Z222" s="58" t="str">
        <f t="shared" si="4"/>
        <v/>
      </c>
      <c r="AA222" s="1"/>
      <c r="AB222" s="1"/>
      <c r="AC222" s="1"/>
      <c r="AD222" s="59"/>
      <c r="AE222" s="1"/>
      <c r="AF222" s="1"/>
      <c r="AG222" s="1"/>
    </row>
    <row r="223" spans="25:33" ht="14.4">
      <c r="Y223" s="58" t="str">
        <f t="shared" si="3"/>
        <v/>
      </c>
      <c r="Z223" s="58" t="str">
        <f t="shared" si="4"/>
        <v/>
      </c>
      <c r="AA223" s="1"/>
      <c r="AB223" s="1"/>
      <c r="AC223" s="1"/>
      <c r="AD223" s="59"/>
      <c r="AE223" s="1"/>
      <c r="AF223" s="1"/>
      <c r="AG223" s="1"/>
    </row>
    <row r="224" spans="25:33" ht="14.4">
      <c r="Y224" s="58" t="str">
        <f t="shared" si="3"/>
        <v/>
      </c>
      <c r="Z224" s="58" t="str">
        <f t="shared" si="4"/>
        <v/>
      </c>
      <c r="AA224" s="1"/>
      <c r="AB224" s="1"/>
      <c r="AC224" s="1"/>
      <c r="AD224" s="59"/>
      <c r="AE224" s="1"/>
      <c r="AF224" s="1"/>
      <c r="AG224" s="1"/>
    </row>
    <row r="225" spans="25:33" ht="14.4">
      <c r="Y225" s="58" t="str">
        <f t="shared" si="3"/>
        <v/>
      </c>
      <c r="Z225" s="58" t="str">
        <f t="shared" si="4"/>
        <v/>
      </c>
      <c r="AA225" s="1"/>
      <c r="AB225" s="1"/>
      <c r="AC225" s="1"/>
      <c r="AD225" s="59"/>
      <c r="AE225" s="1"/>
      <c r="AF225" s="1"/>
      <c r="AG225" s="1"/>
    </row>
    <row r="226" spans="25:33" ht="14.4">
      <c r="Y226" s="58" t="str">
        <f t="shared" si="3"/>
        <v/>
      </c>
      <c r="Z226" s="58" t="str">
        <f t="shared" si="4"/>
        <v/>
      </c>
      <c r="AA226" s="1"/>
      <c r="AB226" s="1"/>
      <c r="AC226" s="1"/>
      <c r="AD226" s="59"/>
      <c r="AE226" s="1"/>
      <c r="AF226" s="1"/>
      <c r="AG226" s="1"/>
    </row>
    <row r="227" spans="25:33" ht="14.4">
      <c r="Y227" s="58" t="str">
        <f t="shared" si="3"/>
        <v/>
      </c>
      <c r="Z227" s="58" t="str">
        <f t="shared" si="4"/>
        <v/>
      </c>
      <c r="AA227" s="1"/>
      <c r="AB227" s="1"/>
      <c r="AC227" s="1"/>
      <c r="AD227" s="59"/>
      <c r="AE227" s="1"/>
      <c r="AF227" s="1"/>
      <c r="AG227" s="1"/>
    </row>
    <row r="228" spans="25:33" ht="14.4">
      <c r="Y228" s="58" t="str">
        <f t="shared" si="3"/>
        <v/>
      </c>
      <c r="Z228" s="58" t="str">
        <f t="shared" si="4"/>
        <v/>
      </c>
      <c r="AA228" s="1"/>
      <c r="AB228" s="1"/>
      <c r="AC228" s="1"/>
      <c r="AD228" s="59"/>
      <c r="AE228" s="1"/>
      <c r="AF228" s="1"/>
      <c r="AG228" s="1"/>
    </row>
    <row r="229" spans="25:33" ht="14.4">
      <c r="Y229" s="58" t="str">
        <f t="shared" si="3"/>
        <v/>
      </c>
      <c r="Z229" s="58" t="str">
        <f t="shared" si="4"/>
        <v/>
      </c>
      <c r="AA229" s="1"/>
      <c r="AB229" s="1"/>
      <c r="AC229" s="1"/>
      <c r="AD229" s="59"/>
      <c r="AE229" s="1"/>
      <c r="AF229" s="1"/>
      <c r="AG229" s="1"/>
    </row>
    <row r="230" spans="25:33" ht="14.4">
      <c r="Y230" s="58" t="str">
        <f t="shared" si="3"/>
        <v/>
      </c>
      <c r="Z230" s="58" t="str">
        <f t="shared" si="4"/>
        <v/>
      </c>
      <c r="AA230" s="1"/>
      <c r="AB230" s="1"/>
      <c r="AC230" s="1"/>
      <c r="AD230" s="59"/>
      <c r="AE230" s="1"/>
      <c r="AF230" s="1"/>
      <c r="AG230" s="1"/>
    </row>
    <row r="231" spans="25:33" ht="14.4">
      <c r="Y231" s="58" t="str">
        <f t="shared" si="3"/>
        <v/>
      </c>
      <c r="Z231" s="58" t="str">
        <f t="shared" si="4"/>
        <v/>
      </c>
      <c r="AA231" s="1"/>
      <c r="AB231" s="1"/>
      <c r="AC231" s="1"/>
      <c r="AD231" s="59"/>
      <c r="AE231" s="1"/>
      <c r="AF231" s="1"/>
      <c r="AG231" s="1"/>
    </row>
    <row r="232" spans="25:33" ht="14.4">
      <c r="Y232" s="58" t="str">
        <f t="shared" si="3"/>
        <v/>
      </c>
      <c r="Z232" s="58" t="str">
        <f t="shared" si="4"/>
        <v/>
      </c>
      <c r="AA232" s="1"/>
      <c r="AB232" s="1"/>
      <c r="AC232" s="1"/>
      <c r="AD232" s="59"/>
      <c r="AE232" s="1"/>
      <c r="AF232" s="1"/>
      <c r="AG232" s="1"/>
    </row>
    <row r="233" spans="25:33" ht="14.4">
      <c r="Y233" s="58" t="str">
        <f t="shared" si="3"/>
        <v/>
      </c>
      <c r="Z233" s="58" t="str">
        <f t="shared" si="4"/>
        <v/>
      </c>
      <c r="AA233" s="1"/>
      <c r="AB233" s="1"/>
      <c r="AC233" s="1"/>
      <c r="AD233" s="59"/>
      <c r="AE233" s="1"/>
      <c r="AF233" s="1"/>
      <c r="AG233" s="1"/>
    </row>
    <row r="234" spans="25:33" ht="14.4">
      <c r="Y234" s="58" t="str">
        <f t="shared" si="3"/>
        <v/>
      </c>
      <c r="Z234" s="58" t="str">
        <f t="shared" si="4"/>
        <v/>
      </c>
      <c r="AA234" s="1"/>
      <c r="AB234" s="1"/>
      <c r="AC234" s="1"/>
      <c r="AD234" s="59"/>
      <c r="AE234" s="1"/>
      <c r="AF234" s="1"/>
      <c r="AG234" s="1"/>
    </row>
    <row r="235" spans="25:33" ht="14.4">
      <c r="Y235" s="58" t="str">
        <f t="shared" si="3"/>
        <v/>
      </c>
      <c r="Z235" s="58" t="str">
        <f t="shared" si="4"/>
        <v/>
      </c>
      <c r="AA235" s="1"/>
      <c r="AB235" s="1"/>
      <c r="AC235" s="1"/>
      <c r="AD235" s="59"/>
      <c r="AE235" s="1"/>
      <c r="AF235" s="1"/>
      <c r="AG235" s="1"/>
    </row>
    <row r="236" spans="25:33" ht="14.4">
      <c r="Y236" s="58" t="str">
        <f t="shared" si="3"/>
        <v/>
      </c>
      <c r="Z236" s="58" t="str">
        <f t="shared" si="4"/>
        <v/>
      </c>
      <c r="AA236" s="1"/>
      <c r="AB236" s="1"/>
      <c r="AC236" s="1"/>
      <c r="AD236" s="59"/>
      <c r="AE236" s="1"/>
      <c r="AF236" s="1"/>
      <c r="AG236" s="1"/>
    </row>
    <row r="237" spans="25:33" ht="14.4">
      <c r="Y237" s="58" t="str">
        <f t="shared" si="3"/>
        <v/>
      </c>
      <c r="Z237" s="58" t="str">
        <f t="shared" si="4"/>
        <v/>
      </c>
      <c r="AA237" s="1"/>
      <c r="AB237" s="1"/>
      <c r="AC237" s="1"/>
      <c r="AD237" s="59"/>
      <c r="AE237" s="1"/>
      <c r="AF237" s="1"/>
      <c r="AG237" s="1"/>
    </row>
    <row r="238" spans="25:33" ht="14.4">
      <c r="Y238" s="58" t="str">
        <f t="shared" si="3"/>
        <v/>
      </c>
      <c r="Z238" s="58" t="str">
        <f t="shared" si="4"/>
        <v/>
      </c>
      <c r="AA238" s="1"/>
      <c r="AB238" s="1"/>
      <c r="AC238" s="1"/>
      <c r="AD238" s="59"/>
      <c r="AE238" s="1"/>
      <c r="AF238" s="1"/>
      <c r="AG238" s="1"/>
    </row>
    <row r="239" spans="25:33" ht="14.4">
      <c r="Y239" s="58" t="str">
        <f t="shared" si="3"/>
        <v/>
      </c>
      <c r="Z239" s="58" t="str">
        <f t="shared" si="4"/>
        <v/>
      </c>
      <c r="AA239" s="1"/>
      <c r="AB239" s="1"/>
      <c r="AC239" s="1"/>
      <c r="AD239" s="59"/>
      <c r="AE239" s="1"/>
      <c r="AF239" s="1"/>
      <c r="AG239" s="1"/>
    </row>
    <row r="240" spans="25:33" ht="14.4">
      <c r="Y240" s="58" t="str">
        <f t="shared" si="3"/>
        <v/>
      </c>
      <c r="Z240" s="58" t="str">
        <f t="shared" si="4"/>
        <v/>
      </c>
      <c r="AA240" s="1"/>
      <c r="AB240" s="1"/>
      <c r="AC240" s="1"/>
      <c r="AD240" s="59"/>
      <c r="AE240" s="1"/>
      <c r="AF240" s="1"/>
      <c r="AG240" s="1"/>
    </row>
    <row r="241" spans="25:33" ht="14.4">
      <c r="Y241" s="58" t="str">
        <f t="shared" si="3"/>
        <v/>
      </c>
      <c r="Z241" s="58" t="str">
        <f t="shared" si="4"/>
        <v/>
      </c>
      <c r="AA241" s="1"/>
      <c r="AB241" s="1"/>
      <c r="AC241" s="1"/>
      <c r="AD241" s="59"/>
      <c r="AE241" s="1"/>
      <c r="AF241" s="1"/>
      <c r="AG241" s="1"/>
    </row>
    <row r="242" spans="25:33" ht="14.4">
      <c r="Y242" s="58" t="str">
        <f t="shared" si="3"/>
        <v/>
      </c>
      <c r="Z242" s="58" t="str">
        <f t="shared" si="4"/>
        <v/>
      </c>
      <c r="AA242" s="1"/>
      <c r="AB242" s="1"/>
      <c r="AC242" s="1"/>
      <c r="AD242" s="59"/>
      <c r="AE242" s="1"/>
      <c r="AF242" s="1"/>
      <c r="AG242" s="1"/>
    </row>
    <row r="243" spans="25:33" ht="14.4">
      <c r="Y243" s="58" t="str">
        <f t="shared" si="3"/>
        <v/>
      </c>
      <c r="Z243" s="58" t="str">
        <f t="shared" si="4"/>
        <v/>
      </c>
      <c r="AA243" s="1"/>
      <c r="AB243" s="1"/>
      <c r="AC243" s="1"/>
      <c r="AD243" s="59"/>
      <c r="AE243" s="1"/>
      <c r="AF243" s="1"/>
      <c r="AG243" s="1"/>
    </row>
    <row r="244" spans="25:33" ht="14.4">
      <c r="Y244" s="58" t="str">
        <f t="shared" si="3"/>
        <v/>
      </c>
      <c r="Z244" s="58" t="str">
        <f t="shared" si="4"/>
        <v/>
      </c>
      <c r="AA244" s="1"/>
      <c r="AB244" s="1"/>
      <c r="AC244" s="1"/>
      <c r="AD244" s="59"/>
      <c r="AE244" s="1"/>
      <c r="AF244" s="1"/>
      <c r="AG244" s="1"/>
    </row>
    <row r="245" spans="25:33" ht="14.4">
      <c r="Y245" s="58" t="str">
        <f t="shared" si="3"/>
        <v/>
      </c>
      <c r="Z245" s="58" t="str">
        <f t="shared" si="4"/>
        <v/>
      </c>
      <c r="AA245" s="1"/>
      <c r="AB245" s="1"/>
      <c r="AC245" s="1"/>
      <c r="AD245" s="59"/>
      <c r="AE245" s="1"/>
      <c r="AF245" s="1"/>
      <c r="AG245" s="1"/>
    </row>
    <row r="246" spans="25:33" ht="14.4">
      <c r="Y246" s="58" t="str">
        <f t="shared" si="3"/>
        <v/>
      </c>
      <c r="Z246" s="58" t="str">
        <f t="shared" si="4"/>
        <v/>
      </c>
      <c r="AA246" s="1"/>
      <c r="AB246" s="1"/>
      <c r="AC246" s="1"/>
      <c r="AD246" s="59"/>
      <c r="AE246" s="1"/>
      <c r="AF246" s="1"/>
      <c r="AG246" s="1"/>
    </row>
    <row r="247" spans="25:33" ht="14.4">
      <c r="Y247" s="58" t="str">
        <f t="shared" si="3"/>
        <v/>
      </c>
      <c r="Z247" s="58" t="str">
        <f t="shared" si="4"/>
        <v/>
      </c>
      <c r="AA247" s="1"/>
      <c r="AB247" s="1"/>
      <c r="AC247" s="1"/>
      <c r="AD247" s="59"/>
      <c r="AE247" s="1"/>
      <c r="AF247" s="1"/>
      <c r="AG247" s="1"/>
    </row>
    <row r="248" spans="25:33" ht="14.4">
      <c r="Y248" s="58" t="str">
        <f t="shared" si="3"/>
        <v/>
      </c>
      <c r="Z248" s="58" t="str">
        <f t="shared" si="4"/>
        <v/>
      </c>
      <c r="AA248" s="1"/>
      <c r="AB248" s="1"/>
      <c r="AC248" s="1"/>
      <c r="AD248" s="59"/>
      <c r="AE248" s="1"/>
      <c r="AF248" s="1"/>
      <c r="AG248" s="1"/>
    </row>
    <row r="249" spans="25:33" ht="14.4">
      <c r="Y249" s="58" t="str">
        <f t="shared" si="3"/>
        <v/>
      </c>
      <c r="Z249" s="58" t="str">
        <f t="shared" si="4"/>
        <v/>
      </c>
      <c r="AA249" s="1"/>
      <c r="AB249" s="1"/>
      <c r="AC249" s="1"/>
      <c r="AD249" s="59"/>
      <c r="AE249" s="1"/>
      <c r="AF249" s="1"/>
      <c r="AG249" s="1"/>
    </row>
    <row r="250" spans="25:33" ht="14.4">
      <c r="Y250" s="58" t="str">
        <f t="shared" si="3"/>
        <v/>
      </c>
      <c r="Z250" s="58" t="str">
        <f t="shared" si="4"/>
        <v/>
      </c>
      <c r="AA250" s="1"/>
      <c r="AB250" s="1"/>
      <c r="AC250" s="1"/>
      <c r="AD250" s="59"/>
      <c r="AE250" s="1"/>
      <c r="AF250" s="1"/>
      <c r="AG250" s="1"/>
    </row>
    <row r="251" spans="25:33" ht="14.4">
      <c r="Y251" s="58" t="str">
        <f t="shared" si="3"/>
        <v/>
      </c>
      <c r="Z251" s="58" t="str">
        <f t="shared" si="4"/>
        <v/>
      </c>
      <c r="AA251" s="1"/>
      <c r="AB251" s="1"/>
      <c r="AC251" s="1"/>
      <c r="AD251" s="59"/>
      <c r="AE251" s="1"/>
      <c r="AF251" s="1"/>
      <c r="AG251" s="1"/>
    </row>
    <row r="252" spans="25:33" ht="14.4">
      <c r="Y252" s="58" t="str">
        <f t="shared" si="3"/>
        <v/>
      </c>
      <c r="Z252" s="58" t="str">
        <f t="shared" si="4"/>
        <v/>
      </c>
      <c r="AA252" s="1"/>
      <c r="AB252" s="1"/>
      <c r="AC252" s="1"/>
      <c r="AD252" s="59"/>
      <c r="AE252" s="1"/>
      <c r="AF252" s="1"/>
      <c r="AG252" s="1"/>
    </row>
    <row r="253" spans="25:33" ht="14.4">
      <c r="Y253" s="58" t="str">
        <f t="shared" si="3"/>
        <v/>
      </c>
      <c r="Z253" s="58" t="str">
        <f t="shared" si="4"/>
        <v/>
      </c>
      <c r="AA253" s="1"/>
      <c r="AB253" s="1"/>
      <c r="AC253" s="1"/>
      <c r="AD253" s="59"/>
      <c r="AE253" s="1"/>
      <c r="AF253" s="1"/>
      <c r="AG253" s="1"/>
    </row>
    <row r="254" spans="25:33" ht="14.4">
      <c r="Y254" s="58" t="str">
        <f t="shared" si="3"/>
        <v/>
      </c>
      <c r="Z254" s="58" t="str">
        <f t="shared" si="4"/>
        <v/>
      </c>
      <c r="AA254" s="1"/>
      <c r="AB254" s="1"/>
      <c r="AC254" s="1"/>
      <c r="AD254" s="59"/>
      <c r="AE254" s="1"/>
      <c r="AF254" s="1"/>
      <c r="AG254" s="1"/>
    </row>
    <row r="255" spans="25:33" ht="14.4">
      <c r="Y255" s="58" t="str">
        <f t="shared" si="3"/>
        <v/>
      </c>
      <c r="Z255" s="58" t="str">
        <f t="shared" si="4"/>
        <v/>
      </c>
      <c r="AA255" s="1"/>
      <c r="AB255" s="1"/>
      <c r="AC255" s="1"/>
      <c r="AD255" s="59"/>
      <c r="AE255" s="1"/>
      <c r="AF255" s="1"/>
      <c r="AG255" s="1"/>
    </row>
    <row r="256" spans="25:33" ht="14.4">
      <c r="Y256" s="58" t="str">
        <f t="shared" si="3"/>
        <v/>
      </c>
      <c r="Z256" s="58" t="str">
        <f t="shared" si="4"/>
        <v/>
      </c>
      <c r="AA256" s="1"/>
      <c r="AB256" s="1"/>
      <c r="AC256" s="1"/>
      <c r="AD256" s="59"/>
      <c r="AE256" s="1"/>
      <c r="AF256" s="1"/>
      <c r="AG256" s="1"/>
    </row>
    <row r="257" spans="25:33" ht="14.4">
      <c r="Y257" s="58" t="str">
        <f t="shared" si="3"/>
        <v/>
      </c>
      <c r="Z257" s="58" t="str">
        <f t="shared" si="4"/>
        <v/>
      </c>
      <c r="AA257" s="1"/>
      <c r="AB257" s="1"/>
      <c r="AC257" s="1"/>
      <c r="AD257" s="59"/>
      <c r="AE257" s="1"/>
      <c r="AF257" s="1"/>
      <c r="AG257" s="1"/>
    </row>
    <row r="258" spans="25:33" ht="14.4">
      <c r="Y258" s="58" t="str">
        <f t="shared" si="3"/>
        <v/>
      </c>
      <c r="Z258" s="58" t="str">
        <f t="shared" si="4"/>
        <v/>
      </c>
      <c r="AA258" s="1"/>
      <c r="AB258" s="1"/>
      <c r="AC258" s="1"/>
      <c r="AD258" s="59"/>
      <c r="AE258" s="1"/>
      <c r="AF258" s="1"/>
      <c r="AG258" s="1"/>
    </row>
    <row r="259" spans="25:33" ht="14.4">
      <c r="Y259" s="58" t="str">
        <f t="shared" si="3"/>
        <v/>
      </c>
      <c r="Z259" s="58" t="str">
        <f t="shared" si="4"/>
        <v/>
      </c>
      <c r="AA259" s="1"/>
      <c r="AB259" s="1"/>
      <c r="AC259" s="1"/>
      <c r="AD259" s="59"/>
      <c r="AE259" s="1"/>
      <c r="AF259" s="1"/>
      <c r="AG259" s="1"/>
    </row>
    <row r="260" spans="25:33" ht="14.4">
      <c r="Y260" s="58" t="str">
        <f t="shared" si="3"/>
        <v/>
      </c>
      <c r="Z260" s="58" t="str">
        <f t="shared" si="4"/>
        <v/>
      </c>
      <c r="AA260" s="1"/>
      <c r="AB260" s="1"/>
      <c r="AC260" s="1"/>
      <c r="AD260" s="59"/>
      <c r="AE260" s="1"/>
      <c r="AF260" s="1"/>
      <c r="AG260" s="1"/>
    </row>
    <row r="261" spans="25:33" ht="14.4">
      <c r="Y261" s="58" t="str">
        <f t="shared" si="3"/>
        <v/>
      </c>
      <c r="Z261" s="58" t="str">
        <f t="shared" si="4"/>
        <v/>
      </c>
      <c r="AA261" s="1"/>
      <c r="AB261" s="1"/>
      <c r="AC261" s="1"/>
      <c r="AD261" s="59"/>
      <c r="AE261" s="1"/>
      <c r="AF261" s="1"/>
      <c r="AG261" s="1"/>
    </row>
    <row r="262" spans="25:33" ht="14.4">
      <c r="Y262" s="58" t="str">
        <f t="shared" si="3"/>
        <v/>
      </c>
      <c r="Z262" s="58" t="str">
        <f t="shared" si="4"/>
        <v/>
      </c>
      <c r="AA262" s="1"/>
      <c r="AB262" s="1"/>
      <c r="AC262" s="1"/>
      <c r="AD262" s="59"/>
      <c r="AE262" s="1"/>
      <c r="AF262" s="1"/>
      <c r="AG262" s="1"/>
    </row>
    <row r="263" spans="25:33" ht="14.4">
      <c r="Y263" s="58" t="str">
        <f t="shared" si="3"/>
        <v/>
      </c>
      <c r="Z263" s="58" t="str">
        <f t="shared" si="4"/>
        <v/>
      </c>
      <c r="AA263" s="1"/>
      <c r="AB263" s="1"/>
      <c r="AC263" s="1"/>
      <c r="AD263" s="59"/>
      <c r="AE263" s="1"/>
      <c r="AF263" s="1"/>
      <c r="AG263" s="1"/>
    </row>
    <row r="264" spans="25:33" ht="14.4">
      <c r="Y264" s="58" t="str">
        <f t="shared" si="3"/>
        <v/>
      </c>
      <c r="Z264" s="58" t="str">
        <f t="shared" si="4"/>
        <v/>
      </c>
      <c r="AA264" s="1"/>
      <c r="AB264" s="1"/>
      <c r="AC264" s="1"/>
      <c r="AD264" s="59"/>
      <c r="AE264" s="1"/>
      <c r="AF264" s="1"/>
      <c r="AG264" s="1"/>
    </row>
    <row r="265" spans="25:33" ht="14.4">
      <c r="Y265" s="58" t="str">
        <f t="shared" si="3"/>
        <v/>
      </c>
      <c r="Z265" s="58" t="str">
        <f t="shared" si="4"/>
        <v/>
      </c>
      <c r="AA265" s="1"/>
      <c r="AB265" s="1"/>
      <c r="AC265" s="1"/>
      <c r="AD265" s="59"/>
      <c r="AE265" s="1"/>
      <c r="AF265" s="1"/>
      <c r="AG265" s="1"/>
    </row>
    <row r="266" spans="25:33" ht="14.4">
      <c r="Y266" s="58" t="str">
        <f t="shared" si="3"/>
        <v/>
      </c>
      <c r="Z266" s="58" t="str">
        <f t="shared" si="4"/>
        <v/>
      </c>
      <c r="AA266" s="1"/>
      <c r="AB266" s="1"/>
      <c r="AC266" s="1"/>
      <c r="AD266" s="59"/>
      <c r="AE266" s="1"/>
      <c r="AF266" s="1"/>
      <c r="AG266" s="1"/>
    </row>
    <row r="267" spans="25:33" ht="14.4">
      <c r="Y267" s="58" t="str">
        <f t="shared" si="3"/>
        <v/>
      </c>
      <c r="Z267" s="58" t="str">
        <f t="shared" si="4"/>
        <v/>
      </c>
      <c r="AA267" s="1"/>
      <c r="AB267" s="1"/>
      <c r="AC267" s="1"/>
      <c r="AD267" s="59"/>
      <c r="AE267" s="1"/>
      <c r="AF267" s="1"/>
      <c r="AG267" s="1"/>
    </row>
    <row r="268" spans="25:33" ht="14.4">
      <c r="Y268" s="58" t="str">
        <f t="shared" si="3"/>
        <v/>
      </c>
      <c r="Z268" s="58" t="str">
        <f t="shared" si="4"/>
        <v/>
      </c>
      <c r="AA268" s="1"/>
      <c r="AB268" s="1"/>
      <c r="AC268" s="1"/>
      <c r="AD268" s="59"/>
      <c r="AE268" s="1"/>
      <c r="AF268" s="1"/>
      <c r="AG268" s="1"/>
    </row>
    <row r="269" spans="25:33" ht="14.4">
      <c r="Y269" s="58" t="str">
        <f t="shared" si="3"/>
        <v/>
      </c>
      <c r="Z269" s="58" t="str">
        <f t="shared" si="4"/>
        <v/>
      </c>
      <c r="AA269" s="1"/>
      <c r="AB269" s="1"/>
      <c r="AC269" s="1"/>
      <c r="AD269" s="59"/>
      <c r="AE269" s="1"/>
      <c r="AF269" s="1"/>
      <c r="AG269" s="1"/>
    </row>
    <row r="270" spans="25:33" ht="14.4">
      <c r="Y270" s="58" t="str">
        <f t="shared" si="3"/>
        <v/>
      </c>
      <c r="Z270" s="58" t="str">
        <f t="shared" si="4"/>
        <v/>
      </c>
      <c r="AA270" s="1"/>
      <c r="AB270" s="1"/>
      <c r="AC270" s="1"/>
      <c r="AD270" s="59"/>
      <c r="AE270" s="1"/>
      <c r="AF270" s="1"/>
      <c r="AG270" s="1"/>
    </row>
    <row r="271" spans="25:33" ht="14.4">
      <c r="Y271" s="58" t="str">
        <f t="shared" si="3"/>
        <v/>
      </c>
      <c r="Z271" s="58" t="str">
        <f t="shared" si="4"/>
        <v/>
      </c>
      <c r="AA271" s="1"/>
      <c r="AB271" s="1"/>
      <c r="AC271" s="1"/>
      <c r="AD271" s="59"/>
      <c r="AE271" s="1"/>
      <c r="AF271" s="1"/>
      <c r="AG271" s="1"/>
    </row>
    <row r="272" spans="25:33" ht="14.4">
      <c r="Y272" s="58" t="str">
        <f t="shared" si="3"/>
        <v/>
      </c>
      <c r="Z272" s="58" t="str">
        <f t="shared" si="4"/>
        <v/>
      </c>
      <c r="AA272" s="1"/>
      <c r="AB272" s="1"/>
      <c r="AC272" s="1"/>
      <c r="AD272" s="59"/>
      <c r="AE272" s="1"/>
      <c r="AF272" s="1"/>
      <c r="AG272" s="1"/>
    </row>
    <row r="273" spans="25:33" ht="14.4">
      <c r="Y273" s="58" t="str">
        <f t="shared" si="3"/>
        <v/>
      </c>
      <c r="Z273" s="58" t="str">
        <f t="shared" si="4"/>
        <v/>
      </c>
      <c r="AA273" s="1"/>
      <c r="AB273" s="1"/>
      <c r="AC273" s="1"/>
      <c r="AD273" s="59"/>
      <c r="AE273" s="1"/>
      <c r="AF273" s="1"/>
      <c r="AG273" s="1"/>
    </row>
    <row r="274" spans="25:33" ht="14.4">
      <c r="Y274" s="58" t="str">
        <f t="shared" ref="Y274:Y401" si="5">IF(AND(A274&lt;&gt;"",ISNUMBER(A274)),B274,"")</f>
        <v/>
      </c>
      <c r="Z274" s="58" t="str">
        <f t="shared" ref="Z274:Z401" si="6">IFERROR(RIGHT(Y274,LEN(Y274)-FIND(" ",Y274))&amp;" "&amp;LEFT(Y274,FIND(" ",Y274)-2),"")</f>
        <v/>
      </c>
      <c r="AA274" s="1"/>
      <c r="AB274" s="1"/>
      <c r="AC274" s="1"/>
      <c r="AD274" s="59"/>
      <c r="AE274" s="1"/>
      <c r="AF274" s="1"/>
      <c r="AG274" s="1"/>
    </row>
    <row r="275" spans="25:33" ht="14.4">
      <c r="Y275" s="58" t="str">
        <f t="shared" si="5"/>
        <v/>
      </c>
      <c r="Z275" s="58" t="str">
        <f t="shared" si="6"/>
        <v/>
      </c>
      <c r="AA275" s="1"/>
      <c r="AB275" s="1"/>
      <c r="AC275" s="1"/>
      <c r="AD275" s="59"/>
      <c r="AE275" s="1"/>
      <c r="AF275" s="1"/>
      <c r="AG275" s="1"/>
    </row>
    <row r="276" spans="25:33" ht="14.4">
      <c r="Y276" s="58" t="str">
        <f t="shared" si="5"/>
        <v/>
      </c>
      <c r="Z276" s="58" t="str">
        <f t="shared" si="6"/>
        <v/>
      </c>
      <c r="AA276" s="1"/>
      <c r="AB276" s="1"/>
      <c r="AC276" s="1"/>
      <c r="AD276" s="59"/>
      <c r="AE276" s="1"/>
      <c r="AF276" s="1"/>
      <c r="AG276" s="1"/>
    </row>
    <row r="277" spans="25:33" ht="14.4">
      <c r="Y277" s="58" t="str">
        <f t="shared" si="5"/>
        <v/>
      </c>
      <c r="Z277" s="58" t="str">
        <f t="shared" si="6"/>
        <v/>
      </c>
      <c r="AA277" s="1"/>
      <c r="AB277" s="1"/>
      <c r="AC277" s="1"/>
      <c r="AD277" s="59"/>
      <c r="AE277" s="1"/>
      <c r="AF277" s="1"/>
      <c r="AG277" s="1"/>
    </row>
    <row r="278" spans="25:33" ht="14.4">
      <c r="Y278" s="58" t="str">
        <f t="shared" si="5"/>
        <v/>
      </c>
      <c r="Z278" s="58" t="str">
        <f t="shared" si="6"/>
        <v/>
      </c>
      <c r="AA278" s="1"/>
      <c r="AB278" s="1"/>
      <c r="AC278" s="1"/>
      <c r="AD278" s="59"/>
      <c r="AE278" s="1"/>
      <c r="AF278" s="1"/>
      <c r="AG278" s="1"/>
    </row>
    <row r="279" spans="25:33" ht="14.4">
      <c r="Y279" s="58" t="str">
        <f t="shared" si="5"/>
        <v/>
      </c>
      <c r="Z279" s="58" t="str">
        <f t="shared" si="6"/>
        <v/>
      </c>
      <c r="AA279" s="1"/>
      <c r="AB279" s="1"/>
      <c r="AC279" s="1"/>
      <c r="AD279" s="59"/>
      <c r="AE279" s="1"/>
      <c r="AF279" s="1"/>
      <c r="AG279" s="1"/>
    </row>
    <row r="280" spans="25:33" ht="14.4">
      <c r="Y280" s="58" t="str">
        <f t="shared" si="5"/>
        <v/>
      </c>
      <c r="Z280" s="58" t="str">
        <f t="shared" si="6"/>
        <v/>
      </c>
      <c r="AA280" s="1"/>
      <c r="AB280" s="1"/>
      <c r="AC280" s="1"/>
      <c r="AD280" s="59"/>
      <c r="AE280" s="1"/>
      <c r="AF280" s="1"/>
      <c r="AG280" s="1"/>
    </row>
    <row r="281" spans="25:33" ht="14.4">
      <c r="Y281" s="58" t="str">
        <f t="shared" si="5"/>
        <v/>
      </c>
      <c r="Z281" s="58" t="str">
        <f t="shared" si="6"/>
        <v/>
      </c>
      <c r="AA281" s="1"/>
      <c r="AB281" s="1"/>
      <c r="AC281" s="1"/>
      <c r="AD281" s="59"/>
      <c r="AE281" s="1"/>
      <c r="AF281" s="1"/>
      <c r="AG281" s="1"/>
    </row>
    <row r="282" spans="25:33" ht="14.4">
      <c r="Y282" s="58" t="str">
        <f t="shared" si="5"/>
        <v/>
      </c>
      <c r="Z282" s="58" t="str">
        <f t="shared" si="6"/>
        <v/>
      </c>
      <c r="AA282" s="1"/>
      <c r="AB282" s="1"/>
      <c r="AC282" s="1"/>
      <c r="AD282" s="59"/>
      <c r="AE282" s="1"/>
      <c r="AF282" s="1"/>
      <c r="AG282" s="1"/>
    </row>
    <row r="283" spans="25:33" ht="14.4">
      <c r="Y283" s="58" t="str">
        <f t="shared" si="5"/>
        <v/>
      </c>
      <c r="Z283" s="58" t="str">
        <f t="shared" si="6"/>
        <v/>
      </c>
      <c r="AA283" s="1"/>
      <c r="AB283" s="1"/>
      <c r="AC283" s="1"/>
      <c r="AD283" s="59"/>
      <c r="AE283" s="1"/>
      <c r="AF283" s="1"/>
      <c r="AG283" s="1"/>
    </row>
    <row r="284" spans="25:33" ht="14.4">
      <c r="Y284" s="58" t="str">
        <f t="shared" si="5"/>
        <v/>
      </c>
      <c r="Z284" s="58" t="str">
        <f t="shared" si="6"/>
        <v/>
      </c>
      <c r="AA284" s="1"/>
      <c r="AB284" s="1"/>
      <c r="AC284" s="1"/>
      <c r="AD284" s="59"/>
      <c r="AE284" s="1"/>
      <c r="AF284" s="1"/>
      <c r="AG284" s="1"/>
    </row>
    <row r="285" spans="25:33" ht="14.4">
      <c r="Y285" s="58" t="str">
        <f t="shared" si="5"/>
        <v/>
      </c>
      <c r="Z285" s="58" t="str">
        <f t="shared" si="6"/>
        <v/>
      </c>
      <c r="AA285" s="1"/>
      <c r="AB285" s="1"/>
      <c r="AC285" s="1"/>
      <c r="AD285" s="59"/>
      <c r="AE285" s="1"/>
      <c r="AF285" s="1"/>
      <c r="AG285" s="1"/>
    </row>
    <row r="286" spans="25:33" ht="14.4">
      <c r="Y286" s="58" t="str">
        <f t="shared" si="5"/>
        <v/>
      </c>
      <c r="Z286" s="58" t="str">
        <f t="shared" si="6"/>
        <v/>
      </c>
      <c r="AA286" s="1"/>
      <c r="AB286" s="1"/>
      <c r="AC286" s="1"/>
      <c r="AD286" s="59"/>
      <c r="AE286" s="1"/>
      <c r="AF286" s="1"/>
      <c r="AG286" s="1"/>
    </row>
    <row r="287" spans="25:33" ht="14.4">
      <c r="Y287" s="58" t="str">
        <f t="shared" si="5"/>
        <v/>
      </c>
      <c r="Z287" s="58" t="str">
        <f t="shared" si="6"/>
        <v/>
      </c>
      <c r="AA287" s="1"/>
      <c r="AB287" s="1"/>
      <c r="AC287" s="1"/>
      <c r="AD287" s="59"/>
      <c r="AE287" s="1"/>
      <c r="AF287" s="1"/>
      <c r="AG287" s="1"/>
    </row>
    <row r="288" spans="25:33" ht="14.4">
      <c r="Y288" s="58" t="str">
        <f t="shared" si="5"/>
        <v/>
      </c>
      <c r="Z288" s="58" t="str">
        <f t="shared" si="6"/>
        <v/>
      </c>
      <c r="AA288" s="1"/>
      <c r="AB288" s="1"/>
      <c r="AC288" s="1"/>
      <c r="AD288" s="59"/>
      <c r="AE288" s="1"/>
      <c r="AF288" s="1"/>
      <c r="AG288" s="1"/>
    </row>
    <row r="289" spans="25:33" ht="14.4">
      <c r="Y289" s="58" t="str">
        <f t="shared" si="5"/>
        <v/>
      </c>
      <c r="Z289" s="58" t="str">
        <f t="shared" si="6"/>
        <v/>
      </c>
      <c r="AA289" s="1"/>
      <c r="AB289" s="1"/>
      <c r="AC289" s="1"/>
      <c r="AD289" s="59"/>
      <c r="AE289" s="1"/>
      <c r="AF289" s="1"/>
      <c r="AG289" s="1"/>
    </row>
    <row r="290" spans="25:33" ht="14.4">
      <c r="Y290" s="58" t="str">
        <f t="shared" si="5"/>
        <v/>
      </c>
      <c r="Z290" s="58" t="str">
        <f t="shared" si="6"/>
        <v/>
      </c>
      <c r="AA290" s="1"/>
      <c r="AB290" s="1"/>
      <c r="AC290" s="1"/>
      <c r="AD290" s="59"/>
      <c r="AE290" s="1"/>
      <c r="AF290" s="1"/>
      <c r="AG290" s="1"/>
    </row>
    <row r="291" spans="25:33" ht="14.4">
      <c r="Y291" s="58" t="str">
        <f t="shared" si="5"/>
        <v/>
      </c>
      <c r="Z291" s="58" t="str">
        <f t="shared" si="6"/>
        <v/>
      </c>
      <c r="AA291" s="1"/>
      <c r="AB291" s="1"/>
      <c r="AC291" s="1"/>
      <c r="AD291" s="59"/>
      <c r="AE291" s="1"/>
      <c r="AF291" s="1"/>
      <c r="AG291" s="1"/>
    </row>
    <row r="292" spans="25:33" ht="14.4">
      <c r="Y292" s="58" t="str">
        <f t="shared" si="5"/>
        <v/>
      </c>
      <c r="Z292" s="58" t="str">
        <f t="shared" si="6"/>
        <v/>
      </c>
      <c r="AA292" s="1"/>
      <c r="AB292" s="1"/>
      <c r="AC292" s="1"/>
      <c r="AD292" s="59"/>
      <c r="AE292" s="1"/>
      <c r="AF292" s="1"/>
      <c r="AG292" s="1"/>
    </row>
    <row r="293" spans="25:33" ht="14.4">
      <c r="Y293" s="58" t="str">
        <f t="shared" si="5"/>
        <v/>
      </c>
      <c r="Z293" s="58" t="str">
        <f t="shared" si="6"/>
        <v/>
      </c>
      <c r="AA293" s="1"/>
      <c r="AB293" s="1"/>
      <c r="AC293" s="1"/>
      <c r="AD293" s="59"/>
      <c r="AE293" s="1"/>
      <c r="AF293" s="1"/>
      <c r="AG293" s="1"/>
    </row>
    <row r="294" spans="25:33" ht="14.4">
      <c r="Y294" s="58" t="str">
        <f t="shared" si="5"/>
        <v/>
      </c>
      <c r="Z294" s="58" t="str">
        <f t="shared" si="6"/>
        <v/>
      </c>
      <c r="AA294" s="1"/>
      <c r="AB294" s="1"/>
      <c r="AC294" s="1"/>
      <c r="AD294" s="59"/>
      <c r="AE294" s="1"/>
      <c r="AF294" s="1"/>
      <c r="AG294" s="1"/>
    </row>
    <row r="295" spans="25:33" ht="14.4">
      <c r="Y295" s="58" t="str">
        <f t="shared" si="5"/>
        <v/>
      </c>
      <c r="Z295" s="58" t="str">
        <f t="shared" si="6"/>
        <v/>
      </c>
      <c r="AA295" s="1"/>
      <c r="AB295" s="1"/>
      <c r="AC295" s="1"/>
      <c r="AD295" s="59"/>
      <c r="AE295" s="1"/>
      <c r="AF295" s="1"/>
      <c r="AG295" s="1"/>
    </row>
    <row r="296" spans="25:33" ht="14.4">
      <c r="Y296" s="58" t="str">
        <f t="shared" si="5"/>
        <v/>
      </c>
      <c r="Z296" s="58" t="str">
        <f t="shared" si="6"/>
        <v/>
      </c>
      <c r="AA296" s="1"/>
      <c r="AB296" s="1"/>
      <c r="AC296" s="1"/>
      <c r="AD296" s="59"/>
      <c r="AE296" s="1"/>
      <c r="AF296" s="1"/>
      <c r="AG296" s="1"/>
    </row>
    <row r="297" spans="25:33" ht="14.4">
      <c r="Y297" s="58" t="str">
        <f t="shared" si="5"/>
        <v/>
      </c>
      <c r="Z297" s="58" t="str">
        <f t="shared" si="6"/>
        <v/>
      </c>
      <c r="AA297" s="1"/>
      <c r="AB297" s="1"/>
      <c r="AC297" s="1"/>
      <c r="AD297" s="59"/>
      <c r="AE297" s="1"/>
      <c r="AF297" s="1"/>
      <c r="AG297" s="1"/>
    </row>
    <row r="298" spans="25:33" ht="14.4">
      <c r="Y298" s="58" t="str">
        <f t="shared" si="5"/>
        <v/>
      </c>
      <c r="Z298" s="58" t="str">
        <f t="shared" si="6"/>
        <v/>
      </c>
      <c r="AA298" s="1"/>
      <c r="AB298" s="1"/>
      <c r="AC298" s="1"/>
      <c r="AD298" s="59"/>
      <c r="AE298" s="1"/>
      <c r="AF298" s="1"/>
      <c r="AG298" s="1"/>
    </row>
    <row r="299" spans="25:33" ht="14.4">
      <c r="Y299" s="58" t="str">
        <f t="shared" si="5"/>
        <v/>
      </c>
      <c r="Z299" s="58" t="str">
        <f t="shared" si="6"/>
        <v/>
      </c>
      <c r="AA299" s="1"/>
      <c r="AB299" s="1"/>
      <c r="AC299" s="1"/>
      <c r="AD299" s="59"/>
      <c r="AE299" s="1"/>
      <c r="AF299" s="1"/>
      <c r="AG299" s="1"/>
    </row>
    <row r="300" spans="25:33" ht="14.4">
      <c r="Y300" s="58" t="str">
        <f t="shared" si="5"/>
        <v/>
      </c>
      <c r="Z300" s="58" t="str">
        <f t="shared" si="6"/>
        <v/>
      </c>
      <c r="AA300" s="1"/>
      <c r="AB300" s="1"/>
      <c r="AC300" s="1"/>
      <c r="AD300" s="59"/>
      <c r="AE300" s="1"/>
      <c r="AF300" s="1"/>
      <c r="AG300" s="1"/>
    </row>
    <row r="301" spans="25:33" ht="14.4">
      <c r="Y301" s="58" t="str">
        <f t="shared" si="5"/>
        <v/>
      </c>
      <c r="Z301" s="58" t="str">
        <f t="shared" si="6"/>
        <v/>
      </c>
      <c r="AA301" s="1"/>
      <c r="AB301" s="1"/>
      <c r="AC301" s="1"/>
      <c r="AD301" s="59"/>
      <c r="AE301" s="1"/>
      <c r="AF301" s="1"/>
      <c r="AG301" s="1"/>
    </row>
    <row r="302" spans="25:33" ht="14.4">
      <c r="Y302" s="58" t="str">
        <f t="shared" si="5"/>
        <v/>
      </c>
      <c r="Z302" s="58" t="str">
        <f t="shared" si="6"/>
        <v/>
      </c>
      <c r="AA302" s="1"/>
      <c r="AB302" s="1"/>
      <c r="AC302" s="1"/>
      <c r="AD302" s="59"/>
      <c r="AE302" s="1"/>
      <c r="AF302" s="1"/>
      <c r="AG302" s="1"/>
    </row>
    <row r="303" spans="25:33" ht="14.4">
      <c r="Y303" s="58" t="str">
        <f t="shared" si="5"/>
        <v/>
      </c>
      <c r="Z303" s="58" t="str">
        <f t="shared" si="6"/>
        <v/>
      </c>
      <c r="AA303" s="1"/>
      <c r="AB303" s="1"/>
      <c r="AC303" s="1"/>
      <c r="AD303" s="59"/>
      <c r="AE303" s="1"/>
      <c r="AF303" s="1"/>
      <c r="AG303" s="1"/>
    </row>
    <row r="304" spans="25:33" ht="14.4">
      <c r="Y304" s="58" t="str">
        <f t="shared" si="5"/>
        <v/>
      </c>
      <c r="Z304" s="58" t="str">
        <f t="shared" si="6"/>
        <v/>
      </c>
      <c r="AA304" s="1"/>
      <c r="AB304" s="1"/>
      <c r="AC304" s="1"/>
      <c r="AD304" s="59"/>
      <c r="AE304" s="1"/>
      <c r="AF304" s="1"/>
      <c r="AG304" s="1"/>
    </row>
    <row r="305" spans="25:33" ht="14.4">
      <c r="Y305" s="58" t="str">
        <f t="shared" si="5"/>
        <v/>
      </c>
      <c r="Z305" s="58" t="str">
        <f t="shared" si="6"/>
        <v/>
      </c>
      <c r="AA305" s="1"/>
      <c r="AB305" s="1"/>
      <c r="AC305" s="1"/>
      <c r="AD305" s="59"/>
      <c r="AE305" s="1"/>
      <c r="AF305" s="1"/>
      <c r="AG305" s="1"/>
    </row>
    <row r="306" spans="25:33" ht="14.4">
      <c r="Y306" s="58" t="str">
        <f t="shared" si="5"/>
        <v/>
      </c>
      <c r="Z306" s="58" t="str">
        <f t="shared" si="6"/>
        <v/>
      </c>
      <c r="AA306" s="1"/>
      <c r="AB306" s="1"/>
      <c r="AC306" s="1"/>
      <c r="AD306" s="59"/>
      <c r="AE306" s="1"/>
      <c r="AF306" s="1"/>
      <c r="AG306" s="1"/>
    </row>
    <row r="307" spans="25:33" ht="14.4">
      <c r="Y307" s="58" t="str">
        <f t="shared" si="5"/>
        <v/>
      </c>
      <c r="Z307" s="58" t="str">
        <f t="shared" si="6"/>
        <v/>
      </c>
      <c r="AA307" s="1"/>
      <c r="AB307" s="1"/>
      <c r="AC307" s="1"/>
      <c r="AD307" s="59"/>
      <c r="AE307" s="1"/>
      <c r="AF307" s="1"/>
      <c r="AG307" s="1"/>
    </row>
    <row r="308" spans="25:33" ht="14.4">
      <c r="Y308" s="58" t="str">
        <f t="shared" si="5"/>
        <v/>
      </c>
      <c r="Z308" s="58" t="str">
        <f t="shared" si="6"/>
        <v/>
      </c>
      <c r="AA308" s="1"/>
      <c r="AB308" s="1"/>
      <c r="AC308" s="1"/>
      <c r="AD308" s="59"/>
      <c r="AE308" s="1"/>
      <c r="AF308" s="1"/>
      <c r="AG308" s="1"/>
    </row>
    <row r="309" spans="25:33" ht="14.4">
      <c r="Y309" s="58" t="str">
        <f t="shared" si="5"/>
        <v/>
      </c>
      <c r="Z309" s="58" t="str">
        <f t="shared" si="6"/>
        <v/>
      </c>
      <c r="AA309" s="1"/>
      <c r="AB309" s="1"/>
      <c r="AC309" s="1"/>
      <c r="AD309" s="59"/>
      <c r="AE309" s="1"/>
      <c r="AF309" s="1"/>
      <c r="AG309" s="1"/>
    </row>
    <row r="310" spans="25:33" ht="14.4">
      <c r="Y310" s="58" t="str">
        <f t="shared" si="5"/>
        <v/>
      </c>
      <c r="Z310" s="58" t="str">
        <f t="shared" si="6"/>
        <v/>
      </c>
      <c r="AA310" s="1"/>
      <c r="AB310" s="1"/>
      <c r="AC310" s="1"/>
      <c r="AD310" s="59"/>
      <c r="AE310" s="1"/>
      <c r="AF310" s="1"/>
      <c r="AG310" s="1"/>
    </row>
    <row r="311" spans="25:33" ht="14.4">
      <c r="Y311" s="58" t="str">
        <f t="shared" si="5"/>
        <v/>
      </c>
      <c r="Z311" s="58" t="str">
        <f t="shared" si="6"/>
        <v/>
      </c>
      <c r="AA311" s="1"/>
      <c r="AB311" s="1"/>
      <c r="AC311" s="1"/>
      <c r="AD311" s="59"/>
      <c r="AE311" s="1"/>
      <c r="AF311" s="1"/>
      <c r="AG311" s="1"/>
    </row>
    <row r="312" spans="25:33" ht="14.4">
      <c r="Y312" s="58" t="str">
        <f t="shared" si="5"/>
        <v/>
      </c>
      <c r="Z312" s="58" t="str">
        <f t="shared" si="6"/>
        <v/>
      </c>
      <c r="AA312" s="1"/>
      <c r="AB312" s="1"/>
      <c r="AC312" s="1"/>
      <c r="AD312" s="59"/>
      <c r="AE312" s="1"/>
      <c r="AF312" s="1"/>
      <c r="AG312" s="1"/>
    </row>
    <row r="313" spans="25:33" ht="14.4">
      <c r="Y313" s="58" t="str">
        <f t="shared" si="5"/>
        <v/>
      </c>
      <c r="Z313" s="58" t="str">
        <f t="shared" si="6"/>
        <v/>
      </c>
      <c r="AA313" s="1"/>
      <c r="AB313" s="1"/>
      <c r="AC313" s="1"/>
      <c r="AD313" s="59"/>
      <c r="AE313" s="1"/>
      <c r="AF313" s="1"/>
      <c r="AG313" s="1"/>
    </row>
    <row r="314" spans="25:33" ht="14.4">
      <c r="Y314" s="58" t="str">
        <f t="shared" si="5"/>
        <v/>
      </c>
      <c r="Z314" s="58" t="str">
        <f t="shared" si="6"/>
        <v/>
      </c>
      <c r="AA314" s="1"/>
      <c r="AB314" s="1"/>
      <c r="AC314" s="1"/>
      <c r="AD314" s="59"/>
      <c r="AE314" s="1"/>
      <c r="AF314" s="1"/>
      <c r="AG314" s="1"/>
    </row>
    <row r="315" spans="25:33" ht="14.4">
      <c r="Y315" s="58" t="str">
        <f t="shared" si="5"/>
        <v/>
      </c>
      <c r="Z315" s="58" t="str">
        <f t="shared" si="6"/>
        <v/>
      </c>
      <c r="AA315" s="1"/>
      <c r="AB315" s="1"/>
      <c r="AC315" s="1"/>
      <c r="AD315" s="59"/>
      <c r="AE315" s="1"/>
      <c r="AF315" s="1"/>
      <c r="AG315" s="1"/>
    </row>
    <row r="316" spans="25:33" ht="14.4">
      <c r="Y316" s="58" t="str">
        <f t="shared" si="5"/>
        <v/>
      </c>
      <c r="Z316" s="58" t="str">
        <f t="shared" si="6"/>
        <v/>
      </c>
      <c r="AA316" s="1"/>
      <c r="AB316" s="1"/>
      <c r="AC316" s="1"/>
      <c r="AD316" s="59"/>
      <c r="AE316" s="1"/>
      <c r="AF316" s="1"/>
      <c r="AG316" s="1"/>
    </row>
    <row r="317" spans="25:33" ht="14.4">
      <c r="Y317" s="58" t="str">
        <f t="shared" si="5"/>
        <v/>
      </c>
      <c r="Z317" s="58" t="str">
        <f t="shared" si="6"/>
        <v/>
      </c>
      <c r="AA317" s="1"/>
      <c r="AB317" s="1"/>
      <c r="AC317" s="1"/>
      <c r="AD317" s="59"/>
      <c r="AE317" s="1"/>
      <c r="AF317" s="1"/>
      <c r="AG317" s="1"/>
    </row>
    <row r="318" spans="25:33" ht="14.4">
      <c r="Y318" s="58" t="str">
        <f t="shared" si="5"/>
        <v/>
      </c>
      <c r="Z318" s="58" t="str">
        <f t="shared" si="6"/>
        <v/>
      </c>
      <c r="AA318" s="1"/>
      <c r="AB318" s="1"/>
      <c r="AC318" s="1"/>
      <c r="AD318" s="59"/>
      <c r="AE318" s="1"/>
      <c r="AF318" s="1"/>
      <c r="AG318" s="1"/>
    </row>
    <row r="319" spans="25:33" ht="14.4">
      <c r="Y319" s="58" t="str">
        <f t="shared" si="5"/>
        <v/>
      </c>
      <c r="Z319" s="58" t="str">
        <f t="shared" si="6"/>
        <v/>
      </c>
      <c r="AA319" s="1"/>
      <c r="AB319" s="1"/>
      <c r="AC319" s="1"/>
      <c r="AD319" s="59"/>
      <c r="AE319" s="1"/>
      <c r="AF319" s="1"/>
      <c r="AG319" s="1"/>
    </row>
    <row r="320" spans="25:33" ht="14.4">
      <c r="Y320" s="58" t="str">
        <f t="shared" si="5"/>
        <v/>
      </c>
      <c r="Z320" s="58" t="str">
        <f t="shared" si="6"/>
        <v/>
      </c>
      <c r="AA320" s="1"/>
      <c r="AB320" s="1"/>
      <c r="AC320" s="1"/>
      <c r="AD320" s="59"/>
      <c r="AE320" s="1"/>
      <c r="AF320" s="1"/>
      <c r="AG320" s="1"/>
    </row>
    <row r="321" spans="25:33" ht="14.4">
      <c r="Y321" s="58" t="str">
        <f t="shared" si="5"/>
        <v/>
      </c>
      <c r="Z321" s="58" t="str">
        <f t="shared" si="6"/>
        <v/>
      </c>
      <c r="AA321" s="1"/>
      <c r="AB321" s="1"/>
      <c r="AC321" s="1"/>
      <c r="AD321" s="59"/>
      <c r="AE321" s="1"/>
      <c r="AF321" s="1"/>
      <c r="AG321" s="1"/>
    </row>
    <row r="322" spans="25:33" ht="14.4">
      <c r="Y322" s="58" t="str">
        <f t="shared" si="5"/>
        <v/>
      </c>
      <c r="Z322" s="58" t="str">
        <f t="shared" si="6"/>
        <v/>
      </c>
      <c r="AA322" s="1"/>
      <c r="AB322" s="1"/>
      <c r="AC322" s="1"/>
      <c r="AD322" s="59"/>
      <c r="AE322" s="1"/>
      <c r="AF322" s="1"/>
      <c r="AG322" s="1"/>
    </row>
    <row r="323" spans="25:33" ht="14.4">
      <c r="Y323" s="58" t="str">
        <f t="shared" si="5"/>
        <v/>
      </c>
      <c r="Z323" s="58" t="str">
        <f t="shared" si="6"/>
        <v/>
      </c>
      <c r="AA323" s="1"/>
      <c r="AB323" s="1"/>
      <c r="AC323" s="1"/>
      <c r="AD323" s="59"/>
      <c r="AE323" s="1"/>
      <c r="AF323" s="1"/>
      <c r="AG323" s="1"/>
    </row>
    <row r="324" spans="25:33" ht="14.4">
      <c r="Y324" s="58" t="str">
        <f t="shared" si="5"/>
        <v/>
      </c>
      <c r="Z324" s="58" t="str">
        <f t="shared" si="6"/>
        <v/>
      </c>
      <c r="AA324" s="1"/>
      <c r="AB324" s="1"/>
      <c r="AC324" s="1"/>
      <c r="AD324" s="59"/>
      <c r="AE324" s="1"/>
      <c r="AF324" s="1"/>
      <c r="AG324" s="1"/>
    </row>
    <row r="325" spans="25:33" ht="14.4">
      <c r="Y325" s="58" t="str">
        <f t="shared" si="5"/>
        <v/>
      </c>
      <c r="Z325" s="58" t="str">
        <f t="shared" si="6"/>
        <v/>
      </c>
      <c r="AA325" s="1"/>
      <c r="AB325" s="1"/>
      <c r="AC325" s="1"/>
      <c r="AD325" s="59"/>
      <c r="AE325" s="1"/>
      <c r="AF325" s="1"/>
      <c r="AG325" s="1"/>
    </row>
    <row r="326" spans="25:33" ht="14.4">
      <c r="Y326" s="58" t="str">
        <f t="shared" si="5"/>
        <v/>
      </c>
      <c r="Z326" s="58" t="str">
        <f t="shared" si="6"/>
        <v/>
      </c>
      <c r="AA326" s="1"/>
      <c r="AB326" s="1"/>
      <c r="AC326" s="1"/>
      <c r="AD326" s="59"/>
      <c r="AE326" s="1"/>
      <c r="AF326" s="1"/>
      <c r="AG326" s="1"/>
    </row>
    <row r="327" spans="25:33" ht="14.4">
      <c r="Y327" s="58" t="str">
        <f t="shared" si="5"/>
        <v/>
      </c>
      <c r="Z327" s="58" t="str">
        <f t="shared" si="6"/>
        <v/>
      </c>
      <c r="AA327" s="1"/>
      <c r="AB327" s="1"/>
      <c r="AC327" s="1"/>
      <c r="AD327" s="59"/>
      <c r="AE327" s="1"/>
      <c r="AF327" s="1"/>
      <c r="AG327" s="1"/>
    </row>
    <row r="328" spans="25:33" ht="14.4">
      <c r="Y328" s="58" t="str">
        <f t="shared" si="5"/>
        <v/>
      </c>
      <c r="Z328" s="58" t="str">
        <f t="shared" si="6"/>
        <v/>
      </c>
      <c r="AA328" s="1"/>
      <c r="AB328" s="1"/>
      <c r="AC328" s="1"/>
      <c r="AD328" s="59"/>
      <c r="AE328" s="1"/>
      <c r="AF328" s="1"/>
      <c r="AG328" s="1"/>
    </row>
    <row r="329" spans="25:33" ht="14.4">
      <c r="Y329" s="58" t="str">
        <f t="shared" si="5"/>
        <v/>
      </c>
      <c r="Z329" s="58" t="str">
        <f t="shared" si="6"/>
        <v/>
      </c>
      <c r="AA329" s="1"/>
      <c r="AB329" s="1"/>
      <c r="AC329" s="1"/>
      <c r="AD329" s="59"/>
      <c r="AE329" s="1"/>
      <c r="AF329" s="1"/>
      <c r="AG329" s="1"/>
    </row>
    <row r="330" spans="25:33" ht="14.4">
      <c r="Y330" s="58" t="str">
        <f t="shared" si="5"/>
        <v/>
      </c>
      <c r="Z330" s="58" t="str">
        <f t="shared" si="6"/>
        <v/>
      </c>
      <c r="AA330" s="1"/>
      <c r="AB330" s="1"/>
      <c r="AC330" s="1"/>
      <c r="AD330" s="59"/>
      <c r="AE330" s="1"/>
      <c r="AF330" s="1"/>
      <c r="AG330" s="1"/>
    </row>
    <row r="331" spans="25:33" ht="14.4">
      <c r="Y331" s="58" t="str">
        <f t="shared" si="5"/>
        <v/>
      </c>
      <c r="Z331" s="58" t="str">
        <f t="shared" si="6"/>
        <v/>
      </c>
      <c r="AA331" s="1"/>
      <c r="AB331" s="1"/>
      <c r="AC331" s="1"/>
      <c r="AD331" s="59"/>
      <c r="AE331" s="1"/>
      <c r="AF331" s="1"/>
      <c r="AG331" s="1"/>
    </row>
    <row r="332" spans="25:33" ht="14.4">
      <c r="Y332" s="58" t="str">
        <f t="shared" si="5"/>
        <v/>
      </c>
      <c r="Z332" s="58" t="str">
        <f t="shared" si="6"/>
        <v/>
      </c>
      <c r="AA332" s="1"/>
      <c r="AB332" s="1"/>
      <c r="AC332" s="1"/>
      <c r="AD332" s="59"/>
      <c r="AE332" s="1"/>
      <c r="AF332" s="1"/>
      <c r="AG332" s="1"/>
    </row>
    <row r="333" spans="25:33" ht="14.4">
      <c r="Y333" s="58" t="str">
        <f t="shared" si="5"/>
        <v/>
      </c>
      <c r="Z333" s="58" t="str">
        <f t="shared" si="6"/>
        <v/>
      </c>
      <c r="AA333" s="1"/>
      <c r="AB333" s="1"/>
      <c r="AC333" s="1"/>
      <c r="AD333" s="59"/>
      <c r="AE333" s="1"/>
      <c r="AF333" s="1"/>
      <c r="AG333" s="1"/>
    </row>
    <row r="334" spans="25:33" ht="14.4">
      <c r="Y334" s="58" t="str">
        <f t="shared" si="5"/>
        <v/>
      </c>
      <c r="Z334" s="58" t="str">
        <f t="shared" si="6"/>
        <v/>
      </c>
      <c r="AA334" s="1"/>
      <c r="AB334" s="1"/>
      <c r="AC334" s="1"/>
      <c r="AD334" s="59"/>
      <c r="AE334" s="1"/>
      <c r="AF334" s="1"/>
      <c r="AG334" s="1"/>
    </row>
    <row r="335" spans="25:33" ht="14.4">
      <c r="Y335" s="58" t="str">
        <f t="shared" si="5"/>
        <v/>
      </c>
      <c r="Z335" s="58" t="str">
        <f t="shared" si="6"/>
        <v/>
      </c>
      <c r="AA335" s="1"/>
      <c r="AB335" s="1"/>
      <c r="AC335" s="1"/>
      <c r="AD335" s="59"/>
      <c r="AE335" s="1"/>
      <c r="AF335" s="1"/>
      <c r="AG335" s="1"/>
    </row>
    <row r="336" spans="25:33" ht="14.4">
      <c r="Y336" s="58" t="str">
        <f t="shared" si="5"/>
        <v/>
      </c>
      <c r="Z336" s="58" t="str">
        <f t="shared" si="6"/>
        <v/>
      </c>
      <c r="AA336" s="1"/>
      <c r="AB336" s="1"/>
      <c r="AC336" s="1"/>
      <c r="AD336" s="59"/>
      <c r="AE336" s="1"/>
      <c r="AF336" s="1"/>
      <c r="AG336" s="1"/>
    </row>
    <row r="337" spans="25:33" ht="14.4">
      <c r="Y337" s="58" t="str">
        <f t="shared" si="5"/>
        <v/>
      </c>
      <c r="Z337" s="58" t="str">
        <f t="shared" si="6"/>
        <v/>
      </c>
      <c r="AA337" s="1"/>
      <c r="AB337" s="1"/>
      <c r="AC337" s="1"/>
      <c r="AD337" s="59"/>
      <c r="AE337" s="1"/>
      <c r="AF337" s="1"/>
      <c r="AG337" s="1"/>
    </row>
    <row r="338" spans="25:33" ht="14.4">
      <c r="Y338" s="58" t="str">
        <f t="shared" si="5"/>
        <v/>
      </c>
      <c r="Z338" s="58" t="str">
        <f t="shared" si="6"/>
        <v/>
      </c>
      <c r="AA338" s="1"/>
      <c r="AB338" s="1"/>
      <c r="AC338" s="1"/>
      <c r="AD338" s="59"/>
      <c r="AE338" s="1"/>
      <c r="AF338" s="1"/>
      <c r="AG338" s="1"/>
    </row>
    <row r="339" spans="25:33" ht="14.4">
      <c r="Y339" s="58" t="str">
        <f t="shared" si="5"/>
        <v/>
      </c>
      <c r="Z339" s="58" t="str">
        <f t="shared" si="6"/>
        <v/>
      </c>
      <c r="AA339" s="1"/>
      <c r="AB339" s="1"/>
      <c r="AC339" s="1"/>
      <c r="AD339" s="59"/>
      <c r="AE339" s="1"/>
      <c r="AF339" s="1"/>
      <c r="AG339" s="1"/>
    </row>
    <row r="340" spans="25:33" ht="14.4">
      <c r="Y340" s="58" t="str">
        <f t="shared" si="5"/>
        <v/>
      </c>
      <c r="Z340" s="58" t="str">
        <f t="shared" si="6"/>
        <v/>
      </c>
      <c r="AA340" s="1"/>
      <c r="AB340" s="1"/>
      <c r="AC340" s="1"/>
      <c r="AD340" s="59"/>
      <c r="AE340" s="1"/>
      <c r="AF340" s="1"/>
      <c r="AG340" s="1"/>
    </row>
    <row r="341" spans="25:33" ht="14.4">
      <c r="Y341" s="58" t="str">
        <f t="shared" si="5"/>
        <v/>
      </c>
      <c r="Z341" s="58" t="str">
        <f t="shared" si="6"/>
        <v/>
      </c>
      <c r="AA341" s="1"/>
      <c r="AB341" s="1"/>
      <c r="AC341" s="1"/>
      <c r="AD341" s="59"/>
      <c r="AE341" s="1"/>
      <c r="AF341" s="1"/>
      <c r="AG341" s="1"/>
    </row>
    <row r="342" spans="25:33" ht="14.4">
      <c r="Y342" s="58" t="str">
        <f t="shared" si="5"/>
        <v/>
      </c>
      <c r="Z342" s="58" t="str">
        <f t="shared" si="6"/>
        <v/>
      </c>
      <c r="AA342" s="1"/>
      <c r="AB342" s="1"/>
      <c r="AC342" s="1"/>
      <c r="AD342" s="59"/>
      <c r="AE342" s="1"/>
      <c r="AF342" s="1"/>
      <c r="AG342" s="1"/>
    </row>
    <row r="343" spans="25:33" ht="14.4">
      <c r="Y343" s="58" t="str">
        <f t="shared" si="5"/>
        <v/>
      </c>
      <c r="Z343" s="58" t="str">
        <f t="shared" si="6"/>
        <v/>
      </c>
      <c r="AA343" s="1"/>
      <c r="AB343" s="1"/>
      <c r="AC343" s="1"/>
      <c r="AD343" s="59"/>
      <c r="AE343" s="1"/>
      <c r="AF343" s="1"/>
      <c r="AG343" s="1"/>
    </row>
    <row r="344" spans="25:33" ht="14.4">
      <c r="Y344" s="58" t="str">
        <f t="shared" si="5"/>
        <v/>
      </c>
      <c r="Z344" s="58" t="str">
        <f t="shared" si="6"/>
        <v/>
      </c>
      <c r="AA344" s="1"/>
      <c r="AB344" s="1"/>
      <c r="AC344" s="1"/>
      <c r="AD344" s="59"/>
      <c r="AE344" s="1"/>
      <c r="AF344" s="1"/>
      <c r="AG344" s="1"/>
    </row>
    <row r="345" spans="25:33" ht="14.4">
      <c r="Y345" s="58" t="str">
        <f t="shared" si="5"/>
        <v/>
      </c>
      <c r="Z345" s="58" t="str">
        <f t="shared" si="6"/>
        <v/>
      </c>
      <c r="AA345" s="1"/>
      <c r="AB345" s="1"/>
      <c r="AC345" s="1"/>
      <c r="AD345" s="59"/>
      <c r="AE345" s="1"/>
      <c r="AF345" s="1"/>
      <c r="AG345" s="1"/>
    </row>
    <row r="346" spans="25:33" ht="14.4">
      <c r="Y346" s="58" t="str">
        <f t="shared" si="5"/>
        <v/>
      </c>
      <c r="Z346" s="58" t="str">
        <f t="shared" si="6"/>
        <v/>
      </c>
      <c r="AA346" s="1"/>
      <c r="AB346" s="1"/>
      <c r="AC346" s="1"/>
      <c r="AD346" s="59"/>
      <c r="AE346" s="1"/>
      <c r="AF346" s="1"/>
      <c r="AG346" s="1"/>
    </row>
    <row r="347" spans="25:33" ht="14.4">
      <c r="Y347" s="58" t="str">
        <f t="shared" si="5"/>
        <v/>
      </c>
      <c r="Z347" s="58" t="str">
        <f t="shared" si="6"/>
        <v/>
      </c>
      <c r="AA347" s="1"/>
      <c r="AB347" s="1"/>
      <c r="AC347" s="1"/>
      <c r="AD347" s="59"/>
      <c r="AE347" s="1"/>
      <c r="AF347" s="1"/>
      <c r="AG347" s="1"/>
    </row>
    <row r="348" spans="25:33" ht="14.4">
      <c r="Y348" s="58" t="str">
        <f t="shared" si="5"/>
        <v/>
      </c>
      <c r="Z348" s="58" t="str">
        <f t="shared" si="6"/>
        <v/>
      </c>
      <c r="AA348" s="1"/>
      <c r="AB348" s="1"/>
      <c r="AC348" s="1"/>
      <c r="AD348" s="59"/>
      <c r="AE348" s="1"/>
      <c r="AF348" s="1"/>
      <c r="AG348" s="1"/>
    </row>
    <row r="349" spans="25:33" ht="14.4">
      <c r="Y349" s="58" t="str">
        <f t="shared" si="5"/>
        <v/>
      </c>
      <c r="Z349" s="58" t="str">
        <f t="shared" si="6"/>
        <v/>
      </c>
      <c r="AA349" s="1"/>
      <c r="AB349" s="1"/>
      <c r="AC349" s="1"/>
      <c r="AD349" s="59"/>
      <c r="AE349" s="1"/>
      <c r="AF349" s="1"/>
      <c r="AG349" s="1"/>
    </row>
    <row r="350" spans="25:33" ht="14.4">
      <c r="Y350" s="58" t="str">
        <f t="shared" si="5"/>
        <v/>
      </c>
      <c r="Z350" s="58" t="str">
        <f t="shared" si="6"/>
        <v/>
      </c>
      <c r="AA350" s="1"/>
      <c r="AB350" s="1"/>
      <c r="AC350" s="1"/>
      <c r="AD350" s="59"/>
      <c r="AE350" s="1"/>
      <c r="AF350" s="1"/>
      <c r="AG350" s="1"/>
    </row>
    <row r="351" spans="25:33" ht="14.4">
      <c r="Y351" s="58" t="str">
        <f t="shared" si="5"/>
        <v/>
      </c>
      <c r="Z351" s="58" t="str">
        <f t="shared" si="6"/>
        <v/>
      </c>
      <c r="AA351" s="1"/>
      <c r="AB351" s="1"/>
      <c r="AC351" s="1"/>
      <c r="AD351" s="59"/>
      <c r="AE351" s="1"/>
      <c r="AF351" s="1"/>
      <c r="AG351" s="1"/>
    </row>
    <row r="352" spans="25:33" ht="14.4">
      <c r="Y352" s="58" t="str">
        <f t="shared" si="5"/>
        <v/>
      </c>
      <c r="Z352" s="58" t="str">
        <f t="shared" si="6"/>
        <v/>
      </c>
      <c r="AA352" s="1"/>
      <c r="AB352" s="1"/>
      <c r="AC352" s="1"/>
      <c r="AD352" s="59"/>
      <c r="AE352" s="1"/>
      <c r="AF352" s="1"/>
      <c r="AG352" s="1"/>
    </row>
    <row r="353" spans="25:33" ht="14.4">
      <c r="Y353" s="58" t="str">
        <f t="shared" si="5"/>
        <v/>
      </c>
      <c r="Z353" s="58" t="str">
        <f t="shared" si="6"/>
        <v/>
      </c>
      <c r="AA353" s="1"/>
      <c r="AB353" s="1"/>
      <c r="AC353" s="1"/>
      <c r="AD353" s="59"/>
      <c r="AE353" s="1"/>
      <c r="AF353" s="1"/>
      <c r="AG353" s="1"/>
    </row>
    <row r="354" spans="25:33" ht="14.4">
      <c r="Y354" s="58" t="str">
        <f t="shared" si="5"/>
        <v/>
      </c>
      <c r="Z354" s="58" t="str">
        <f t="shared" si="6"/>
        <v/>
      </c>
      <c r="AA354" s="1"/>
      <c r="AB354" s="1"/>
      <c r="AC354" s="1"/>
      <c r="AD354" s="59"/>
      <c r="AE354" s="1"/>
      <c r="AF354" s="1"/>
      <c r="AG354" s="1"/>
    </row>
    <row r="355" spans="25:33" ht="14.4">
      <c r="Y355" s="58" t="str">
        <f t="shared" si="5"/>
        <v/>
      </c>
      <c r="Z355" s="58" t="str">
        <f t="shared" si="6"/>
        <v/>
      </c>
      <c r="AA355" s="1"/>
      <c r="AB355" s="1"/>
      <c r="AC355" s="1"/>
      <c r="AD355" s="59"/>
      <c r="AE355" s="1"/>
      <c r="AF355" s="1"/>
      <c r="AG355" s="1"/>
    </row>
    <row r="356" spans="25:33" ht="14.4">
      <c r="Y356" s="58" t="str">
        <f t="shared" si="5"/>
        <v/>
      </c>
      <c r="Z356" s="58" t="str">
        <f t="shared" si="6"/>
        <v/>
      </c>
      <c r="AA356" s="1"/>
      <c r="AB356" s="1"/>
      <c r="AC356" s="1"/>
      <c r="AD356" s="59"/>
      <c r="AE356" s="1"/>
      <c r="AF356" s="1"/>
      <c r="AG356" s="1"/>
    </row>
    <row r="357" spans="25:33" ht="14.4">
      <c r="Y357" s="58" t="str">
        <f t="shared" si="5"/>
        <v/>
      </c>
      <c r="Z357" s="58" t="str">
        <f t="shared" si="6"/>
        <v/>
      </c>
      <c r="AA357" s="1"/>
      <c r="AB357" s="1"/>
      <c r="AC357" s="1"/>
      <c r="AD357" s="59"/>
      <c r="AE357" s="1"/>
      <c r="AF357" s="1"/>
      <c r="AG357" s="1"/>
    </row>
    <row r="358" spans="25:33" ht="14.4">
      <c r="Y358" s="58" t="str">
        <f t="shared" si="5"/>
        <v/>
      </c>
      <c r="Z358" s="58" t="str">
        <f t="shared" si="6"/>
        <v/>
      </c>
      <c r="AA358" s="1"/>
      <c r="AB358" s="1"/>
      <c r="AC358" s="1"/>
      <c r="AD358" s="59"/>
      <c r="AE358" s="1"/>
      <c r="AF358" s="1"/>
      <c r="AG358" s="1"/>
    </row>
    <row r="359" spans="25:33" ht="14.4">
      <c r="Y359" s="58" t="str">
        <f t="shared" si="5"/>
        <v/>
      </c>
      <c r="Z359" s="58" t="str">
        <f t="shared" si="6"/>
        <v/>
      </c>
      <c r="AA359" s="1"/>
      <c r="AB359" s="1"/>
      <c r="AC359" s="1"/>
      <c r="AD359" s="59"/>
      <c r="AE359" s="1"/>
      <c r="AF359" s="1"/>
      <c r="AG359" s="1"/>
    </row>
    <row r="360" spans="25:33" ht="14.4">
      <c r="Y360" s="58" t="str">
        <f t="shared" si="5"/>
        <v/>
      </c>
      <c r="Z360" s="58" t="str">
        <f t="shared" si="6"/>
        <v/>
      </c>
      <c r="AA360" s="1"/>
      <c r="AB360" s="1"/>
      <c r="AC360" s="1"/>
      <c r="AD360" s="59"/>
      <c r="AE360" s="1"/>
      <c r="AF360" s="1"/>
      <c r="AG360" s="1"/>
    </row>
    <row r="361" spans="25:33" ht="14.4">
      <c r="Y361" s="58" t="str">
        <f t="shared" si="5"/>
        <v/>
      </c>
      <c r="Z361" s="58" t="str">
        <f t="shared" si="6"/>
        <v/>
      </c>
      <c r="AA361" s="1"/>
      <c r="AB361" s="1"/>
      <c r="AC361" s="1"/>
      <c r="AD361" s="59"/>
      <c r="AE361" s="1"/>
      <c r="AF361" s="1"/>
      <c r="AG361" s="1"/>
    </row>
    <row r="362" spans="25:33" ht="14.4">
      <c r="Y362" s="58" t="str">
        <f t="shared" si="5"/>
        <v/>
      </c>
      <c r="Z362" s="58" t="str">
        <f t="shared" si="6"/>
        <v/>
      </c>
      <c r="AA362" s="1"/>
      <c r="AB362" s="1"/>
      <c r="AC362" s="1"/>
      <c r="AD362" s="59"/>
      <c r="AE362" s="1"/>
      <c r="AF362" s="1"/>
      <c r="AG362" s="1"/>
    </row>
    <row r="363" spans="25:33" ht="14.4">
      <c r="Y363" s="58" t="str">
        <f t="shared" si="5"/>
        <v/>
      </c>
      <c r="Z363" s="58" t="str">
        <f t="shared" si="6"/>
        <v/>
      </c>
      <c r="AA363" s="1"/>
      <c r="AB363" s="1"/>
      <c r="AC363" s="1"/>
      <c r="AD363" s="59"/>
      <c r="AE363" s="1"/>
      <c r="AF363" s="1"/>
      <c r="AG363" s="1"/>
    </row>
    <row r="364" spans="25:33" ht="14.4">
      <c r="Y364" s="58" t="str">
        <f t="shared" si="5"/>
        <v/>
      </c>
      <c r="Z364" s="58" t="str">
        <f t="shared" si="6"/>
        <v/>
      </c>
      <c r="AA364" s="1"/>
      <c r="AB364" s="1"/>
      <c r="AC364" s="1"/>
      <c r="AD364" s="59"/>
      <c r="AE364" s="1"/>
      <c r="AF364" s="1"/>
      <c r="AG364" s="1"/>
    </row>
    <row r="365" spans="25:33" ht="14.4">
      <c r="Y365" s="58" t="str">
        <f t="shared" si="5"/>
        <v/>
      </c>
      <c r="Z365" s="58" t="str">
        <f t="shared" si="6"/>
        <v/>
      </c>
      <c r="AA365" s="1"/>
      <c r="AB365" s="1"/>
      <c r="AC365" s="1"/>
      <c r="AD365" s="59"/>
      <c r="AE365" s="1"/>
      <c r="AF365" s="1"/>
      <c r="AG365" s="1"/>
    </row>
    <row r="366" spans="25:33" ht="14.4">
      <c r="Y366" s="58" t="str">
        <f t="shared" si="5"/>
        <v/>
      </c>
      <c r="Z366" s="58" t="str">
        <f t="shared" si="6"/>
        <v/>
      </c>
      <c r="AA366" s="1"/>
      <c r="AB366" s="1"/>
      <c r="AC366" s="1"/>
      <c r="AD366" s="59"/>
      <c r="AE366" s="1"/>
      <c r="AF366" s="1"/>
      <c r="AG366" s="1"/>
    </row>
    <row r="367" spans="25:33" ht="14.4">
      <c r="Y367" s="58" t="str">
        <f t="shared" si="5"/>
        <v/>
      </c>
      <c r="Z367" s="58" t="str">
        <f t="shared" si="6"/>
        <v/>
      </c>
      <c r="AA367" s="1"/>
      <c r="AB367" s="1"/>
      <c r="AC367" s="1"/>
      <c r="AD367" s="59"/>
      <c r="AE367" s="1"/>
      <c r="AF367" s="1"/>
      <c r="AG367" s="1"/>
    </row>
    <row r="368" spans="25:33" ht="14.4">
      <c r="Y368" s="58" t="str">
        <f t="shared" si="5"/>
        <v/>
      </c>
      <c r="Z368" s="58" t="str">
        <f t="shared" si="6"/>
        <v/>
      </c>
      <c r="AA368" s="1"/>
      <c r="AB368" s="1"/>
      <c r="AC368" s="1"/>
      <c r="AD368" s="59"/>
      <c r="AE368" s="1"/>
      <c r="AF368" s="1"/>
      <c r="AG368" s="1"/>
    </row>
    <row r="369" spans="25:33" ht="14.4">
      <c r="Y369" s="58" t="str">
        <f t="shared" si="5"/>
        <v/>
      </c>
      <c r="Z369" s="58" t="str">
        <f t="shared" si="6"/>
        <v/>
      </c>
      <c r="AA369" s="1"/>
      <c r="AB369" s="1"/>
      <c r="AC369" s="1"/>
      <c r="AD369" s="59"/>
      <c r="AE369" s="1"/>
      <c r="AF369" s="1"/>
      <c r="AG369" s="1"/>
    </row>
    <row r="370" spans="25:33" ht="14.4">
      <c r="Y370" s="58" t="str">
        <f t="shared" si="5"/>
        <v/>
      </c>
      <c r="Z370" s="58" t="str">
        <f t="shared" si="6"/>
        <v/>
      </c>
      <c r="AA370" s="1"/>
      <c r="AB370" s="1"/>
      <c r="AC370" s="1"/>
      <c r="AD370" s="59"/>
      <c r="AE370" s="1"/>
      <c r="AF370" s="1"/>
      <c r="AG370" s="1"/>
    </row>
    <row r="371" spans="25:33" ht="14.4">
      <c r="Y371" s="58" t="str">
        <f t="shared" si="5"/>
        <v/>
      </c>
      <c r="Z371" s="58" t="str">
        <f t="shared" si="6"/>
        <v/>
      </c>
      <c r="AA371" s="1"/>
      <c r="AB371" s="1"/>
      <c r="AC371" s="1"/>
      <c r="AD371" s="59"/>
      <c r="AE371" s="1"/>
      <c r="AF371" s="1"/>
      <c r="AG371" s="1"/>
    </row>
    <row r="372" spans="25:33" ht="14.4">
      <c r="Y372" s="58" t="str">
        <f t="shared" si="5"/>
        <v/>
      </c>
      <c r="Z372" s="58" t="str">
        <f t="shared" si="6"/>
        <v/>
      </c>
      <c r="AA372" s="1"/>
      <c r="AB372" s="1"/>
      <c r="AC372" s="1"/>
      <c r="AD372" s="59"/>
      <c r="AE372" s="1"/>
      <c r="AF372" s="1"/>
      <c r="AG372" s="1"/>
    </row>
    <row r="373" spans="25:33" ht="14.4">
      <c r="Y373" s="58" t="str">
        <f t="shared" si="5"/>
        <v/>
      </c>
      <c r="Z373" s="58" t="str">
        <f t="shared" si="6"/>
        <v/>
      </c>
      <c r="AA373" s="1"/>
      <c r="AB373" s="1"/>
      <c r="AC373" s="1"/>
      <c r="AD373" s="59"/>
      <c r="AE373" s="1"/>
      <c r="AF373" s="1"/>
      <c r="AG373" s="1"/>
    </row>
    <row r="374" spans="25:33" ht="14.4">
      <c r="Y374" s="58" t="str">
        <f t="shared" si="5"/>
        <v/>
      </c>
      <c r="Z374" s="58" t="str">
        <f t="shared" si="6"/>
        <v/>
      </c>
      <c r="AA374" s="1"/>
      <c r="AB374" s="1"/>
      <c r="AC374" s="1"/>
      <c r="AD374" s="59"/>
      <c r="AE374" s="1"/>
      <c r="AF374" s="1"/>
      <c r="AG374" s="1"/>
    </row>
    <row r="375" spans="25:33" ht="14.4">
      <c r="Y375" s="58" t="str">
        <f t="shared" si="5"/>
        <v/>
      </c>
      <c r="Z375" s="58" t="str">
        <f t="shared" si="6"/>
        <v/>
      </c>
      <c r="AA375" s="1"/>
      <c r="AB375" s="1"/>
      <c r="AC375" s="1"/>
      <c r="AD375" s="59"/>
      <c r="AE375" s="1"/>
      <c r="AF375" s="1"/>
      <c r="AG375" s="1"/>
    </row>
    <row r="376" spans="25:33" ht="14.4">
      <c r="Y376" s="58" t="str">
        <f t="shared" si="5"/>
        <v/>
      </c>
      <c r="Z376" s="58" t="str">
        <f t="shared" si="6"/>
        <v/>
      </c>
      <c r="AA376" s="1"/>
      <c r="AB376" s="1"/>
      <c r="AC376" s="1"/>
      <c r="AD376" s="59"/>
      <c r="AE376" s="1"/>
      <c r="AF376" s="1"/>
      <c r="AG376" s="1"/>
    </row>
    <row r="377" spans="25:33" ht="14.4">
      <c r="Y377" s="58" t="str">
        <f t="shared" si="5"/>
        <v/>
      </c>
      <c r="Z377" s="58" t="str">
        <f t="shared" si="6"/>
        <v/>
      </c>
      <c r="AA377" s="1"/>
      <c r="AB377" s="1"/>
      <c r="AC377" s="1"/>
      <c r="AD377" s="59"/>
      <c r="AE377" s="1"/>
      <c r="AF377" s="1"/>
      <c r="AG377" s="1"/>
    </row>
    <row r="378" spans="25:33" ht="14.4">
      <c r="Y378" s="58" t="str">
        <f t="shared" si="5"/>
        <v/>
      </c>
      <c r="Z378" s="58" t="str">
        <f t="shared" si="6"/>
        <v/>
      </c>
      <c r="AA378" s="1"/>
      <c r="AB378" s="1"/>
      <c r="AC378" s="1"/>
      <c r="AD378" s="59"/>
      <c r="AE378" s="1"/>
      <c r="AF378" s="1"/>
      <c r="AG378" s="1"/>
    </row>
    <row r="379" spans="25:33" ht="14.4">
      <c r="Y379" s="58" t="str">
        <f t="shared" si="5"/>
        <v/>
      </c>
      <c r="Z379" s="58" t="str">
        <f t="shared" si="6"/>
        <v/>
      </c>
      <c r="AA379" s="1"/>
      <c r="AB379" s="1"/>
      <c r="AC379" s="1"/>
      <c r="AD379" s="59"/>
      <c r="AE379" s="1"/>
      <c r="AF379" s="1"/>
      <c r="AG379" s="1"/>
    </row>
    <row r="380" spans="25:33" ht="14.4">
      <c r="Y380" s="58" t="str">
        <f t="shared" si="5"/>
        <v/>
      </c>
      <c r="Z380" s="58" t="str">
        <f t="shared" si="6"/>
        <v/>
      </c>
      <c r="AA380" s="1"/>
      <c r="AB380" s="1"/>
      <c r="AC380" s="1"/>
      <c r="AD380" s="59"/>
      <c r="AE380" s="1"/>
      <c r="AF380" s="1"/>
      <c r="AG380" s="1"/>
    </row>
    <row r="381" spans="25:33" ht="14.4">
      <c r="Y381" s="58" t="str">
        <f t="shared" si="5"/>
        <v/>
      </c>
      <c r="Z381" s="58" t="str">
        <f t="shared" si="6"/>
        <v/>
      </c>
      <c r="AA381" s="1"/>
      <c r="AB381" s="1"/>
      <c r="AC381" s="1"/>
      <c r="AD381" s="59"/>
      <c r="AE381" s="1"/>
      <c r="AF381" s="1"/>
      <c r="AG381" s="1"/>
    </row>
    <row r="382" spans="25:33" ht="14.4">
      <c r="Y382" s="58" t="str">
        <f t="shared" si="5"/>
        <v/>
      </c>
      <c r="Z382" s="58" t="str">
        <f t="shared" si="6"/>
        <v/>
      </c>
      <c r="AA382" s="1"/>
      <c r="AB382" s="1"/>
      <c r="AC382" s="1"/>
      <c r="AD382" s="59"/>
      <c r="AE382" s="1"/>
      <c r="AF382" s="1"/>
      <c r="AG382" s="1"/>
    </row>
    <row r="383" spans="25:33" ht="14.4">
      <c r="Y383" s="58" t="str">
        <f t="shared" si="5"/>
        <v/>
      </c>
      <c r="Z383" s="58" t="str">
        <f t="shared" si="6"/>
        <v/>
      </c>
      <c r="AA383" s="1"/>
      <c r="AB383" s="1"/>
      <c r="AC383" s="1"/>
      <c r="AD383" s="59"/>
      <c r="AE383" s="1"/>
      <c r="AF383" s="1"/>
      <c r="AG383" s="1"/>
    </row>
    <row r="384" spans="25:33" ht="14.4">
      <c r="Y384" s="58" t="str">
        <f t="shared" si="5"/>
        <v/>
      </c>
      <c r="Z384" s="58" t="str">
        <f t="shared" si="6"/>
        <v/>
      </c>
      <c r="AA384" s="1"/>
      <c r="AB384" s="1"/>
      <c r="AC384" s="1"/>
      <c r="AD384" s="59"/>
      <c r="AE384" s="1"/>
      <c r="AF384" s="1"/>
      <c r="AG384" s="1"/>
    </row>
    <row r="385" spans="25:33" ht="14.4">
      <c r="Y385" s="58" t="str">
        <f t="shared" si="5"/>
        <v/>
      </c>
      <c r="Z385" s="58" t="str">
        <f t="shared" si="6"/>
        <v/>
      </c>
      <c r="AA385" s="1"/>
      <c r="AB385" s="1"/>
      <c r="AC385" s="1"/>
      <c r="AD385" s="59"/>
      <c r="AE385" s="1"/>
      <c r="AF385" s="1"/>
      <c r="AG385" s="1"/>
    </row>
    <row r="386" spans="25:33" ht="14.4">
      <c r="Y386" s="58" t="str">
        <f t="shared" si="5"/>
        <v/>
      </c>
      <c r="Z386" s="58" t="str">
        <f t="shared" si="6"/>
        <v/>
      </c>
      <c r="AA386" s="1"/>
      <c r="AB386" s="1"/>
      <c r="AC386" s="1"/>
      <c r="AD386" s="59"/>
      <c r="AE386" s="1"/>
      <c r="AF386" s="1"/>
      <c r="AG386" s="1"/>
    </row>
    <row r="387" spans="25:33" ht="14.4">
      <c r="Y387" s="58" t="str">
        <f t="shared" si="5"/>
        <v/>
      </c>
      <c r="Z387" s="58" t="str">
        <f t="shared" si="6"/>
        <v/>
      </c>
      <c r="AA387" s="1"/>
      <c r="AB387" s="1"/>
      <c r="AC387" s="1"/>
      <c r="AD387" s="59"/>
      <c r="AE387" s="1"/>
      <c r="AF387" s="1"/>
      <c r="AG387" s="1"/>
    </row>
    <row r="388" spans="25:33" ht="14.4">
      <c r="Y388" s="58" t="str">
        <f t="shared" si="5"/>
        <v/>
      </c>
      <c r="Z388" s="58" t="str">
        <f t="shared" si="6"/>
        <v/>
      </c>
      <c r="AA388" s="1"/>
      <c r="AB388" s="1"/>
      <c r="AC388" s="1"/>
      <c r="AD388" s="59"/>
      <c r="AE388" s="1"/>
      <c r="AF388" s="1"/>
      <c r="AG388" s="1"/>
    </row>
    <row r="389" spans="25:33" ht="14.4">
      <c r="Y389" s="58" t="str">
        <f t="shared" si="5"/>
        <v/>
      </c>
      <c r="Z389" s="58" t="str">
        <f t="shared" si="6"/>
        <v/>
      </c>
      <c r="AA389" s="1"/>
      <c r="AB389" s="1"/>
      <c r="AC389" s="1"/>
      <c r="AD389" s="59"/>
      <c r="AE389" s="1"/>
      <c r="AF389" s="1"/>
      <c r="AG389" s="1"/>
    </row>
    <row r="390" spans="25:33" ht="14.4">
      <c r="Y390" s="58" t="str">
        <f t="shared" si="5"/>
        <v/>
      </c>
      <c r="Z390" s="58" t="str">
        <f t="shared" si="6"/>
        <v/>
      </c>
      <c r="AA390" s="1"/>
      <c r="AB390" s="1"/>
      <c r="AC390" s="1"/>
      <c r="AD390" s="59"/>
      <c r="AE390" s="1"/>
      <c r="AF390" s="1"/>
      <c r="AG390" s="1"/>
    </row>
    <row r="391" spans="25:33" ht="14.4">
      <c r="Y391" s="58" t="str">
        <f t="shared" si="5"/>
        <v/>
      </c>
      <c r="Z391" s="58" t="str">
        <f t="shared" si="6"/>
        <v/>
      </c>
      <c r="AA391" s="1"/>
      <c r="AB391" s="1"/>
      <c r="AC391" s="1"/>
      <c r="AD391" s="59"/>
      <c r="AE391" s="1"/>
      <c r="AF391" s="1"/>
      <c r="AG391" s="1"/>
    </row>
    <row r="392" spans="25:33" ht="14.4">
      <c r="Y392" s="58" t="str">
        <f t="shared" si="5"/>
        <v/>
      </c>
      <c r="Z392" s="58" t="str">
        <f t="shared" si="6"/>
        <v/>
      </c>
      <c r="AA392" s="1"/>
      <c r="AB392" s="1"/>
      <c r="AC392" s="1"/>
      <c r="AD392" s="59"/>
      <c r="AE392" s="1"/>
      <c r="AF392" s="1"/>
      <c r="AG392" s="1"/>
    </row>
    <row r="393" spans="25:33" ht="14.4">
      <c r="Y393" s="58" t="str">
        <f t="shared" si="5"/>
        <v/>
      </c>
      <c r="Z393" s="58" t="str">
        <f t="shared" si="6"/>
        <v/>
      </c>
      <c r="AA393" s="1"/>
      <c r="AB393" s="1"/>
      <c r="AC393" s="1"/>
      <c r="AD393" s="59"/>
      <c r="AE393" s="1"/>
      <c r="AF393" s="1"/>
      <c r="AG393" s="1"/>
    </row>
    <row r="394" spans="25:33" ht="14.4">
      <c r="Y394" s="58" t="str">
        <f t="shared" si="5"/>
        <v/>
      </c>
      <c r="Z394" s="58" t="str">
        <f t="shared" si="6"/>
        <v/>
      </c>
      <c r="AA394" s="1"/>
      <c r="AB394" s="1"/>
      <c r="AC394" s="1"/>
      <c r="AD394" s="59"/>
      <c r="AE394" s="1"/>
      <c r="AF394" s="1"/>
      <c r="AG394" s="1"/>
    </row>
    <row r="395" spans="25:33" ht="14.4">
      <c r="Y395" s="58" t="str">
        <f t="shared" si="5"/>
        <v/>
      </c>
      <c r="Z395" s="58" t="str">
        <f t="shared" si="6"/>
        <v/>
      </c>
      <c r="AA395" s="1"/>
      <c r="AB395" s="1"/>
      <c r="AC395" s="1"/>
      <c r="AD395" s="59"/>
      <c r="AE395" s="1"/>
      <c r="AF395" s="1"/>
      <c r="AG395" s="1"/>
    </row>
    <row r="396" spans="25:33" ht="14.4">
      <c r="Y396" s="58" t="str">
        <f t="shared" si="5"/>
        <v/>
      </c>
      <c r="Z396" s="58" t="str">
        <f t="shared" si="6"/>
        <v/>
      </c>
      <c r="AA396" s="1"/>
      <c r="AB396" s="1"/>
      <c r="AC396" s="1"/>
      <c r="AD396" s="59"/>
      <c r="AE396" s="1"/>
      <c r="AF396" s="1"/>
      <c r="AG396" s="1"/>
    </row>
    <row r="397" spans="25:33" ht="14.4">
      <c r="Y397" s="58" t="str">
        <f t="shared" si="5"/>
        <v/>
      </c>
      <c r="Z397" s="58" t="str">
        <f t="shared" si="6"/>
        <v/>
      </c>
      <c r="AA397" s="1"/>
      <c r="AB397" s="1"/>
      <c r="AC397" s="1"/>
      <c r="AD397" s="59"/>
      <c r="AE397" s="1"/>
      <c r="AF397" s="1"/>
      <c r="AG397" s="1"/>
    </row>
    <row r="398" spans="25:33" ht="14.4">
      <c r="Y398" s="58" t="str">
        <f t="shared" si="5"/>
        <v/>
      </c>
      <c r="Z398" s="58" t="str">
        <f t="shared" si="6"/>
        <v/>
      </c>
      <c r="AA398" s="1"/>
      <c r="AB398" s="1"/>
      <c r="AC398" s="1"/>
      <c r="AD398" s="59"/>
      <c r="AE398" s="1"/>
      <c r="AF398" s="1"/>
      <c r="AG398" s="1"/>
    </row>
    <row r="399" spans="25:33" ht="14.4">
      <c r="Y399" s="58" t="str">
        <f t="shared" si="5"/>
        <v/>
      </c>
      <c r="Z399" s="58" t="str">
        <f t="shared" si="6"/>
        <v/>
      </c>
      <c r="AA399" s="1"/>
      <c r="AB399" s="1"/>
      <c r="AC399" s="1"/>
      <c r="AD399" s="59"/>
      <c r="AE399" s="1"/>
      <c r="AF399" s="1"/>
      <c r="AG399" s="1"/>
    </row>
    <row r="400" spans="25:33" ht="14.4">
      <c r="Y400" s="58" t="str">
        <f t="shared" si="5"/>
        <v/>
      </c>
      <c r="Z400" s="58" t="str">
        <f t="shared" si="6"/>
        <v/>
      </c>
      <c r="AA400" s="1"/>
      <c r="AB400" s="1"/>
      <c r="AC400" s="1"/>
      <c r="AD400" s="59"/>
      <c r="AE400" s="1"/>
      <c r="AF400" s="1"/>
      <c r="AG400" s="1"/>
    </row>
    <row r="401" spans="25:33" ht="14.4">
      <c r="Y401" s="58" t="str">
        <f t="shared" si="5"/>
        <v/>
      </c>
      <c r="Z401" s="58" t="str">
        <f t="shared" si="6"/>
        <v/>
      </c>
      <c r="AA401" s="1"/>
      <c r="AB401" s="1"/>
      <c r="AC401" s="1"/>
      <c r="AD401" s="59"/>
      <c r="AE401" s="1"/>
      <c r="AF401" s="1"/>
      <c r="AG401" s="1"/>
    </row>
    <row r="402" spans="25:33" ht="14.4">
      <c r="Y402" s="58"/>
      <c r="Z402" s="58"/>
      <c r="AA402" s="1"/>
      <c r="AB402" s="1"/>
      <c r="AC402" s="1"/>
      <c r="AD402" s="59"/>
      <c r="AE402" s="1"/>
      <c r="AF402" s="1"/>
      <c r="AG402" s="1"/>
    </row>
    <row r="403" spans="25:33" ht="14.4">
      <c r="Y403" s="58"/>
      <c r="Z403" s="58"/>
      <c r="AA403" s="1"/>
      <c r="AB403" s="1"/>
      <c r="AC403" s="1"/>
      <c r="AD403" s="59"/>
      <c r="AE403" s="1"/>
      <c r="AF403" s="1"/>
      <c r="AG403" s="1"/>
    </row>
    <row r="404" spans="25:33" ht="14.4">
      <c r="Y404" s="58"/>
      <c r="Z404" s="58"/>
      <c r="AA404" s="1"/>
      <c r="AB404" s="1"/>
      <c r="AC404" s="1"/>
      <c r="AD404" s="59"/>
      <c r="AE404" s="1"/>
      <c r="AF404" s="1"/>
      <c r="AG404" s="1"/>
    </row>
    <row r="405" spans="25:33" ht="14.4">
      <c r="Y405" s="58"/>
      <c r="Z405" s="58"/>
      <c r="AA405" s="1"/>
      <c r="AB405" s="1"/>
      <c r="AC405" s="1"/>
      <c r="AD405" s="59"/>
      <c r="AE405" s="1"/>
      <c r="AF405" s="1"/>
      <c r="AG405" s="1"/>
    </row>
    <row r="406" spans="25:33" ht="14.4">
      <c r="Y406" s="58"/>
      <c r="Z406" s="58"/>
      <c r="AA406" s="1"/>
      <c r="AB406" s="1"/>
      <c r="AC406" s="1"/>
      <c r="AD406" s="59"/>
      <c r="AE406" s="1"/>
      <c r="AF406" s="1"/>
      <c r="AG406" s="1"/>
    </row>
    <row r="407" spans="25:33" ht="14.4">
      <c r="Y407" s="58"/>
      <c r="Z407" s="58"/>
      <c r="AA407" s="1"/>
      <c r="AB407" s="1"/>
      <c r="AC407" s="1"/>
      <c r="AD407" s="59"/>
      <c r="AE407" s="1"/>
      <c r="AF407" s="1"/>
      <c r="AG407" s="1"/>
    </row>
    <row r="408" spans="25:33" ht="14.4">
      <c r="Y408" s="58"/>
      <c r="Z408" s="58"/>
      <c r="AA408" s="1"/>
      <c r="AB408" s="1"/>
      <c r="AC408" s="1"/>
      <c r="AD408" s="59"/>
      <c r="AE408" s="1"/>
      <c r="AF408" s="1"/>
      <c r="AG408" s="1"/>
    </row>
    <row r="409" spans="25:33" ht="14.4">
      <c r="Y409" s="58"/>
      <c r="Z409" s="58"/>
      <c r="AA409" s="1"/>
      <c r="AB409" s="1"/>
      <c r="AC409" s="1"/>
      <c r="AD409" s="59"/>
      <c r="AE409" s="1"/>
      <c r="AF409" s="1"/>
      <c r="AG409" s="1"/>
    </row>
    <row r="410" spans="25:33" ht="14.4">
      <c r="Y410" s="58"/>
      <c r="Z410" s="58"/>
      <c r="AA410" s="1"/>
      <c r="AB410" s="1"/>
      <c r="AC410" s="1"/>
      <c r="AD410" s="59"/>
      <c r="AE410" s="1"/>
      <c r="AF410" s="1"/>
      <c r="AG410" s="1"/>
    </row>
    <row r="411" spans="25:33" ht="14.4">
      <c r="Y411" s="58"/>
      <c r="Z411" s="58"/>
      <c r="AA411" s="1"/>
      <c r="AB411" s="1"/>
      <c r="AC411" s="1"/>
      <c r="AD411" s="59"/>
      <c r="AE411" s="1"/>
      <c r="AF411" s="1"/>
      <c r="AG411" s="1"/>
    </row>
    <row r="412" spans="25:33" ht="14.4">
      <c r="Y412" s="58"/>
      <c r="Z412" s="58"/>
      <c r="AA412" s="1"/>
      <c r="AB412" s="1"/>
      <c r="AC412" s="1"/>
      <c r="AD412" s="59"/>
      <c r="AE412" s="1"/>
      <c r="AF412" s="1"/>
      <c r="AG412" s="1"/>
    </row>
    <row r="413" spans="25:33" ht="14.4">
      <c r="Y413" s="58"/>
      <c r="Z413" s="58"/>
      <c r="AA413" s="1"/>
      <c r="AB413" s="1"/>
      <c r="AC413" s="1"/>
      <c r="AD413" s="59"/>
      <c r="AE413" s="1"/>
      <c r="AF413" s="1"/>
      <c r="AG413" s="1"/>
    </row>
    <row r="414" spans="25:33" ht="14.4">
      <c r="Y414" s="58"/>
      <c r="Z414" s="58"/>
      <c r="AA414" s="1"/>
      <c r="AB414" s="1"/>
      <c r="AC414" s="1"/>
      <c r="AD414" s="59"/>
      <c r="AE414" s="1"/>
      <c r="AF414" s="1"/>
      <c r="AG414" s="1"/>
    </row>
    <row r="415" spans="25:33" ht="14.4">
      <c r="Y415" s="58"/>
      <c r="Z415" s="58"/>
      <c r="AA415" s="1"/>
      <c r="AB415" s="1"/>
      <c r="AC415" s="1"/>
      <c r="AD415" s="59"/>
      <c r="AE415" s="1"/>
      <c r="AF415" s="1"/>
      <c r="AG415" s="1"/>
    </row>
    <row r="416" spans="25:33" ht="14.4">
      <c r="Y416" s="58"/>
      <c r="Z416" s="58"/>
      <c r="AA416" s="1"/>
      <c r="AB416" s="1"/>
      <c r="AC416" s="1"/>
      <c r="AD416" s="59"/>
      <c r="AE416" s="1"/>
      <c r="AF416" s="1"/>
      <c r="AG416" s="1"/>
    </row>
    <row r="417" spans="25:33" ht="14.4">
      <c r="Y417" s="58"/>
      <c r="Z417" s="58"/>
      <c r="AA417" s="1"/>
      <c r="AB417" s="1"/>
      <c r="AC417" s="1"/>
      <c r="AD417" s="59"/>
      <c r="AE417" s="1"/>
      <c r="AF417" s="1"/>
      <c r="AG417" s="1"/>
    </row>
    <row r="418" spans="25:33" ht="14.4">
      <c r="Y418" s="58"/>
      <c r="Z418" s="58"/>
      <c r="AA418" s="1"/>
      <c r="AB418" s="1"/>
      <c r="AC418" s="1"/>
      <c r="AD418" s="59"/>
      <c r="AE418" s="1"/>
      <c r="AF418" s="1"/>
      <c r="AG418" s="1"/>
    </row>
    <row r="419" spans="25:33" ht="14.4">
      <c r="Y419" s="58"/>
      <c r="Z419" s="58"/>
      <c r="AA419" s="1"/>
      <c r="AB419" s="1"/>
      <c r="AC419" s="1"/>
      <c r="AD419" s="59"/>
      <c r="AE419" s="1"/>
      <c r="AF419" s="1"/>
      <c r="AG419" s="1"/>
    </row>
    <row r="420" spans="25:33" ht="14.4">
      <c r="Y420" s="58"/>
      <c r="Z420" s="58"/>
      <c r="AA420" s="1"/>
      <c r="AB420" s="1"/>
      <c r="AC420" s="1"/>
      <c r="AD420" s="59"/>
      <c r="AE420" s="1"/>
      <c r="AF420" s="1"/>
      <c r="AG420" s="1"/>
    </row>
    <row r="421" spans="25:33" ht="14.4">
      <c r="Y421" s="58"/>
      <c r="Z421" s="58"/>
      <c r="AA421" s="1"/>
      <c r="AB421" s="1"/>
      <c r="AC421" s="1"/>
      <c r="AD421" s="59"/>
      <c r="AE421" s="1"/>
      <c r="AF421" s="1"/>
      <c r="AG421" s="1"/>
    </row>
    <row r="422" spans="25:33" ht="14.4">
      <c r="Y422" s="58"/>
      <c r="Z422" s="58"/>
      <c r="AA422" s="1"/>
      <c r="AB422" s="1"/>
      <c r="AC422" s="1"/>
      <c r="AD422" s="59"/>
      <c r="AE422" s="1"/>
      <c r="AF422" s="1"/>
      <c r="AG422" s="1"/>
    </row>
    <row r="423" spans="25:33" ht="14.4">
      <c r="Y423" s="58"/>
      <c r="Z423" s="58"/>
      <c r="AA423" s="1"/>
      <c r="AB423" s="1"/>
      <c r="AC423" s="1"/>
      <c r="AD423" s="59"/>
      <c r="AE423" s="1"/>
      <c r="AF423" s="1"/>
      <c r="AG423" s="1"/>
    </row>
    <row r="424" spans="25:33" ht="14.4">
      <c r="Y424" s="58"/>
      <c r="Z424" s="58"/>
      <c r="AA424" s="1"/>
      <c r="AB424" s="1"/>
      <c r="AC424" s="1"/>
      <c r="AD424" s="59"/>
      <c r="AE424" s="1"/>
      <c r="AF424" s="1"/>
      <c r="AG424" s="1"/>
    </row>
    <row r="425" spans="25:33" ht="14.4">
      <c r="Y425" s="58"/>
      <c r="Z425" s="58"/>
      <c r="AA425" s="1"/>
      <c r="AB425" s="1"/>
      <c r="AC425" s="1"/>
      <c r="AD425" s="59"/>
      <c r="AE425" s="1"/>
      <c r="AF425" s="1"/>
      <c r="AG425" s="1"/>
    </row>
    <row r="426" spans="25:33" ht="14.4">
      <c r="Y426" s="58"/>
      <c r="Z426" s="58"/>
      <c r="AA426" s="1"/>
      <c r="AB426" s="1"/>
      <c r="AC426" s="1"/>
      <c r="AD426" s="59"/>
      <c r="AE426" s="1"/>
      <c r="AF426" s="1"/>
      <c r="AG426" s="1"/>
    </row>
    <row r="427" spans="25:33" ht="14.4">
      <c r="Y427" s="58"/>
      <c r="Z427" s="58"/>
      <c r="AA427" s="1"/>
      <c r="AB427" s="1"/>
      <c r="AC427" s="1"/>
      <c r="AD427" s="59"/>
      <c r="AE427" s="1"/>
      <c r="AF427" s="1"/>
      <c r="AG427" s="1"/>
    </row>
    <row r="428" spans="25:33" ht="14.4">
      <c r="Y428" s="58"/>
      <c r="Z428" s="58"/>
      <c r="AA428" s="1"/>
      <c r="AB428" s="1"/>
      <c r="AC428" s="1"/>
      <c r="AD428" s="59"/>
      <c r="AE428" s="1"/>
      <c r="AF428" s="1"/>
      <c r="AG428" s="1"/>
    </row>
    <row r="429" spans="25:33" ht="14.4">
      <c r="Y429" s="58"/>
      <c r="Z429" s="58"/>
      <c r="AA429" s="1"/>
      <c r="AB429" s="1"/>
      <c r="AC429" s="1"/>
      <c r="AD429" s="59"/>
      <c r="AE429" s="1"/>
      <c r="AF429" s="1"/>
      <c r="AG429" s="1"/>
    </row>
    <row r="430" spans="25:33" ht="14.4">
      <c r="Y430" s="58"/>
      <c r="Z430" s="58"/>
      <c r="AA430" s="1"/>
      <c r="AB430" s="1"/>
      <c r="AC430" s="1"/>
      <c r="AD430" s="59"/>
      <c r="AE430" s="1"/>
      <c r="AF430" s="1"/>
      <c r="AG430" s="1"/>
    </row>
    <row r="431" spans="25:33" ht="14.4">
      <c r="Y431" s="58"/>
      <c r="Z431" s="58"/>
      <c r="AA431" s="1"/>
      <c r="AB431" s="1"/>
      <c r="AC431" s="1"/>
      <c r="AD431" s="59"/>
      <c r="AE431" s="1"/>
      <c r="AF431" s="1"/>
      <c r="AG431" s="1"/>
    </row>
    <row r="432" spans="25:33" ht="14.4">
      <c r="Y432" s="58"/>
      <c r="Z432" s="58"/>
      <c r="AA432" s="1"/>
      <c r="AB432" s="1"/>
      <c r="AC432" s="1"/>
      <c r="AD432" s="59"/>
      <c r="AE432" s="1"/>
      <c r="AF432" s="1"/>
      <c r="AG432" s="1"/>
    </row>
    <row r="433" spans="25:33" ht="14.4">
      <c r="Y433" s="58"/>
      <c r="Z433" s="58"/>
      <c r="AA433" s="1"/>
      <c r="AB433" s="1"/>
      <c r="AC433" s="1"/>
      <c r="AD433" s="59"/>
      <c r="AE433" s="1"/>
      <c r="AF433" s="1"/>
      <c r="AG433" s="1"/>
    </row>
    <row r="434" spans="25:33" ht="14.4">
      <c r="Y434" s="58"/>
      <c r="Z434" s="58"/>
      <c r="AA434" s="1"/>
      <c r="AB434" s="1"/>
      <c r="AC434" s="1"/>
      <c r="AD434" s="59"/>
      <c r="AE434" s="1"/>
      <c r="AF434" s="1"/>
      <c r="AG434" s="1"/>
    </row>
    <row r="435" spans="25:33" ht="14.4">
      <c r="Y435" s="58"/>
      <c r="Z435" s="58"/>
      <c r="AA435" s="1"/>
      <c r="AB435" s="1"/>
      <c r="AC435" s="1"/>
      <c r="AD435" s="59"/>
      <c r="AE435" s="1"/>
      <c r="AF435" s="1"/>
      <c r="AG435" s="1"/>
    </row>
    <row r="436" spans="25:33" ht="14.4">
      <c r="Y436" s="58"/>
      <c r="Z436" s="58"/>
      <c r="AA436" s="1"/>
      <c r="AB436" s="1"/>
      <c r="AC436" s="1"/>
      <c r="AD436" s="59"/>
      <c r="AE436" s="1"/>
      <c r="AF436" s="1"/>
      <c r="AG436" s="1"/>
    </row>
    <row r="437" spans="25:33" ht="14.4">
      <c r="Y437" s="58"/>
      <c r="Z437" s="58"/>
      <c r="AA437" s="1"/>
      <c r="AB437" s="1"/>
      <c r="AC437" s="1"/>
      <c r="AD437" s="59"/>
      <c r="AE437" s="1"/>
      <c r="AF437" s="1"/>
      <c r="AG437" s="1"/>
    </row>
    <row r="438" spans="25:33" ht="14.4">
      <c r="Y438" s="58"/>
      <c r="Z438" s="58"/>
      <c r="AA438" s="1"/>
      <c r="AB438" s="1"/>
      <c r="AC438" s="1"/>
      <c r="AD438" s="59"/>
      <c r="AE438" s="1"/>
      <c r="AF438" s="1"/>
      <c r="AG438" s="1"/>
    </row>
    <row r="439" spans="25:33" ht="14.4">
      <c r="Y439" s="58"/>
      <c r="Z439" s="58"/>
      <c r="AA439" s="1"/>
      <c r="AB439" s="1"/>
      <c r="AC439" s="1"/>
      <c r="AD439" s="59"/>
      <c r="AE439" s="1"/>
      <c r="AF439" s="1"/>
      <c r="AG439" s="1"/>
    </row>
    <row r="440" spans="25:33" ht="14.4">
      <c r="Y440" s="58"/>
      <c r="Z440" s="58"/>
      <c r="AA440" s="1"/>
      <c r="AB440" s="1"/>
      <c r="AC440" s="1"/>
      <c r="AD440" s="59"/>
      <c r="AE440" s="1"/>
      <c r="AF440" s="1"/>
      <c r="AG440" s="1"/>
    </row>
    <row r="441" spans="25:33" ht="14.4">
      <c r="Y441" s="58"/>
      <c r="Z441" s="58"/>
      <c r="AA441" s="1"/>
      <c r="AB441" s="1"/>
      <c r="AC441" s="1"/>
      <c r="AD441" s="59"/>
      <c r="AE441" s="1"/>
      <c r="AF441" s="1"/>
      <c r="AG441" s="1"/>
    </row>
    <row r="442" spans="25:33" ht="14.4">
      <c r="Y442" s="58"/>
      <c r="Z442" s="58"/>
      <c r="AA442" s="1"/>
      <c r="AB442" s="1"/>
      <c r="AC442" s="1"/>
      <c r="AD442" s="59"/>
      <c r="AE442" s="1"/>
      <c r="AF442" s="1"/>
      <c r="AG442" s="1"/>
    </row>
    <row r="443" spans="25:33" ht="14.4">
      <c r="Y443" s="58"/>
      <c r="Z443" s="58"/>
      <c r="AA443" s="1"/>
      <c r="AB443" s="1"/>
      <c r="AC443" s="1"/>
      <c r="AD443" s="59"/>
      <c r="AE443" s="1"/>
      <c r="AF443" s="1"/>
      <c r="AG443" s="1"/>
    </row>
    <row r="444" spans="25:33" ht="14.4">
      <c r="Y444" s="58"/>
      <c r="Z444" s="58"/>
      <c r="AA444" s="1"/>
      <c r="AB444" s="1"/>
      <c r="AC444" s="1"/>
      <c r="AD444" s="59"/>
      <c r="AE444" s="1"/>
      <c r="AF444" s="1"/>
      <c r="AG444" s="1"/>
    </row>
    <row r="445" spans="25:33" ht="14.4">
      <c r="Y445" s="58"/>
      <c r="Z445" s="58"/>
      <c r="AA445" s="1"/>
      <c r="AB445" s="1"/>
      <c r="AC445" s="1"/>
      <c r="AD445" s="59"/>
      <c r="AE445" s="1"/>
      <c r="AF445" s="1"/>
      <c r="AG445" s="1"/>
    </row>
    <row r="446" spans="25:33" ht="14.4">
      <c r="Y446" s="58"/>
      <c r="Z446" s="58"/>
      <c r="AA446" s="1"/>
      <c r="AB446" s="1"/>
      <c r="AC446" s="1"/>
      <c r="AD446" s="59"/>
      <c r="AE446" s="1"/>
      <c r="AF446" s="1"/>
      <c r="AG446" s="1"/>
    </row>
    <row r="447" spans="25:33" ht="14.4">
      <c r="Y447" s="58"/>
      <c r="Z447" s="58"/>
      <c r="AA447" s="1"/>
      <c r="AB447" s="1"/>
      <c r="AC447" s="1"/>
      <c r="AD447" s="59"/>
      <c r="AE447" s="1"/>
      <c r="AF447" s="1"/>
      <c r="AG447" s="1"/>
    </row>
    <row r="448" spans="25:33" ht="14.4">
      <c r="Y448" s="58"/>
      <c r="Z448" s="58"/>
      <c r="AA448" s="1"/>
      <c r="AB448" s="1"/>
      <c r="AC448" s="1"/>
      <c r="AD448" s="59"/>
      <c r="AE448" s="1"/>
      <c r="AF448" s="1"/>
      <c r="AG448" s="1"/>
    </row>
    <row r="449" spans="25:33" ht="14.4">
      <c r="Y449" s="58"/>
      <c r="Z449" s="58"/>
      <c r="AA449" s="1"/>
      <c r="AB449" s="1"/>
      <c r="AC449" s="1"/>
      <c r="AD449" s="59"/>
      <c r="AE449" s="1"/>
      <c r="AF449" s="1"/>
      <c r="AG449" s="1"/>
    </row>
    <row r="450" spans="25:33" ht="14.4">
      <c r="Y450" s="58"/>
      <c r="Z450" s="58"/>
      <c r="AA450" s="1"/>
      <c r="AB450" s="1"/>
      <c r="AC450" s="1"/>
      <c r="AD450" s="59"/>
      <c r="AE450" s="1"/>
      <c r="AF450" s="1"/>
      <c r="AG450" s="1"/>
    </row>
    <row r="451" spans="25:33" ht="14.4">
      <c r="Y451" s="58"/>
      <c r="Z451" s="58"/>
      <c r="AA451" s="1"/>
      <c r="AB451" s="1"/>
      <c r="AC451" s="1"/>
      <c r="AD451" s="59"/>
      <c r="AE451" s="1"/>
      <c r="AF451" s="1"/>
      <c r="AG451" s="1"/>
    </row>
    <row r="452" spans="25:33" ht="14.4">
      <c r="Y452" s="58"/>
      <c r="Z452" s="58"/>
      <c r="AA452" s="1"/>
      <c r="AB452" s="1"/>
      <c r="AC452" s="1"/>
      <c r="AD452" s="59"/>
      <c r="AE452" s="1"/>
      <c r="AF452" s="1"/>
      <c r="AG452" s="1"/>
    </row>
    <row r="453" spans="25:33" ht="14.4">
      <c r="Y453" s="58"/>
      <c r="Z453" s="58"/>
      <c r="AA453" s="1"/>
      <c r="AB453" s="1"/>
      <c r="AC453" s="1"/>
      <c r="AD453" s="59"/>
      <c r="AE453" s="1"/>
      <c r="AF453" s="1"/>
      <c r="AG453" s="1"/>
    </row>
    <row r="454" spans="25:33" ht="14.4">
      <c r="Y454" s="58"/>
      <c r="Z454" s="58"/>
      <c r="AA454" s="1"/>
      <c r="AB454" s="1"/>
      <c r="AC454" s="1"/>
      <c r="AD454" s="59"/>
      <c r="AE454" s="1"/>
      <c r="AF454" s="1"/>
      <c r="AG454" s="1"/>
    </row>
    <row r="455" spans="25:33" ht="14.4">
      <c r="Y455" s="58"/>
      <c r="Z455" s="58"/>
      <c r="AA455" s="1"/>
      <c r="AB455" s="1"/>
      <c r="AC455" s="1"/>
      <c r="AD455" s="59"/>
      <c r="AE455" s="1"/>
      <c r="AF455" s="1"/>
      <c r="AG455" s="1"/>
    </row>
    <row r="456" spans="25:33" ht="14.4">
      <c r="Y456" s="58"/>
      <c r="Z456" s="58"/>
      <c r="AA456" s="1"/>
      <c r="AB456" s="1"/>
      <c r="AC456" s="1"/>
      <c r="AD456" s="59"/>
      <c r="AE456" s="1"/>
      <c r="AF456" s="1"/>
      <c r="AG456" s="1"/>
    </row>
    <row r="457" spans="25:33" ht="14.4">
      <c r="Y457" s="58"/>
      <c r="Z457" s="58"/>
      <c r="AA457" s="1"/>
      <c r="AB457" s="1"/>
      <c r="AC457" s="1"/>
      <c r="AD457" s="59"/>
      <c r="AE457" s="1"/>
      <c r="AF457" s="1"/>
      <c r="AG457" s="1"/>
    </row>
    <row r="458" spans="25:33" ht="14.4">
      <c r="Y458" s="58"/>
      <c r="Z458" s="58"/>
      <c r="AA458" s="1"/>
      <c r="AB458" s="1"/>
      <c r="AC458" s="1"/>
      <c r="AD458" s="59"/>
      <c r="AE458" s="1"/>
      <c r="AF458" s="1"/>
      <c r="AG458" s="1"/>
    </row>
    <row r="459" spans="25:33" ht="14.4">
      <c r="Y459" s="58"/>
      <c r="Z459" s="58"/>
      <c r="AA459" s="1"/>
      <c r="AB459" s="1"/>
      <c r="AC459" s="1"/>
      <c r="AD459" s="59"/>
      <c r="AE459" s="1"/>
      <c r="AF459" s="1"/>
      <c r="AG459" s="1"/>
    </row>
    <row r="460" spans="25:33" ht="14.4">
      <c r="Y460" s="58"/>
      <c r="Z460" s="58"/>
      <c r="AA460" s="1"/>
      <c r="AB460" s="1"/>
      <c r="AC460" s="1"/>
      <c r="AD460" s="59"/>
      <c r="AE460" s="1"/>
      <c r="AF460" s="1"/>
      <c r="AG460" s="1"/>
    </row>
    <row r="461" spans="25:33" ht="14.4">
      <c r="Y461" s="58"/>
      <c r="Z461" s="58"/>
      <c r="AA461" s="1"/>
      <c r="AB461" s="1"/>
      <c r="AC461" s="1"/>
      <c r="AD461" s="59"/>
      <c r="AE461" s="1"/>
      <c r="AF461" s="1"/>
      <c r="AG461" s="1"/>
    </row>
    <row r="462" spans="25:33" ht="14.4">
      <c r="Y462" s="58"/>
      <c r="Z462" s="58"/>
      <c r="AA462" s="1"/>
      <c r="AB462" s="1"/>
      <c r="AC462" s="1"/>
      <c r="AD462" s="59"/>
      <c r="AE462" s="1"/>
      <c r="AF462" s="1"/>
      <c r="AG462" s="1"/>
    </row>
    <row r="463" spans="25:33" ht="14.4">
      <c r="Y463" s="58"/>
      <c r="Z463" s="58"/>
      <c r="AA463" s="1"/>
      <c r="AB463" s="1"/>
      <c r="AC463" s="1"/>
      <c r="AD463" s="59"/>
      <c r="AE463" s="1"/>
      <c r="AF463" s="1"/>
      <c r="AG463" s="1"/>
    </row>
    <row r="464" spans="25:33" ht="14.4">
      <c r="Y464" s="58"/>
      <c r="Z464" s="58"/>
      <c r="AA464" s="1"/>
      <c r="AB464" s="1"/>
      <c r="AC464" s="1"/>
      <c r="AD464" s="59"/>
      <c r="AE464" s="1"/>
      <c r="AF464" s="1"/>
      <c r="AG464" s="1"/>
    </row>
    <row r="465" spans="25:33" ht="14.4">
      <c r="Y465" s="58"/>
      <c r="Z465" s="58"/>
      <c r="AA465" s="1"/>
      <c r="AB465" s="1"/>
      <c r="AC465" s="1"/>
      <c r="AD465" s="59"/>
      <c r="AE465" s="1"/>
      <c r="AF465" s="1"/>
      <c r="AG465" s="1"/>
    </row>
    <row r="466" spans="25:33" ht="14.4">
      <c r="Y466" s="58"/>
      <c r="Z466" s="58"/>
      <c r="AA466" s="1"/>
      <c r="AB466" s="1"/>
      <c r="AC466" s="1"/>
      <c r="AD466" s="59"/>
      <c r="AE466" s="1"/>
      <c r="AF466" s="1"/>
      <c r="AG466" s="1"/>
    </row>
    <row r="467" spans="25:33" ht="14.4">
      <c r="Y467" s="58"/>
      <c r="Z467" s="58"/>
      <c r="AA467" s="1"/>
      <c r="AB467" s="1"/>
      <c r="AC467" s="1"/>
      <c r="AD467" s="59"/>
      <c r="AE467" s="1"/>
      <c r="AF467" s="1"/>
      <c r="AG467" s="1"/>
    </row>
    <row r="468" spans="25:33" ht="14.4">
      <c r="Y468" s="58"/>
      <c r="Z468" s="58"/>
      <c r="AA468" s="1"/>
      <c r="AB468" s="1"/>
      <c r="AC468" s="1"/>
      <c r="AD468" s="59"/>
      <c r="AE468" s="1"/>
      <c r="AF468" s="1"/>
      <c r="AG468" s="1"/>
    </row>
    <row r="469" spans="25:33" ht="14.4">
      <c r="Y469" s="58"/>
      <c r="Z469" s="58"/>
      <c r="AA469" s="1"/>
      <c r="AB469" s="1"/>
      <c r="AC469" s="1"/>
      <c r="AD469" s="59"/>
      <c r="AE469" s="1"/>
      <c r="AF469" s="1"/>
      <c r="AG469" s="1"/>
    </row>
    <row r="470" spans="25:33" ht="14.4">
      <c r="Y470" s="58"/>
      <c r="Z470" s="58"/>
      <c r="AA470" s="1"/>
      <c r="AB470" s="1"/>
      <c r="AC470" s="1"/>
      <c r="AD470" s="59"/>
      <c r="AE470" s="1"/>
      <c r="AF470" s="1"/>
      <c r="AG470" s="1"/>
    </row>
    <row r="471" spans="25:33" ht="14.4">
      <c r="Y471" s="58"/>
      <c r="Z471" s="58"/>
      <c r="AA471" s="1"/>
      <c r="AB471" s="1"/>
      <c r="AC471" s="1"/>
      <c r="AD471" s="59"/>
      <c r="AE471" s="1"/>
      <c r="AF471" s="1"/>
      <c r="AG471" s="1"/>
    </row>
    <row r="472" spans="25:33" ht="14.4">
      <c r="Y472" s="58"/>
      <c r="Z472" s="58"/>
      <c r="AA472" s="1"/>
      <c r="AB472" s="1"/>
      <c r="AC472" s="1"/>
      <c r="AD472" s="59"/>
      <c r="AE472" s="1"/>
      <c r="AF472" s="1"/>
      <c r="AG472" s="1"/>
    </row>
    <row r="473" spans="25:33" ht="14.4">
      <c r="Y473" s="58"/>
      <c r="Z473" s="58"/>
      <c r="AA473" s="1"/>
      <c r="AB473" s="1"/>
      <c r="AC473" s="1"/>
      <c r="AD473" s="59"/>
      <c r="AE473" s="1"/>
      <c r="AF473" s="1"/>
      <c r="AG473" s="1"/>
    </row>
    <row r="474" spans="25:33" ht="14.4">
      <c r="Y474" s="58"/>
      <c r="Z474" s="58"/>
      <c r="AA474" s="1"/>
      <c r="AB474" s="1"/>
      <c r="AC474" s="1"/>
      <c r="AD474" s="59"/>
      <c r="AE474" s="1"/>
      <c r="AF474" s="1"/>
      <c r="AG474" s="1"/>
    </row>
    <row r="475" spans="25:33" ht="14.4">
      <c r="Y475" s="58"/>
      <c r="Z475" s="58"/>
      <c r="AA475" s="1"/>
      <c r="AB475" s="1"/>
      <c r="AC475" s="1"/>
      <c r="AD475" s="59"/>
      <c r="AE475" s="1"/>
      <c r="AF475" s="1"/>
      <c r="AG475" s="1"/>
    </row>
    <row r="476" spans="25:33" ht="14.4">
      <c r="Y476" s="58"/>
      <c r="Z476" s="58"/>
      <c r="AA476" s="1"/>
      <c r="AB476" s="1"/>
      <c r="AC476" s="1"/>
      <c r="AD476" s="59"/>
      <c r="AE476" s="1"/>
      <c r="AF476" s="1"/>
      <c r="AG476" s="1"/>
    </row>
    <row r="477" spans="25:33" ht="14.4">
      <c r="Y477" s="58"/>
      <c r="Z477" s="58"/>
      <c r="AA477" s="1"/>
      <c r="AB477" s="1"/>
      <c r="AC477" s="1"/>
      <c r="AD477" s="59"/>
      <c r="AE477" s="1"/>
      <c r="AF477" s="1"/>
      <c r="AG477" s="1"/>
    </row>
    <row r="478" spans="25:33" ht="14.4">
      <c r="Y478" s="58"/>
      <c r="Z478" s="58"/>
      <c r="AA478" s="1"/>
      <c r="AB478" s="1"/>
      <c r="AC478" s="1"/>
      <c r="AD478" s="59"/>
      <c r="AE478" s="1"/>
      <c r="AF478" s="1"/>
      <c r="AG478" s="1"/>
    </row>
    <row r="479" spans="25:33" ht="14.4">
      <c r="Y479" s="58"/>
      <c r="Z479" s="58"/>
      <c r="AA479" s="1"/>
      <c r="AB479" s="1"/>
      <c r="AC479" s="1"/>
      <c r="AD479" s="59"/>
      <c r="AE479" s="1"/>
      <c r="AF479" s="1"/>
      <c r="AG479" s="1"/>
    </row>
    <row r="480" spans="25:33" ht="14.4">
      <c r="Y480" s="58"/>
      <c r="Z480" s="58"/>
      <c r="AA480" s="1"/>
      <c r="AB480" s="1"/>
      <c r="AC480" s="1"/>
      <c r="AD480" s="59"/>
      <c r="AE480" s="1"/>
      <c r="AF480" s="1"/>
      <c r="AG480" s="1"/>
    </row>
    <row r="481" spans="25:33" ht="14.4">
      <c r="Y481" s="58"/>
      <c r="Z481" s="58"/>
      <c r="AA481" s="1"/>
      <c r="AB481" s="1"/>
      <c r="AC481" s="1"/>
      <c r="AD481" s="59"/>
      <c r="AE481" s="1"/>
      <c r="AF481" s="1"/>
      <c r="AG481" s="1"/>
    </row>
    <row r="482" spans="25:33" ht="14.4">
      <c r="Y482" s="58"/>
      <c r="Z482" s="58"/>
      <c r="AA482" s="1"/>
      <c r="AB482" s="1"/>
      <c r="AC482" s="1"/>
      <c r="AD482" s="59"/>
      <c r="AE482" s="1"/>
      <c r="AF482" s="1"/>
      <c r="AG482" s="1"/>
    </row>
    <row r="483" spans="25:33" ht="14.4">
      <c r="Y483" s="58"/>
      <c r="Z483" s="58"/>
      <c r="AA483" s="1"/>
      <c r="AB483" s="1"/>
      <c r="AC483" s="1"/>
      <c r="AD483" s="59"/>
      <c r="AE483" s="1"/>
      <c r="AF483" s="1"/>
      <c r="AG483" s="1"/>
    </row>
    <row r="484" spans="25:33" ht="14.4">
      <c r="Y484" s="58"/>
      <c r="Z484" s="58"/>
      <c r="AA484" s="1"/>
      <c r="AB484" s="1"/>
      <c r="AC484" s="1"/>
      <c r="AD484" s="59"/>
      <c r="AE484" s="1"/>
      <c r="AF484" s="1"/>
      <c r="AG484" s="1"/>
    </row>
    <row r="485" spans="25:33" ht="14.4">
      <c r="Y485" s="58"/>
      <c r="Z485" s="58"/>
      <c r="AA485" s="1"/>
      <c r="AB485" s="1"/>
      <c r="AC485" s="1"/>
      <c r="AD485" s="59"/>
      <c r="AE485" s="1"/>
      <c r="AF485" s="1"/>
      <c r="AG485" s="1"/>
    </row>
    <row r="486" spans="25:33" ht="14.4">
      <c r="Y486" s="58"/>
      <c r="Z486" s="58"/>
      <c r="AA486" s="1"/>
      <c r="AB486" s="1"/>
      <c r="AC486" s="1"/>
      <c r="AD486" s="59"/>
      <c r="AE486" s="1"/>
      <c r="AF486" s="1"/>
      <c r="AG486" s="1"/>
    </row>
    <row r="487" spans="25:33" ht="14.4">
      <c r="Y487" s="58"/>
      <c r="Z487" s="58"/>
      <c r="AA487" s="1"/>
      <c r="AB487" s="1"/>
      <c r="AC487" s="1"/>
      <c r="AD487" s="59"/>
      <c r="AE487" s="1"/>
      <c r="AF487" s="1"/>
      <c r="AG487" s="1"/>
    </row>
    <row r="488" spans="25:33" ht="14.4">
      <c r="Y488" s="58"/>
      <c r="Z488" s="58"/>
      <c r="AA488" s="1"/>
      <c r="AB488" s="1"/>
      <c r="AC488" s="1"/>
      <c r="AD488" s="59"/>
      <c r="AE488" s="1"/>
      <c r="AF488" s="1"/>
      <c r="AG488" s="1"/>
    </row>
    <row r="489" spans="25:33" ht="14.4">
      <c r="Y489" s="58"/>
      <c r="Z489" s="58"/>
      <c r="AA489" s="1"/>
      <c r="AB489" s="1"/>
      <c r="AC489" s="1"/>
      <c r="AD489" s="59"/>
      <c r="AE489" s="1"/>
      <c r="AF489" s="1"/>
      <c r="AG489" s="1"/>
    </row>
    <row r="490" spans="25:33" ht="14.4">
      <c r="Y490" s="58"/>
      <c r="Z490" s="58"/>
      <c r="AA490" s="1"/>
      <c r="AB490" s="1"/>
      <c r="AC490" s="1"/>
      <c r="AD490" s="59"/>
      <c r="AE490" s="1"/>
      <c r="AF490" s="1"/>
      <c r="AG490" s="1"/>
    </row>
    <row r="491" spans="25:33" ht="14.4">
      <c r="Y491" s="58"/>
      <c r="Z491" s="58"/>
      <c r="AA491" s="1"/>
      <c r="AB491" s="1"/>
      <c r="AC491" s="1"/>
      <c r="AD491" s="59"/>
      <c r="AE491" s="1"/>
      <c r="AF491" s="1"/>
      <c r="AG491" s="1"/>
    </row>
    <row r="492" spans="25:33" ht="14.4">
      <c r="Y492" s="58"/>
      <c r="Z492" s="58"/>
      <c r="AA492" s="1"/>
      <c r="AB492" s="1"/>
      <c r="AC492" s="1"/>
      <c r="AD492" s="59"/>
      <c r="AE492" s="1"/>
      <c r="AF492" s="1"/>
      <c r="AG492" s="1"/>
    </row>
    <row r="493" spans="25:33" ht="14.4">
      <c r="Y493" s="58"/>
      <c r="Z493" s="58"/>
      <c r="AA493" s="1"/>
      <c r="AB493" s="1"/>
      <c r="AC493" s="1"/>
      <c r="AD493" s="59"/>
      <c r="AE493" s="1"/>
      <c r="AF493" s="1"/>
      <c r="AG493" s="1"/>
    </row>
    <row r="494" spans="25:33" ht="14.4">
      <c r="Y494" s="58"/>
      <c r="Z494" s="58"/>
      <c r="AA494" s="1"/>
      <c r="AB494" s="1"/>
      <c r="AC494" s="1"/>
      <c r="AD494" s="59"/>
      <c r="AE494" s="1"/>
      <c r="AF494" s="1"/>
      <c r="AG494" s="1"/>
    </row>
    <row r="495" spans="25:33" ht="14.4">
      <c r="Y495" s="58"/>
      <c r="Z495" s="58"/>
      <c r="AA495" s="1"/>
      <c r="AB495" s="1"/>
      <c r="AC495" s="1"/>
      <c r="AD495" s="59"/>
      <c r="AE495" s="1"/>
      <c r="AF495" s="1"/>
      <c r="AG495" s="1"/>
    </row>
    <row r="496" spans="25:33" ht="14.4">
      <c r="Y496" s="58"/>
      <c r="Z496" s="58"/>
      <c r="AA496" s="1"/>
      <c r="AB496" s="1"/>
      <c r="AC496" s="1"/>
      <c r="AD496" s="59"/>
      <c r="AE496" s="1"/>
      <c r="AF496" s="1"/>
      <c r="AG496" s="1"/>
    </row>
    <row r="497" spans="25:33" ht="14.4">
      <c r="Y497" s="58"/>
      <c r="Z497" s="58"/>
      <c r="AA497" s="1"/>
      <c r="AB497" s="1"/>
      <c r="AC497" s="1"/>
      <c r="AD497" s="59"/>
      <c r="AE497" s="1"/>
      <c r="AF497" s="1"/>
      <c r="AG497" s="1"/>
    </row>
    <row r="498" spans="25:33" ht="14.4">
      <c r="Y498" s="58"/>
      <c r="Z498" s="58"/>
      <c r="AA498" s="1"/>
      <c r="AB498" s="1"/>
      <c r="AC498" s="1"/>
      <c r="AD498" s="59"/>
      <c r="AE498" s="1"/>
      <c r="AF498" s="1"/>
      <c r="AG498" s="1"/>
    </row>
    <row r="499" spans="25:33" ht="14.4">
      <c r="Y499" s="58"/>
      <c r="Z499" s="58"/>
      <c r="AA499" s="1"/>
      <c r="AB499" s="1"/>
      <c r="AC499" s="1"/>
      <c r="AD499" s="59"/>
      <c r="AE499" s="1"/>
      <c r="AF499" s="1"/>
      <c r="AG499" s="1"/>
    </row>
    <row r="500" spans="25:33" ht="14.4">
      <c r="Y500" s="58"/>
      <c r="Z500" s="58"/>
      <c r="AA500" s="1"/>
      <c r="AB500" s="1"/>
      <c r="AC500" s="1"/>
      <c r="AD500" s="59"/>
      <c r="AE500" s="1"/>
      <c r="AF500" s="1"/>
      <c r="AG500" s="1"/>
    </row>
    <row r="501" spans="25:33" ht="14.4">
      <c r="Y501" s="58"/>
      <c r="Z501" s="58"/>
      <c r="AA501" s="1"/>
      <c r="AB501" s="1"/>
      <c r="AC501" s="1"/>
      <c r="AD501" s="59"/>
      <c r="AE501" s="1"/>
      <c r="AF501" s="1"/>
      <c r="AG501" s="1"/>
    </row>
    <row r="502" spans="25:33" ht="14.4">
      <c r="Y502" s="58"/>
      <c r="Z502" s="58"/>
      <c r="AA502" s="1"/>
      <c r="AB502" s="1"/>
      <c r="AC502" s="1"/>
      <c r="AD502" s="59"/>
      <c r="AE502" s="1"/>
      <c r="AF502" s="1"/>
      <c r="AG502" s="1"/>
    </row>
    <row r="503" spans="25:33" ht="14.4">
      <c r="Y503" s="58"/>
      <c r="Z503" s="58"/>
      <c r="AA503" s="1"/>
      <c r="AB503" s="1"/>
      <c r="AC503" s="1"/>
      <c r="AD503" s="59"/>
      <c r="AE503" s="1"/>
      <c r="AF503" s="1"/>
      <c r="AG503" s="1"/>
    </row>
    <row r="504" spans="25:33" ht="14.4">
      <c r="Y504" s="58"/>
      <c r="Z504" s="58"/>
      <c r="AA504" s="1"/>
      <c r="AB504" s="1"/>
      <c r="AC504" s="1"/>
      <c r="AD504" s="59"/>
      <c r="AE504" s="1"/>
      <c r="AF504" s="1"/>
      <c r="AG504" s="1"/>
    </row>
    <row r="505" spans="25:33" ht="14.4">
      <c r="Y505" s="58"/>
      <c r="Z505" s="58"/>
      <c r="AA505" s="1"/>
      <c r="AB505" s="1"/>
      <c r="AC505" s="1"/>
      <c r="AD505" s="59"/>
      <c r="AE505" s="1"/>
      <c r="AF505" s="1"/>
      <c r="AG505" s="1"/>
    </row>
    <row r="506" spans="25:33" ht="14.4">
      <c r="Y506" s="58"/>
      <c r="Z506" s="58"/>
      <c r="AA506" s="1"/>
      <c r="AB506" s="1"/>
      <c r="AC506" s="1"/>
      <c r="AD506" s="59"/>
      <c r="AE506" s="1"/>
      <c r="AF506" s="1"/>
      <c r="AG506" s="1"/>
    </row>
    <row r="507" spans="25:33" ht="14.4">
      <c r="Y507" s="58"/>
      <c r="Z507" s="58"/>
      <c r="AA507" s="1"/>
      <c r="AB507" s="1"/>
      <c r="AC507" s="1"/>
      <c r="AD507" s="59"/>
      <c r="AE507" s="1"/>
      <c r="AF507" s="1"/>
      <c r="AG507" s="1"/>
    </row>
    <row r="508" spans="25:33" ht="14.4">
      <c r="Y508" s="58"/>
      <c r="Z508" s="58"/>
      <c r="AA508" s="1"/>
      <c r="AB508" s="1"/>
      <c r="AC508" s="1"/>
      <c r="AD508" s="59"/>
      <c r="AE508" s="1"/>
      <c r="AF508" s="1"/>
      <c r="AG508" s="1"/>
    </row>
    <row r="509" spans="25:33" ht="14.4">
      <c r="Y509" s="58"/>
      <c r="Z509" s="58"/>
      <c r="AA509" s="1"/>
      <c r="AB509" s="1"/>
      <c r="AC509" s="1"/>
      <c r="AD509" s="59"/>
      <c r="AE509" s="1"/>
      <c r="AF509" s="1"/>
      <c r="AG509" s="1"/>
    </row>
    <row r="510" spans="25:33" ht="14.4">
      <c r="Y510" s="58"/>
      <c r="Z510" s="58"/>
      <c r="AA510" s="1"/>
      <c r="AB510" s="1"/>
      <c r="AC510" s="1"/>
      <c r="AD510" s="59"/>
      <c r="AE510" s="1"/>
      <c r="AF510" s="1"/>
      <c r="AG510" s="1"/>
    </row>
    <row r="511" spans="25:33" ht="14.4">
      <c r="Y511" s="58"/>
      <c r="Z511" s="58"/>
      <c r="AA511" s="1"/>
      <c r="AB511" s="1"/>
      <c r="AC511" s="1"/>
      <c r="AD511" s="59"/>
      <c r="AE511" s="1"/>
      <c r="AF511" s="1"/>
      <c r="AG511" s="1"/>
    </row>
    <row r="512" spans="25:33" ht="14.4">
      <c r="Y512" s="58"/>
      <c r="Z512" s="58"/>
      <c r="AA512" s="1"/>
      <c r="AB512" s="1"/>
      <c r="AC512" s="1"/>
      <c r="AD512" s="59"/>
      <c r="AE512" s="1"/>
      <c r="AF512" s="1"/>
      <c r="AG512" s="1"/>
    </row>
    <row r="513" spans="25:33" ht="14.4">
      <c r="Y513" s="58"/>
      <c r="Z513" s="58"/>
      <c r="AA513" s="1"/>
      <c r="AB513" s="1"/>
      <c r="AC513" s="1"/>
      <c r="AD513" s="59"/>
      <c r="AE513" s="1"/>
      <c r="AF513" s="1"/>
      <c r="AG513" s="1"/>
    </row>
    <row r="514" spans="25:33" ht="14.4">
      <c r="Y514" s="58"/>
      <c r="Z514" s="58"/>
      <c r="AA514" s="1"/>
      <c r="AB514" s="1"/>
      <c r="AC514" s="1"/>
      <c r="AD514" s="59"/>
      <c r="AE514" s="1"/>
      <c r="AF514" s="1"/>
      <c r="AG514" s="1"/>
    </row>
    <row r="515" spans="25:33" ht="14.4">
      <c r="Y515" s="58"/>
      <c r="Z515" s="58"/>
      <c r="AA515" s="1"/>
      <c r="AB515" s="1"/>
      <c r="AC515" s="1"/>
      <c r="AD515" s="59"/>
      <c r="AE515" s="1"/>
      <c r="AF515" s="1"/>
      <c r="AG515" s="1"/>
    </row>
    <row r="516" spans="25:33" ht="14.4">
      <c r="Y516" s="58"/>
      <c r="Z516" s="58"/>
      <c r="AA516" s="1"/>
      <c r="AB516" s="1"/>
      <c r="AC516" s="1"/>
      <c r="AD516" s="59"/>
      <c r="AE516" s="1"/>
      <c r="AF516" s="1"/>
      <c r="AG516" s="1"/>
    </row>
    <row r="517" spans="25:33" ht="14.4">
      <c r="Y517" s="58"/>
      <c r="Z517" s="58"/>
      <c r="AA517" s="1"/>
      <c r="AB517" s="1"/>
      <c r="AC517" s="1"/>
      <c r="AD517" s="59"/>
      <c r="AE517" s="1"/>
      <c r="AF517" s="1"/>
      <c r="AG517" s="1"/>
    </row>
    <row r="518" spans="25:33" ht="14.4">
      <c r="Y518" s="58"/>
      <c r="Z518" s="58"/>
      <c r="AA518" s="1"/>
      <c r="AB518" s="1"/>
      <c r="AC518" s="1"/>
      <c r="AD518" s="59"/>
      <c r="AE518" s="1"/>
      <c r="AF518" s="1"/>
      <c r="AG518" s="1"/>
    </row>
    <row r="519" spans="25:33" ht="14.4">
      <c r="Y519" s="58"/>
      <c r="Z519" s="58"/>
      <c r="AA519" s="1"/>
      <c r="AB519" s="1"/>
      <c r="AC519" s="1"/>
      <c r="AD519" s="59"/>
      <c r="AE519" s="1"/>
      <c r="AF519" s="1"/>
      <c r="AG519" s="1"/>
    </row>
    <row r="520" spans="25:33" ht="14.4">
      <c r="Y520" s="58"/>
      <c r="Z520" s="58"/>
      <c r="AA520" s="1"/>
      <c r="AB520" s="1"/>
      <c r="AC520" s="1"/>
      <c r="AD520" s="59"/>
      <c r="AE520" s="1"/>
      <c r="AF520" s="1"/>
      <c r="AG520" s="1"/>
    </row>
    <row r="521" spans="25:33" ht="14.4">
      <c r="Y521" s="58"/>
      <c r="Z521" s="58"/>
      <c r="AA521" s="1"/>
      <c r="AB521" s="1"/>
      <c r="AC521" s="1"/>
      <c r="AD521" s="59"/>
      <c r="AE521" s="1"/>
      <c r="AF521" s="1"/>
      <c r="AG521" s="1"/>
    </row>
    <row r="522" spans="25:33" ht="14.4">
      <c r="Y522" s="58"/>
      <c r="Z522" s="58"/>
      <c r="AA522" s="1"/>
      <c r="AB522" s="1"/>
      <c r="AC522" s="1"/>
      <c r="AD522" s="59"/>
      <c r="AE522" s="1"/>
      <c r="AF522" s="1"/>
      <c r="AG522" s="1"/>
    </row>
    <row r="523" spans="25:33" ht="14.4">
      <c r="Y523" s="58"/>
      <c r="Z523" s="58"/>
      <c r="AA523" s="1"/>
      <c r="AB523" s="1"/>
      <c r="AC523" s="1"/>
      <c r="AD523" s="59"/>
      <c r="AE523" s="1"/>
      <c r="AF523" s="1"/>
      <c r="AG523" s="1"/>
    </row>
    <row r="524" spans="25:33" ht="14.4">
      <c r="Y524" s="58"/>
      <c r="Z524" s="58"/>
      <c r="AA524" s="1"/>
      <c r="AB524" s="1"/>
      <c r="AC524" s="1"/>
      <c r="AD524" s="59"/>
      <c r="AE524" s="1"/>
      <c r="AF524" s="1"/>
      <c r="AG524" s="1"/>
    </row>
    <row r="525" spans="25:33" ht="14.4">
      <c r="Y525" s="58"/>
      <c r="Z525" s="58"/>
      <c r="AA525" s="1"/>
      <c r="AB525" s="1"/>
      <c r="AC525" s="1"/>
      <c r="AD525" s="59"/>
      <c r="AE525" s="1"/>
      <c r="AF525" s="1"/>
      <c r="AG525" s="1"/>
    </row>
    <row r="526" spans="25:33" ht="14.4">
      <c r="Y526" s="58"/>
      <c r="Z526" s="58"/>
      <c r="AA526" s="1"/>
      <c r="AB526" s="1"/>
      <c r="AC526" s="1"/>
      <c r="AD526" s="59"/>
      <c r="AE526" s="1"/>
      <c r="AF526" s="1"/>
      <c r="AG526" s="1"/>
    </row>
    <row r="527" spans="25:33" ht="14.4">
      <c r="Y527" s="58"/>
      <c r="Z527" s="58"/>
      <c r="AA527" s="1"/>
      <c r="AB527" s="1"/>
      <c r="AC527" s="1"/>
      <c r="AD527" s="59"/>
      <c r="AE527" s="1"/>
      <c r="AF527" s="1"/>
      <c r="AG527" s="1"/>
    </row>
    <row r="528" spans="25:33" ht="14.4">
      <c r="Y528" s="58"/>
      <c r="Z528" s="58"/>
      <c r="AA528" s="1"/>
      <c r="AB528" s="1"/>
      <c r="AC528" s="1"/>
      <c r="AD528" s="59"/>
      <c r="AE528" s="1"/>
      <c r="AF528" s="1"/>
      <c r="AG528" s="1"/>
    </row>
    <row r="529" spans="25:33" ht="14.4">
      <c r="Y529" s="58"/>
      <c r="Z529" s="58"/>
      <c r="AA529" s="1"/>
      <c r="AB529" s="1"/>
      <c r="AC529" s="1"/>
      <c r="AD529" s="59"/>
      <c r="AE529" s="1"/>
      <c r="AF529" s="1"/>
      <c r="AG529" s="1"/>
    </row>
    <row r="530" spans="25:33" ht="14.4">
      <c r="Y530" s="58"/>
      <c r="Z530" s="58"/>
      <c r="AA530" s="1"/>
      <c r="AB530" s="1"/>
      <c r="AC530" s="1"/>
      <c r="AD530" s="59"/>
      <c r="AE530" s="1"/>
      <c r="AF530" s="1"/>
      <c r="AG530" s="1"/>
    </row>
    <row r="531" spans="25:33" ht="14.4">
      <c r="Y531" s="58"/>
      <c r="Z531" s="58"/>
      <c r="AA531" s="1"/>
      <c r="AB531" s="1"/>
      <c r="AC531" s="1"/>
      <c r="AD531" s="59"/>
      <c r="AE531" s="1"/>
      <c r="AF531" s="1"/>
      <c r="AG531" s="1"/>
    </row>
    <row r="532" spans="25:33" ht="14.4">
      <c r="Y532" s="58"/>
      <c r="Z532" s="58"/>
      <c r="AA532" s="1"/>
      <c r="AB532" s="1"/>
      <c r="AC532" s="1"/>
      <c r="AD532" s="59"/>
      <c r="AE532" s="1"/>
      <c r="AF532" s="1"/>
      <c r="AG532" s="1"/>
    </row>
    <row r="533" spans="25:33" ht="14.4">
      <c r="Y533" s="58"/>
      <c r="Z533" s="58"/>
      <c r="AA533" s="1"/>
      <c r="AB533" s="1"/>
      <c r="AC533" s="1"/>
      <c r="AD533" s="59"/>
      <c r="AE533" s="1"/>
      <c r="AF533" s="1"/>
      <c r="AG533" s="1"/>
    </row>
    <row r="534" spans="25:33" ht="14.4">
      <c r="Y534" s="58"/>
      <c r="Z534" s="58"/>
      <c r="AA534" s="1"/>
      <c r="AB534" s="1"/>
      <c r="AC534" s="1"/>
      <c r="AD534" s="59"/>
      <c r="AE534" s="1"/>
      <c r="AF534" s="1"/>
      <c r="AG534" s="1"/>
    </row>
    <row r="535" spans="25:33" ht="14.4">
      <c r="Y535" s="58"/>
      <c r="Z535" s="58"/>
      <c r="AA535" s="1"/>
      <c r="AB535" s="1"/>
      <c r="AC535" s="1"/>
      <c r="AD535" s="59"/>
      <c r="AE535" s="1"/>
      <c r="AF535" s="1"/>
      <c r="AG535" s="1"/>
    </row>
    <row r="536" spans="25:33" ht="14.4">
      <c r="Y536" s="58"/>
      <c r="Z536" s="58"/>
      <c r="AA536" s="1"/>
      <c r="AB536" s="1"/>
      <c r="AC536" s="1"/>
      <c r="AD536" s="59"/>
      <c r="AE536" s="1"/>
      <c r="AF536" s="1"/>
      <c r="AG536" s="1"/>
    </row>
    <row r="537" spans="25:33" ht="14.4">
      <c r="Y537" s="58"/>
      <c r="Z537" s="58"/>
      <c r="AA537" s="1"/>
      <c r="AB537" s="1"/>
      <c r="AC537" s="1"/>
      <c r="AD537" s="59"/>
      <c r="AE537" s="1"/>
      <c r="AF537" s="1"/>
      <c r="AG537" s="1"/>
    </row>
    <row r="538" spans="25:33" ht="14.4">
      <c r="Y538" s="58"/>
      <c r="Z538" s="58"/>
      <c r="AA538" s="1"/>
      <c r="AB538" s="1"/>
      <c r="AC538" s="1"/>
      <c r="AD538" s="59"/>
      <c r="AE538" s="1"/>
      <c r="AF538" s="1"/>
      <c r="AG538" s="1"/>
    </row>
    <row r="539" spans="25:33" ht="14.4">
      <c r="Y539" s="58"/>
      <c r="Z539" s="58"/>
      <c r="AA539" s="1"/>
      <c r="AB539" s="1"/>
      <c r="AC539" s="1"/>
      <c r="AD539" s="59"/>
      <c r="AE539" s="1"/>
      <c r="AF539" s="1"/>
      <c r="AG539" s="1"/>
    </row>
    <row r="540" spans="25:33" ht="14.4">
      <c r="Y540" s="58"/>
      <c r="Z540" s="58"/>
      <c r="AA540" s="1"/>
      <c r="AB540" s="1"/>
      <c r="AC540" s="1"/>
      <c r="AD540" s="59"/>
      <c r="AE540" s="1"/>
      <c r="AF540" s="1"/>
      <c r="AG540" s="1"/>
    </row>
    <row r="541" spans="25:33" ht="14.4">
      <c r="Y541" s="58"/>
      <c r="Z541" s="58"/>
      <c r="AA541" s="1"/>
      <c r="AB541" s="1"/>
      <c r="AC541" s="1"/>
      <c r="AD541" s="59"/>
      <c r="AE541" s="1"/>
      <c r="AF541" s="1"/>
      <c r="AG541" s="1"/>
    </row>
    <row r="542" spans="25:33" ht="14.4">
      <c r="Y542" s="58"/>
      <c r="Z542" s="58"/>
      <c r="AA542" s="1"/>
      <c r="AB542" s="1"/>
      <c r="AC542" s="1"/>
      <c r="AD542" s="59"/>
      <c r="AE542" s="1"/>
      <c r="AF542" s="1"/>
      <c r="AG542" s="1"/>
    </row>
    <row r="543" spans="25:33" ht="14.4">
      <c r="Y543" s="58"/>
      <c r="Z543" s="58"/>
      <c r="AA543" s="1"/>
      <c r="AB543" s="1"/>
      <c r="AC543" s="1"/>
      <c r="AD543" s="59"/>
      <c r="AE543" s="1"/>
      <c r="AF543" s="1"/>
      <c r="AG543" s="1"/>
    </row>
    <row r="544" spans="25:33" ht="14.4">
      <c r="Y544" s="58"/>
      <c r="Z544" s="58"/>
      <c r="AA544" s="1"/>
      <c r="AB544" s="1"/>
      <c r="AC544" s="1"/>
      <c r="AD544" s="59"/>
      <c r="AE544" s="1"/>
      <c r="AF544" s="1"/>
      <c r="AG544" s="1"/>
    </row>
    <row r="545" spans="25:33" ht="14.4">
      <c r="Y545" s="58"/>
      <c r="Z545" s="58"/>
      <c r="AA545" s="1"/>
      <c r="AB545" s="1"/>
      <c r="AC545" s="1"/>
      <c r="AD545" s="59"/>
      <c r="AE545" s="1"/>
      <c r="AF545" s="1"/>
      <c r="AG545" s="1"/>
    </row>
    <row r="546" spans="25:33" ht="14.4">
      <c r="Y546" s="58"/>
      <c r="Z546" s="58"/>
      <c r="AA546" s="1"/>
      <c r="AB546" s="1"/>
      <c r="AC546" s="1"/>
      <c r="AD546" s="59"/>
      <c r="AE546" s="1"/>
      <c r="AF546" s="1"/>
      <c r="AG546" s="1"/>
    </row>
    <row r="547" spans="25:33" ht="14.4">
      <c r="Y547" s="58"/>
      <c r="Z547" s="58"/>
      <c r="AA547" s="1"/>
      <c r="AB547" s="1"/>
      <c r="AC547" s="1"/>
      <c r="AD547" s="59"/>
      <c r="AE547" s="1"/>
      <c r="AF547" s="1"/>
      <c r="AG547" s="1"/>
    </row>
    <row r="548" spans="25:33" ht="14.4">
      <c r="Y548" s="58"/>
      <c r="Z548" s="58"/>
      <c r="AA548" s="1"/>
      <c r="AB548" s="1"/>
      <c r="AC548" s="1"/>
      <c r="AD548" s="59"/>
      <c r="AE548" s="1"/>
      <c r="AF548" s="1"/>
      <c r="AG548" s="1"/>
    </row>
    <row r="549" spans="25:33" ht="14.4">
      <c r="Y549" s="58"/>
      <c r="Z549" s="58"/>
      <c r="AA549" s="1"/>
      <c r="AB549" s="1"/>
      <c r="AC549" s="1"/>
      <c r="AD549" s="59"/>
      <c r="AE549" s="1"/>
      <c r="AF549" s="1"/>
      <c r="AG549" s="1"/>
    </row>
    <row r="550" spans="25:33" ht="14.4">
      <c r="Y550" s="58"/>
      <c r="Z550" s="58"/>
      <c r="AA550" s="1"/>
      <c r="AB550" s="1"/>
      <c r="AC550" s="1"/>
      <c r="AD550" s="59"/>
      <c r="AE550" s="1"/>
      <c r="AF550" s="1"/>
      <c r="AG550" s="1"/>
    </row>
    <row r="551" spans="25:33" ht="14.4">
      <c r="Y551" s="58"/>
      <c r="Z551" s="58"/>
      <c r="AA551" s="1"/>
      <c r="AB551" s="1"/>
      <c r="AC551" s="1"/>
      <c r="AD551" s="59"/>
      <c r="AE551" s="1"/>
      <c r="AF551" s="1"/>
      <c r="AG551" s="1"/>
    </row>
    <row r="552" spans="25:33" ht="14.4">
      <c r="Y552" s="58"/>
      <c r="Z552" s="58"/>
      <c r="AA552" s="1"/>
      <c r="AB552" s="1"/>
      <c r="AC552" s="1"/>
      <c r="AD552" s="59"/>
      <c r="AE552" s="1"/>
      <c r="AF552" s="1"/>
      <c r="AG552" s="1"/>
    </row>
    <row r="553" spans="25:33" ht="14.4">
      <c r="Y553" s="58"/>
      <c r="Z553" s="58"/>
      <c r="AA553" s="1"/>
      <c r="AB553" s="1"/>
      <c r="AC553" s="1"/>
      <c r="AD553" s="59"/>
      <c r="AE553" s="1"/>
      <c r="AF553" s="1"/>
      <c r="AG553" s="1"/>
    </row>
    <row r="554" spans="25:33" ht="14.4">
      <c r="Y554" s="58"/>
      <c r="Z554" s="58"/>
      <c r="AA554" s="1"/>
      <c r="AB554" s="1"/>
      <c r="AC554" s="1"/>
      <c r="AD554" s="59"/>
      <c r="AE554" s="1"/>
      <c r="AF554" s="1"/>
      <c r="AG554" s="1"/>
    </row>
    <row r="555" spans="25:33" ht="14.4">
      <c r="Y555" s="58"/>
      <c r="Z555" s="58"/>
      <c r="AA555" s="1"/>
      <c r="AB555" s="1"/>
      <c r="AC555" s="1"/>
      <c r="AD555" s="59"/>
      <c r="AE555" s="1"/>
      <c r="AF555" s="1"/>
      <c r="AG555" s="1"/>
    </row>
    <row r="556" spans="25:33" ht="14.4">
      <c r="Y556" s="58"/>
      <c r="Z556" s="58"/>
      <c r="AA556" s="1"/>
      <c r="AB556" s="1"/>
      <c r="AC556" s="1"/>
      <c r="AD556" s="59"/>
      <c r="AE556" s="1"/>
      <c r="AF556" s="1"/>
      <c r="AG556" s="1"/>
    </row>
    <row r="557" spans="25:33" ht="14.4">
      <c r="Y557" s="58"/>
      <c r="Z557" s="58"/>
      <c r="AA557" s="1"/>
      <c r="AB557" s="1"/>
      <c r="AC557" s="1"/>
      <c r="AD557" s="59"/>
      <c r="AE557" s="1"/>
      <c r="AF557" s="1"/>
      <c r="AG557" s="1"/>
    </row>
    <row r="558" spans="25:33" ht="14.4">
      <c r="Y558" s="58"/>
      <c r="Z558" s="58"/>
      <c r="AA558" s="1"/>
      <c r="AB558" s="1"/>
      <c r="AC558" s="1"/>
      <c r="AD558" s="59"/>
      <c r="AE558" s="1"/>
      <c r="AF558" s="1"/>
      <c r="AG558" s="1"/>
    </row>
    <row r="559" spans="25:33" ht="14.4">
      <c r="Y559" s="58"/>
      <c r="Z559" s="58"/>
      <c r="AA559" s="1"/>
      <c r="AB559" s="1"/>
      <c r="AC559" s="1"/>
      <c r="AD559" s="59"/>
      <c r="AE559" s="1"/>
      <c r="AF559" s="1"/>
      <c r="AG559" s="1"/>
    </row>
    <row r="560" spans="25:33" ht="14.4">
      <c r="Y560" s="58"/>
      <c r="Z560" s="58"/>
      <c r="AA560" s="1"/>
      <c r="AB560" s="1"/>
      <c r="AC560" s="1"/>
      <c r="AD560" s="59"/>
      <c r="AE560" s="1"/>
      <c r="AF560" s="1"/>
      <c r="AG560" s="1"/>
    </row>
    <row r="561" spans="25:33" ht="14.4">
      <c r="Y561" s="58"/>
      <c r="Z561" s="58"/>
      <c r="AA561" s="1"/>
      <c r="AB561" s="1"/>
      <c r="AC561" s="1"/>
      <c r="AD561" s="59"/>
      <c r="AE561" s="1"/>
      <c r="AF561" s="1"/>
      <c r="AG561" s="1"/>
    </row>
    <row r="562" spans="25:33" ht="14.4">
      <c r="Y562" s="58"/>
      <c r="Z562" s="58"/>
      <c r="AA562" s="1"/>
      <c r="AB562" s="1"/>
      <c r="AC562" s="1"/>
      <c r="AD562" s="59"/>
      <c r="AE562" s="1"/>
      <c r="AF562" s="1"/>
      <c r="AG562" s="1"/>
    </row>
    <row r="563" spans="25:33" ht="14.4">
      <c r="Y563" s="58"/>
      <c r="Z563" s="58"/>
      <c r="AA563" s="1"/>
      <c r="AB563" s="1"/>
      <c r="AC563" s="1"/>
      <c r="AD563" s="59"/>
      <c r="AE563" s="1"/>
      <c r="AF563" s="1"/>
      <c r="AG563" s="1"/>
    </row>
    <row r="564" spans="25:33" ht="14.4">
      <c r="Y564" s="58"/>
      <c r="Z564" s="58"/>
      <c r="AA564" s="1"/>
      <c r="AB564" s="1"/>
      <c r="AC564" s="1"/>
      <c r="AD564" s="59"/>
      <c r="AE564" s="1"/>
      <c r="AF564" s="1"/>
      <c r="AG564" s="1"/>
    </row>
    <row r="565" spans="25:33" ht="14.4">
      <c r="Y565" s="58"/>
      <c r="Z565" s="58"/>
      <c r="AA565" s="1"/>
      <c r="AB565" s="1"/>
      <c r="AC565" s="1"/>
      <c r="AD565" s="59"/>
      <c r="AE565" s="1"/>
      <c r="AF565" s="1"/>
      <c r="AG565" s="1"/>
    </row>
    <row r="566" spans="25:33" ht="14.4">
      <c r="Y566" s="58"/>
      <c r="Z566" s="58"/>
      <c r="AA566" s="1"/>
      <c r="AB566" s="1"/>
      <c r="AC566" s="1"/>
      <c r="AD566" s="59"/>
      <c r="AE566" s="1"/>
      <c r="AF566" s="1"/>
      <c r="AG566" s="1"/>
    </row>
    <row r="567" spans="25:33" ht="14.4">
      <c r="Y567" s="58"/>
      <c r="Z567" s="58"/>
      <c r="AA567" s="1"/>
      <c r="AB567" s="1"/>
      <c r="AC567" s="1"/>
      <c r="AD567" s="59"/>
      <c r="AE567" s="1"/>
      <c r="AF567" s="1"/>
      <c r="AG567" s="1"/>
    </row>
    <row r="568" spans="25:33" ht="14.4">
      <c r="Y568" s="58"/>
      <c r="Z568" s="58"/>
      <c r="AA568" s="1"/>
      <c r="AB568" s="1"/>
      <c r="AC568" s="1"/>
      <c r="AD568" s="59"/>
      <c r="AE568" s="1"/>
      <c r="AF568" s="1"/>
      <c r="AG568" s="1"/>
    </row>
    <row r="569" spans="25:33" ht="14.4">
      <c r="Y569" s="58"/>
      <c r="Z569" s="58"/>
      <c r="AA569" s="1"/>
      <c r="AB569" s="1"/>
      <c r="AC569" s="1"/>
      <c r="AD569" s="59"/>
      <c r="AE569" s="1"/>
      <c r="AF569" s="1"/>
      <c r="AG569" s="1"/>
    </row>
    <row r="570" spans="25:33" ht="14.4">
      <c r="Y570" s="58"/>
      <c r="Z570" s="58"/>
      <c r="AA570" s="1"/>
      <c r="AB570" s="1"/>
      <c r="AC570" s="1"/>
      <c r="AD570" s="59"/>
      <c r="AE570" s="1"/>
      <c r="AF570" s="1"/>
      <c r="AG570" s="1"/>
    </row>
    <row r="571" spans="25:33" ht="14.4">
      <c r="Y571" s="58"/>
      <c r="Z571" s="58"/>
      <c r="AA571" s="1"/>
      <c r="AB571" s="1"/>
      <c r="AC571" s="1"/>
      <c r="AD571" s="59"/>
      <c r="AE571" s="1"/>
      <c r="AF571" s="1"/>
      <c r="AG571" s="1"/>
    </row>
    <row r="572" spans="25:33" ht="14.4">
      <c r="Y572" s="58"/>
      <c r="Z572" s="58"/>
      <c r="AA572" s="1"/>
      <c r="AB572" s="1"/>
      <c r="AC572" s="1"/>
      <c r="AD572" s="59"/>
      <c r="AE572" s="1"/>
      <c r="AF572" s="1"/>
      <c r="AG572" s="1"/>
    </row>
    <row r="573" spans="25:33" ht="14.4">
      <c r="Y573" s="58"/>
      <c r="Z573" s="58"/>
      <c r="AA573" s="1"/>
      <c r="AB573" s="1"/>
      <c r="AC573" s="1"/>
      <c r="AD573" s="59"/>
      <c r="AE573" s="1"/>
      <c r="AF573" s="1"/>
      <c r="AG573" s="1"/>
    </row>
    <row r="574" spans="25:33" ht="14.4">
      <c r="Y574" s="58"/>
      <c r="Z574" s="58"/>
      <c r="AA574" s="1"/>
      <c r="AB574" s="1"/>
      <c r="AC574" s="1"/>
      <c r="AD574" s="59"/>
      <c r="AE574" s="1"/>
      <c r="AF574" s="1"/>
      <c r="AG574" s="1"/>
    </row>
    <row r="575" spans="25:33" ht="14.4">
      <c r="Y575" s="58"/>
      <c r="Z575" s="58"/>
      <c r="AA575" s="1"/>
      <c r="AB575" s="1"/>
      <c r="AC575" s="1"/>
      <c r="AD575" s="59"/>
      <c r="AE575" s="1"/>
      <c r="AF575" s="1"/>
      <c r="AG575" s="1"/>
    </row>
    <row r="576" spans="25:33" ht="14.4">
      <c r="Y576" s="58"/>
      <c r="Z576" s="58"/>
      <c r="AA576" s="1"/>
      <c r="AB576" s="1"/>
      <c r="AC576" s="1"/>
      <c r="AD576" s="59"/>
      <c r="AE576" s="1"/>
      <c r="AF576" s="1"/>
      <c r="AG576" s="1"/>
    </row>
    <row r="577" spans="25:33" ht="14.4">
      <c r="Y577" s="58"/>
      <c r="Z577" s="58"/>
      <c r="AA577" s="1"/>
      <c r="AB577" s="1"/>
      <c r="AC577" s="1"/>
      <c r="AD577" s="59"/>
      <c r="AE577" s="1"/>
      <c r="AF577" s="1"/>
      <c r="AG577" s="1"/>
    </row>
    <row r="578" spans="25:33" ht="14.4">
      <c r="Y578" s="58"/>
      <c r="Z578" s="58"/>
      <c r="AA578" s="1"/>
      <c r="AB578" s="1"/>
      <c r="AC578" s="1"/>
      <c r="AD578" s="59"/>
      <c r="AE578" s="1"/>
      <c r="AF578" s="1"/>
      <c r="AG578" s="1"/>
    </row>
    <row r="579" spans="25:33" ht="14.4">
      <c r="Y579" s="58"/>
      <c r="Z579" s="58"/>
      <c r="AA579" s="1"/>
      <c r="AB579" s="1"/>
      <c r="AC579" s="1"/>
      <c r="AD579" s="59"/>
      <c r="AE579" s="1"/>
      <c r="AF579" s="1"/>
      <c r="AG579" s="1"/>
    </row>
    <row r="580" spans="25:33" ht="14.4">
      <c r="Y580" s="58"/>
      <c r="Z580" s="58"/>
      <c r="AA580" s="1"/>
      <c r="AB580" s="1"/>
      <c r="AC580" s="1"/>
      <c r="AD580" s="59"/>
      <c r="AE580" s="1"/>
      <c r="AF580" s="1"/>
      <c r="AG580" s="1"/>
    </row>
    <row r="581" spans="25:33" ht="14.4">
      <c r="Y581" s="58"/>
      <c r="Z581" s="58"/>
      <c r="AA581" s="1"/>
      <c r="AB581" s="1"/>
      <c r="AC581" s="1"/>
      <c r="AD581" s="59"/>
      <c r="AE581" s="1"/>
      <c r="AF581" s="1"/>
      <c r="AG581" s="1"/>
    </row>
    <row r="582" spans="25:33" ht="14.4">
      <c r="Y582" s="58"/>
      <c r="Z582" s="58"/>
      <c r="AA582" s="1"/>
      <c r="AB582" s="1"/>
      <c r="AC582" s="1"/>
      <c r="AD582" s="59"/>
      <c r="AE582" s="1"/>
      <c r="AF582" s="1"/>
      <c r="AG582" s="1"/>
    </row>
    <row r="583" spans="25:33" ht="14.4">
      <c r="Y583" s="58"/>
      <c r="Z583" s="58"/>
      <c r="AA583" s="1"/>
      <c r="AB583" s="1"/>
      <c r="AC583" s="1"/>
      <c r="AD583" s="59"/>
      <c r="AE583" s="1"/>
      <c r="AF583" s="1"/>
      <c r="AG583" s="1"/>
    </row>
    <row r="584" spans="25:33" ht="14.4">
      <c r="Y584" s="58"/>
      <c r="Z584" s="58"/>
      <c r="AA584" s="1"/>
      <c r="AB584" s="1"/>
      <c r="AC584" s="1"/>
      <c r="AD584" s="59"/>
      <c r="AE584" s="1"/>
      <c r="AF584" s="1"/>
      <c r="AG584" s="1"/>
    </row>
    <row r="585" spans="25:33" ht="14.4">
      <c r="Y585" s="58"/>
      <c r="Z585" s="58"/>
      <c r="AA585" s="1"/>
      <c r="AB585" s="1"/>
      <c r="AC585" s="1"/>
      <c r="AD585" s="59"/>
      <c r="AE585" s="1"/>
      <c r="AF585" s="1"/>
      <c r="AG585" s="1"/>
    </row>
    <row r="586" spans="25:33" ht="14.4">
      <c r="Y586" s="58"/>
      <c r="Z586" s="58"/>
      <c r="AA586" s="1"/>
      <c r="AB586" s="1"/>
      <c r="AC586" s="1"/>
      <c r="AD586" s="59"/>
      <c r="AE586" s="1"/>
      <c r="AF586" s="1"/>
      <c r="AG586" s="1"/>
    </row>
    <row r="587" spans="25:33" ht="14.4">
      <c r="Y587" s="58"/>
      <c r="Z587" s="58"/>
      <c r="AA587" s="1"/>
      <c r="AB587" s="1"/>
      <c r="AC587" s="1"/>
      <c r="AD587" s="59"/>
      <c r="AE587" s="1"/>
      <c r="AF587" s="1"/>
      <c r="AG587" s="1"/>
    </row>
    <row r="588" spans="25:33" ht="14.4">
      <c r="Y588" s="58"/>
      <c r="Z588" s="58"/>
      <c r="AA588" s="1"/>
      <c r="AB588" s="1"/>
      <c r="AC588" s="1"/>
      <c r="AD588" s="59"/>
      <c r="AE588" s="1"/>
      <c r="AF588" s="1"/>
      <c r="AG588" s="1"/>
    </row>
    <row r="589" spans="25:33" ht="14.4">
      <c r="Y589" s="58"/>
      <c r="Z589" s="58"/>
      <c r="AA589" s="1"/>
      <c r="AB589" s="1"/>
      <c r="AC589" s="1"/>
      <c r="AD589" s="59"/>
      <c r="AE589" s="1"/>
      <c r="AF589" s="1"/>
      <c r="AG589" s="1"/>
    </row>
    <row r="590" spans="25:33" ht="14.4">
      <c r="Y590" s="58"/>
      <c r="Z590" s="58"/>
      <c r="AA590" s="1"/>
      <c r="AB590" s="1"/>
      <c r="AC590" s="1"/>
      <c r="AD590" s="59"/>
      <c r="AE590" s="1"/>
      <c r="AF590" s="1"/>
      <c r="AG590" s="1"/>
    </row>
    <row r="591" spans="25:33" ht="14.4">
      <c r="Y591" s="58"/>
      <c r="Z591" s="58"/>
      <c r="AA591" s="1"/>
      <c r="AB591" s="1"/>
      <c r="AC591" s="1"/>
      <c r="AD591" s="59"/>
      <c r="AE591" s="1"/>
      <c r="AF591" s="1"/>
      <c r="AG591" s="1"/>
    </row>
    <row r="592" spans="25:33" ht="14.4">
      <c r="Y592" s="58"/>
      <c r="Z592" s="58"/>
      <c r="AA592" s="1"/>
      <c r="AB592" s="1"/>
      <c r="AC592" s="1"/>
      <c r="AD592" s="59"/>
      <c r="AE592" s="1"/>
      <c r="AF592" s="1"/>
      <c r="AG592" s="1"/>
    </row>
    <row r="593" spans="25:33" ht="14.4">
      <c r="Y593" s="58"/>
      <c r="Z593" s="58"/>
      <c r="AA593" s="1"/>
      <c r="AB593" s="1"/>
      <c r="AC593" s="1"/>
      <c r="AD593" s="59"/>
      <c r="AE593" s="1"/>
      <c r="AF593" s="1"/>
      <c r="AG593" s="1"/>
    </row>
    <row r="594" spans="25:33" ht="14.4">
      <c r="Y594" s="58"/>
      <c r="Z594" s="58"/>
      <c r="AA594" s="1"/>
      <c r="AB594" s="1"/>
      <c r="AC594" s="1"/>
      <c r="AD594" s="59"/>
      <c r="AE594" s="1"/>
      <c r="AF594" s="1"/>
      <c r="AG594" s="1"/>
    </row>
    <row r="595" spans="25:33" ht="14.4">
      <c r="Y595" s="58"/>
      <c r="Z595" s="58"/>
      <c r="AA595" s="1"/>
      <c r="AB595" s="1"/>
      <c r="AC595" s="1"/>
      <c r="AD595" s="59"/>
      <c r="AE595" s="1"/>
      <c r="AF595" s="1"/>
      <c r="AG595" s="1"/>
    </row>
    <row r="596" spans="25:33" ht="14.4">
      <c r="Y596" s="58"/>
      <c r="Z596" s="58"/>
      <c r="AA596" s="1"/>
      <c r="AB596" s="1"/>
      <c r="AC596" s="1"/>
      <c r="AD596" s="59"/>
      <c r="AE596" s="1"/>
      <c r="AF596" s="1"/>
      <c r="AG596" s="1"/>
    </row>
    <row r="597" spans="25:33" ht="14.4">
      <c r="Y597" s="58"/>
      <c r="Z597" s="58"/>
      <c r="AA597" s="1"/>
      <c r="AB597" s="1"/>
      <c r="AC597" s="1"/>
      <c r="AD597" s="59"/>
      <c r="AE597" s="1"/>
      <c r="AF597" s="1"/>
      <c r="AG597" s="1"/>
    </row>
    <row r="598" spans="25:33" ht="14.4">
      <c r="Y598" s="58"/>
      <c r="Z598" s="58"/>
      <c r="AA598" s="1"/>
      <c r="AB598" s="1"/>
      <c r="AC598" s="1"/>
      <c r="AD598" s="59"/>
      <c r="AE598" s="1"/>
      <c r="AF598" s="1"/>
      <c r="AG598" s="1"/>
    </row>
    <row r="599" spans="25:33" ht="14.4">
      <c r="Y599" s="58"/>
      <c r="Z599" s="58"/>
      <c r="AA599" s="1"/>
      <c r="AB599" s="1"/>
      <c r="AC599" s="1"/>
      <c r="AD599" s="59"/>
      <c r="AE599" s="1"/>
      <c r="AF599" s="1"/>
      <c r="AG599" s="1"/>
    </row>
    <row r="600" spans="25:33" ht="14.4">
      <c r="Y600" s="58"/>
      <c r="Z600" s="58"/>
      <c r="AA600" s="1"/>
      <c r="AB600" s="1"/>
      <c r="AC600" s="1"/>
      <c r="AD600" s="59"/>
      <c r="AE600" s="1"/>
      <c r="AF600" s="1"/>
      <c r="AG600" s="1"/>
    </row>
    <row r="601" spans="25:33" ht="14.4">
      <c r="Y601" s="58"/>
      <c r="Z601" s="58"/>
      <c r="AA601" s="1"/>
      <c r="AB601" s="1"/>
      <c r="AC601" s="1"/>
      <c r="AD601" s="59"/>
      <c r="AE601" s="1"/>
      <c r="AF601" s="1"/>
      <c r="AG601" s="1"/>
    </row>
    <row r="602" spans="25:33" ht="14.4">
      <c r="Y602" s="58"/>
      <c r="Z602" s="58"/>
      <c r="AA602" s="1"/>
      <c r="AB602" s="1"/>
      <c r="AC602" s="1"/>
      <c r="AD602" s="59"/>
      <c r="AE602" s="1"/>
      <c r="AF602" s="1"/>
      <c r="AG602" s="1"/>
    </row>
    <row r="603" spans="25:33" ht="14.4">
      <c r="Y603" s="58"/>
      <c r="Z603" s="58"/>
      <c r="AA603" s="1"/>
      <c r="AB603" s="1"/>
      <c r="AC603" s="1"/>
      <c r="AD603" s="59"/>
      <c r="AE603" s="1"/>
      <c r="AF603" s="1"/>
      <c r="AG603" s="1"/>
    </row>
    <row r="604" spans="25:33" ht="14.4">
      <c r="Y604" s="58"/>
      <c r="Z604" s="58"/>
      <c r="AA604" s="1"/>
      <c r="AB604" s="1"/>
      <c r="AC604" s="1"/>
      <c r="AD604" s="59"/>
      <c r="AE604" s="1"/>
      <c r="AF604" s="1"/>
      <c r="AG604" s="1"/>
    </row>
    <row r="605" spans="25:33" ht="14.4">
      <c r="Y605" s="58"/>
      <c r="Z605" s="58"/>
      <c r="AA605" s="1"/>
      <c r="AB605" s="1"/>
      <c r="AC605" s="1"/>
      <c r="AD605" s="59"/>
      <c r="AE605" s="1"/>
      <c r="AF605" s="1"/>
      <c r="AG605" s="1"/>
    </row>
    <row r="606" spans="25:33" ht="14.4">
      <c r="Y606" s="58"/>
      <c r="Z606" s="58"/>
      <c r="AA606" s="1"/>
      <c r="AB606" s="1"/>
      <c r="AC606" s="1"/>
      <c r="AD606" s="59"/>
      <c r="AE606" s="1"/>
      <c r="AF606" s="1"/>
      <c r="AG606" s="1"/>
    </row>
    <row r="607" spans="25:33" ht="14.4">
      <c r="Y607" s="58"/>
      <c r="Z607" s="58"/>
      <c r="AA607" s="1"/>
      <c r="AB607" s="1"/>
      <c r="AC607" s="1"/>
      <c r="AD607" s="59"/>
      <c r="AE607" s="1"/>
      <c r="AF607" s="1"/>
      <c r="AG607" s="1"/>
    </row>
    <row r="608" spans="25:33" ht="14.4">
      <c r="Y608" s="58"/>
      <c r="Z608" s="58"/>
      <c r="AA608" s="1"/>
      <c r="AB608" s="1"/>
      <c r="AC608" s="1"/>
      <c r="AD608" s="59"/>
      <c r="AE608" s="1"/>
      <c r="AF608" s="1"/>
      <c r="AG608" s="1"/>
    </row>
    <row r="609" spans="25:33" ht="14.4">
      <c r="Y609" s="58"/>
      <c r="Z609" s="58"/>
      <c r="AA609" s="1"/>
      <c r="AB609" s="1"/>
      <c r="AC609" s="1"/>
      <c r="AD609" s="59"/>
      <c r="AE609" s="1"/>
      <c r="AF609" s="1"/>
      <c r="AG609" s="1"/>
    </row>
    <row r="610" spans="25:33" ht="14.4">
      <c r="Y610" s="58"/>
      <c r="Z610" s="58"/>
      <c r="AA610" s="1"/>
      <c r="AB610" s="1"/>
      <c r="AC610" s="1"/>
      <c r="AD610" s="59"/>
      <c r="AE610" s="1"/>
      <c r="AF610" s="1"/>
      <c r="AG610" s="1"/>
    </row>
    <row r="611" spans="25:33" ht="14.4">
      <c r="Y611" s="58"/>
      <c r="Z611" s="58"/>
      <c r="AA611" s="1"/>
      <c r="AB611" s="1"/>
      <c r="AC611" s="1"/>
      <c r="AD611" s="59"/>
      <c r="AE611" s="1"/>
      <c r="AF611" s="1"/>
      <c r="AG611" s="1"/>
    </row>
    <row r="612" spans="25:33" ht="14.4">
      <c r="Y612" s="58"/>
      <c r="Z612" s="58"/>
      <c r="AA612" s="1"/>
      <c r="AB612" s="1"/>
      <c r="AC612" s="1"/>
      <c r="AD612" s="59"/>
      <c r="AE612" s="1"/>
      <c r="AF612" s="1"/>
      <c r="AG612" s="1"/>
    </row>
    <row r="613" spans="25:33" ht="14.4">
      <c r="Y613" s="58"/>
      <c r="Z613" s="58"/>
      <c r="AA613" s="1"/>
      <c r="AB613" s="1"/>
      <c r="AC613" s="1"/>
      <c r="AD613" s="59"/>
      <c r="AE613" s="1"/>
      <c r="AF613" s="1"/>
      <c r="AG613" s="1"/>
    </row>
    <row r="614" spans="25:33" ht="14.4">
      <c r="Y614" s="58"/>
      <c r="Z614" s="58"/>
      <c r="AA614" s="1"/>
      <c r="AB614" s="1"/>
      <c r="AC614" s="1"/>
      <c r="AD614" s="59"/>
      <c r="AE614" s="1"/>
      <c r="AF614" s="1"/>
      <c r="AG614" s="1"/>
    </row>
    <row r="615" spans="25:33" ht="14.4">
      <c r="Y615" s="58"/>
      <c r="Z615" s="58"/>
      <c r="AA615" s="1"/>
      <c r="AB615" s="1"/>
      <c r="AC615" s="1"/>
      <c r="AD615" s="59"/>
      <c r="AE615" s="1"/>
      <c r="AF615" s="1"/>
      <c r="AG615" s="1"/>
    </row>
    <row r="616" spans="25:33" ht="14.4">
      <c r="Y616" s="58"/>
      <c r="Z616" s="58"/>
      <c r="AA616" s="1"/>
      <c r="AB616" s="1"/>
      <c r="AC616" s="1"/>
      <c r="AD616" s="59"/>
      <c r="AE616" s="1"/>
      <c r="AF616" s="1"/>
      <c r="AG616" s="1"/>
    </row>
    <row r="617" spans="25:33" ht="14.4">
      <c r="Y617" s="58"/>
      <c r="Z617" s="58"/>
      <c r="AA617" s="1"/>
      <c r="AB617" s="1"/>
      <c r="AC617" s="1"/>
      <c r="AD617" s="59"/>
      <c r="AE617" s="1"/>
      <c r="AF617" s="1"/>
      <c r="AG617" s="1"/>
    </row>
    <row r="618" spans="25:33" ht="14.4">
      <c r="Y618" s="58"/>
      <c r="Z618" s="58"/>
      <c r="AA618" s="1"/>
      <c r="AB618" s="1"/>
      <c r="AC618" s="1"/>
      <c r="AD618" s="59"/>
      <c r="AE618" s="1"/>
      <c r="AF618" s="1"/>
      <c r="AG618" s="1"/>
    </row>
    <row r="619" spans="25:33" ht="14.4">
      <c r="Y619" s="58"/>
      <c r="Z619" s="58"/>
      <c r="AA619" s="1"/>
      <c r="AB619" s="1"/>
      <c r="AC619" s="1"/>
      <c r="AD619" s="59"/>
      <c r="AE619" s="1"/>
      <c r="AF619" s="1"/>
      <c r="AG619" s="1"/>
    </row>
    <row r="620" spans="25:33" ht="14.4">
      <c r="Y620" s="58"/>
      <c r="Z620" s="58"/>
      <c r="AA620" s="1"/>
      <c r="AB620" s="1"/>
      <c r="AC620" s="1"/>
      <c r="AD620" s="59"/>
      <c r="AE620" s="1"/>
      <c r="AF620" s="1"/>
      <c r="AG620" s="1"/>
    </row>
    <row r="621" spans="25:33" ht="14.4">
      <c r="Y621" s="58"/>
      <c r="Z621" s="58"/>
      <c r="AA621" s="1"/>
      <c r="AB621" s="1"/>
      <c r="AC621" s="1"/>
      <c r="AD621" s="59"/>
      <c r="AE621" s="1"/>
      <c r="AF621" s="1"/>
      <c r="AG621" s="1"/>
    </row>
    <row r="622" spans="25:33" ht="14.4">
      <c r="Y622" s="58"/>
      <c r="Z622" s="58"/>
      <c r="AA622" s="1"/>
      <c r="AB622" s="1"/>
      <c r="AC622" s="1"/>
      <c r="AD622" s="59"/>
      <c r="AE622" s="1"/>
      <c r="AF622" s="1"/>
      <c r="AG622" s="1"/>
    </row>
    <row r="623" spans="25:33" ht="14.4">
      <c r="Y623" s="58"/>
      <c r="Z623" s="58"/>
      <c r="AA623" s="1"/>
      <c r="AB623" s="1"/>
      <c r="AC623" s="1"/>
      <c r="AD623" s="59"/>
      <c r="AE623" s="1"/>
      <c r="AF623" s="1"/>
      <c r="AG623" s="1"/>
    </row>
    <row r="624" spans="25:33" ht="14.4">
      <c r="Y624" s="58"/>
      <c r="Z624" s="58"/>
      <c r="AA624" s="1"/>
      <c r="AB624" s="1"/>
      <c r="AC624" s="1"/>
      <c r="AD624" s="59"/>
      <c r="AE624" s="1"/>
      <c r="AF624" s="1"/>
      <c r="AG624" s="1"/>
    </row>
    <row r="625" spans="25:33" ht="14.4">
      <c r="Y625" s="58"/>
      <c r="Z625" s="58"/>
      <c r="AA625" s="1"/>
      <c r="AB625" s="1"/>
      <c r="AC625" s="1"/>
      <c r="AD625" s="59"/>
      <c r="AE625" s="1"/>
      <c r="AF625" s="1"/>
      <c r="AG625" s="1"/>
    </row>
    <row r="626" spans="25:33" ht="14.4">
      <c r="Y626" s="58"/>
      <c r="Z626" s="58"/>
      <c r="AA626" s="1"/>
      <c r="AB626" s="1"/>
      <c r="AC626" s="1"/>
      <c r="AD626" s="59"/>
      <c r="AE626" s="1"/>
      <c r="AF626" s="1"/>
      <c r="AG626" s="1"/>
    </row>
    <row r="627" spans="25:33" ht="14.4">
      <c r="Y627" s="58"/>
      <c r="Z627" s="58"/>
      <c r="AA627" s="1"/>
      <c r="AB627" s="1"/>
      <c r="AC627" s="1"/>
      <c r="AD627" s="59"/>
      <c r="AE627" s="1"/>
      <c r="AF627" s="1"/>
      <c r="AG627" s="1"/>
    </row>
    <row r="628" spans="25:33" ht="14.4">
      <c r="Y628" s="58"/>
      <c r="Z628" s="58"/>
      <c r="AA628" s="1"/>
      <c r="AB628" s="1"/>
      <c r="AC628" s="1"/>
      <c r="AD628" s="59"/>
      <c r="AE628" s="1"/>
      <c r="AF628" s="1"/>
      <c r="AG628" s="1"/>
    </row>
    <row r="629" spans="25:33" ht="14.4">
      <c r="Y629" s="58"/>
      <c r="Z629" s="58"/>
      <c r="AA629" s="1"/>
      <c r="AB629" s="1"/>
      <c r="AC629" s="1"/>
      <c r="AD629" s="59"/>
      <c r="AE629" s="1"/>
      <c r="AF629" s="1"/>
      <c r="AG629" s="1"/>
    </row>
    <row r="630" spans="25:33" ht="14.4">
      <c r="Y630" s="58"/>
      <c r="Z630" s="58"/>
      <c r="AA630" s="1"/>
      <c r="AB630" s="1"/>
      <c r="AC630" s="1"/>
      <c r="AD630" s="59"/>
      <c r="AE630" s="1"/>
      <c r="AF630" s="1"/>
      <c r="AG630" s="1"/>
    </row>
    <row r="631" spans="25:33" ht="14.4">
      <c r="Y631" s="58"/>
      <c r="Z631" s="58"/>
      <c r="AA631" s="1"/>
      <c r="AB631" s="1"/>
      <c r="AC631" s="1"/>
      <c r="AD631" s="59"/>
      <c r="AE631" s="1"/>
      <c r="AF631" s="1"/>
      <c r="AG631" s="1"/>
    </row>
    <row r="632" spans="25:33" ht="14.4">
      <c r="Y632" s="58"/>
      <c r="Z632" s="58"/>
      <c r="AA632" s="1"/>
      <c r="AB632" s="1"/>
      <c r="AC632" s="1"/>
      <c r="AD632" s="59"/>
      <c r="AE632" s="1"/>
      <c r="AF632" s="1"/>
      <c r="AG632" s="1"/>
    </row>
    <row r="633" spans="25:33" ht="14.4">
      <c r="Y633" s="58"/>
      <c r="Z633" s="58"/>
      <c r="AA633" s="1"/>
      <c r="AB633" s="1"/>
      <c r="AC633" s="1"/>
      <c r="AD633" s="59"/>
      <c r="AE633" s="1"/>
      <c r="AF633" s="1"/>
      <c r="AG633" s="1"/>
    </row>
    <row r="634" spans="25:33" ht="14.4">
      <c r="Y634" s="58"/>
      <c r="Z634" s="58"/>
      <c r="AA634" s="1"/>
      <c r="AB634" s="1"/>
      <c r="AC634" s="1"/>
      <c r="AD634" s="59"/>
      <c r="AE634" s="1"/>
      <c r="AF634" s="1"/>
      <c r="AG634" s="1"/>
    </row>
    <row r="635" spans="25:33" ht="14.4">
      <c r="Y635" s="58"/>
      <c r="Z635" s="58"/>
      <c r="AA635" s="1"/>
      <c r="AB635" s="1"/>
      <c r="AC635" s="1"/>
      <c r="AD635" s="59"/>
      <c r="AE635" s="1"/>
      <c r="AF635" s="1"/>
      <c r="AG635" s="1"/>
    </row>
    <row r="636" spans="25:33" ht="14.4">
      <c r="Y636" s="58"/>
      <c r="Z636" s="58"/>
      <c r="AA636" s="1"/>
      <c r="AB636" s="1"/>
      <c r="AC636" s="1"/>
      <c r="AD636" s="59"/>
      <c r="AE636" s="1"/>
      <c r="AF636" s="1"/>
      <c r="AG636" s="1"/>
    </row>
    <row r="637" spans="25:33" ht="14.4">
      <c r="Y637" s="58"/>
      <c r="Z637" s="58"/>
      <c r="AA637" s="1"/>
      <c r="AB637" s="1"/>
      <c r="AC637" s="1"/>
      <c r="AD637" s="59"/>
      <c r="AE637" s="1"/>
      <c r="AF637" s="1"/>
      <c r="AG637" s="1"/>
    </row>
    <row r="638" spans="25:33" ht="14.4">
      <c r="Y638" s="58"/>
      <c r="Z638" s="58"/>
      <c r="AA638" s="1"/>
      <c r="AB638" s="1"/>
      <c r="AC638" s="1"/>
      <c r="AD638" s="59"/>
      <c r="AE638" s="1"/>
      <c r="AF638" s="1"/>
      <c r="AG638" s="1"/>
    </row>
    <row r="639" spans="25:33" ht="14.4">
      <c r="Y639" s="58"/>
      <c r="Z639" s="58"/>
      <c r="AA639" s="1"/>
      <c r="AB639" s="1"/>
      <c r="AC639" s="1"/>
      <c r="AD639" s="59"/>
      <c r="AE639" s="1"/>
      <c r="AF639" s="1"/>
      <c r="AG639" s="1"/>
    </row>
    <row r="640" spans="25:33" ht="14.4">
      <c r="Y640" s="58"/>
      <c r="Z640" s="58"/>
      <c r="AA640" s="1"/>
      <c r="AB640" s="1"/>
      <c r="AC640" s="1"/>
      <c r="AD640" s="59"/>
      <c r="AE640" s="1"/>
      <c r="AF640" s="1"/>
      <c r="AG640" s="1"/>
    </row>
    <row r="641" spans="25:33" ht="14.4">
      <c r="Y641" s="58"/>
      <c r="Z641" s="58"/>
      <c r="AA641" s="1"/>
      <c r="AB641" s="1"/>
      <c r="AC641" s="1"/>
      <c r="AD641" s="59"/>
      <c r="AE641" s="1"/>
      <c r="AF641" s="1"/>
      <c r="AG641" s="1"/>
    </row>
    <row r="642" spans="25:33" ht="14.4">
      <c r="Y642" s="58"/>
      <c r="Z642" s="58"/>
      <c r="AA642" s="1"/>
      <c r="AB642" s="1"/>
      <c r="AC642" s="1"/>
      <c r="AD642" s="59"/>
      <c r="AE642" s="1"/>
      <c r="AF642" s="1"/>
      <c r="AG642" s="1"/>
    </row>
    <row r="643" spans="25:33" ht="14.4">
      <c r="Y643" s="58"/>
      <c r="Z643" s="58"/>
      <c r="AA643" s="1"/>
      <c r="AB643" s="1"/>
      <c r="AC643" s="1"/>
      <c r="AD643" s="59"/>
      <c r="AE643" s="1"/>
      <c r="AF643" s="1"/>
      <c r="AG643" s="1"/>
    </row>
    <row r="644" spans="25:33" ht="14.4">
      <c r="Y644" s="58"/>
      <c r="Z644" s="58"/>
      <c r="AA644" s="1"/>
      <c r="AB644" s="1"/>
      <c r="AC644" s="1"/>
      <c r="AD644" s="59"/>
      <c r="AE644" s="1"/>
      <c r="AF644" s="1"/>
      <c r="AG644" s="1"/>
    </row>
    <row r="645" spans="25:33" ht="14.4">
      <c r="Y645" s="58"/>
      <c r="Z645" s="58"/>
      <c r="AA645" s="1"/>
      <c r="AB645" s="1"/>
      <c r="AC645" s="1"/>
      <c r="AD645" s="59"/>
      <c r="AE645" s="1"/>
      <c r="AF645" s="1"/>
      <c r="AG645" s="1"/>
    </row>
    <row r="646" spans="25:33" ht="14.4">
      <c r="Y646" s="58"/>
      <c r="Z646" s="58"/>
      <c r="AA646" s="1"/>
      <c r="AB646" s="1"/>
      <c r="AC646" s="1"/>
      <c r="AD646" s="59"/>
      <c r="AE646" s="1"/>
      <c r="AF646" s="1"/>
      <c r="AG646" s="1"/>
    </row>
    <row r="647" spans="25:33" ht="14.4">
      <c r="Y647" s="58"/>
      <c r="Z647" s="58"/>
      <c r="AA647" s="1"/>
      <c r="AB647" s="1"/>
      <c r="AC647" s="1"/>
      <c r="AD647" s="59"/>
      <c r="AE647" s="1"/>
      <c r="AF647" s="1"/>
      <c r="AG647" s="1"/>
    </row>
    <row r="648" spans="25:33" ht="14.4">
      <c r="Y648" s="58"/>
      <c r="Z648" s="58"/>
      <c r="AA648" s="1"/>
      <c r="AB648" s="1"/>
      <c r="AC648" s="1"/>
      <c r="AD648" s="59"/>
      <c r="AE648" s="1"/>
      <c r="AF648" s="1"/>
      <c r="AG648" s="1"/>
    </row>
    <row r="649" spans="25:33" ht="14.4">
      <c r="Y649" s="58"/>
      <c r="Z649" s="58"/>
      <c r="AA649" s="1"/>
      <c r="AB649" s="1"/>
      <c r="AC649" s="1"/>
      <c r="AD649" s="59"/>
      <c r="AE649" s="1"/>
      <c r="AF649" s="1"/>
      <c r="AG649" s="1"/>
    </row>
    <row r="650" spans="25:33" ht="14.4">
      <c r="Y650" s="58"/>
      <c r="Z650" s="58"/>
      <c r="AA650" s="1"/>
      <c r="AB650" s="1"/>
      <c r="AC650" s="1"/>
      <c r="AD650" s="59"/>
      <c r="AE650" s="1"/>
      <c r="AF650" s="1"/>
      <c r="AG650" s="1"/>
    </row>
    <row r="651" spans="25:33" ht="14.4">
      <c r="Y651" s="58"/>
      <c r="Z651" s="58"/>
      <c r="AA651" s="1"/>
      <c r="AB651" s="1"/>
      <c r="AC651" s="1"/>
      <c r="AD651" s="59"/>
      <c r="AE651" s="1"/>
      <c r="AF651" s="1"/>
      <c r="AG651" s="1"/>
    </row>
    <row r="652" spans="25:33" ht="14.4">
      <c r="Y652" s="58"/>
      <c r="Z652" s="58"/>
      <c r="AA652" s="1"/>
      <c r="AB652" s="1"/>
      <c r="AC652" s="1"/>
      <c r="AD652" s="59"/>
      <c r="AE652" s="1"/>
      <c r="AF652" s="1"/>
      <c r="AG652" s="1"/>
    </row>
    <row r="653" spans="25:33" ht="14.4">
      <c r="Y653" s="58"/>
      <c r="Z653" s="58"/>
      <c r="AA653" s="1"/>
      <c r="AB653" s="1"/>
      <c r="AC653" s="1"/>
      <c r="AD653" s="59"/>
      <c r="AE653" s="1"/>
      <c r="AF653" s="1"/>
      <c r="AG653" s="1"/>
    </row>
    <row r="654" spans="25:33" ht="14.4">
      <c r="Y654" s="58"/>
      <c r="Z654" s="58"/>
      <c r="AA654" s="1"/>
      <c r="AB654" s="1"/>
      <c r="AC654" s="1"/>
      <c r="AD654" s="59"/>
      <c r="AE654" s="1"/>
      <c r="AF654" s="1"/>
      <c r="AG654" s="1"/>
    </row>
    <row r="655" spans="25:33" ht="14.4">
      <c r="Y655" s="58"/>
      <c r="Z655" s="58"/>
      <c r="AA655" s="1"/>
      <c r="AB655" s="1"/>
      <c r="AC655" s="1"/>
      <c r="AD655" s="59"/>
      <c r="AE655" s="1"/>
      <c r="AF655" s="1"/>
      <c r="AG655" s="1"/>
    </row>
    <row r="656" spans="25:33" ht="14.4">
      <c r="Y656" s="58"/>
      <c r="Z656" s="58"/>
      <c r="AA656" s="1"/>
      <c r="AB656" s="1"/>
      <c r="AC656" s="1"/>
      <c r="AD656" s="59"/>
      <c r="AE656" s="1"/>
      <c r="AF656" s="1"/>
      <c r="AG656" s="1"/>
    </row>
    <row r="657" spans="25:33" ht="14.4">
      <c r="Y657" s="58"/>
      <c r="Z657" s="58"/>
      <c r="AA657" s="1"/>
      <c r="AB657" s="1"/>
      <c r="AC657" s="1"/>
      <c r="AD657" s="59"/>
      <c r="AE657" s="1"/>
      <c r="AF657" s="1"/>
      <c r="AG657" s="1"/>
    </row>
    <row r="658" spans="25:33" ht="14.4">
      <c r="Y658" s="58"/>
      <c r="Z658" s="58"/>
      <c r="AA658" s="1"/>
      <c r="AB658" s="1"/>
      <c r="AC658" s="1"/>
      <c r="AD658" s="59"/>
      <c r="AE658" s="1"/>
      <c r="AF658" s="1"/>
      <c r="AG658" s="1"/>
    </row>
    <row r="659" spans="25:33" ht="14.4">
      <c r="Y659" s="58"/>
      <c r="Z659" s="58"/>
      <c r="AA659" s="1"/>
      <c r="AB659" s="1"/>
      <c r="AC659" s="1"/>
      <c r="AD659" s="59"/>
      <c r="AE659" s="1"/>
      <c r="AF659" s="1"/>
      <c r="AG659" s="1"/>
    </row>
    <row r="660" spans="25:33" ht="14.4">
      <c r="Y660" s="58"/>
      <c r="Z660" s="58"/>
      <c r="AA660" s="1"/>
      <c r="AB660" s="1"/>
      <c r="AC660" s="1"/>
      <c r="AD660" s="59"/>
      <c r="AE660" s="1"/>
      <c r="AF660" s="1"/>
      <c r="AG660" s="1"/>
    </row>
    <row r="661" spans="25:33" ht="14.4">
      <c r="Y661" s="58"/>
      <c r="Z661" s="58"/>
      <c r="AA661" s="1"/>
      <c r="AB661" s="1"/>
      <c r="AC661" s="1"/>
      <c r="AD661" s="59"/>
      <c r="AE661" s="1"/>
      <c r="AF661" s="1"/>
      <c r="AG661" s="1"/>
    </row>
    <row r="662" spans="25:33" ht="14.4">
      <c r="Y662" s="58"/>
      <c r="Z662" s="58"/>
      <c r="AA662" s="1"/>
      <c r="AB662" s="1"/>
      <c r="AC662" s="1"/>
      <c r="AD662" s="59"/>
      <c r="AE662" s="1"/>
      <c r="AF662" s="1"/>
      <c r="AG662" s="1"/>
    </row>
    <row r="663" spans="25:33" ht="14.4">
      <c r="Y663" s="58"/>
      <c r="Z663" s="58"/>
      <c r="AA663" s="1"/>
      <c r="AB663" s="1"/>
      <c r="AC663" s="1"/>
      <c r="AD663" s="59"/>
      <c r="AE663" s="1"/>
      <c r="AF663" s="1"/>
      <c r="AG663" s="1"/>
    </row>
    <row r="664" spans="25:33" ht="14.4">
      <c r="Y664" s="58"/>
      <c r="Z664" s="58"/>
      <c r="AA664" s="1"/>
      <c r="AB664" s="1"/>
      <c r="AC664" s="1"/>
      <c r="AD664" s="59"/>
      <c r="AE664" s="1"/>
      <c r="AF664" s="1"/>
      <c r="AG664" s="1"/>
    </row>
    <row r="665" spans="25:33" ht="14.4">
      <c r="Y665" s="58"/>
      <c r="Z665" s="58"/>
      <c r="AA665" s="1"/>
      <c r="AB665" s="1"/>
      <c r="AC665" s="1"/>
      <c r="AD665" s="59"/>
      <c r="AE665" s="1"/>
      <c r="AF665" s="1"/>
      <c r="AG665" s="1"/>
    </row>
    <row r="666" spans="25:33" ht="14.4">
      <c r="Y666" s="58"/>
      <c r="Z666" s="58"/>
      <c r="AA666" s="1"/>
      <c r="AB666" s="1"/>
      <c r="AC666" s="1"/>
      <c r="AD666" s="59"/>
      <c r="AE666" s="1"/>
      <c r="AF666" s="1"/>
      <c r="AG666" s="1"/>
    </row>
    <row r="667" spans="25:33" ht="14.4">
      <c r="Y667" s="58"/>
      <c r="Z667" s="58"/>
      <c r="AA667" s="1"/>
      <c r="AB667" s="1"/>
      <c r="AC667" s="1"/>
      <c r="AD667" s="59"/>
      <c r="AE667" s="1"/>
      <c r="AF667" s="1"/>
      <c r="AG667" s="1"/>
    </row>
    <row r="668" spans="25:33" ht="14.4">
      <c r="Y668" s="58"/>
      <c r="Z668" s="58"/>
      <c r="AA668" s="1"/>
      <c r="AB668" s="1"/>
      <c r="AC668" s="1"/>
      <c r="AD668" s="59"/>
      <c r="AE668" s="1"/>
      <c r="AF668" s="1"/>
      <c r="AG668" s="1"/>
    </row>
    <row r="669" spans="25:33" ht="14.4">
      <c r="Y669" s="58"/>
      <c r="Z669" s="58"/>
      <c r="AA669" s="1"/>
      <c r="AB669" s="1"/>
      <c r="AC669" s="1"/>
      <c r="AD669" s="59"/>
      <c r="AE669" s="1"/>
      <c r="AF669" s="1"/>
      <c r="AG669" s="1"/>
    </row>
    <row r="670" spans="25:33" ht="14.4">
      <c r="Y670" s="58"/>
      <c r="Z670" s="58"/>
      <c r="AA670" s="1"/>
      <c r="AB670" s="1"/>
      <c r="AC670" s="1"/>
      <c r="AD670" s="59"/>
      <c r="AE670" s="1"/>
      <c r="AF670" s="1"/>
      <c r="AG670" s="1"/>
    </row>
    <row r="671" spans="25:33" ht="14.4">
      <c r="Y671" s="58"/>
      <c r="Z671" s="58"/>
      <c r="AA671" s="1"/>
      <c r="AB671" s="1"/>
      <c r="AC671" s="1"/>
      <c r="AD671" s="59"/>
      <c r="AE671" s="1"/>
      <c r="AF671" s="1"/>
      <c r="AG671" s="1"/>
    </row>
    <row r="672" spans="25:33" ht="14.4">
      <c r="Y672" s="58"/>
      <c r="Z672" s="58"/>
      <c r="AA672" s="1"/>
      <c r="AB672" s="1"/>
      <c r="AC672" s="1"/>
      <c r="AD672" s="59"/>
      <c r="AE672" s="1"/>
      <c r="AF672" s="1"/>
      <c r="AG672" s="1"/>
    </row>
    <row r="673" spans="25:33" ht="14.4">
      <c r="Y673" s="58"/>
      <c r="Z673" s="58"/>
      <c r="AA673" s="1"/>
      <c r="AB673" s="1"/>
      <c r="AC673" s="1"/>
      <c r="AD673" s="59"/>
      <c r="AE673" s="1"/>
      <c r="AF673" s="1"/>
      <c r="AG673" s="1"/>
    </row>
    <row r="674" spans="25:33" ht="14.4">
      <c r="Y674" s="58"/>
      <c r="Z674" s="58"/>
      <c r="AA674" s="1"/>
      <c r="AB674" s="1"/>
      <c r="AC674" s="1"/>
      <c r="AD674" s="59"/>
      <c r="AE674" s="1"/>
      <c r="AF674" s="1"/>
      <c r="AG674" s="1"/>
    </row>
    <row r="675" spans="25:33" ht="14.4">
      <c r="Y675" s="58"/>
      <c r="Z675" s="58"/>
      <c r="AA675" s="1"/>
      <c r="AB675" s="1"/>
      <c r="AC675" s="1"/>
      <c r="AD675" s="59"/>
      <c r="AE675" s="1"/>
      <c r="AF675" s="1"/>
      <c r="AG675" s="1"/>
    </row>
    <row r="676" spans="25:33" ht="14.4">
      <c r="Y676" s="58"/>
      <c r="Z676" s="58"/>
      <c r="AA676" s="1"/>
      <c r="AB676" s="1"/>
      <c r="AC676" s="1"/>
      <c r="AD676" s="59"/>
      <c r="AE676" s="1"/>
      <c r="AF676" s="1"/>
      <c r="AG676" s="1"/>
    </row>
    <row r="677" spans="25:33" ht="14.4">
      <c r="Y677" s="58"/>
      <c r="Z677" s="58"/>
      <c r="AA677" s="1"/>
      <c r="AB677" s="1"/>
      <c r="AC677" s="1"/>
      <c r="AD677" s="59"/>
      <c r="AE677" s="1"/>
      <c r="AF677" s="1"/>
      <c r="AG677" s="1"/>
    </row>
    <row r="678" spans="25:33" ht="14.4">
      <c r="Y678" s="58"/>
      <c r="Z678" s="58"/>
      <c r="AA678" s="1"/>
      <c r="AB678" s="1"/>
      <c r="AC678" s="1"/>
      <c r="AD678" s="59"/>
      <c r="AE678" s="1"/>
      <c r="AF678" s="1"/>
      <c r="AG678" s="1"/>
    </row>
    <row r="679" spans="25:33" ht="14.4">
      <c r="Y679" s="58"/>
      <c r="Z679" s="58"/>
      <c r="AA679" s="1"/>
      <c r="AB679" s="1"/>
      <c r="AC679" s="1"/>
      <c r="AD679" s="59"/>
      <c r="AE679" s="1"/>
      <c r="AF679" s="1"/>
      <c r="AG679" s="1"/>
    </row>
    <row r="680" spans="25:33" ht="14.4">
      <c r="Y680" s="58"/>
      <c r="Z680" s="58"/>
      <c r="AA680" s="1"/>
      <c r="AB680" s="1"/>
      <c r="AC680" s="1"/>
      <c r="AD680" s="59"/>
      <c r="AE680" s="1"/>
      <c r="AF680" s="1"/>
      <c r="AG680" s="1"/>
    </row>
    <row r="681" spans="25:33" ht="14.4">
      <c r="Y681" s="58"/>
      <c r="Z681" s="58"/>
      <c r="AA681" s="1"/>
      <c r="AB681" s="1"/>
      <c r="AC681" s="1"/>
      <c r="AD681" s="59"/>
      <c r="AE681" s="1"/>
      <c r="AF681" s="1"/>
      <c r="AG681" s="1"/>
    </row>
    <row r="682" spans="25:33" ht="14.4">
      <c r="Y682" s="58"/>
      <c r="Z682" s="58"/>
      <c r="AA682" s="1"/>
      <c r="AB682" s="1"/>
      <c r="AC682" s="1"/>
      <c r="AD682" s="59"/>
      <c r="AE682" s="1"/>
      <c r="AF682" s="1"/>
      <c r="AG682" s="1"/>
    </row>
    <row r="683" spans="25:33" ht="14.4">
      <c r="Y683" s="58"/>
      <c r="Z683" s="58"/>
      <c r="AA683" s="1"/>
      <c r="AB683" s="1"/>
      <c r="AC683" s="1"/>
      <c r="AD683" s="59"/>
      <c r="AE683" s="1"/>
      <c r="AF683" s="1"/>
      <c r="AG683" s="1"/>
    </row>
    <row r="684" spans="25:33" ht="14.4">
      <c r="Y684" s="58"/>
      <c r="Z684" s="58"/>
      <c r="AA684" s="1"/>
      <c r="AB684" s="1"/>
      <c r="AC684" s="1"/>
      <c r="AD684" s="59"/>
      <c r="AE684" s="1"/>
      <c r="AF684" s="1"/>
      <c r="AG684" s="1"/>
    </row>
    <row r="685" spans="25:33" ht="14.4">
      <c r="Y685" s="58"/>
      <c r="Z685" s="58"/>
      <c r="AA685" s="1"/>
      <c r="AB685" s="1"/>
      <c r="AC685" s="1"/>
      <c r="AD685" s="59"/>
      <c r="AE685" s="1"/>
      <c r="AF685" s="1"/>
      <c r="AG685" s="1"/>
    </row>
    <row r="686" spans="25:33" ht="14.4">
      <c r="Y686" s="58"/>
      <c r="Z686" s="58"/>
      <c r="AA686" s="1"/>
      <c r="AB686" s="1"/>
      <c r="AC686" s="1"/>
      <c r="AD686" s="59"/>
      <c r="AE686" s="1"/>
      <c r="AF686" s="1"/>
      <c r="AG686" s="1"/>
    </row>
    <row r="687" spans="25:33" ht="14.4">
      <c r="Y687" s="58"/>
      <c r="Z687" s="58"/>
      <c r="AA687" s="1"/>
      <c r="AB687" s="1"/>
      <c r="AC687" s="1"/>
      <c r="AD687" s="59"/>
      <c r="AE687" s="1"/>
      <c r="AF687" s="1"/>
      <c r="AG687" s="1"/>
    </row>
    <row r="688" spans="25:33" ht="14.4">
      <c r="Y688" s="58"/>
      <c r="Z688" s="58"/>
      <c r="AA688" s="1"/>
      <c r="AB688" s="1"/>
      <c r="AC688" s="1"/>
      <c r="AD688" s="59"/>
      <c r="AE688" s="1"/>
      <c r="AF688" s="1"/>
      <c r="AG688" s="1"/>
    </row>
    <row r="689" spans="25:33" ht="14.4">
      <c r="Y689" s="58"/>
      <c r="Z689" s="58"/>
      <c r="AA689" s="1"/>
      <c r="AB689" s="1"/>
      <c r="AC689" s="1"/>
      <c r="AD689" s="59"/>
      <c r="AE689" s="1"/>
      <c r="AF689" s="1"/>
      <c r="AG689" s="1"/>
    </row>
    <row r="690" spans="25:33" ht="14.4">
      <c r="Y690" s="58"/>
      <c r="Z690" s="58"/>
      <c r="AA690" s="1"/>
      <c r="AB690" s="1"/>
      <c r="AC690" s="1"/>
      <c r="AD690" s="59"/>
      <c r="AE690" s="1"/>
      <c r="AF690" s="1"/>
      <c r="AG690" s="1"/>
    </row>
    <row r="691" spans="25:33" ht="14.4">
      <c r="Y691" s="58"/>
      <c r="Z691" s="58"/>
      <c r="AA691" s="1"/>
      <c r="AB691" s="1"/>
      <c r="AC691" s="1"/>
      <c r="AD691" s="59"/>
      <c r="AE691" s="1"/>
      <c r="AF691" s="1"/>
      <c r="AG691" s="1"/>
    </row>
    <row r="692" spans="25:33" ht="14.4">
      <c r="Y692" s="58"/>
      <c r="Z692" s="58"/>
      <c r="AA692" s="1"/>
      <c r="AB692" s="1"/>
      <c r="AC692" s="1"/>
      <c r="AD692" s="59"/>
      <c r="AE692" s="1"/>
      <c r="AF692" s="1"/>
      <c r="AG692" s="1"/>
    </row>
    <row r="693" spans="25:33" ht="14.4">
      <c r="Y693" s="58"/>
      <c r="Z693" s="58"/>
      <c r="AA693" s="1"/>
      <c r="AB693" s="1"/>
      <c r="AC693" s="1"/>
      <c r="AD693" s="59"/>
      <c r="AE693" s="1"/>
      <c r="AF693" s="1"/>
      <c r="AG693" s="1"/>
    </row>
    <row r="694" spans="25:33" ht="14.4">
      <c r="Y694" s="58"/>
      <c r="Z694" s="58"/>
      <c r="AA694" s="1"/>
      <c r="AB694" s="1"/>
      <c r="AC694" s="1"/>
      <c r="AD694" s="59"/>
      <c r="AE694" s="1"/>
      <c r="AF694" s="1"/>
      <c r="AG694" s="1"/>
    </row>
    <row r="695" spans="25:33" ht="14.4">
      <c r="Y695" s="58"/>
      <c r="Z695" s="58"/>
      <c r="AA695" s="1"/>
      <c r="AB695" s="1"/>
      <c r="AC695" s="1"/>
      <c r="AD695" s="59"/>
      <c r="AE695" s="1"/>
      <c r="AF695" s="1"/>
      <c r="AG695" s="1"/>
    </row>
    <row r="696" spans="25:33" ht="14.4">
      <c r="Y696" s="58"/>
      <c r="Z696" s="58"/>
      <c r="AA696" s="1"/>
      <c r="AB696" s="1"/>
      <c r="AC696" s="1"/>
      <c r="AD696" s="59"/>
      <c r="AE696" s="1"/>
      <c r="AF696" s="1"/>
      <c r="AG696" s="1"/>
    </row>
    <row r="697" spans="25:33" ht="14.4">
      <c r="Y697" s="58"/>
      <c r="Z697" s="58"/>
      <c r="AA697" s="1"/>
      <c r="AB697" s="1"/>
      <c r="AC697" s="1"/>
      <c r="AD697" s="59"/>
      <c r="AE697" s="1"/>
      <c r="AF697" s="1"/>
      <c r="AG697" s="1"/>
    </row>
    <row r="698" spans="25:33" ht="14.4">
      <c r="Y698" s="58"/>
      <c r="Z698" s="58"/>
      <c r="AA698" s="1"/>
      <c r="AB698" s="1"/>
      <c r="AC698" s="1"/>
      <c r="AD698" s="59"/>
      <c r="AE698" s="1"/>
      <c r="AF698" s="1"/>
      <c r="AG698" s="1"/>
    </row>
    <row r="699" spans="25:33" ht="14.4">
      <c r="Y699" s="58"/>
      <c r="Z699" s="58"/>
      <c r="AA699" s="1"/>
      <c r="AB699" s="1"/>
      <c r="AC699" s="1"/>
      <c r="AD699" s="59"/>
      <c r="AE699" s="1"/>
      <c r="AF699" s="1"/>
      <c r="AG699" s="1"/>
    </row>
    <row r="700" spans="25:33" ht="14.4">
      <c r="Y700" s="58"/>
      <c r="Z700" s="58"/>
      <c r="AA700" s="1"/>
      <c r="AB700" s="1"/>
      <c r="AC700" s="1"/>
      <c r="AD700" s="59"/>
      <c r="AE700" s="1"/>
      <c r="AF700" s="1"/>
      <c r="AG700" s="1"/>
    </row>
    <row r="701" spans="25:33" ht="14.4">
      <c r="Y701" s="58"/>
      <c r="Z701" s="58"/>
      <c r="AA701" s="1"/>
      <c r="AB701" s="1"/>
      <c r="AC701" s="1"/>
      <c r="AD701" s="59"/>
      <c r="AE701" s="1"/>
      <c r="AF701" s="1"/>
      <c r="AG701" s="1"/>
    </row>
    <row r="702" spans="25:33" ht="14.4">
      <c r="Y702" s="58"/>
      <c r="Z702" s="58"/>
      <c r="AA702" s="1"/>
      <c r="AB702" s="1"/>
      <c r="AC702" s="1"/>
      <c r="AD702" s="59"/>
      <c r="AE702" s="1"/>
      <c r="AF702" s="1"/>
      <c r="AG702" s="1"/>
    </row>
    <row r="703" spans="25:33" ht="14.4">
      <c r="Y703" s="58"/>
      <c r="Z703" s="58"/>
      <c r="AA703" s="1"/>
      <c r="AB703" s="1"/>
      <c r="AC703" s="1"/>
      <c r="AD703" s="59"/>
      <c r="AE703" s="1"/>
      <c r="AF703" s="1"/>
      <c r="AG703" s="1"/>
    </row>
    <row r="704" spans="25:33" ht="14.4">
      <c r="Y704" s="58"/>
      <c r="Z704" s="58"/>
      <c r="AA704" s="1"/>
      <c r="AB704" s="1"/>
      <c r="AC704" s="1"/>
      <c r="AD704" s="59"/>
      <c r="AE704" s="1"/>
      <c r="AF704" s="1"/>
      <c r="AG704" s="1"/>
    </row>
    <row r="705" spans="25:33" ht="14.4">
      <c r="Y705" s="58"/>
      <c r="Z705" s="58"/>
      <c r="AA705" s="1"/>
      <c r="AB705" s="1"/>
      <c r="AC705" s="1"/>
      <c r="AD705" s="59"/>
      <c r="AE705" s="1"/>
      <c r="AF705" s="1"/>
      <c r="AG705" s="1"/>
    </row>
    <row r="706" spans="25:33" ht="14.4">
      <c r="Y706" s="58"/>
      <c r="Z706" s="58"/>
      <c r="AA706" s="1"/>
      <c r="AB706" s="1"/>
      <c r="AC706" s="1"/>
      <c r="AD706" s="59"/>
      <c r="AE706" s="1"/>
      <c r="AF706" s="1"/>
      <c r="AG706" s="1"/>
    </row>
    <row r="707" spans="25:33" ht="14.4">
      <c r="Y707" s="58"/>
      <c r="Z707" s="58"/>
      <c r="AA707" s="1"/>
      <c r="AB707" s="1"/>
      <c r="AC707" s="1"/>
      <c r="AD707" s="59"/>
      <c r="AE707" s="1"/>
      <c r="AF707" s="1"/>
      <c r="AG707" s="1"/>
    </row>
    <row r="708" spans="25:33" ht="14.4">
      <c r="Y708" s="58"/>
      <c r="Z708" s="58"/>
      <c r="AA708" s="1"/>
      <c r="AB708" s="1"/>
      <c r="AC708" s="1"/>
      <c r="AD708" s="59"/>
      <c r="AE708" s="1"/>
      <c r="AF708" s="1"/>
      <c r="AG708" s="1"/>
    </row>
    <row r="709" spans="25:33" ht="14.4">
      <c r="Y709" s="58"/>
      <c r="Z709" s="58"/>
      <c r="AA709" s="1"/>
      <c r="AB709" s="1"/>
      <c r="AC709" s="1"/>
      <c r="AD709" s="59"/>
      <c r="AE709" s="1"/>
      <c r="AF709" s="1"/>
      <c r="AG709" s="1"/>
    </row>
    <row r="710" spans="25:33" ht="14.4">
      <c r="Y710" s="58"/>
      <c r="Z710" s="58"/>
      <c r="AA710" s="1"/>
      <c r="AB710" s="1"/>
      <c r="AC710" s="1"/>
      <c r="AD710" s="59"/>
      <c r="AE710" s="1"/>
      <c r="AF710" s="1"/>
      <c r="AG710" s="1"/>
    </row>
    <row r="711" spans="25:33" ht="14.4">
      <c r="Y711" s="58"/>
      <c r="Z711" s="58"/>
      <c r="AA711" s="1"/>
      <c r="AB711" s="1"/>
      <c r="AC711" s="1"/>
      <c r="AD711" s="59"/>
      <c r="AE711" s="1"/>
      <c r="AF711" s="1"/>
      <c r="AG711" s="1"/>
    </row>
    <row r="712" spans="25:33" ht="14.4">
      <c r="Y712" s="58"/>
      <c r="Z712" s="58"/>
      <c r="AA712" s="1"/>
      <c r="AB712" s="1"/>
      <c r="AC712" s="1"/>
      <c r="AD712" s="59"/>
      <c r="AE712" s="1"/>
      <c r="AF712" s="1"/>
      <c r="AG712" s="1"/>
    </row>
    <row r="713" spans="25:33" ht="14.4">
      <c r="Y713" s="58"/>
      <c r="Z713" s="58"/>
      <c r="AA713" s="1"/>
      <c r="AB713" s="1"/>
      <c r="AC713" s="1"/>
      <c r="AD713" s="59"/>
      <c r="AE713" s="1"/>
      <c r="AF713" s="1"/>
      <c r="AG713" s="1"/>
    </row>
    <row r="714" spans="25:33" ht="14.4">
      <c r="Y714" s="58"/>
      <c r="Z714" s="58"/>
      <c r="AA714" s="1"/>
      <c r="AB714" s="1"/>
      <c r="AC714" s="1"/>
      <c r="AD714" s="59"/>
      <c r="AE714" s="1"/>
      <c r="AF714" s="1"/>
      <c r="AG714" s="1"/>
    </row>
    <row r="715" spans="25:33" ht="14.4">
      <c r="Y715" s="58"/>
      <c r="Z715" s="58"/>
      <c r="AA715" s="1"/>
      <c r="AB715" s="1"/>
      <c r="AC715" s="1"/>
      <c r="AD715" s="59"/>
      <c r="AE715" s="1"/>
      <c r="AF715" s="1"/>
      <c r="AG715" s="1"/>
    </row>
    <row r="716" spans="25:33" ht="14.4">
      <c r="Y716" s="58"/>
      <c r="Z716" s="58"/>
      <c r="AA716" s="1"/>
      <c r="AB716" s="1"/>
      <c r="AC716" s="1"/>
      <c r="AD716" s="59"/>
      <c r="AE716" s="1"/>
      <c r="AF716" s="1"/>
      <c r="AG716" s="1"/>
    </row>
    <row r="717" spans="25:33" ht="14.4">
      <c r="Y717" s="58"/>
      <c r="Z717" s="58"/>
      <c r="AA717" s="1"/>
      <c r="AB717" s="1"/>
      <c r="AC717" s="1"/>
      <c r="AD717" s="59"/>
      <c r="AE717" s="1"/>
      <c r="AF717" s="1"/>
      <c r="AG717" s="1"/>
    </row>
    <row r="718" spans="25:33" ht="14.4">
      <c r="Y718" s="58"/>
      <c r="Z718" s="58"/>
      <c r="AA718" s="1"/>
      <c r="AB718" s="1"/>
      <c r="AC718" s="1"/>
      <c r="AD718" s="59"/>
      <c r="AE718" s="1"/>
      <c r="AF718" s="1"/>
      <c r="AG718" s="1"/>
    </row>
    <row r="719" spans="25:33" ht="14.4">
      <c r="Y719" s="58"/>
      <c r="Z719" s="58"/>
      <c r="AA719" s="1"/>
      <c r="AB719" s="1"/>
      <c r="AC719" s="1"/>
      <c r="AD719" s="59"/>
      <c r="AE719" s="1"/>
      <c r="AF719" s="1"/>
      <c r="AG719" s="1"/>
    </row>
    <row r="720" spans="25:33" ht="14.4">
      <c r="Y720" s="58"/>
      <c r="Z720" s="58"/>
      <c r="AA720" s="1"/>
      <c r="AB720" s="1"/>
      <c r="AC720" s="1"/>
      <c r="AD720" s="59"/>
      <c r="AE720" s="1"/>
      <c r="AF720" s="1"/>
      <c r="AG720" s="1"/>
    </row>
    <row r="721" spans="25:33" ht="14.4">
      <c r="Y721" s="58"/>
      <c r="Z721" s="58"/>
      <c r="AA721" s="1"/>
      <c r="AB721" s="1"/>
      <c r="AC721" s="1"/>
      <c r="AD721" s="59"/>
      <c r="AE721" s="1"/>
      <c r="AF721" s="1"/>
      <c r="AG721" s="1"/>
    </row>
    <row r="722" spans="25:33" ht="14.4">
      <c r="Y722" s="58"/>
      <c r="Z722" s="58"/>
      <c r="AA722" s="1"/>
      <c r="AB722" s="1"/>
      <c r="AC722" s="1"/>
      <c r="AD722" s="59"/>
      <c r="AE722" s="1"/>
      <c r="AF722" s="1"/>
      <c r="AG722" s="1"/>
    </row>
    <row r="723" spans="25:33" ht="14.4">
      <c r="Y723" s="58"/>
      <c r="Z723" s="58"/>
      <c r="AA723" s="1"/>
      <c r="AB723" s="1"/>
      <c r="AC723" s="1"/>
      <c r="AD723" s="59"/>
      <c r="AE723" s="1"/>
      <c r="AF723" s="1"/>
      <c r="AG723" s="1"/>
    </row>
    <row r="724" spans="25:33" ht="14.4">
      <c r="Y724" s="58"/>
      <c r="Z724" s="58"/>
      <c r="AA724" s="1"/>
      <c r="AB724" s="1"/>
      <c r="AC724" s="1"/>
      <c r="AD724" s="59"/>
      <c r="AE724" s="1"/>
      <c r="AF724" s="1"/>
      <c r="AG724" s="1"/>
    </row>
    <row r="725" spans="25:33" ht="14.4">
      <c r="Y725" s="58"/>
      <c r="Z725" s="58"/>
      <c r="AA725" s="1"/>
      <c r="AB725" s="1"/>
      <c r="AC725" s="1"/>
      <c r="AD725" s="59"/>
      <c r="AE725" s="1"/>
      <c r="AF725" s="1"/>
      <c r="AG725" s="1"/>
    </row>
    <row r="726" spans="25:33" ht="14.4">
      <c r="Y726" s="58"/>
      <c r="Z726" s="58"/>
      <c r="AA726" s="1"/>
      <c r="AB726" s="1"/>
      <c r="AC726" s="1"/>
      <c r="AD726" s="59"/>
      <c r="AE726" s="1"/>
      <c r="AF726" s="1"/>
      <c r="AG726" s="1"/>
    </row>
    <row r="727" spans="25:33" ht="14.4">
      <c r="Y727" s="58"/>
      <c r="Z727" s="58"/>
      <c r="AA727" s="1"/>
      <c r="AB727" s="1"/>
      <c r="AC727" s="1"/>
      <c r="AD727" s="59"/>
      <c r="AE727" s="1"/>
      <c r="AF727" s="1"/>
      <c r="AG727" s="1"/>
    </row>
    <row r="728" spans="25:33" ht="14.4">
      <c r="Y728" s="58"/>
      <c r="Z728" s="58"/>
      <c r="AA728" s="1"/>
      <c r="AB728" s="1"/>
      <c r="AC728" s="1"/>
      <c r="AD728" s="59"/>
      <c r="AE728" s="1"/>
      <c r="AF728" s="1"/>
      <c r="AG728" s="1"/>
    </row>
    <row r="729" spans="25:33" ht="14.4">
      <c r="Y729" s="58"/>
      <c r="Z729" s="58"/>
      <c r="AA729" s="1"/>
      <c r="AB729" s="1"/>
      <c r="AC729" s="1"/>
      <c r="AD729" s="59"/>
      <c r="AE729" s="1"/>
      <c r="AF729" s="1"/>
      <c r="AG729" s="1"/>
    </row>
    <row r="730" spans="25:33" ht="14.4">
      <c r="Y730" s="58"/>
      <c r="Z730" s="58"/>
      <c r="AA730" s="1"/>
      <c r="AB730" s="1"/>
      <c r="AC730" s="1"/>
      <c r="AD730" s="59"/>
      <c r="AE730" s="1"/>
      <c r="AF730" s="1"/>
      <c r="AG730" s="1"/>
    </row>
    <row r="731" spans="25:33" ht="14.4">
      <c r="Y731" s="58"/>
      <c r="Z731" s="58"/>
      <c r="AA731" s="1"/>
      <c r="AB731" s="1"/>
      <c r="AC731" s="1"/>
      <c r="AD731" s="59"/>
      <c r="AE731" s="1"/>
      <c r="AF731" s="1"/>
      <c r="AG731" s="1"/>
    </row>
    <row r="732" spans="25:33" ht="14.4">
      <c r="Y732" s="58"/>
      <c r="Z732" s="58"/>
      <c r="AA732" s="1"/>
      <c r="AB732" s="1"/>
      <c r="AC732" s="1"/>
      <c r="AD732" s="59"/>
      <c r="AE732" s="1"/>
      <c r="AF732" s="1"/>
      <c r="AG732" s="1"/>
    </row>
    <row r="733" spans="25:33" ht="14.4">
      <c r="Y733" s="58"/>
      <c r="Z733" s="58"/>
      <c r="AA733" s="1"/>
      <c r="AB733" s="1"/>
      <c r="AC733" s="1"/>
      <c r="AD733" s="59"/>
      <c r="AE733" s="1"/>
      <c r="AF733" s="1"/>
      <c r="AG733" s="1"/>
    </row>
    <row r="734" spans="25:33" ht="14.4">
      <c r="Y734" s="58"/>
      <c r="Z734" s="58"/>
      <c r="AA734" s="1"/>
      <c r="AB734" s="1"/>
      <c r="AC734" s="1"/>
      <c r="AD734" s="59"/>
      <c r="AE734" s="1"/>
      <c r="AF734" s="1"/>
      <c r="AG734" s="1"/>
    </row>
    <row r="735" spans="25:33" ht="14.4">
      <c r="Y735" s="58"/>
      <c r="Z735" s="58"/>
      <c r="AA735" s="1"/>
      <c r="AB735" s="1"/>
      <c r="AC735" s="1"/>
      <c r="AD735" s="59"/>
      <c r="AE735" s="1"/>
      <c r="AF735" s="1"/>
      <c r="AG735" s="1"/>
    </row>
    <row r="736" spans="25:33" ht="14.4">
      <c r="Y736" s="58"/>
      <c r="Z736" s="58"/>
      <c r="AA736" s="1"/>
      <c r="AB736" s="1"/>
      <c r="AC736" s="1"/>
      <c r="AD736" s="59"/>
      <c r="AE736" s="1"/>
      <c r="AF736" s="1"/>
      <c r="AG736" s="1"/>
    </row>
    <row r="737" spans="25:33" ht="14.4">
      <c r="Y737" s="58"/>
      <c r="Z737" s="58"/>
      <c r="AA737" s="1"/>
      <c r="AB737" s="1"/>
      <c r="AC737" s="1"/>
      <c r="AD737" s="59"/>
      <c r="AE737" s="1"/>
      <c r="AF737" s="1"/>
      <c r="AG737" s="1"/>
    </row>
    <row r="738" spans="25:33" ht="14.4">
      <c r="Y738" s="58"/>
      <c r="Z738" s="58"/>
      <c r="AA738" s="1"/>
      <c r="AB738" s="1"/>
      <c r="AC738" s="1"/>
      <c r="AD738" s="59"/>
      <c r="AE738" s="1"/>
      <c r="AF738" s="1"/>
      <c r="AG738" s="1"/>
    </row>
    <row r="739" spans="25:33" ht="14.4">
      <c r="Y739" s="58"/>
      <c r="Z739" s="58"/>
      <c r="AA739" s="1"/>
      <c r="AB739" s="1"/>
      <c r="AC739" s="1"/>
      <c r="AD739" s="59"/>
      <c r="AE739" s="1"/>
      <c r="AF739" s="1"/>
      <c r="AG739" s="1"/>
    </row>
    <row r="740" spans="25:33" ht="14.4">
      <c r="Y740" s="58"/>
      <c r="Z740" s="58"/>
      <c r="AA740" s="1"/>
      <c r="AB740" s="1"/>
      <c r="AC740" s="1"/>
      <c r="AD740" s="59"/>
      <c r="AE740" s="1"/>
      <c r="AF740" s="1"/>
      <c r="AG740" s="1"/>
    </row>
    <row r="741" spans="25:33" ht="14.4">
      <c r="Y741" s="58"/>
      <c r="Z741" s="58"/>
      <c r="AA741" s="1"/>
      <c r="AB741" s="1"/>
      <c r="AC741" s="1"/>
      <c r="AD741" s="59"/>
      <c r="AE741" s="1"/>
      <c r="AF741" s="1"/>
      <c r="AG741" s="1"/>
    </row>
    <row r="742" spans="25:33" ht="14.4">
      <c r="Y742" s="58"/>
      <c r="Z742" s="58"/>
      <c r="AA742" s="1"/>
      <c r="AB742" s="1"/>
      <c r="AC742" s="1"/>
      <c r="AD742" s="59"/>
      <c r="AE742" s="1"/>
      <c r="AF742" s="1"/>
      <c r="AG742" s="1"/>
    </row>
    <row r="743" spans="25:33" ht="14.4">
      <c r="Y743" s="58"/>
      <c r="Z743" s="58"/>
      <c r="AA743" s="1"/>
      <c r="AB743" s="1"/>
      <c r="AC743" s="1"/>
      <c r="AD743" s="59"/>
      <c r="AE743" s="1"/>
      <c r="AF743" s="1"/>
      <c r="AG743" s="1"/>
    </row>
    <row r="744" spans="25:33" ht="14.4">
      <c r="Y744" s="58"/>
      <c r="Z744" s="58"/>
      <c r="AA744" s="1"/>
      <c r="AB744" s="1"/>
      <c r="AC744" s="1"/>
      <c r="AD744" s="59"/>
      <c r="AE744" s="1"/>
      <c r="AF744" s="1"/>
      <c r="AG744" s="1"/>
    </row>
    <row r="745" spans="25:33" ht="14.4">
      <c r="Y745" s="58"/>
      <c r="Z745" s="58"/>
      <c r="AA745" s="1"/>
      <c r="AB745" s="1"/>
      <c r="AC745" s="1"/>
      <c r="AD745" s="59"/>
      <c r="AE745" s="1"/>
      <c r="AF745" s="1"/>
      <c r="AG745" s="1"/>
    </row>
    <row r="746" spans="25:33" ht="14.4">
      <c r="Y746" s="58"/>
      <c r="Z746" s="58"/>
      <c r="AA746" s="1"/>
      <c r="AB746" s="1"/>
      <c r="AC746" s="1"/>
      <c r="AD746" s="59"/>
      <c r="AE746" s="1"/>
      <c r="AF746" s="1"/>
      <c r="AG746" s="1"/>
    </row>
    <row r="747" spans="25:33" ht="14.4">
      <c r="Y747" s="58"/>
      <c r="Z747" s="58"/>
      <c r="AA747" s="1"/>
      <c r="AB747" s="1"/>
      <c r="AC747" s="1"/>
      <c r="AD747" s="59"/>
      <c r="AE747" s="1"/>
      <c r="AF747" s="1"/>
      <c r="AG747" s="1"/>
    </row>
    <row r="748" spans="25:33" ht="14.4">
      <c r="Y748" s="58"/>
      <c r="Z748" s="58"/>
      <c r="AA748" s="1"/>
      <c r="AB748" s="1"/>
      <c r="AC748" s="1"/>
      <c r="AD748" s="59"/>
      <c r="AE748" s="1"/>
      <c r="AF748" s="1"/>
      <c r="AG748" s="1"/>
    </row>
    <row r="749" spans="25:33" ht="14.4">
      <c r="Y749" s="58"/>
      <c r="Z749" s="58"/>
      <c r="AA749" s="1"/>
      <c r="AB749" s="1"/>
      <c r="AC749" s="1"/>
      <c r="AD749" s="59"/>
      <c r="AE749" s="1"/>
      <c r="AF749" s="1"/>
      <c r="AG749" s="1"/>
    </row>
    <row r="750" spans="25:33" ht="14.4">
      <c r="Y750" s="58"/>
      <c r="Z750" s="58"/>
      <c r="AA750" s="1"/>
      <c r="AB750" s="1"/>
      <c r="AC750" s="1"/>
      <c r="AD750" s="59"/>
      <c r="AE750" s="1"/>
      <c r="AF750" s="1"/>
      <c r="AG750" s="1"/>
    </row>
    <row r="751" spans="25:33" ht="14.4">
      <c r="Y751" s="58"/>
      <c r="Z751" s="58"/>
      <c r="AA751" s="1"/>
      <c r="AB751" s="1"/>
      <c r="AC751" s="1"/>
      <c r="AD751" s="59"/>
      <c r="AE751" s="1"/>
      <c r="AF751" s="1"/>
      <c r="AG751" s="1"/>
    </row>
    <row r="752" spans="25:33" ht="14.4">
      <c r="Y752" s="58"/>
      <c r="Z752" s="58"/>
      <c r="AA752" s="1"/>
      <c r="AB752" s="1"/>
      <c r="AC752" s="1"/>
      <c r="AD752" s="59"/>
      <c r="AE752" s="1"/>
      <c r="AF752" s="1"/>
      <c r="AG752" s="1"/>
    </row>
    <row r="753" spans="25:33" ht="14.4">
      <c r="Y753" s="58"/>
      <c r="Z753" s="58"/>
      <c r="AA753" s="1"/>
      <c r="AB753" s="1"/>
      <c r="AC753" s="1"/>
      <c r="AD753" s="59"/>
      <c r="AE753" s="1"/>
      <c r="AF753" s="1"/>
      <c r="AG753" s="1"/>
    </row>
    <row r="754" spans="25:33" ht="14.4">
      <c r="Y754" s="58"/>
      <c r="Z754" s="58"/>
      <c r="AA754" s="1"/>
      <c r="AB754" s="1"/>
      <c r="AC754" s="1"/>
      <c r="AD754" s="59"/>
      <c r="AE754" s="1"/>
      <c r="AF754" s="1"/>
      <c r="AG754" s="1"/>
    </row>
    <row r="755" spans="25:33" ht="14.4">
      <c r="Y755" s="58"/>
      <c r="Z755" s="58"/>
      <c r="AA755" s="1"/>
      <c r="AB755" s="1"/>
      <c r="AC755" s="1"/>
      <c r="AD755" s="59"/>
      <c r="AE755" s="1"/>
      <c r="AF755" s="1"/>
      <c r="AG755" s="1"/>
    </row>
    <row r="756" spans="25:33" ht="14.4">
      <c r="Y756" s="58"/>
      <c r="Z756" s="58"/>
      <c r="AA756" s="1"/>
      <c r="AB756" s="1"/>
      <c r="AC756" s="1"/>
      <c r="AD756" s="59"/>
      <c r="AE756" s="1"/>
      <c r="AF756" s="1"/>
      <c r="AG756" s="1"/>
    </row>
    <row r="757" spans="25:33" ht="14.4">
      <c r="Y757" s="58"/>
      <c r="Z757" s="58"/>
      <c r="AA757" s="1"/>
      <c r="AB757" s="1"/>
      <c r="AC757" s="1"/>
      <c r="AD757" s="59"/>
      <c r="AE757" s="1"/>
      <c r="AF757" s="1"/>
      <c r="AG757" s="1"/>
    </row>
    <row r="758" spans="25:33" ht="14.4">
      <c r="Y758" s="58"/>
      <c r="Z758" s="58"/>
      <c r="AA758" s="1"/>
      <c r="AB758" s="1"/>
      <c r="AC758" s="1"/>
      <c r="AD758" s="59"/>
      <c r="AE758" s="1"/>
      <c r="AF758" s="1"/>
      <c r="AG758" s="1"/>
    </row>
    <row r="759" spans="25:33" ht="14.4">
      <c r="Y759" s="58"/>
      <c r="Z759" s="58"/>
      <c r="AA759" s="1"/>
      <c r="AB759" s="1"/>
      <c r="AC759" s="1"/>
      <c r="AD759" s="59"/>
      <c r="AE759" s="1"/>
      <c r="AF759" s="1"/>
      <c r="AG759" s="1"/>
    </row>
    <row r="760" spans="25:33" ht="14.4">
      <c r="Y760" s="58"/>
      <c r="Z760" s="58"/>
      <c r="AA760" s="1"/>
      <c r="AB760" s="1"/>
      <c r="AC760" s="1"/>
      <c r="AD760" s="59"/>
      <c r="AE760" s="1"/>
      <c r="AF760" s="1"/>
      <c r="AG760" s="1"/>
    </row>
    <row r="761" spans="25:33" ht="14.4">
      <c r="Y761" s="58"/>
      <c r="Z761" s="58"/>
      <c r="AA761" s="1"/>
      <c r="AB761" s="1"/>
      <c r="AC761" s="1"/>
      <c r="AD761" s="59"/>
      <c r="AE761" s="1"/>
      <c r="AF761" s="1"/>
      <c r="AG761" s="1"/>
    </row>
    <row r="762" spans="25:33" ht="14.4">
      <c r="Y762" s="58"/>
      <c r="Z762" s="58"/>
      <c r="AA762" s="1"/>
      <c r="AB762" s="1"/>
      <c r="AC762" s="1"/>
      <c r="AD762" s="59"/>
      <c r="AE762" s="1"/>
      <c r="AF762" s="1"/>
      <c r="AG762" s="1"/>
    </row>
    <row r="763" spans="25:33" ht="14.4">
      <c r="Y763" s="58"/>
      <c r="Z763" s="58"/>
      <c r="AA763" s="1"/>
      <c r="AB763" s="1"/>
      <c r="AC763" s="1"/>
      <c r="AD763" s="59"/>
      <c r="AE763" s="1"/>
      <c r="AF763" s="1"/>
      <c r="AG763" s="1"/>
    </row>
    <row r="764" spans="25:33" ht="14.4">
      <c r="Y764" s="58"/>
      <c r="Z764" s="58"/>
      <c r="AA764" s="1"/>
      <c r="AB764" s="1"/>
      <c r="AC764" s="1"/>
      <c r="AD764" s="59"/>
      <c r="AE764" s="1"/>
      <c r="AF764" s="1"/>
      <c r="AG764" s="1"/>
    </row>
    <row r="765" spans="25:33" ht="14.4">
      <c r="Y765" s="58"/>
      <c r="Z765" s="58"/>
      <c r="AA765" s="1"/>
      <c r="AB765" s="1"/>
      <c r="AC765" s="1"/>
      <c r="AD765" s="59"/>
      <c r="AE765" s="1"/>
      <c r="AF765" s="1"/>
      <c r="AG765" s="1"/>
    </row>
    <row r="766" spans="25:33" ht="14.4">
      <c r="Y766" s="58"/>
      <c r="Z766" s="58"/>
      <c r="AA766" s="1"/>
      <c r="AB766" s="1"/>
      <c r="AC766" s="1"/>
      <c r="AD766" s="59"/>
      <c r="AE766" s="1"/>
      <c r="AF766" s="1"/>
      <c r="AG766" s="1"/>
    </row>
    <row r="767" spans="25:33" ht="14.4">
      <c r="Y767" s="58"/>
      <c r="Z767" s="58"/>
      <c r="AA767" s="1"/>
      <c r="AB767" s="1"/>
      <c r="AC767" s="1"/>
      <c r="AD767" s="59"/>
      <c r="AE767" s="1"/>
      <c r="AF767" s="1"/>
      <c r="AG767" s="1"/>
    </row>
    <row r="768" spans="25:33" ht="14.4">
      <c r="Y768" s="58"/>
      <c r="Z768" s="58"/>
      <c r="AA768" s="1"/>
      <c r="AB768" s="1"/>
      <c r="AC768" s="1"/>
      <c r="AD768" s="59"/>
      <c r="AE768" s="1"/>
      <c r="AF768" s="1"/>
      <c r="AG768" s="1"/>
    </row>
    <row r="769" spans="25:33" ht="14.4">
      <c r="Y769" s="58"/>
      <c r="Z769" s="58"/>
      <c r="AA769" s="1"/>
      <c r="AB769" s="1"/>
      <c r="AC769" s="1"/>
      <c r="AD769" s="59"/>
      <c r="AE769" s="1"/>
      <c r="AF769" s="1"/>
      <c r="AG769" s="1"/>
    </row>
    <row r="770" spans="25:33" ht="14.4">
      <c r="Y770" s="58"/>
      <c r="Z770" s="58"/>
      <c r="AA770" s="1"/>
      <c r="AB770" s="1"/>
      <c r="AC770" s="1"/>
      <c r="AD770" s="59"/>
      <c r="AE770" s="1"/>
      <c r="AF770" s="1"/>
      <c r="AG770" s="1"/>
    </row>
    <row r="771" spans="25:33" ht="14.4">
      <c r="Y771" s="58"/>
      <c r="Z771" s="58"/>
      <c r="AA771" s="1"/>
      <c r="AB771" s="1"/>
      <c r="AC771" s="1"/>
      <c r="AD771" s="59"/>
      <c r="AE771" s="1"/>
      <c r="AF771" s="1"/>
      <c r="AG771" s="1"/>
    </row>
    <row r="772" spans="25:33" ht="14.4">
      <c r="Y772" s="58"/>
      <c r="Z772" s="58"/>
      <c r="AA772" s="1"/>
      <c r="AB772" s="1"/>
      <c r="AC772" s="1"/>
      <c r="AD772" s="59"/>
      <c r="AE772" s="1"/>
      <c r="AF772" s="1"/>
      <c r="AG772" s="1"/>
    </row>
    <row r="773" spans="25:33" ht="14.4">
      <c r="Y773" s="58"/>
      <c r="Z773" s="58"/>
      <c r="AA773" s="1"/>
      <c r="AB773" s="1"/>
      <c r="AC773" s="1"/>
      <c r="AD773" s="59"/>
      <c r="AE773" s="1"/>
      <c r="AF773" s="1"/>
      <c r="AG773" s="1"/>
    </row>
    <row r="774" spans="25:33" ht="14.4">
      <c r="Y774" s="58"/>
      <c r="Z774" s="58"/>
      <c r="AA774" s="1"/>
      <c r="AB774" s="1"/>
      <c r="AC774" s="1"/>
      <c r="AD774" s="59"/>
      <c r="AE774" s="1"/>
      <c r="AF774" s="1"/>
      <c r="AG774" s="1"/>
    </row>
    <row r="775" spans="25:33" ht="14.4">
      <c r="Y775" s="58"/>
      <c r="Z775" s="58"/>
      <c r="AA775" s="1"/>
      <c r="AB775" s="1"/>
      <c r="AC775" s="1"/>
      <c r="AD775" s="59"/>
      <c r="AE775" s="1"/>
      <c r="AF775" s="1"/>
      <c r="AG775" s="1"/>
    </row>
    <row r="776" spans="25:33" ht="14.4">
      <c r="Y776" s="58"/>
      <c r="Z776" s="58"/>
      <c r="AA776" s="1"/>
      <c r="AB776" s="1"/>
      <c r="AC776" s="1"/>
      <c r="AD776" s="59"/>
      <c r="AE776" s="1"/>
      <c r="AF776" s="1"/>
      <c r="AG776" s="1"/>
    </row>
    <row r="777" spans="25:33" ht="14.4">
      <c r="Y777" s="58"/>
      <c r="Z777" s="58"/>
      <c r="AA777" s="1"/>
      <c r="AB777" s="1"/>
      <c r="AC777" s="1"/>
      <c r="AD777" s="59"/>
      <c r="AE777" s="1"/>
      <c r="AF777" s="1"/>
      <c r="AG777" s="1"/>
    </row>
    <row r="778" spans="25:33" ht="14.4">
      <c r="Y778" s="58"/>
      <c r="Z778" s="58"/>
      <c r="AA778" s="1"/>
      <c r="AB778" s="1"/>
      <c r="AC778" s="1"/>
      <c r="AD778" s="59"/>
      <c r="AE778" s="1"/>
      <c r="AF778" s="1"/>
      <c r="AG778" s="1"/>
    </row>
    <row r="779" spans="25:33" ht="14.4">
      <c r="Y779" s="58"/>
      <c r="Z779" s="58"/>
      <c r="AA779" s="1"/>
      <c r="AB779" s="1"/>
      <c r="AC779" s="1"/>
      <c r="AD779" s="59"/>
      <c r="AE779" s="1"/>
      <c r="AF779" s="1"/>
      <c r="AG779" s="1"/>
    </row>
    <row r="780" spans="25:33" ht="14.4">
      <c r="Y780" s="58"/>
      <c r="Z780" s="58"/>
      <c r="AA780" s="1"/>
      <c r="AB780" s="1"/>
      <c r="AC780" s="1"/>
      <c r="AD780" s="59"/>
      <c r="AE780" s="1"/>
      <c r="AF780" s="1"/>
      <c r="AG780" s="1"/>
    </row>
    <row r="781" spans="25:33" ht="14.4">
      <c r="Y781" s="58"/>
      <c r="Z781" s="58"/>
      <c r="AA781" s="1"/>
      <c r="AB781" s="1"/>
      <c r="AC781" s="1"/>
      <c r="AD781" s="59"/>
      <c r="AE781" s="1"/>
      <c r="AF781" s="1"/>
      <c r="AG781" s="1"/>
    </row>
    <row r="782" spans="25:33" ht="14.4">
      <c r="Y782" s="58"/>
      <c r="Z782" s="58"/>
      <c r="AA782" s="1"/>
      <c r="AB782" s="1"/>
      <c r="AC782" s="1"/>
      <c r="AD782" s="59"/>
      <c r="AE782" s="1"/>
      <c r="AF782" s="1"/>
      <c r="AG782" s="1"/>
    </row>
    <row r="783" spans="25:33" ht="14.4">
      <c r="Y783" s="58"/>
      <c r="Z783" s="58"/>
      <c r="AA783" s="1"/>
      <c r="AB783" s="1"/>
      <c r="AC783" s="1"/>
      <c r="AD783" s="59"/>
      <c r="AE783" s="1"/>
      <c r="AF783" s="1"/>
      <c r="AG783" s="1"/>
    </row>
    <row r="784" spans="25:33" ht="14.4">
      <c r="Y784" s="58"/>
      <c r="Z784" s="58"/>
      <c r="AA784" s="1"/>
      <c r="AB784" s="1"/>
      <c r="AC784" s="1"/>
      <c r="AD784" s="59"/>
      <c r="AE784" s="1"/>
      <c r="AF784" s="1"/>
      <c r="AG784" s="1"/>
    </row>
    <row r="785" spans="25:33" ht="14.4">
      <c r="Y785" s="58"/>
      <c r="Z785" s="58"/>
      <c r="AA785" s="1"/>
      <c r="AB785" s="1"/>
      <c r="AC785" s="1"/>
      <c r="AD785" s="59"/>
      <c r="AE785" s="1"/>
      <c r="AF785" s="1"/>
      <c r="AG785" s="1"/>
    </row>
    <row r="786" spans="25:33" ht="14.4">
      <c r="Y786" s="58"/>
      <c r="Z786" s="58"/>
      <c r="AA786" s="1"/>
      <c r="AB786" s="1"/>
      <c r="AC786" s="1"/>
      <c r="AD786" s="59"/>
      <c r="AE786" s="1"/>
      <c r="AF786" s="1"/>
      <c r="AG786" s="1"/>
    </row>
    <row r="787" spans="25:33" ht="14.4">
      <c r="Y787" s="58"/>
      <c r="Z787" s="58"/>
      <c r="AA787" s="1"/>
      <c r="AB787" s="1"/>
      <c r="AC787" s="1"/>
      <c r="AD787" s="59"/>
      <c r="AE787" s="1"/>
      <c r="AF787" s="1"/>
      <c r="AG787" s="1"/>
    </row>
    <row r="788" spans="25:33" ht="14.4">
      <c r="Y788" s="58"/>
      <c r="Z788" s="58"/>
      <c r="AA788" s="1"/>
      <c r="AB788" s="1"/>
      <c r="AC788" s="1"/>
      <c r="AD788" s="59"/>
      <c r="AE788" s="1"/>
      <c r="AF788" s="1"/>
      <c r="AG788" s="1"/>
    </row>
    <row r="789" spans="25:33" ht="14.4">
      <c r="Y789" s="58"/>
      <c r="Z789" s="58"/>
      <c r="AA789" s="1"/>
      <c r="AB789" s="1"/>
      <c r="AC789" s="1"/>
      <c r="AD789" s="59"/>
      <c r="AE789" s="1"/>
      <c r="AF789" s="1"/>
      <c r="AG789" s="1"/>
    </row>
    <row r="790" spans="25:33" ht="14.4">
      <c r="Y790" s="58"/>
      <c r="Z790" s="58"/>
      <c r="AA790" s="1"/>
      <c r="AB790" s="1"/>
      <c r="AC790" s="1"/>
      <c r="AD790" s="59"/>
      <c r="AE790" s="1"/>
      <c r="AF790" s="1"/>
      <c r="AG790" s="1"/>
    </row>
    <row r="791" spans="25:33" ht="14.4">
      <c r="Y791" s="58"/>
      <c r="Z791" s="58"/>
      <c r="AA791" s="1"/>
      <c r="AB791" s="1"/>
      <c r="AC791" s="1"/>
      <c r="AD791" s="59"/>
      <c r="AE791" s="1"/>
      <c r="AF791" s="1"/>
      <c r="AG791" s="1"/>
    </row>
    <row r="792" spans="25:33" ht="14.4">
      <c r="Y792" s="58"/>
      <c r="Z792" s="58"/>
      <c r="AA792" s="1"/>
      <c r="AB792" s="1"/>
      <c r="AC792" s="1"/>
      <c r="AD792" s="59"/>
      <c r="AE792" s="1"/>
      <c r="AF792" s="1"/>
      <c r="AG792" s="1"/>
    </row>
    <row r="793" spans="25:33" ht="14.4">
      <c r="Y793" s="58"/>
      <c r="Z793" s="58"/>
      <c r="AA793" s="1"/>
      <c r="AB793" s="1"/>
      <c r="AC793" s="1"/>
      <c r="AD793" s="59"/>
      <c r="AE793" s="1"/>
      <c r="AF793" s="1"/>
      <c r="AG793" s="1"/>
    </row>
    <row r="794" spans="25:33" ht="14.4">
      <c r="Y794" s="58"/>
      <c r="Z794" s="58"/>
      <c r="AA794" s="1"/>
      <c r="AB794" s="1"/>
      <c r="AC794" s="1"/>
      <c r="AD794" s="59"/>
      <c r="AE794" s="1"/>
      <c r="AF794" s="1"/>
      <c r="AG794" s="1"/>
    </row>
    <row r="795" spans="25:33" ht="14.4">
      <c r="Y795" s="58"/>
      <c r="Z795" s="58"/>
      <c r="AA795" s="1"/>
      <c r="AB795" s="1"/>
      <c r="AC795" s="1"/>
      <c r="AD795" s="59"/>
      <c r="AE795" s="1"/>
      <c r="AF795" s="1"/>
      <c r="AG795" s="1"/>
    </row>
    <row r="796" spans="25:33" ht="14.4">
      <c r="Y796" s="58"/>
      <c r="Z796" s="58"/>
      <c r="AA796" s="1"/>
      <c r="AB796" s="1"/>
      <c r="AC796" s="1"/>
      <c r="AD796" s="59"/>
      <c r="AE796" s="1"/>
      <c r="AF796" s="1"/>
      <c r="AG796" s="1"/>
    </row>
    <row r="797" spans="25:33" ht="14.4">
      <c r="Y797" s="58"/>
      <c r="Z797" s="58"/>
      <c r="AA797" s="1"/>
      <c r="AB797" s="1"/>
      <c r="AC797" s="1"/>
      <c r="AD797" s="59"/>
      <c r="AE797" s="1"/>
      <c r="AF797" s="1"/>
      <c r="AG797" s="1"/>
    </row>
    <row r="798" spans="25:33" ht="14.4">
      <c r="Y798" s="58"/>
      <c r="Z798" s="58"/>
      <c r="AA798" s="1"/>
      <c r="AB798" s="1"/>
      <c r="AC798" s="1"/>
      <c r="AD798" s="59"/>
      <c r="AE798" s="1"/>
      <c r="AF798" s="1"/>
      <c r="AG798" s="1"/>
    </row>
    <row r="799" spans="25:33" ht="14.4">
      <c r="Y799" s="58"/>
      <c r="Z799" s="58"/>
      <c r="AA799" s="1"/>
      <c r="AB799" s="1"/>
      <c r="AC799" s="1"/>
      <c r="AD799" s="59"/>
      <c r="AE799" s="1"/>
      <c r="AF799" s="1"/>
      <c r="AG799" s="1"/>
    </row>
    <row r="800" spans="25:33" ht="14.4">
      <c r="Y800" s="58"/>
      <c r="Z800" s="58"/>
      <c r="AA800" s="1"/>
      <c r="AB800" s="1"/>
      <c r="AC800" s="1"/>
      <c r="AD800" s="59"/>
      <c r="AE800" s="1"/>
      <c r="AF800" s="1"/>
      <c r="AG800" s="1"/>
    </row>
    <row r="801" spans="25:33" ht="14.4">
      <c r="Y801" s="58"/>
      <c r="Z801" s="58"/>
      <c r="AA801" s="1"/>
      <c r="AB801" s="1"/>
      <c r="AC801" s="1"/>
      <c r="AD801" s="59"/>
      <c r="AE801" s="1"/>
      <c r="AF801" s="1"/>
      <c r="AG801" s="1"/>
    </row>
    <row r="802" spans="25:33" ht="14.4">
      <c r="Y802" s="58"/>
      <c r="Z802" s="58"/>
      <c r="AA802" s="1"/>
      <c r="AB802" s="1"/>
      <c r="AC802" s="1"/>
      <c r="AD802" s="59"/>
      <c r="AE802" s="1"/>
      <c r="AF802" s="1"/>
      <c r="AG802" s="1"/>
    </row>
    <row r="803" spans="25:33" ht="14.4">
      <c r="Y803" s="58"/>
      <c r="Z803" s="58"/>
      <c r="AA803" s="1"/>
      <c r="AB803" s="1"/>
      <c r="AC803" s="1"/>
      <c r="AD803" s="59"/>
      <c r="AE803" s="1"/>
      <c r="AF803" s="1"/>
      <c r="AG803" s="1"/>
    </row>
    <row r="804" spans="25:33" ht="14.4">
      <c r="Y804" s="58"/>
      <c r="Z804" s="58"/>
      <c r="AA804" s="1"/>
      <c r="AB804" s="1"/>
      <c r="AC804" s="1"/>
      <c r="AD804" s="59"/>
      <c r="AE804" s="1"/>
      <c r="AF804" s="1"/>
      <c r="AG804" s="1"/>
    </row>
    <row r="805" spans="25:33" ht="14.4">
      <c r="Y805" s="58"/>
      <c r="Z805" s="58"/>
      <c r="AA805" s="1"/>
      <c r="AB805" s="1"/>
      <c r="AC805" s="1"/>
      <c r="AD805" s="59"/>
      <c r="AE805" s="1"/>
      <c r="AF805" s="1"/>
      <c r="AG805" s="1"/>
    </row>
    <row r="806" spans="25:33" ht="14.4">
      <c r="Y806" s="58"/>
      <c r="Z806" s="58"/>
      <c r="AA806" s="1"/>
      <c r="AB806" s="1"/>
      <c r="AC806" s="1"/>
      <c r="AD806" s="59"/>
      <c r="AE806" s="1"/>
      <c r="AF806" s="1"/>
      <c r="AG806" s="1"/>
    </row>
    <row r="807" spans="25:33" ht="14.4">
      <c r="Y807" s="58"/>
      <c r="Z807" s="58"/>
      <c r="AA807" s="1"/>
      <c r="AB807" s="1"/>
      <c r="AC807" s="1"/>
      <c r="AD807" s="59"/>
      <c r="AE807" s="1"/>
      <c r="AF807" s="1"/>
      <c r="AG807" s="1"/>
    </row>
    <row r="808" spans="25:33" ht="14.4">
      <c r="Y808" s="58"/>
      <c r="Z808" s="58"/>
      <c r="AA808" s="1"/>
      <c r="AB808" s="1"/>
      <c r="AC808" s="1"/>
      <c r="AD808" s="59"/>
      <c r="AE808" s="1"/>
      <c r="AF808" s="1"/>
      <c r="AG808" s="1"/>
    </row>
    <row r="809" spans="25:33" ht="14.4">
      <c r="Y809" s="58"/>
      <c r="Z809" s="58"/>
      <c r="AA809" s="1"/>
      <c r="AB809" s="1"/>
      <c r="AC809" s="1"/>
      <c r="AD809" s="59"/>
      <c r="AE809" s="1"/>
      <c r="AF809" s="1"/>
      <c r="AG809" s="1"/>
    </row>
    <row r="810" spans="25:33" ht="14.4">
      <c r="Y810" s="58"/>
      <c r="Z810" s="58"/>
      <c r="AA810" s="1"/>
      <c r="AB810" s="1"/>
      <c r="AC810" s="1"/>
      <c r="AD810" s="59"/>
      <c r="AE810" s="1"/>
      <c r="AF810" s="1"/>
      <c r="AG810" s="1"/>
    </row>
    <row r="811" spans="25:33" ht="14.4">
      <c r="Y811" s="58"/>
      <c r="Z811" s="58"/>
      <c r="AA811" s="1"/>
      <c r="AB811" s="1"/>
      <c r="AC811" s="1"/>
      <c r="AD811" s="59"/>
      <c r="AE811" s="1"/>
      <c r="AF811" s="1"/>
      <c r="AG811" s="1"/>
    </row>
    <row r="812" spans="25:33" ht="14.4">
      <c r="Y812" s="58"/>
      <c r="Z812" s="58"/>
      <c r="AA812" s="1"/>
      <c r="AB812" s="1"/>
      <c r="AC812" s="1"/>
      <c r="AD812" s="59"/>
      <c r="AE812" s="1"/>
      <c r="AF812" s="1"/>
      <c r="AG812" s="1"/>
    </row>
    <row r="813" spans="25:33" ht="14.4">
      <c r="Y813" s="58"/>
      <c r="Z813" s="58"/>
      <c r="AA813" s="1"/>
      <c r="AB813" s="1"/>
      <c r="AC813" s="1"/>
      <c r="AD813" s="59"/>
      <c r="AE813" s="1"/>
      <c r="AF813" s="1"/>
      <c r="AG813" s="1"/>
    </row>
    <row r="814" spans="25:33" ht="14.4">
      <c r="Y814" s="58"/>
      <c r="Z814" s="58"/>
      <c r="AA814" s="1"/>
      <c r="AB814" s="1"/>
      <c r="AC814" s="1"/>
      <c r="AD814" s="59"/>
      <c r="AE814" s="1"/>
      <c r="AF814" s="1"/>
      <c r="AG814" s="1"/>
    </row>
    <row r="815" spans="25:33" ht="14.4">
      <c r="Y815" s="58"/>
      <c r="Z815" s="58"/>
      <c r="AA815" s="1"/>
      <c r="AB815" s="1"/>
      <c r="AC815" s="1"/>
      <c r="AD815" s="59"/>
      <c r="AE815" s="1"/>
      <c r="AF815" s="1"/>
      <c r="AG815" s="1"/>
    </row>
    <row r="816" spans="25:33" ht="14.4">
      <c r="Y816" s="58"/>
      <c r="Z816" s="58"/>
      <c r="AA816" s="1"/>
      <c r="AB816" s="1"/>
      <c r="AC816" s="1"/>
      <c r="AD816" s="59"/>
      <c r="AE816" s="1"/>
      <c r="AF816" s="1"/>
      <c r="AG816" s="1"/>
    </row>
    <row r="817" spans="25:33" ht="14.4">
      <c r="Y817" s="58"/>
      <c r="Z817" s="58"/>
      <c r="AA817" s="1"/>
      <c r="AB817" s="1"/>
      <c r="AC817" s="1"/>
      <c r="AD817" s="59"/>
      <c r="AE817" s="1"/>
      <c r="AF817" s="1"/>
      <c r="AG817" s="1"/>
    </row>
    <row r="818" spans="25:33" ht="14.4">
      <c r="Y818" s="58"/>
      <c r="Z818" s="58"/>
      <c r="AA818" s="1"/>
      <c r="AB818" s="1"/>
      <c r="AC818" s="1"/>
      <c r="AD818" s="59"/>
      <c r="AE818" s="1"/>
      <c r="AF818" s="1"/>
      <c r="AG818" s="1"/>
    </row>
    <row r="819" spans="25:33" ht="14.4">
      <c r="Y819" s="58"/>
      <c r="Z819" s="58"/>
      <c r="AA819" s="1"/>
      <c r="AB819" s="1"/>
      <c r="AC819" s="1"/>
      <c r="AD819" s="59"/>
      <c r="AE819" s="1"/>
      <c r="AF819" s="1"/>
      <c r="AG819" s="1"/>
    </row>
    <row r="820" spans="25:33" ht="14.4">
      <c r="Y820" s="58"/>
      <c r="Z820" s="58"/>
      <c r="AA820" s="1"/>
      <c r="AB820" s="1"/>
      <c r="AC820" s="1"/>
      <c r="AD820" s="59"/>
      <c r="AE820" s="1"/>
      <c r="AF820" s="1"/>
      <c r="AG820" s="1"/>
    </row>
    <row r="821" spans="25:33" ht="14.4">
      <c r="Y821" s="58"/>
      <c r="Z821" s="58"/>
      <c r="AA821" s="1"/>
      <c r="AB821" s="1"/>
      <c r="AC821" s="1"/>
      <c r="AD821" s="59"/>
      <c r="AE821" s="1"/>
      <c r="AF821" s="1"/>
      <c r="AG821" s="1"/>
    </row>
    <row r="822" spans="25:33" ht="14.4">
      <c r="Y822" s="58"/>
      <c r="Z822" s="58"/>
      <c r="AA822" s="1"/>
      <c r="AB822" s="1"/>
      <c r="AC822" s="1"/>
      <c r="AD822" s="59"/>
      <c r="AE822" s="1"/>
      <c r="AF822" s="1"/>
      <c r="AG822" s="1"/>
    </row>
    <row r="823" spans="25:33" ht="14.4">
      <c r="Y823" s="58"/>
      <c r="Z823" s="58"/>
      <c r="AA823" s="1"/>
      <c r="AB823" s="1"/>
      <c r="AC823" s="1"/>
      <c r="AD823" s="59"/>
      <c r="AE823" s="1"/>
      <c r="AF823" s="1"/>
      <c r="AG823" s="1"/>
    </row>
    <row r="824" spans="25:33" ht="14.4">
      <c r="Y824" s="58"/>
      <c r="Z824" s="58"/>
      <c r="AA824" s="1"/>
      <c r="AB824" s="1"/>
      <c r="AC824" s="1"/>
      <c r="AD824" s="59"/>
      <c r="AE824" s="1"/>
      <c r="AF824" s="1"/>
      <c r="AG824" s="1"/>
    </row>
    <row r="825" spans="25:33" ht="14.4">
      <c r="Y825" s="58"/>
      <c r="Z825" s="58"/>
      <c r="AA825" s="1"/>
      <c r="AB825" s="1"/>
      <c r="AC825" s="1"/>
      <c r="AD825" s="59"/>
      <c r="AE825" s="1"/>
      <c r="AF825" s="1"/>
      <c r="AG825" s="1"/>
    </row>
    <row r="826" spans="25:33" ht="14.4">
      <c r="Y826" s="58"/>
      <c r="Z826" s="58"/>
      <c r="AA826" s="1"/>
      <c r="AB826" s="1"/>
      <c r="AC826" s="1"/>
      <c r="AD826" s="59"/>
      <c r="AE826" s="1"/>
      <c r="AF826" s="1"/>
      <c r="AG826" s="1"/>
    </row>
    <row r="827" spans="25:33" ht="14.4">
      <c r="Y827" s="58"/>
      <c r="Z827" s="58"/>
      <c r="AA827" s="1"/>
      <c r="AB827" s="1"/>
      <c r="AC827" s="1"/>
      <c r="AD827" s="59"/>
      <c r="AE827" s="1"/>
      <c r="AF827" s="1"/>
      <c r="AG827" s="1"/>
    </row>
    <row r="828" spans="25:33" ht="14.4">
      <c r="Y828" s="58"/>
      <c r="Z828" s="58"/>
      <c r="AA828" s="1"/>
      <c r="AB828" s="1"/>
      <c r="AC828" s="1"/>
      <c r="AD828" s="59"/>
      <c r="AE828" s="1"/>
      <c r="AF828" s="1"/>
      <c r="AG828" s="1"/>
    </row>
    <row r="829" spans="25:33" ht="14.4">
      <c r="Y829" s="58"/>
      <c r="Z829" s="58"/>
      <c r="AA829" s="1"/>
      <c r="AB829" s="1"/>
      <c r="AC829" s="1"/>
      <c r="AD829" s="59"/>
      <c r="AE829" s="1"/>
      <c r="AF829" s="1"/>
      <c r="AG829" s="1"/>
    </row>
    <row r="830" spans="25:33" ht="14.4">
      <c r="Y830" s="58"/>
      <c r="Z830" s="58"/>
      <c r="AA830" s="1"/>
      <c r="AB830" s="1"/>
      <c r="AC830" s="1"/>
      <c r="AD830" s="59"/>
      <c r="AE830" s="1"/>
      <c r="AF830" s="1"/>
      <c r="AG830" s="1"/>
    </row>
    <row r="831" spans="25:33" ht="14.4">
      <c r="Y831" s="58"/>
      <c r="Z831" s="58"/>
      <c r="AA831" s="1"/>
      <c r="AB831" s="1"/>
      <c r="AC831" s="1"/>
      <c r="AD831" s="59"/>
      <c r="AE831" s="1"/>
      <c r="AF831" s="1"/>
      <c r="AG831" s="1"/>
    </row>
    <row r="832" spans="25:33" ht="14.4">
      <c r="Y832" s="58"/>
      <c r="Z832" s="58"/>
      <c r="AA832" s="1"/>
      <c r="AB832" s="1"/>
      <c r="AC832" s="1"/>
      <c r="AD832" s="59"/>
      <c r="AE832" s="1"/>
      <c r="AF832" s="1"/>
      <c r="AG832" s="1"/>
    </row>
    <row r="833" spans="25:33" ht="14.4">
      <c r="Y833" s="58"/>
      <c r="Z833" s="58"/>
      <c r="AA833" s="1"/>
      <c r="AB833" s="1"/>
      <c r="AC833" s="1"/>
      <c r="AD833" s="59"/>
      <c r="AE833" s="1"/>
      <c r="AF833" s="1"/>
      <c r="AG833" s="1"/>
    </row>
    <row r="834" spans="25:33" ht="14.4">
      <c r="Y834" s="58"/>
      <c r="Z834" s="58"/>
      <c r="AA834" s="1"/>
      <c r="AB834" s="1"/>
      <c r="AC834" s="1"/>
      <c r="AD834" s="59"/>
      <c r="AE834" s="1"/>
      <c r="AF834" s="1"/>
      <c r="AG834" s="1"/>
    </row>
    <row r="835" spans="25:33" ht="14.4">
      <c r="Y835" s="58"/>
      <c r="Z835" s="58"/>
      <c r="AA835" s="1"/>
      <c r="AB835" s="1"/>
      <c r="AC835" s="1"/>
      <c r="AD835" s="59"/>
      <c r="AE835" s="1"/>
      <c r="AF835" s="1"/>
      <c r="AG835" s="1"/>
    </row>
    <row r="836" spans="25:33" ht="14.4">
      <c r="Y836" s="58"/>
      <c r="Z836" s="58"/>
      <c r="AA836" s="1"/>
      <c r="AB836" s="1"/>
      <c r="AC836" s="1"/>
      <c r="AD836" s="59"/>
      <c r="AE836" s="1"/>
      <c r="AF836" s="1"/>
      <c r="AG836" s="1"/>
    </row>
    <row r="837" spans="25:33" ht="14.4">
      <c r="Y837" s="58"/>
      <c r="Z837" s="58"/>
      <c r="AA837" s="1"/>
      <c r="AB837" s="1"/>
      <c r="AC837" s="1"/>
      <c r="AD837" s="59"/>
      <c r="AE837" s="1"/>
      <c r="AF837" s="1"/>
      <c r="AG837" s="1"/>
    </row>
    <row r="838" spans="25:33" ht="14.4">
      <c r="Y838" s="58"/>
      <c r="Z838" s="58"/>
      <c r="AA838" s="1"/>
      <c r="AB838" s="1"/>
      <c r="AC838" s="1"/>
      <c r="AD838" s="59"/>
      <c r="AE838" s="1"/>
      <c r="AF838" s="1"/>
      <c r="AG838" s="1"/>
    </row>
    <row r="839" spans="25:33" ht="14.4">
      <c r="Y839" s="58"/>
      <c r="Z839" s="58"/>
      <c r="AA839" s="1"/>
      <c r="AB839" s="1"/>
      <c r="AC839" s="1"/>
      <c r="AD839" s="59"/>
      <c r="AE839" s="1"/>
      <c r="AF839" s="1"/>
      <c r="AG839" s="1"/>
    </row>
    <row r="840" spans="25:33" ht="14.4">
      <c r="Y840" s="58"/>
      <c r="Z840" s="58"/>
      <c r="AA840" s="1"/>
      <c r="AB840" s="1"/>
      <c r="AC840" s="1"/>
      <c r="AD840" s="59"/>
      <c r="AE840" s="1"/>
      <c r="AF840" s="1"/>
      <c r="AG840" s="1"/>
    </row>
    <row r="841" spans="25:33" ht="14.4">
      <c r="Y841" s="58"/>
      <c r="Z841" s="58"/>
      <c r="AA841" s="1"/>
      <c r="AB841" s="1"/>
      <c r="AC841" s="1"/>
      <c r="AD841" s="59"/>
      <c r="AE841" s="1"/>
      <c r="AF841" s="1"/>
      <c r="AG841" s="1"/>
    </row>
    <row r="842" spans="25:33" ht="14.4">
      <c r="Y842" s="58"/>
      <c r="Z842" s="58"/>
      <c r="AA842" s="1"/>
      <c r="AB842" s="1"/>
      <c r="AC842" s="1"/>
      <c r="AD842" s="59"/>
      <c r="AE842" s="1"/>
      <c r="AF842" s="1"/>
      <c r="AG842" s="1"/>
    </row>
    <row r="843" spans="25:33" ht="14.4">
      <c r="Y843" s="58"/>
      <c r="Z843" s="58"/>
      <c r="AA843" s="1"/>
      <c r="AB843" s="1"/>
      <c r="AC843" s="1"/>
      <c r="AD843" s="59"/>
      <c r="AE843" s="1"/>
      <c r="AF843" s="1"/>
      <c r="AG843" s="1"/>
    </row>
    <row r="844" spans="25:33" ht="14.4">
      <c r="Y844" s="58"/>
      <c r="Z844" s="58"/>
      <c r="AA844" s="1"/>
      <c r="AB844" s="1"/>
      <c r="AC844" s="1"/>
      <c r="AD844" s="59"/>
      <c r="AE844" s="1"/>
      <c r="AF844" s="1"/>
      <c r="AG844" s="1"/>
    </row>
    <row r="845" spans="25:33" ht="14.4">
      <c r="Y845" s="58"/>
      <c r="Z845" s="58"/>
      <c r="AA845" s="1"/>
      <c r="AB845" s="1"/>
      <c r="AC845" s="1"/>
      <c r="AD845" s="59"/>
      <c r="AE845" s="1"/>
      <c r="AF845" s="1"/>
      <c r="AG845" s="1"/>
    </row>
    <row r="846" spans="25:33" ht="14.4">
      <c r="Y846" s="58"/>
      <c r="Z846" s="58"/>
      <c r="AA846" s="1"/>
      <c r="AB846" s="1"/>
      <c r="AC846" s="1"/>
      <c r="AD846" s="59"/>
      <c r="AE846" s="1"/>
      <c r="AF846" s="1"/>
      <c r="AG846" s="1"/>
    </row>
    <row r="847" spans="25:33" ht="14.4">
      <c r="Y847" s="58"/>
      <c r="Z847" s="58"/>
      <c r="AA847" s="1"/>
      <c r="AB847" s="1"/>
      <c r="AC847" s="1"/>
      <c r="AD847" s="59"/>
      <c r="AE847" s="1"/>
      <c r="AF847" s="1"/>
      <c r="AG847" s="1"/>
    </row>
    <row r="848" spans="25:33" ht="14.4">
      <c r="Y848" s="58"/>
      <c r="Z848" s="58"/>
      <c r="AA848" s="1"/>
      <c r="AB848" s="1"/>
      <c r="AC848" s="1"/>
      <c r="AD848" s="59"/>
      <c r="AE848" s="1"/>
      <c r="AF848" s="1"/>
      <c r="AG848" s="1"/>
    </row>
    <row r="849" spans="25:33" ht="14.4">
      <c r="Y849" s="58"/>
      <c r="Z849" s="58"/>
      <c r="AA849" s="1"/>
      <c r="AB849" s="1"/>
      <c r="AC849" s="1"/>
      <c r="AD849" s="59"/>
      <c r="AE849" s="1"/>
      <c r="AF849" s="1"/>
      <c r="AG849" s="1"/>
    </row>
    <row r="850" spans="25:33" ht="14.4">
      <c r="Y850" s="58"/>
      <c r="Z850" s="58"/>
      <c r="AA850" s="1"/>
      <c r="AB850" s="1"/>
      <c r="AC850" s="1"/>
      <c r="AD850" s="59"/>
      <c r="AE850" s="1"/>
      <c r="AF850" s="1"/>
      <c r="AG850" s="1"/>
    </row>
    <row r="851" spans="25:33" ht="14.4">
      <c r="Y851" s="58"/>
      <c r="Z851" s="58"/>
      <c r="AA851" s="1"/>
      <c r="AB851" s="1"/>
      <c r="AC851" s="1"/>
      <c r="AD851" s="59"/>
      <c r="AE851" s="1"/>
      <c r="AF851" s="1"/>
      <c r="AG851" s="1"/>
    </row>
    <row r="852" spans="25:33" ht="14.4">
      <c r="Y852" s="58"/>
      <c r="Z852" s="58"/>
      <c r="AA852" s="1"/>
      <c r="AB852" s="1"/>
      <c r="AC852" s="1"/>
      <c r="AD852" s="59"/>
      <c r="AE852" s="1"/>
      <c r="AF852" s="1"/>
      <c r="AG852" s="1"/>
    </row>
    <row r="853" spans="25:33" ht="14.4">
      <c r="Y853" s="58"/>
      <c r="Z853" s="58"/>
      <c r="AA853" s="1"/>
      <c r="AB853" s="1"/>
      <c r="AC853" s="1"/>
      <c r="AD853" s="59"/>
      <c r="AE853" s="1"/>
      <c r="AF853" s="1"/>
      <c r="AG853" s="1"/>
    </row>
    <row r="854" spans="25:33" ht="14.4">
      <c r="Y854" s="58"/>
      <c r="Z854" s="58"/>
      <c r="AA854" s="1"/>
      <c r="AB854" s="1"/>
      <c r="AC854" s="1"/>
      <c r="AD854" s="59"/>
      <c r="AE854" s="1"/>
      <c r="AF854" s="1"/>
      <c r="AG854" s="1"/>
    </row>
    <row r="855" spans="25:33" ht="14.4">
      <c r="Y855" s="58"/>
      <c r="Z855" s="58"/>
      <c r="AA855" s="1"/>
      <c r="AB855" s="1"/>
      <c r="AC855" s="1"/>
      <c r="AD855" s="59"/>
      <c r="AE855" s="1"/>
      <c r="AF855" s="1"/>
      <c r="AG855" s="1"/>
    </row>
    <row r="856" spans="25:33" ht="14.4">
      <c r="Y856" s="58"/>
      <c r="Z856" s="58"/>
      <c r="AA856" s="1"/>
      <c r="AB856" s="1"/>
      <c r="AC856" s="1"/>
      <c r="AD856" s="59"/>
      <c r="AE856" s="1"/>
      <c r="AF856" s="1"/>
      <c r="AG856" s="1"/>
    </row>
    <row r="857" spans="25:33" ht="14.4">
      <c r="Y857" s="58"/>
      <c r="Z857" s="58"/>
      <c r="AA857" s="1"/>
      <c r="AB857" s="1"/>
      <c r="AC857" s="1"/>
      <c r="AD857" s="59"/>
      <c r="AE857" s="1"/>
      <c r="AF857" s="1"/>
      <c r="AG857" s="1"/>
    </row>
    <row r="858" spans="25:33" ht="14.4">
      <c r="Y858" s="58"/>
      <c r="Z858" s="58"/>
      <c r="AA858" s="1"/>
      <c r="AB858" s="1"/>
      <c r="AC858" s="1"/>
      <c r="AD858" s="59"/>
      <c r="AE858" s="1"/>
      <c r="AF858" s="1"/>
      <c r="AG858" s="1"/>
    </row>
    <row r="859" spans="25:33" ht="14.4">
      <c r="Y859" s="58"/>
      <c r="Z859" s="58"/>
      <c r="AA859" s="1"/>
      <c r="AB859" s="1"/>
      <c r="AC859" s="1"/>
      <c r="AD859" s="59"/>
      <c r="AE859" s="1"/>
      <c r="AF859" s="1"/>
      <c r="AG859" s="1"/>
    </row>
    <row r="860" spans="25:33" ht="14.4">
      <c r="Y860" s="58"/>
      <c r="Z860" s="58"/>
      <c r="AA860" s="1"/>
      <c r="AB860" s="1"/>
      <c r="AC860" s="1"/>
      <c r="AD860" s="59"/>
      <c r="AE860" s="1"/>
      <c r="AF860" s="1"/>
      <c r="AG860" s="1"/>
    </row>
    <row r="861" spans="25:33" ht="14.4">
      <c r="Y861" s="58"/>
      <c r="Z861" s="58"/>
      <c r="AA861" s="1"/>
      <c r="AB861" s="1"/>
      <c r="AC861" s="1"/>
      <c r="AD861" s="59"/>
      <c r="AE861" s="1"/>
      <c r="AF861" s="1"/>
      <c r="AG861" s="1"/>
    </row>
    <row r="862" spans="25:33" ht="14.4">
      <c r="Y862" s="58"/>
      <c r="Z862" s="58"/>
      <c r="AA862" s="1"/>
      <c r="AB862" s="1"/>
      <c r="AC862" s="1"/>
      <c r="AD862" s="59"/>
      <c r="AE862" s="1"/>
      <c r="AF862" s="1"/>
      <c r="AG862" s="1"/>
    </row>
    <row r="863" spans="25:33" ht="14.4">
      <c r="Y863" s="58"/>
      <c r="Z863" s="58"/>
      <c r="AA863" s="1"/>
      <c r="AB863" s="1"/>
      <c r="AC863" s="1"/>
      <c r="AD863" s="59"/>
      <c r="AE863" s="1"/>
      <c r="AF863" s="1"/>
      <c r="AG863" s="1"/>
    </row>
    <row r="864" spans="25:33" ht="14.4">
      <c r="Y864" s="58"/>
      <c r="Z864" s="58"/>
      <c r="AA864" s="1"/>
      <c r="AB864" s="1"/>
      <c r="AC864" s="1"/>
      <c r="AD864" s="59"/>
      <c r="AE864" s="1"/>
      <c r="AF864" s="1"/>
      <c r="AG864" s="1"/>
    </row>
    <row r="865" spans="25:33" ht="14.4">
      <c r="Y865" s="58"/>
      <c r="Z865" s="58"/>
      <c r="AA865" s="1"/>
      <c r="AB865" s="1"/>
      <c r="AC865" s="1"/>
      <c r="AD865" s="59"/>
      <c r="AE865" s="1"/>
      <c r="AF865" s="1"/>
      <c r="AG865" s="1"/>
    </row>
    <row r="866" spans="25:33" ht="14.4">
      <c r="Y866" s="58"/>
      <c r="Z866" s="58"/>
      <c r="AA866" s="1"/>
      <c r="AB866" s="1"/>
      <c r="AC866" s="1"/>
      <c r="AD866" s="59"/>
      <c r="AE866" s="1"/>
      <c r="AF866" s="1"/>
      <c r="AG866" s="1"/>
    </row>
    <row r="867" spans="25:33" ht="14.4">
      <c r="Y867" s="58"/>
      <c r="Z867" s="58"/>
      <c r="AA867" s="1"/>
      <c r="AB867" s="1"/>
      <c r="AC867" s="1"/>
      <c r="AD867" s="59"/>
      <c r="AE867" s="1"/>
      <c r="AF867" s="1"/>
      <c r="AG867" s="1"/>
    </row>
    <row r="868" spans="25:33" ht="14.4">
      <c r="Y868" s="58"/>
      <c r="Z868" s="58"/>
      <c r="AA868" s="1"/>
      <c r="AB868" s="1"/>
      <c r="AC868" s="1"/>
      <c r="AD868" s="59"/>
      <c r="AE868" s="1"/>
      <c r="AF868" s="1"/>
      <c r="AG868" s="1"/>
    </row>
    <row r="869" spans="25:33" ht="14.4">
      <c r="Y869" s="58"/>
      <c r="Z869" s="58"/>
      <c r="AA869" s="1"/>
      <c r="AB869" s="1"/>
      <c r="AC869" s="1"/>
      <c r="AD869" s="59"/>
      <c r="AE869" s="1"/>
      <c r="AF869" s="1"/>
      <c r="AG869" s="1"/>
    </row>
    <row r="870" spans="25:33" ht="14.4">
      <c r="Y870" s="58"/>
      <c r="Z870" s="58"/>
      <c r="AA870" s="1"/>
      <c r="AB870" s="1"/>
      <c r="AC870" s="1"/>
      <c r="AD870" s="59"/>
      <c r="AE870" s="1"/>
      <c r="AF870" s="1"/>
      <c r="AG870" s="1"/>
    </row>
    <row r="871" spans="25:33" ht="14.4">
      <c r="Y871" s="58"/>
      <c r="Z871" s="58"/>
      <c r="AA871" s="1"/>
      <c r="AB871" s="1"/>
      <c r="AC871" s="1"/>
      <c r="AD871" s="59"/>
      <c r="AE871" s="1"/>
      <c r="AF871" s="1"/>
      <c r="AG871" s="1"/>
    </row>
    <row r="872" spans="25:33" ht="14.4">
      <c r="Y872" s="58"/>
      <c r="Z872" s="58"/>
      <c r="AA872" s="1"/>
      <c r="AB872" s="1"/>
      <c r="AC872" s="1"/>
      <c r="AD872" s="59"/>
      <c r="AE872" s="1"/>
      <c r="AF872" s="1"/>
      <c r="AG872" s="1"/>
    </row>
    <row r="873" spans="25:33" ht="14.4">
      <c r="Y873" s="58"/>
      <c r="Z873" s="58"/>
      <c r="AA873" s="1"/>
      <c r="AB873" s="1"/>
      <c r="AC873" s="1"/>
      <c r="AD873" s="59"/>
      <c r="AE873" s="1"/>
      <c r="AF873" s="1"/>
      <c r="AG873" s="1"/>
    </row>
    <row r="874" spans="25:33" ht="14.4">
      <c r="Y874" s="58"/>
      <c r="Z874" s="58"/>
      <c r="AA874" s="1"/>
      <c r="AB874" s="1"/>
      <c r="AC874" s="1"/>
      <c r="AD874" s="59"/>
      <c r="AE874" s="1"/>
      <c r="AF874" s="1"/>
      <c r="AG874" s="1"/>
    </row>
    <row r="875" spans="25:33" ht="14.4">
      <c r="Y875" s="58"/>
      <c r="Z875" s="58"/>
      <c r="AA875" s="1"/>
      <c r="AB875" s="1"/>
      <c r="AC875" s="1"/>
      <c r="AD875" s="59"/>
      <c r="AE875" s="1"/>
      <c r="AF875" s="1"/>
      <c r="AG875" s="1"/>
    </row>
    <row r="876" spans="25:33" ht="14.4">
      <c r="Y876" s="58"/>
      <c r="Z876" s="58"/>
      <c r="AA876" s="1"/>
      <c r="AB876" s="1"/>
      <c r="AC876" s="1"/>
      <c r="AD876" s="59"/>
      <c r="AE876" s="1"/>
      <c r="AF876" s="1"/>
      <c r="AG876" s="1"/>
    </row>
    <row r="877" spans="25:33" ht="14.4">
      <c r="Y877" s="58"/>
      <c r="Z877" s="58"/>
      <c r="AA877" s="1"/>
      <c r="AB877" s="1"/>
      <c r="AC877" s="1"/>
      <c r="AD877" s="59"/>
      <c r="AE877" s="1"/>
      <c r="AF877" s="1"/>
      <c r="AG877" s="1"/>
    </row>
    <row r="878" spans="25:33" ht="14.4">
      <c r="Y878" s="58"/>
      <c r="Z878" s="58"/>
      <c r="AA878" s="1"/>
      <c r="AB878" s="1"/>
      <c r="AC878" s="1"/>
      <c r="AD878" s="59"/>
      <c r="AE878" s="1"/>
      <c r="AF878" s="1"/>
      <c r="AG878" s="1"/>
    </row>
    <row r="879" spans="25:33" ht="14.4">
      <c r="Y879" s="58"/>
      <c r="Z879" s="58"/>
      <c r="AA879" s="1"/>
      <c r="AB879" s="1"/>
      <c r="AC879" s="1"/>
      <c r="AD879" s="59"/>
      <c r="AE879" s="1"/>
      <c r="AF879" s="1"/>
      <c r="AG879" s="1"/>
    </row>
    <row r="880" spans="25:33" ht="14.4">
      <c r="Y880" s="58"/>
      <c r="Z880" s="58"/>
      <c r="AA880" s="1"/>
      <c r="AB880" s="1"/>
      <c r="AC880" s="1"/>
      <c r="AD880" s="59"/>
      <c r="AE880" s="1"/>
      <c r="AF880" s="1"/>
      <c r="AG880" s="1"/>
    </row>
    <row r="881" spans="25:33" ht="14.4">
      <c r="Y881" s="58"/>
      <c r="Z881" s="58"/>
      <c r="AA881" s="1"/>
      <c r="AB881" s="1"/>
      <c r="AC881" s="1"/>
      <c r="AD881" s="59"/>
      <c r="AE881" s="1"/>
      <c r="AF881" s="1"/>
      <c r="AG881" s="1"/>
    </row>
    <row r="882" spans="25:33" ht="14.4">
      <c r="Y882" s="58"/>
      <c r="Z882" s="58"/>
      <c r="AA882" s="1"/>
      <c r="AB882" s="1"/>
      <c r="AC882" s="1"/>
      <c r="AD882" s="59"/>
      <c r="AE882" s="1"/>
      <c r="AF882" s="1"/>
      <c r="AG882" s="1"/>
    </row>
    <row r="883" spans="25:33" ht="14.4">
      <c r="Y883" s="58"/>
      <c r="Z883" s="58"/>
      <c r="AA883" s="1"/>
      <c r="AB883" s="1"/>
      <c r="AC883" s="1"/>
      <c r="AD883" s="59"/>
      <c r="AE883" s="1"/>
      <c r="AF883" s="1"/>
      <c r="AG883" s="1"/>
    </row>
    <row r="884" spans="25:33" ht="14.4">
      <c r="Y884" s="58"/>
      <c r="Z884" s="58"/>
      <c r="AA884" s="1"/>
      <c r="AB884" s="1"/>
      <c r="AC884" s="1"/>
      <c r="AD884" s="59"/>
      <c r="AE884" s="1"/>
      <c r="AF884" s="1"/>
      <c r="AG884" s="1"/>
    </row>
    <row r="885" spans="25:33" ht="14.4">
      <c r="Y885" s="58"/>
      <c r="Z885" s="58"/>
      <c r="AA885" s="1"/>
      <c r="AB885" s="1"/>
      <c r="AC885" s="1"/>
      <c r="AD885" s="59"/>
      <c r="AE885" s="1"/>
      <c r="AF885" s="1"/>
      <c r="AG885" s="1"/>
    </row>
    <row r="886" spans="25:33" ht="14.4">
      <c r="Y886" s="58"/>
      <c r="Z886" s="58"/>
      <c r="AA886" s="1"/>
      <c r="AB886" s="1"/>
      <c r="AC886" s="1"/>
      <c r="AD886" s="59"/>
      <c r="AE886" s="1"/>
      <c r="AF886" s="1"/>
      <c r="AG886" s="1"/>
    </row>
    <row r="887" spans="25:33" ht="14.4">
      <c r="Y887" s="58"/>
      <c r="Z887" s="58"/>
      <c r="AA887" s="1"/>
      <c r="AB887" s="1"/>
      <c r="AC887" s="1"/>
      <c r="AD887" s="59"/>
      <c r="AE887" s="1"/>
      <c r="AF887" s="1"/>
      <c r="AG887" s="1"/>
    </row>
    <row r="888" spans="25:33" ht="14.4">
      <c r="Y888" s="58"/>
      <c r="Z888" s="58"/>
      <c r="AA888" s="1"/>
      <c r="AB888" s="1"/>
      <c r="AC888" s="1"/>
      <c r="AD888" s="59"/>
      <c r="AE888" s="1"/>
      <c r="AF888" s="1"/>
      <c r="AG888" s="1"/>
    </row>
    <row r="889" spans="25:33" ht="14.4">
      <c r="Y889" s="58"/>
      <c r="Z889" s="58"/>
      <c r="AA889" s="1"/>
      <c r="AB889" s="1"/>
      <c r="AC889" s="1"/>
      <c r="AD889" s="59"/>
      <c r="AE889" s="1"/>
      <c r="AF889" s="1"/>
      <c r="AG889" s="1"/>
    </row>
    <row r="890" spans="25:33" ht="14.4">
      <c r="Y890" s="58"/>
      <c r="Z890" s="58"/>
      <c r="AA890" s="1"/>
      <c r="AB890" s="1"/>
      <c r="AC890" s="1"/>
      <c r="AD890" s="59"/>
      <c r="AE890" s="1"/>
      <c r="AF890" s="1"/>
      <c r="AG890" s="1"/>
    </row>
    <row r="891" spans="25:33" ht="14.4">
      <c r="Y891" s="58"/>
      <c r="Z891" s="58"/>
      <c r="AA891" s="1"/>
      <c r="AB891" s="1"/>
      <c r="AC891" s="1"/>
      <c r="AD891" s="59"/>
      <c r="AE891" s="1"/>
      <c r="AF891" s="1"/>
      <c r="AG891" s="1"/>
    </row>
    <row r="892" spans="25:33" ht="14.4">
      <c r="Y892" s="58"/>
      <c r="Z892" s="58"/>
      <c r="AA892" s="1"/>
      <c r="AB892" s="1"/>
      <c r="AC892" s="1"/>
      <c r="AD892" s="59"/>
      <c r="AE892" s="1"/>
      <c r="AF892" s="1"/>
      <c r="AG892" s="1"/>
    </row>
    <row r="893" spans="25:33" ht="14.4">
      <c r="Y893" s="58"/>
      <c r="Z893" s="58"/>
      <c r="AA893" s="1"/>
      <c r="AB893" s="1"/>
      <c r="AC893" s="1"/>
      <c r="AD893" s="59"/>
      <c r="AE893" s="1"/>
      <c r="AF893" s="1"/>
      <c r="AG893" s="1"/>
    </row>
    <row r="894" spans="25:33" ht="14.4">
      <c r="Y894" s="58"/>
      <c r="Z894" s="58"/>
      <c r="AA894" s="1"/>
      <c r="AB894" s="1"/>
      <c r="AC894" s="1"/>
      <c r="AD894" s="59"/>
      <c r="AE894" s="1"/>
      <c r="AF894" s="1"/>
      <c r="AG894" s="1"/>
    </row>
    <row r="895" spans="25:33" ht="14.4">
      <c r="Y895" s="58"/>
      <c r="Z895" s="58"/>
      <c r="AA895" s="1"/>
      <c r="AB895" s="1"/>
      <c r="AC895" s="1"/>
      <c r="AD895" s="59"/>
      <c r="AE895" s="1"/>
      <c r="AF895" s="1"/>
      <c r="AG895" s="1"/>
    </row>
    <row r="896" spans="25:33" ht="14.4">
      <c r="Y896" s="58"/>
      <c r="Z896" s="58"/>
      <c r="AA896" s="1"/>
      <c r="AB896" s="1"/>
      <c r="AC896" s="1"/>
      <c r="AD896" s="59"/>
      <c r="AE896" s="1"/>
      <c r="AF896" s="1"/>
      <c r="AG896" s="1"/>
    </row>
    <row r="897" spans="25:33" ht="14.4">
      <c r="Y897" s="58"/>
      <c r="Z897" s="58"/>
      <c r="AA897" s="1"/>
      <c r="AB897" s="1"/>
      <c r="AC897" s="1"/>
      <c r="AD897" s="59"/>
      <c r="AE897" s="1"/>
      <c r="AF897" s="1"/>
      <c r="AG897" s="1"/>
    </row>
    <row r="898" spans="25:33" ht="14.4">
      <c r="Y898" s="58"/>
      <c r="Z898" s="58"/>
      <c r="AA898" s="1"/>
      <c r="AB898" s="1"/>
      <c r="AC898" s="1"/>
      <c r="AD898" s="59"/>
      <c r="AE898" s="1"/>
      <c r="AF898" s="1"/>
      <c r="AG898" s="1"/>
    </row>
    <row r="899" spans="25:33" ht="14.4">
      <c r="Y899" s="58"/>
      <c r="Z899" s="58"/>
      <c r="AA899" s="1"/>
      <c r="AB899" s="1"/>
      <c r="AC899" s="1"/>
      <c r="AD899" s="59"/>
      <c r="AE899" s="1"/>
      <c r="AF899" s="1"/>
      <c r="AG899" s="1"/>
    </row>
    <row r="900" spans="25:33" ht="14.4">
      <c r="Y900" s="58"/>
      <c r="Z900" s="58"/>
      <c r="AA900" s="1"/>
      <c r="AB900" s="1"/>
      <c r="AC900" s="1"/>
      <c r="AD900" s="59"/>
      <c r="AE900" s="1"/>
      <c r="AF900" s="1"/>
      <c r="AG900" s="1"/>
    </row>
    <row r="901" spans="25:33" ht="14.4">
      <c r="Y901" s="58"/>
      <c r="Z901" s="58"/>
      <c r="AA901" s="1"/>
      <c r="AB901" s="1"/>
      <c r="AC901" s="1"/>
      <c r="AD901" s="59"/>
      <c r="AE901" s="1"/>
      <c r="AF901" s="1"/>
      <c r="AG901" s="1"/>
    </row>
    <row r="902" spans="25:33" ht="14.4">
      <c r="Y902" s="58"/>
      <c r="Z902" s="58"/>
      <c r="AA902" s="1"/>
      <c r="AB902" s="1"/>
      <c r="AC902" s="1"/>
      <c r="AD902" s="59"/>
      <c r="AE902" s="1"/>
      <c r="AF902" s="1"/>
      <c r="AG902" s="1"/>
    </row>
    <row r="903" spans="25:33" ht="14.4">
      <c r="Y903" s="58"/>
      <c r="Z903" s="58"/>
      <c r="AA903" s="1"/>
      <c r="AB903" s="1"/>
      <c r="AC903" s="1"/>
      <c r="AD903" s="59"/>
      <c r="AE903" s="1"/>
      <c r="AF903" s="1"/>
      <c r="AG903" s="1"/>
    </row>
    <row r="904" spans="25:33" ht="14.4">
      <c r="Y904" s="58"/>
      <c r="Z904" s="58"/>
      <c r="AA904" s="1"/>
      <c r="AB904" s="1"/>
      <c r="AC904" s="1"/>
      <c r="AD904" s="59"/>
      <c r="AE904" s="1"/>
      <c r="AF904" s="1"/>
      <c r="AG904" s="1"/>
    </row>
    <row r="905" spans="25:33" ht="14.4">
      <c r="Y905" s="58"/>
      <c r="Z905" s="58"/>
      <c r="AA905" s="1"/>
      <c r="AB905" s="1"/>
      <c r="AC905" s="1"/>
      <c r="AD905" s="59"/>
      <c r="AE905" s="1"/>
      <c r="AF905" s="1"/>
      <c r="AG905" s="1"/>
    </row>
    <row r="906" spans="25:33" ht="14.4">
      <c r="Y906" s="58"/>
      <c r="Z906" s="58"/>
      <c r="AA906" s="1"/>
      <c r="AB906" s="1"/>
      <c r="AC906" s="1"/>
      <c r="AD906" s="59"/>
      <c r="AE906" s="1"/>
      <c r="AF906" s="1"/>
      <c r="AG906" s="1"/>
    </row>
    <row r="907" spans="25:33" ht="14.4">
      <c r="Y907" s="58"/>
      <c r="Z907" s="58"/>
      <c r="AA907" s="1"/>
      <c r="AB907" s="1"/>
      <c r="AC907" s="1"/>
      <c r="AD907" s="59"/>
      <c r="AE907" s="1"/>
      <c r="AF907" s="1"/>
      <c r="AG907" s="1"/>
    </row>
    <row r="908" spans="25:33" ht="14.4">
      <c r="Y908" s="58"/>
      <c r="Z908" s="58"/>
      <c r="AA908" s="1"/>
      <c r="AB908" s="1"/>
      <c r="AC908" s="1"/>
      <c r="AD908" s="59"/>
      <c r="AE908" s="1"/>
      <c r="AF908" s="1"/>
      <c r="AG908" s="1"/>
    </row>
    <row r="909" spans="25:33" ht="14.4">
      <c r="Y909" s="58"/>
      <c r="Z909" s="58"/>
      <c r="AA909" s="1"/>
      <c r="AB909" s="1"/>
      <c r="AC909" s="1"/>
      <c r="AD909" s="59"/>
      <c r="AE909" s="1"/>
      <c r="AF909" s="1"/>
      <c r="AG909" s="1"/>
    </row>
    <row r="910" spans="25:33" ht="14.4">
      <c r="Y910" s="58"/>
      <c r="Z910" s="58"/>
      <c r="AA910" s="1"/>
      <c r="AB910" s="1"/>
      <c r="AC910" s="1"/>
      <c r="AD910" s="59"/>
      <c r="AE910" s="1"/>
      <c r="AF910" s="1"/>
      <c r="AG910" s="1"/>
    </row>
    <row r="911" spans="25:33" ht="14.4">
      <c r="Y911" s="58"/>
      <c r="Z911" s="58"/>
      <c r="AA911" s="1"/>
      <c r="AB911" s="1"/>
      <c r="AC911" s="1"/>
      <c r="AD911" s="59"/>
      <c r="AE911" s="1"/>
      <c r="AF911" s="1"/>
      <c r="AG911" s="1"/>
    </row>
    <row r="912" spans="25:33" ht="14.4">
      <c r="Y912" s="58"/>
      <c r="Z912" s="58"/>
      <c r="AA912" s="1"/>
      <c r="AB912" s="1"/>
      <c r="AC912" s="1"/>
      <c r="AD912" s="59"/>
      <c r="AE912" s="1"/>
      <c r="AF912" s="1"/>
      <c r="AG912" s="1"/>
    </row>
    <row r="913" spans="25:33" ht="14.4">
      <c r="Y913" s="58"/>
      <c r="Z913" s="58"/>
      <c r="AA913" s="1"/>
      <c r="AB913" s="1"/>
      <c r="AC913" s="1"/>
      <c r="AD913" s="59"/>
      <c r="AE913" s="1"/>
      <c r="AF913" s="1"/>
      <c r="AG913" s="1"/>
    </row>
    <row r="914" spans="25:33" ht="14.4">
      <c r="Y914" s="58"/>
      <c r="Z914" s="58"/>
      <c r="AA914" s="1"/>
      <c r="AB914" s="1"/>
      <c r="AC914" s="1"/>
      <c r="AD914" s="59"/>
      <c r="AE914" s="1"/>
      <c r="AF914" s="1"/>
      <c r="AG914" s="1"/>
    </row>
    <row r="915" spans="25:33" ht="14.4">
      <c r="Y915" s="58"/>
      <c r="Z915" s="58"/>
      <c r="AA915" s="1"/>
      <c r="AB915" s="1"/>
      <c r="AC915" s="1"/>
      <c r="AD915" s="59"/>
      <c r="AE915" s="1"/>
      <c r="AF915" s="1"/>
      <c r="AG915" s="1"/>
    </row>
    <row r="916" spans="25:33" ht="14.4">
      <c r="Y916" s="58"/>
      <c r="Z916" s="58"/>
      <c r="AA916" s="1"/>
      <c r="AB916" s="1"/>
      <c r="AC916" s="1"/>
      <c r="AD916" s="59"/>
      <c r="AE916" s="1"/>
      <c r="AF916" s="1"/>
      <c r="AG916" s="1"/>
    </row>
    <row r="917" spans="25:33" ht="14.4">
      <c r="Y917" s="58"/>
      <c r="Z917" s="58"/>
      <c r="AA917" s="1"/>
      <c r="AB917" s="1"/>
      <c r="AC917" s="1"/>
      <c r="AD917" s="59"/>
      <c r="AE917" s="1"/>
      <c r="AF917" s="1"/>
      <c r="AG917" s="1"/>
    </row>
    <row r="918" spans="25:33" ht="14.4">
      <c r="Y918" s="58"/>
      <c r="Z918" s="58"/>
      <c r="AA918" s="1"/>
      <c r="AB918" s="1"/>
      <c r="AC918" s="1"/>
      <c r="AD918" s="59"/>
      <c r="AE918" s="1"/>
      <c r="AF918" s="1"/>
      <c r="AG918" s="1"/>
    </row>
    <row r="919" spans="25:33" ht="14.4">
      <c r="Y919" s="58"/>
      <c r="Z919" s="58"/>
      <c r="AA919" s="1"/>
      <c r="AB919" s="1"/>
      <c r="AC919" s="1"/>
      <c r="AD919" s="59"/>
      <c r="AE919" s="1"/>
      <c r="AF919" s="1"/>
      <c r="AG919" s="1"/>
    </row>
    <row r="920" spans="25:33" ht="14.4">
      <c r="Y920" s="58"/>
      <c r="Z920" s="58"/>
      <c r="AA920" s="1"/>
      <c r="AB920" s="1"/>
      <c r="AC920" s="1"/>
      <c r="AD920" s="59"/>
      <c r="AE920" s="1"/>
      <c r="AF920" s="1"/>
      <c r="AG920" s="1"/>
    </row>
    <row r="921" spans="25:33" ht="14.4">
      <c r="Y921" s="58"/>
      <c r="Z921" s="58"/>
      <c r="AA921" s="1"/>
      <c r="AB921" s="1"/>
      <c r="AC921" s="1"/>
      <c r="AD921" s="59"/>
      <c r="AE921" s="1"/>
      <c r="AF921" s="1"/>
      <c r="AG921" s="1"/>
    </row>
    <row r="922" spans="25:33" ht="14.4">
      <c r="Y922" s="58"/>
      <c r="Z922" s="58"/>
      <c r="AA922" s="1"/>
      <c r="AB922" s="1"/>
      <c r="AC922" s="1"/>
      <c r="AD922" s="59"/>
      <c r="AE922" s="1"/>
      <c r="AF922" s="1"/>
      <c r="AG922" s="1"/>
    </row>
    <row r="923" spans="25:33" ht="14.4">
      <c r="Y923" s="58"/>
      <c r="Z923" s="58"/>
      <c r="AA923" s="1"/>
      <c r="AB923" s="1"/>
      <c r="AC923" s="1"/>
      <c r="AD923" s="59"/>
      <c r="AE923" s="1"/>
      <c r="AF923" s="1"/>
      <c r="AG923" s="1"/>
    </row>
    <row r="924" spans="25:33" ht="14.4">
      <c r="Y924" s="58"/>
      <c r="Z924" s="58"/>
      <c r="AA924" s="1"/>
      <c r="AB924" s="1"/>
      <c r="AC924" s="1"/>
      <c r="AD924" s="59"/>
      <c r="AE924" s="1"/>
      <c r="AF924" s="1"/>
      <c r="AG924" s="1"/>
    </row>
    <row r="925" spans="25:33" ht="14.4">
      <c r="Y925" s="58"/>
      <c r="Z925" s="58"/>
      <c r="AA925" s="1"/>
      <c r="AB925" s="1"/>
      <c r="AC925" s="1"/>
      <c r="AD925" s="59"/>
      <c r="AE925" s="1"/>
      <c r="AF925" s="1"/>
      <c r="AG925" s="1"/>
    </row>
    <row r="926" spans="25:33" ht="14.4">
      <c r="Y926" s="58"/>
      <c r="Z926" s="58"/>
      <c r="AA926" s="1"/>
      <c r="AB926" s="1"/>
      <c r="AC926" s="1"/>
      <c r="AD926" s="59"/>
      <c r="AE926" s="1"/>
      <c r="AF926" s="1"/>
      <c r="AG926" s="1"/>
    </row>
    <row r="927" spans="25:33" ht="14.4">
      <c r="Y927" s="58"/>
      <c r="Z927" s="58"/>
      <c r="AA927" s="1"/>
      <c r="AB927" s="1"/>
      <c r="AC927" s="1"/>
      <c r="AD927" s="59"/>
      <c r="AE927" s="1"/>
      <c r="AF927" s="1"/>
      <c r="AG927" s="1"/>
    </row>
    <row r="928" spans="25:33" ht="14.4">
      <c r="Y928" s="58"/>
      <c r="Z928" s="58"/>
      <c r="AA928" s="1"/>
      <c r="AB928" s="1"/>
      <c r="AC928" s="1"/>
      <c r="AD928" s="59"/>
      <c r="AE928" s="1"/>
      <c r="AF928" s="1"/>
      <c r="AG928" s="1"/>
    </row>
    <row r="929" spans="25:33" ht="14.4">
      <c r="Y929" s="58"/>
      <c r="Z929" s="58"/>
      <c r="AA929" s="1"/>
      <c r="AB929" s="1"/>
      <c r="AC929" s="1"/>
      <c r="AD929" s="59"/>
      <c r="AE929" s="1"/>
      <c r="AF929" s="1"/>
      <c r="AG929" s="1"/>
    </row>
    <row r="930" spans="25:33" ht="14.4">
      <c r="Y930" s="58"/>
      <c r="Z930" s="58"/>
      <c r="AA930" s="1"/>
      <c r="AB930" s="1"/>
      <c r="AC930" s="1"/>
      <c r="AD930" s="59"/>
      <c r="AE930" s="1"/>
      <c r="AF930" s="1"/>
      <c r="AG930" s="1"/>
    </row>
    <row r="931" spans="25:33" ht="14.4">
      <c r="Y931" s="58"/>
      <c r="Z931" s="58"/>
      <c r="AA931" s="1"/>
      <c r="AB931" s="1"/>
      <c r="AC931" s="1"/>
      <c r="AD931" s="59"/>
      <c r="AE931" s="1"/>
      <c r="AF931" s="1"/>
      <c r="AG931" s="1"/>
    </row>
    <row r="932" spans="25:33" ht="14.4">
      <c r="Y932" s="58"/>
      <c r="Z932" s="58"/>
      <c r="AA932" s="1"/>
      <c r="AB932" s="1"/>
      <c r="AC932" s="1"/>
      <c r="AD932" s="59"/>
      <c r="AE932" s="1"/>
      <c r="AF932" s="1"/>
      <c r="AG932" s="1"/>
    </row>
    <row r="933" spans="25:33" ht="14.4">
      <c r="Y933" s="58"/>
      <c r="Z933" s="58"/>
      <c r="AA933" s="1"/>
      <c r="AB933" s="1"/>
      <c r="AC933" s="1"/>
      <c r="AD933" s="59"/>
      <c r="AE933" s="1"/>
      <c r="AF933" s="1"/>
      <c r="AG933" s="1"/>
    </row>
    <row r="934" spans="25:33" ht="14.4">
      <c r="Y934" s="58"/>
      <c r="Z934" s="58"/>
      <c r="AA934" s="1"/>
      <c r="AB934" s="1"/>
      <c r="AC934" s="1"/>
      <c r="AD934" s="59"/>
      <c r="AE934" s="1"/>
      <c r="AF934" s="1"/>
      <c r="AG934" s="1"/>
    </row>
    <row r="935" spans="25:33" ht="14.4">
      <c r="Y935" s="58"/>
      <c r="Z935" s="58"/>
      <c r="AA935" s="1"/>
      <c r="AB935" s="1"/>
      <c r="AC935" s="1"/>
      <c r="AD935" s="59"/>
      <c r="AE935" s="1"/>
      <c r="AF935" s="1"/>
      <c r="AG935" s="1"/>
    </row>
    <row r="936" spans="25:33" ht="14.4">
      <c r="Y936" s="58"/>
      <c r="Z936" s="58"/>
      <c r="AA936" s="1"/>
      <c r="AB936" s="1"/>
      <c r="AC936" s="1"/>
      <c r="AD936" s="59"/>
      <c r="AE936" s="1"/>
      <c r="AF936" s="1"/>
      <c r="AG936" s="1"/>
    </row>
    <row r="937" spans="25:33" ht="14.4">
      <c r="Y937" s="58"/>
      <c r="Z937" s="58"/>
      <c r="AA937" s="1"/>
      <c r="AB937" s="1"/>
      <c r="AC937" s="1"/>
      <c r="AD937" s="59"/>
      <c r="AE937" s="1"/>
      <c r="AF937" s="1"/>
      <c r="AG937" s="1"/>
    </row>
    <row r="938" spans="25:33" ht="14.4">
      <c r="Y938" s="58"/>
      <c r="Z938" s="58"/>
      <c r="AA938" s="1"/>
      <c r="AB938" s="1"/>
      <c r="AC938" s="1"/>
      <c r="AD938" s="59"/>
      <c r="AE938" s="1"/>
      <c r="AF938" s="1"/>
      <c r="AG938" s="1"/>
    </row>
    <row r="939" spans="25:33" ht="14.4">
      <c r="Y939" s="58"/>
      <c r="Z939" s="58"/>
      <c r="AA939" s="1"/>
      <c r="AB939" s="1"/>
      <c r="AC939" s="1"/>
      <c r="AD939" s="59"/>
      <c r="AE939" s="1"/>
      <c r="AF939" s="1"/>
      <c r="AG939" s="1"/>
    </row>
    <row r="940" spans="25:33" ht="14.4">
      <c r="Y940" s="58"/>
      <c r="Z940" s="58"/>
      <c r="AA940" s="1"/>
      <c r="AB940" s="1"/>
      <c r="AC940" s="1"/>
      <c r="AD940" s="59"/>
      <c r="AE940" s="1"/>
      <c r="AF940" s="1"/>
      <c r="AG940" s="1"/>
    </row>
    <row r="941" spans="25:33" ht="14.4">
      <c r="Y941" s="58"/>
      <c r="Z941" s="58"/>
      <c r="AA941" s="1"/>
      <c r="AB941" s="1"/>
      <c r="AC941" s="1"/>
      <c r="AD941" s="59"/>
      <c r="AE941" s="1"/>
      <c r="AF941" s="1"/>
      <c r="AG941" s="1"/>
    </row>
    <row r="942" spans="25:33" ht="14.4">
      <c r="Y942" s="58"/>
      <c r="Z942" s="58"/>
      <c r="AA942" s="1"/>
      <c r="AB942" s="1"/>
      <c r="AC942" s="1"/>
      <c r="AD942" s="59"/>
      <c r="AE942" s="1"/>
      <c r="AF942" s="1"/>
      <c r="AG942" s="1"/>
    </row>
    <row r="943" spans="25:33" ht="14.4">
      <c r="Y943" s="58"/>
      <c r="Z943" s="58"/>
      <c r="AA943" s="1"/>
      <c r="AB943" s="1"/>
      <c r="AC943" s="1"/>
      <c r="AD943" s="59"/>
      <c r="AE943" s="1"/>
      <c r="AF943" s="1"/>
      <c r="AG943" s="1"/>
    </row>
    <row r="944" spans="25:33" ht="14.4">
      <c r="Y944" s="58"/>
      <c r="Z944" s="58"/>
      <c r="AA944" s="1"/>
      <c r="AB944" s="1"/>
      <c r="AC944" s="1"/>
      <c r="AD944" s="59"/>
      <c r="AE944" s="1"/>
      <c r="AF944" s="1"/>
      <c r="AG944" s="1"/>
    </row>
    <row r="945" spans="25:33" ht="14.4">
      <c r="Y945" s="58"/>
      <c r="Z945" s="58"/>
      <c r="AA945" s="1"/>
      <c r="AB945" s="1"/>
      <c r="AC945" s="1"/>
      <c r="AD945" s="59"/>
      <c r="AE945" s="1"/>
      <c r="AF945" s="1"/>
      <c r="AG945" s="1"/>
    </row>
    <row r="946" spans="25:33" ht="14.4">
      <c r="Y946" s="58"/>
      <c r="Z946" s="58"/>
      <c r="AA946" s="1"/>
      <c r="AB946" s="1"/>
      <c r="AC946" s="1"/>
      <c r="AD946" s="59"/>
      <c r="AE946" s="1"/>
      <c r="AF946" s="1"/>
      <c r="AG946" s="1"/>
    </row>
    <row r="947" spans="25:33" ht="14.4">
      <c r="Y947" s="58"/>
      <c r="Z947" s="58"/>
      <c r="AA947" s="1"/>
      <c r="AB947" s="1"/>
      <c r="AC947" s="1"/>
      <c r="AD947" s="59"/>
      <c r="AE947" s="1"/>
      <c r="AF947" s="1"/>
      <c r="AG947" s="1"/>
    </row>
    <row r="948" spans="25:33" ht="14.4">
      <c r="Y948" s="58"/>
      <c r="Z948" s="58"/>
      <c r="AA948" s="1"/>
      <c r="AB948" s="1"/>
      <c r="AC948" s="1"/>
      <c r="AD948" s="59"/>
      <c r="AE948" s="1"/>
      <c r="AF948" s="1"/>
      <c r="AG948" s="1"/>
    </row>
    <row r="949" spans="25:33" ht="14.4">
      <c r="Y949" s="58"/>
      <c r="Z949" s="58"/>
      <c r="AA949" s="1"/>
      <c r="AB949" s="1"/>
      <c r="AC949" s="1"/>
      <c r="AD949" s="59"/>
      <c r="AE949" s="1"/>
      <c r="AF949" s="1"/>
      <c r="AG949" s="1"/>
    </row>
    <row r="950" spans="25:33" ht="14.4">
      <c r="Y950" s="58"/>
      <c r="Z950" s="58"/>
      <c r="AA950" s="1"/>
      <c r="AB950" s="1"/>
      <c r="AC950" s="1"/>
      <c r="AD950" s="59"/>
      <c r="AE950" s="1"/>
      <c r="AF950" s="1"/>
      <c r="AG950" s="1"/>
    </row>
    <row r="951" spans="25:33" ht="14.4">
      <c r="Y951" s="58"/>
      <c r="Z951" s="58"/>
      <c r="AA951" s="1"/>
      <c r="AB951" s="1"/>
      <c r="AC951" s="1"/>
      <c r="AD951" s="59"/>
      <c r="AE951" s="1"/>
      <c r="AF951" s="1"/>
      <c r="AG951" s="1"/>
    </row>
    <row r="952" spans="25:33" ht="14.4">
      <c r="Y952" s="58"/>
      <c r="Z952" s="58"/>
      <c r="AA952" s="1"/>
      <c r="AB952" s="1"/>
      <c r="AC952" s="1"/>
      <c r="AD952" s="59"/>
      <c r="AE952" s="1"/>
      <c r="AF952" s="1"/>
      <c r="AG952" s="1"/>
    </row>
    <row r="953" spans="25:33" ht="14.4">
      <c r="Y953" s="58"/>
      <c r="Z953" s="58"/>
      <c r="AA953" s="1"/>
      <c r="AB953" s="1"/>
      <c r="AC953" s="1"/>
      <c r="AD953" s="59"/>
      <c r="AE953" s="1"/>
      <c r="AF953" s="1"/>
      <c r="AG953" s="1"/>
    </row>
    <row r="954" spans="25:33" ht="14.4">
      <c r="Y954" s="58"/>
      <c r="Z954" s="58"/>
      <c r="AA954" s="1"/>
      <c r="AB954" s="1"/>
      <c r="AC954" s="1"/>
      <c r="AD954" s="59"/>
      <c r="AE954" s="1"/>
      <c r="AF954" s="1"/>
      <c r="AG954" s="1"/>
    </row>
    <row r="955" spans="25:33" ht="14.4">
      <c r="Y955" s="58"/>
      <c r="Z955" s="58"/>
      <c r="AA955" s="1"/>
      <c r="AB955" s="1"/>
      <c r="AC955" s="1"/>
      <c r="AD955" s="59"/>
      <c r="AE955" s="1"/>
      <c r="AF955" s="1"/>
      <c r="AG955" s="1"/>
    </row>
    <row r="956" spans="25:33" ht="14.4">
      <c r="Y956" s="58"/>
      <c r="Z956" s="58"/>
      <c r="AA956" s="1"/>
      <c r="AB956" s="1"/>
      <c r="AC956" s="1"/>
      <c r="AD956" s="59"/>
      <c r="AE956" s="1"/>
      <c r="AF956" s="1"/>
      <c r="AG956" s="1"/>
    </row>
    <row r="957" spans="25:33" ht="14.4">
      <c r="Y957" s="58"/>
      <c r="Z957" s="58"/>
      <c r="AA957" s="1"/>
      <c r="AB957" s="1"/>
      <c r="AC957" s="1"/>
      <c r="AD957" s="59"/>
      <c r="AE957" s="1"/>
      <c r="AF957" s="1"/>
      <c r="AG957" s="1"/>
    </row>
    <row r="958" spans="25:33" ht="14.4">
      <c r="Y958" s="58"/>
      <c r="Z958" s="58"/>
      <c r="AA958" s="1"/>
      <c r="AB958" s="1"/>
      <c r="AC958" s="1"/>
      <c r="AD958" s="59"/>
      <c r="AE958" s="1"/>
      <c r="AF958" s="1"/>
      <c r="AG958" s="1"/>
    </row>
    <row r="959" spans="25:33" ht="14.4">
      <c r="Y959" s="58"/>
      <c r="Z959" s="58"/>
      <c r="AA959" s="1"/>
      <c r="AB959" s="1"/>
      <c r="AC959" s="1"/>
      <c r="AD959" s="59"/>
      <c r="AE959" s="1"/>
      <c r="AF959" s="1"/>
      <c r="AG959" s="1"/>
    </row>
    <row r="960" spans="25:33" ht="14.4">
      <c r="Y960" s="58"/>
      <c r="Z960" s="58"/>
      <c r="AA960" s="1"/>
      <c r="AB960" s="1"/>
      <c r="AC960" s="1"/>
      <c r="AD960" s="59"/>
      <c r="AE960" s="1"/>
      <c r="AF960" s="1"/>
      <c r="AG960" s="1"/>
    </row>
    <row r="961" spans="25:33" ht="14.4">
      <c r="Y961" s="58"/>
      <c r="Z961" s="58"/>
      <c r="AA961" s="1"/>
      <c r="AB961" s="1"/>
      <c r="AC961" s="1"/>
      <c r="AD961" s="59"/>
      <c r="AE961" s="1"/>
      <c r="AF961" s="1"/>
      <c r="AG961" s="1"/>
    </row>
    <row r="962" spans="25:33" ht="14.4">
      <c r="Y962" s="58"/>
      <c r="Z962" s="58"/>
      <c r="AA962" s="1"/>
      <c r="AB962" s="1"/>
      <c r="AC962" s="1"/>
      <c r="AD962" s="59"/>
      <c r="AE962" s="1"/>
      <c r="AF962" s="1"/>
      <c r="AG962" s="1"/>
    </row>
    <row r="963" spans="25:33" ht="14.4">
      <c r="Y963" s="58"/>
      <c r="Z963" s="58"/>
      <c r="AA963" s="1"/>
      <c r="AB963" s="1"/>
      <c r="AC963" s="1"/>
      <c r="AD963" s="59"/>
      <c r="AE963" s="1"/>
      <c r="AF963" s="1"/>
      <c r="AG963" s="1"/>
    </row>
    <row r="964" spans="25:33" ht="14.4">
      <c r="Y964" s="58"/>
      <c r="Z964" s="58"/>
      <c r="AA964" s="1"/>
      <c r="AB964" s="1"/>
      <c r="AC964" s="1"/>
      <c r="AD964" s="59"/>
      <c r="AE964" s="1"/>
      <c r="AF964" s="1"/>
      <c r="AG964" s="1"/>
    </row>
    <row r="965" spans="25:33" ht="14.4">
      <c r="Y965" s="58"/>
      <c r="Z965" s="58"/>
      <c r="AA965" s="1"/>
      <c r="AB965" s="1"/>
      <c r="AC965" s="1"/>
      <c r="AD965" s="59"/>
      <c r="AE965" s="1"/>
      <c r="AF965" s="1"/>
      <c r="AG965" s="1"/>
    </row>
    <row r="966" spans="25:33" ht="14.4">
      <c r="Y966" s="58"/>
      <c r="Z966" s="58"/>
      <c r="AA966" s="1"/>
      <c r="AB966" s="1"/>
      <c r="AC966" s="1"/>
      <c r="AD966" s="59"/>
      <c r="AE966" s="1"/>
      <c r="AF966" s="1"/>
      <c r="AG966" s="1"/>
    </row>
    <row r="967" spans="25:33" ht="14.4">
      <c r="Y967" s="58"/>
      <c r="Z967" s="58"/>
      <c r="AA967" s="1"/>
      <c r="AB967" s="1"/>
      <c r="AC967" s="1"/>
      <c r="AD967" s="59"/>
      <c r="AE967" s="1"/>
      <c r="AF967" s="1"/>
      <c r="AG967" s="1"/>
    </row>
    <row r="968" spans="25:33" ht="14.4">
      <c r="Y968" s="58"/>
      <c r="Z968" s="58"/>
      <c r="AA968" s="1"/>
      <c r="AB968" s="1"/>
      <c r="AC968" s="1"/>
      <c r="AD968" s="59"/>
      <c r="AE968" s="1"/>
      <c r="AF968" s="1"/>
      <c r="AG968" s="1"/>
    </row>
    <row r="969" spans="25:33" ht="14.4">
      <c r="Y969" s="58"/>
      <c r="Z969" s="58"/>
      <c r="AA969" s="1"/>
      <c r="AB969" s="1"/>
      <c r="AC969" s="1"/>
      <c r="AD969" s="59"/>
      <c r="AE969" s="1"/>
      <c r="AF969" s="1"/>
      <c r="AG969" s="1"/>
    </row>
    <row r="970" spans="25:33" ht="14.4">
      <c r="Y970" s="58"/>
      <c r="Z970" s="58"/>
      <c r="AA970" s="1"/>
      <c r="AB970" s="1"/>
      <c r="AC970" s="1"/>
      <c r="AD970" s="59"/>
      <c r="AE970" s="1"/>
      <c r="AF970" s="1"/>
      <c r="AG970" s="1"/>
    </row>
    <row r="971" spans="25:33" ht="14.4">
      <c r="Y971" s="58"/>
      <c r="Z971" s="58"/>
      <c r="AA971" s="1"/>
      <c r="AB971" s="1"/>
      <c r="AC971" s="1"/>
      <c r="AD971" s="59"/>
      <c r="AE971" s="1"/>
      <c r="AF971" s="1"/>
      <c r="AG971" s="1"/>
    </row>
    <row r="972" spans="25:33" ht="14.4">
      <c r="Y972" s="58"/>
      <c r="Z972" s="58"/>
      <c r="AA972" s="1"/>
      <c r="AB972" s="1"/>
      <c r="AC972" s="1"/>
      <c r="AD972" s="59"/>
      <c r="AE972" s="1"/>
      <c r="AF972" s="1"/>
      <c r="AG972" s="1"/>
    </row>
    <row r="973" spans="25:33" ht="14.4">
      <c r="Y973" s="58"/>
      <c r="Z973" s="58"/>
      <c r="AA973" s="1"/>
      <c r="AB973" s="1"/>
      <c r="AC973" s="1"/>
      <c r="AD973" s="59"/>
      <c r="AE973" s="1"/>
      <c r="AF973" s="1"/>
      <c r="AG973" s="1"/>
    </row>
    <row r="974" spans="25:33" ht="14.4">
      <c r="Y974" s="58"/>
      <c r="Z974" s="58"/>
      <c r="AA974" s="1"/>
      <c r="AB974" s="1"/>
      <c r="AC974" s="1"/>
      <c r="AD974" s="59"/>
      <c r="AE974" s="1"/>
      <c r="AF974" s="1"/>
      <c r="AG974" s="1"/>
    </row>
    <row r="975" spans="25:33" ht="14.4">
      <c r="Y975" s="58"/>
      <c r="Z975" s="58"/>
      <c r="AA975" s="1"/>
      <c r="AB975" s="1"/>
      <c r="AC975" s="1"/>
      <c r="AD975" s="59"/>
      <c r="AE975" s="1"/>
      <c r="AF975" s="1"/>
      <c r="AG975" s="1"/>
    </row>
    <row r="976" spans="25:33" ht="14.4">
      <c r="Y976" s="58"/>
      <c r="Z976" s="58"/>
      <c r="AA976" s="1"/>
      <c r="AB976" s="1"/>
      <c r="AC976" s="1"/>
      <c r="AD976" s="59"/>
      <c r="AE976" s="1"/>
      <c r="AF976" s="1"/>
      <c r="AG976" s="1"/>
    </row>
    <row r="977" spans="25:33" ht="14.4">
      <c r="Y977" s="58"/>
      <c r="Z977" s="58"/>
      <c r="AA977" s="1"/>
      <c r="AB977" s="1"/>
      <c r="AC977" s="1"/>
      <c r="AD977" s="59"/>
      <c r="AE977" s="1"/>
      <c r="AF977" s="1"/>
      <c r="AG977" s="1"/>
    </row>
    <row r="978" spans="25:33" ht="14.4">
      <c r="Y978" s="58"/>
      <c r="Z978" s="58"/>
      <c r="AA978" s="1"/>
      <c r="AB978" s="1"/>
      <c r="AC978" s="1"/>
      <c r="AD978" s="59"/>
      <c r="AE978" s="1"/>
      <c r="AF978" s="1"/>
      <c r="AG978" s="1"/>
    </row>
    <row r="979" spans="25:33" ht="14.4">
      <c r="Y979" s="58"/>
      <c r="Z979" s="58"/>
      <c r="AA979" s="1"/>
      <c r="AB979" s="1"/>
      <c r="AC979" s="1"/>
      <c r="AD979" s="59"/>
      <c r="AE979" s="1"/>
      <c r="AF979" s="1"/>
      <c r="AG979" s="1"/>
    </row>
    <row r="980" spans="25:33" ht="14.4">
      <c r="Y980" s="58"/>
      <c r="Z980" s="58"/>
      <c r="AA980" s="1"/>
      <c r="AB980" s="1"/>
      <c r="AC980" s="1"/>
      <c r="AD980" s="59"/>
      <c r="AE980" s="1"/>
      <c r="AF980" s="1"/>
      <c r="AG980" s="1"/>
    </row>
    <row r="981" spans="25:33" ht="14.4">
      <c r="Y981" s="58"/>
      <c r="Z981" s="58"/>
      <c r="AA981" s="1"/>
      <c r="AB981" s="1"/>
      <c r="AC981" s="1"/>
      <c r="AD981" s="59"/>
      <c r="AE981" s="1"/>
      <c r="AF981" s="1"/>
      <c r="AG981" s="1"/>
    </row>
    <row r="982" spans="25:33" ht="14.4">
      <c r="Y982" s="58"/>
      <c r="Z982" s="58"/>
      <c r="AA982" s="1"/>
      <c r="AB982" s="1"/>
      <c r="AC982" s="1"/>
      <c r="AD982" s="59"/>
      <c r="AE982" s="1"/>
      <c r="AF982" s="1"/>
      <c r="AG982" s="1"/>
    </row>
    <row r="983" spans="25:33" ht="14.4">
      <c r="Y983" s="58"/>
      <c r="Z983" s="58"/>
      <c r="AA983" s="1"/>
      <c r="AB983" s="1"/>
      <c r="AC983" s="1"/>
      <c r="AD983" s="59"/>
      <c r="AE983" s="1"/>
      <c r="AF983" s="1"/>
      <c r="AG983" s="1"/>
    </row>
    <row r="984" spans="25:33" ht="14.4">
      <c r="Y984" s="58"/>
      <c r="Z984" s="58"/>
      <c r="AA984" s="1"/>
      <c r="AB984" s="1"/>
      <c r="AC984" s="1"/>
      <c r="AD984" s="59"/>
      <c r="AE984" s="1"/>
      <c r="AF984" s="1"/>
      <c r="AG984" s="1"/>
    </row>
    <row r="985" spans="25:33" ht="14.4">
      <c r="Y985" s="58"/>
      <c r="Z985" s="58"/>
      <c r="AA985" s="1"/>
      <c r="AB985" s="1"/>
      <c r="AC985" s="1"/>
      <c r="AD985" s="59"/>
      <c r="AE985" s="1"/>
      <c r="AF985" s="1"/>
      <c r="AG985" s="1"/>
    </row>
    <row r="986" spans="25:33" ht="14.4">
      <c r="Y986" s="58"/>
      <c r="Z986" s="58"/>
      <c r="AA986" s="1"/>
      <c r="AB986" s="1"/>
      <c r="AC986" s="1"/>
      <c r="AD986" s="59"/>
      <c r="AE986" s="1"/>
      <c r="AF986" s="1"/>
      <c r="AG986" s="1"/>
    </row>
    <row r="987" spans="25:33" ht="14.4">
      <c r="Y987" s="58"/>
      <c r="Z987" s="58"/>
      <c r="AA987" s="1"/>
      <c r="AB987" s="1"/>
      <c r="AC987" s="1"/>
      <c r="AD987" s="59"/>
      <c r="AE987" s="1"/>
      <c r="AF987" s="1"/>
      <c r="AG987" s="1"/>
    </row>
    <row r="988" spans="25:33" ht="14.4">
      <c r="Y988" s="58"/>
      <c r="Z988" s="58"/>
      <c r="AA988" s="1"/>
      <c r="AB988" s="1"/>
      <c r="AC988" s="1"/>
      <c r="AD988" s="59"/>
      <c r="AE988" s="1"/>
      <c r="AF988" s="1"/>
      <c r="AG988" s="1"/>
    </row>
    <row r="989" spans="25:33" ht="14.4">
      <c r="Y989" s="58"/>
      <c r="Z989" s="58"/>
      <c r="AA989" s="1"/>
      <c r="AB989" s="1"/>
      <c r="AC989" s="1"/>
      <c r="AD989" s="59"/>
      <c r="AE989" s="1"/>
      <c r="AF989" s="1"/>
      <c r="AG989" s="1"/>
    </row>
    <row r="990" spans="25:33" ht="14.4">
      <c r="Y990" s="58"/>
      <c r="Z990" s="58"/>
      <c r="AA990" s="1"/>
      <c r="AB990" s="1"/>
      <c r="AC990" s="1"/>
      <c r="AD990" s="59"/>
      <c r="AE990" s="1"/>
      <c r="AF990" s="1"/>
      <c r="AG990" s="1"/>
    </row>
    <row r="991" spans="25:33" ht="14.4">
      <c r="Y991" s="58"/>
      <c r="Z991" s="58"/>
      <c r="AA991" s="1"/>
      <c r="AB991" s="1"/>
      <c r="AC991" s="1"/>
      <c r="AD991" s="59"/>
      <c r="AE991" s="1"/>
      <c r="AF991" s="1"/>
      <c r="AG991" s="1"/>
    </row>
    <row r="992" spans="25:33" ht="14.4">
      <c r="Y992" s="58"/>
      <c r="Z992" s="58"/>
      <c r="AA992" s="1"/>
      <c r="AB992" s="1"/>
      <c r="AC992" s="1"/>
      <c r="AD992" s="59"/>
      <c r="AE992" s="1"/>
      <c r="AF992" s="1"/>
      <c r="AG992" s="1"/>
    </row>
    <row r="993" spans="25:33" ht="14.4">
      <c r="Y993" s="58"/>
      <c r="Z993" s="58"/>
      <c r="AA993" s="1"/>
      <c r="AB993" s="1"/>
      <c r="AC993" s="1"/>
      <c r="AD993" s="59"/>
      <c r="AE993" s="1"/>
      <c r="AF993" s="1"/>
      <c r="AG993" s="1"/>
    </row>
    <row r="994" spans="25:33" ht="14.4">
      <c r="Y994" s="58"/>
      <c r="Z994" s="58"/>
      <c r="AA994" s="1"/>
      <c r="AB994" s="1"/>
      <c r="AC994" s="1"/>
      <c r="AD994" s="59"/>
      <c r="AE994" s="1"/>
      <c r="AF994" s="1"/>
      <c r="AG994" s="1"/>
    </row>
    <row r="995" spans="25:33" ht="14.4">
      <c r="Y995" s="58"/>
      <c r="Z995" s="58"/>
      <c r="AA995" s="1"/>
      <c r="AB995" s="1"/>
      <c r="AC995" s="1"/>
      <c r="AD995" s="59"/>
      <c r="AE995" s="1"/>
      <c r="AF995" s="1"/>
      <c r="AG995" s="1"/>
    </row>
    <row r="996" spans="25:33" ht="14.4">
      <c r="Y996" s="58"/>
      <c r="Z996" s="58"/>
      <c r="AA996" s="1"/>
      <c r="AB996" s="1"/>
      <c r="AC996" s="1"/>
      <c r="AD996" s="59"/>
      <c r="AE996" s="1"/>
      <c r="AF996" s="1"/>
      <c r="AG996" s="1"/>
    </row>
    <row r="997" spans="25:33" ht="14.4">
      <c r="Y997" s="58"/>
      <c r="Z997" s="58"/>
      <c r="AA997" s="1"/>
      <c r="AB997" s="1"/>
      <c r="AC997" s="1"/>
      <c r="AD997" s="59"/>
      <c r="AE997" s="1"/>
      <c r="AF997" s="1"/>
      <c r="AG997" s="1"/>
    </row>
    <row r="998" spans="25:33" ht="14.4">
      <c r="Y998" s="58"/>
      <c r="Z998" s="58"/>
      <c r="AA998" s="1"/>
      <c r="AB998" s="1"/>
      <c r="AC998" s="1"/>
      <c r="AD998" s="59"/>
      <c r="AE998" s="1"/>
      <c r="AF998" s="1"/>
      <c r="AG998" s="1"/>
    </row>
    <row r="999" spans="25:33" ht="14.4">
      <c r="Y999" s="58"/>
      <c r="Z999" s="58"/>
      <c r="AA999" s="1"/>
      <c r="AB999" s="1"/>
      <c r="AC999" s="1"/>
      <c r="AD999" s="59"/>
      <c r="AE999" s="1"/>
      <c r="AF999" s="1"/>
      <c r="AG999" s="1"/>
    </row>
    <row r="1000" spans="25:33" ht="14.4">
      <c r="Y1000" s="58"/>
      <c r="Z1000" s="58"/>
      <c r="AA1000" s="1"/>
      <c r="AB1000" s="1"/>
      <c r="AC1000" s="1"/>
      <c r="AD1000" s="59"/>
      <c r="AE1000" s="1"/>
      <c r="AF1000" s="1"/>
      <c r="AG1000" s="1"/>
    </row>
    <row r="1001" spans="25:33" ht="14.4">
      <c r="Y1001" s="58"/>
      <c r="Z1001" s="58"/>
      <c r="AA1001" s="1"/>
      <c r="AB1001" s="1"/>
      <c r="AC1001" s="1"/>
      <c r="AD1001" s="59"/>
      <c r="AE1001" s="1"/>
    </row>
  </sheetData>
  <mergeCells count="1">
    <mergeCell ref="AF3:A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34998626667073579"/>
    <outlinePr summaryBelow="0" summaryRight="0"/>
  </sheetPr>
  <dimension ref="A1:T573"/>
  <sheetViews>
    <sheetView workbookViewId="0"/>
  </sheetViews>
  <sheetFormatPr defaultColWidth="12.6640625" defaultRowHeight="15.75" customHeight="1"/>
  <sheetData>
    <row r="1" spans="1:20" ht="15.75" customHeight="1">
      <c r="A1" s="10" t="s">
        <v>64</v>
      </c>
      <c r="B1" s="11" t="s">
        <v>65</v>
      </c>
      <c r="C1" s="11" t="s">
        <v>66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2" t="s">
        <v>84</v>
      </c>
    </row>
    <row r="2" spans="1:20" ht="15.75" customHeight="1">
      <c r="A2" s="13">
        <v>336955</v>
      </c>
      <c r="B2" s="14" t="s">
        <v>85</v>
      </c>
      <c r="C2" s="14" t="s">
        <v>86</v>
      </c>
      <c r="D2" s="15">
        <v>3633</v>
      </c>
      <c r="E2" s="15">
        <v>400</v>
      </c>
      <c r="F2" s="15">
        <v>0</v>
      </c>
      <c r="G2" s="16">
        <v>3233</v>
      </c>
      <c r="H2" s="17">
        <v>1</v>
      </c>
      <c r="I2" s="15">
        <v>0</v>
      </c>
      <c r="J2" s="16">
        <v>0</v>
      </c>
      <c r="K2" s="15">
        <v>0</v>
      </c>
      <c r="L2" s="16">
        <v>0</v>
      </c>
      <c r="M2" s="17">
        <v>0</v>
      </c>
      <c r="N2" s="17">
        <v>0</v>
      </c>
      <c r="O2" s="15">
        <v>0</v>
      </c>
      <c r="P2" s="15">
        <v>0</v>
      </c>
      <c r="Q2" s="15">
        <v>517</v>
      </c>
      <c r="R2" s="15">
        <v>0</v>
      </c>
      <c r="S2" s="14" t="s">
        <v>87</v>
      </c>
      <c r="T2" s="18">
        <v>145</v>
      </c>
    </row>
    <row r="3" spans="1:20" ht="15.75" customHeight="1">
      <c r="A3" s="13">
        <v>340742</v>
      </c>
      <c r="B3" s="19" t="s">
        <v>85</v>
      </c>
      <c r="C3" s="19" t="s">
        <v>59</v>
      </c>
      <c r="D3" s="20">
        <v>3600</v>
      </c>
      <c r="E3" s="20">
        <v>35</v>
      </c>
      <c r="F3" s="20">
        <v>0</v>
      </c>
      <c r="G3" s="21">
        <v>3565</v>
      </c>
      <c r="H3" s="22">
        <v>1</v>
      </c>
      <c r="I3" s="20">
        <v>0</v>
      </c>
      <c r="J3" s="21">
        <v>0</v>
      </c>
      <c r="K3" s="20">
        <v>0</v>
      </c>
      <c r="L3" s="21">
        <v>0</v>
      </c>
      <c r="M3" s="22">
        <v>0</v>
      </c>
      <c r="N3" s="22">
        <v>0</v>
      </c>
      <c r="O3" s="20">
        <v>0</v>
      </c>
      <c r="P3" s="20">
        <v>0</v>
      </c>
      <c r="Q3" s="20">
        <v>0</v>
      </c>
      <c r="R3" s="20">
        <v>35</v>
      </c>
      <c r="S3" s="19" t="s">
        <v>87</v>
      </c>
      <c r="T3" s="23">
        <v>160</v>
      </c>
    </row>
    <row r="4" spans="1:20" ht="15.75" customHeight="1">
      <c r="A4" s="24">
        <v>340901</v>
      </c>
      <c r="B4" s="14" t="s">
        <v>88</v>
      </c>
      <c r="C4" s="14" t="s">
        <v>89</v>
      </c>
      <c r="D4" s="15">
        <v>3400</v>
      </c>
      <c r="E4" s="15">
        <v>0</v>
      </c>
      <c r="F4" s="15">
        <v>0</v>
      </c>
      <c r="G4" s="16">
        <v>0</v>
      </c>
      <c r="H4" s="17">
        <v>0</v>
      </c>
      <c r="I4" s="15">
        <v>0</v>
      </c>
      <c r="J4" s="16">
        <v>0</v>
      </c>
      <c r="K4" s="15">
        <v>0</v>
      </c>
      <c r="L4" s="16">
        <v>0</v>
      </c>
      <c r="M4" s="17">
        <v>0</v>
      </c>
      <c r="N4" s="17">
        <v>0</v>
      </c>
      <c r="O4" s="15">
        <v>0</v>
      </c>
      <c r="P4" s="15">
        <v>0</v>
      </c>
      <c r="Q4" s="25"/>
      <c r="R4" s="15">
        <v>0</v>
      </c>
      <c r="S4" s="14" t="s">
        <v>87</v>
      </c>
      <c r="T4" s="18">
        <v>0</v>
      </c>
    </row>
    <row r="5" spans="1:20" ht="15.75" customHeight="1">
      <c r="A5" s="26">
        <v>340801</v>
      </c>
      <c r="B5" s="19" t="s">
        <v>85</v>
      </c>
      <c r="C5" s="19" t="s">
        <v>86</v>
      </c>
      <c r="D5" s="20">
        <v>2335</v>
      </c>
      <c r="E5" s="20">
        <v>35</v>
      </c>
      <c r="F5" s="20">
        <v>0</v>
      </c>
      <c r="G5" s="21">
        <v>2300</v>
      </c>
      <c r="H5" s="22">
        <v>1</v>
      </c>
      <c r="I5" s="20">
        <v>0</v>
      </c>
      <c r="J5" s="21">
        <v>0</v>
      </c>
      <c r="K5" s="20">
        <v>0</v>
      </c>
      <c r="L5" s="21">
        <v>0</v>
      </c>
      <c r="M5" s="22">
        <v>0</v>
      </c>
      <c r="N5" s="22">
        <v>0</v>
      </c>
      <c r="O5" s="20">
        <v>0</v>
      </c>
      <c r="P5" s="20">
        <v>0</v>
      </c>
      <c r="Q5" s="20">
        <v>0</v>
      </c>
      <c r="R5" s="20">
        <v>175</v>
      </c>
      <c r="S5" s="19" t="s">
        <v>87</v>
      </c>
      <c r="T5" s="23">
        <v>104</v>
      </c>
    </row>
    <row r="6" spans="1:20" ht="15.75" customHeight="1">
      <c r="A6" s="13">
        <v>340144</v>
      </c>
      <c r="B6" s="14" t="s">
        <v>85</v>
      </c>
      <c r="C6" s="14" t="s">
        <v>86</v>
      </c>
      <c r="D6" s="15">
        <v>2225</v>
      </c>
      <c r="E6" s="15">
        <v>225</v>
      </c>
      <c r="F6" s="15">
        <v>0</v>
      </c>
      <c r="G6" s="16">
        <v>2000</v>
      </c>
      <c r="H6" s="17">
        <v>1</v>
      </c>
      <c r="I6" s="15">
        <v>0</v>
      </c>
      <c r="J6" s="16">
        <v>0</v>
      </c>
      <c r="K6" s="15">
        <v>0</v>
      </c>
      <c r="L6" s="16">
        <v>0</v>
      </c>
      <c r="M6" s="17">
        <v>0</v>
      </c>
      <c r="N6" s="17">
        <v>0</v>
      </c>
      <c r="O6" s="15">
        <v>0</v>
      </c>
      <c r="P6" s="15">
        <v>0</v>
      </c>
      <c r="Q6" s="15">
        <v>0</v>
      </c>
      <c r="R6" s="15">
        <v>300</v>
      </c>
      <c r="S6" s="14" t="s">
        <v>87</v>
      </c>
      <c r="T6" s="18">
        <v>90</v>
      </c>
    </row>
    <row r="7" spans="1:20" ht="15.75" customHeight="1">
      <c r="A7" s="26">
        <v>339974</v>
      </c>
      <c r="B7" s="19" t="s">
        <v>85</v>
      </c>
      <c r="C7" s="19" t="s">
        <v>37</v>
      </c>
      <c r="D7" s="20">
        <v>2150</v>
      </c>
      <c r="E7" s="20">
        <v>350</v>
      </c>
      <c r="F7" s="20">
        <v>0</v>
      </c>
      <c r="G7" s="21">
        <v>1800</v>
      </c>
      <c r="H7" s="22">
        <v>1</v>
      </c>
      <c r="I7" s="20">
        <v>0</v>
      </c>
      <c r="J7" s="21">
        <v>0</v>
      </c>
      <c r="K7" s="20">
        <v>0</v>
      </c>
      <c r="L7" s="21">
        <v>0</v>
      </c>
      <c r="M7" s="22">
        <v>0</v>
      </c>
      <c r="N7" s="22">
        <v>0</v>
      </c>
      <c r="O7" s="20">
        <v>0</v>
      </c>
      <c r="P7" s="20">
        <v>0</v>
      </c>
      <c r="Q7" s="20">
        <v>0</v>
      </c>
      <c r="R7" s="20">
        <v>0</v>
      </c>
      <c r="S7" s="19" t="s">
        <v>87</v>
      </c>
      <c r="T7" s="23">
        <v>81</v>
      </c>
    </row>
    <row r="8" spans="1:20" ht="15.75" customHeight="1">
      <c r="A8" s="13">
        <v>340696</v>
      </c>
      <c r="B8" s="14" t="s">
        <v>85</v>
      </c>
      <c r="C8" s="14" t="s">
        <v>90</v>
      </c>
      <c r="D8" s="15">
        <v>2110</v>
      </c>
      <c r="E8" s="15">
        <v>35</v>
      </c>
      <c r="F8" s="15">
        <v>0</v>
      </c>
      <c r="G8" s="16">
        <v>2075</v>
      </c>
      <c r="H8" s="17">
        <v>1</v>
      </c>
      <c r="I8" s="15">
        <v>0</v>
      </c>
      <c r="J8" s="16">
        <v>0</v>
      </c>
      <c r="K8" s="15">
        <v>0</v>
      </c>
      <c r="L8" s="16">
        <v>0</v>
      </c>
      <c r="M8" s="17">
        <v>0</v>
      </c>
      <c r="N8" s="17">
        <v>0</v>
      </c>
      <c r="O8" s="15">
        <v>0</v>
      </c>
      <c r="P8" s="15">
        <v>0</v>
      </c>
      <c r="Q8" s="15">
        <v>0</v>
      </c>
      <c r="R8" s="15">
        <v>0</v>
      </c>
      <c r="S8" s="14" t="s">
        <v>91</v>
      </c>
      <c r="T8" s="18">
        <v>93</v>
      </c>
    </row>
    <row r="9" spans="1:20" ht="15.75" customHeight="1">
      <c r="A9" s="26">
        <v>341039</v>
      </c>
      <c r="B9" s="19" t="s">
        <v>88</v>
      </c>
      <c r="C9" s="19" t="s">
        <v>43</v>
      </c>
      <c r="D9" s="20">
        <v>1950</v>
      </c>
      <c r="E9" s="20">
        <v>0</v>
      </c>
      <c r="F9" s="20">
        <v>0</v>
      </c>
      <c r="G9" s="21">
        <v>0</v>
      </c>
      <c r="H9" s="22">
        <v>0</v>
      </c>
      <c r="I9" s="20">
        <v>0</v>
      </c>
      <c r="J9" s="21">
        <v>0</v>
      </c>
      <c r="K9" s="20">
        <v>0</v>
      </c>
      <c r="L9" s="21">
        <v>0</v>
      </c>
      <c r="M9" s="22">
        <v>0</v>
      </c>
      <c r="N9" s="22">
        <v>0</v>
      </c>
      <c r="O9" s="20">
        <v>0</v>
      </c>
      <c r="P9" s="20">
        <v>0</v>
      </c>
      <c r="Q9" s="27"/>
      <c r="R9" s="20">
        <v>0</v>
      </c>
      <c r="S9" s="19" t="s">
        <v>87</v>
      </c>
      <c r="T9" s="23">
        <v>0</v>
      </c>
    </row>
    <row r="10" spans="1:20" ht="15.75" customHeight="1">
      <c r="A10" s="13">
        <v>338481</v>
      </c>
      <c r="B10" s="14" t="s">
        <v>88</v>
      </c>
      <c r="C10" s="14" t="s">
        <v>43</v>
      </c>
      <c r="D10" s="15">
        <v>1900</v>
      </c>
      <c r="E10" s="15">
        <v>0</v>
      </c>
      <c r="F10" s="15">
        <v>0</v>
      </c>
      <c r="G10" s="16">
        <v>0</v>
      </c>
      <c r="H10" s="17">
        <v>0</v>
      </c>
      <c r="I10" s="15">
        <v>0</v>
      </c>
      <c r="J10" s="16">
        <v>0</v>
      </c>
      <c r="K10" s="15">
        <v>0</v>
      </c>
      <c r="L10" s="16">
        <v>0</v>
      </c>
      <c r="M10" s="17">
        <v>0</v>
      </c>
      <c r="N10" s="17">
        <v>0</v>
      </c>
      <c r="O10" s="15">
        <v>0</v>
      </c>
      <c r="P10" s="15">
        <v>0</v>
      </c>
      <c r="Q10" s="25"/>
      <c r="R10" s="15">
        <v>0</v>
      </c>
      <c r="S10" s="14" t="s">
        <v>87</v>
      </c>
      <c r="T10" s="18">
        <v>0</v>
      </c>
    </row>
    <row r="11" spans="1:20" ht="15.75" customHeight="1">
      <c r="A11" s="26">
        <v>340065</v>
      </c>
      <c r="B11" s="19" t="s">
        <v>85</v>
      </c>
      <c r="C11" s="19" t="s">
        <v>37</v>
      </c>
      <c r="D11" s="20">
        <v>1835</v>
      </c>
      <c r="E11" s="20">
        <v>35</v>
      </c>
      <c r="F11" s="20">
        <v>0</v>
      </c>
      <c r="G11" s="21">
        <v>1600</v>
      </c>
      <c r="H11" s="22">
        <v>1</v>
      </c>
      <c r="I11" s="20">
        <v>0</v>
      </c>
      <c r="J11" s="21">
        <v>0</v>
      </c>
      <c r="K11" s="20">
        <v>0</v>
      </c>
      <c r="L11" s="21">
        <v>0</v>
      </c>
      <c r="M11" s="22">
        <v>0</v>
      </c>
      <c r="N11" s="22">
        <v>0</v>
      </c>
      <c r="O11" s="20">
        <v>200</v>
      </c>
      <c r="P11" s="20">
        <v>0</v>
      </c>
      <c r="Q11" s="20">
        <v>0</v>
      </c>
      <c r="R11" s="20">
        <v>0</v>
      </c>
      <c r="S11" s="19" t="s">
        <v>87</v>
      </c>
      <c r="T11" s="23">
        <v>112</v>
      </c>
    </row>
    <row r="12" spans="1:20" ht="15.75" customHeight="1">
      <c r="A12" s="13">
        <v>341030</v>
      </c>
      <c r="B12" s="14" t="s">
        <v>88</v>
      </c>
      <c r="C12" s="14" t="s">
        <v>60</v>
      </c>
      <c r="D12" s="15">
        <v>1800</v>
      </c>
      <c r="E12" s="15">
        <v>0</v>
      </c>
      <c r="F12" s="15">
        <v>0</v>
      </c>
      <c r="G12" s="16">
        <v>0</v>
      </c>
      <c r="H12" s="17">
        <v>0</v>
      </c>
      <c r="I12" s="15">
        <v>0</v>
      </c>
      <c r="J12" s="16">
        <v>0</v>
      </c>
      <c r="K12" s="15">
        <v>0</v>
      </c>
      <c r="L12" s="16">
        <v>0</v>
      </c>
      <c r="M12" s="17">
        <v>0</v>
      </c>
      <c r="N12" s="17">
        <v>0</v>
      </c>
      <c r="O12" s="15">
        <v>0</v>
      </c>
      <c r="P12" s="15">
        <v>0</v>
      </c>
      <c r="Q12" s="25"/>
      <c r="R12" s="15">
        <v>0</v>
      </c>
      <c r="S12" s="14" t="s">
        <v>87</v>
      </c>
      <c r="T12" s="18">
        <v>0</v>
      </c>
    </row>
    <row r="13" spans="1:20" ht="15.75" customHeight="1">
      <c r="A13" s="26">
        <v>341086</v>
      </c>
      <c r="B13" s="19" t="s">
        <v>88</v>
      </c>
      <c r="C13" s="19" t="s">
        <v>47</v>
      </c>
      <c r="D13" s="20">
        <v>1800</v>
      </c>
      <c r="E13" s="20">
        <v>0</v>
      </c>
      <c r="F13" s="20">
        <v>0</v>
      </c>
      <c r="G13" s="21">
        <v>0</v>
      </c>
      <c r="H13" s="22">
        <v>0</v>
      </c>
      <c r="I13" s="20">
        <v>0</v>
      </c>
      <c r="J13" s="21">
        <v>0</v>
      </c>
      <c r="K13" s="20">
        <v>0</v>
      </c>
      <c r="L13" s="21">
        <v>0</v>
      </c>
      <c r="M13" s="22">
        <v>0</v>
      </c>
      <c r="N13" s="22">
        <v>0</v>
      </c>
      <c r="O13" s="20">
        <v>0</v>
      </c>
      <c r="P13" s="20">
        <v>0</v>
      </c>
      <c r="Q13" s="27"/>
      <c r="R13" s="20">
        <v>0</v>
      </c>
      <c r="S13" s="19" t="s">
        <v>91</v>
      </c>
      <c r="T13" s="23">
        <v>0</v>
      </c>
    </row>
    <row r="14" spans="1:20" ht="15.75" customHeight="1">
      <c r="A14" s="13">
        <v>340878</v>
      </c>
      <c r="B14" s="14" t="s">
        <v>88</v>
      </c>
      <c r="C14" s="14" t="s">
        <v>92</v>
      </c>
      <c r="D14" s="15">
        <v>1516</v>
      </c>
      <c r="E14" s="15">
        <v>0</v>
      </c>
      <c r="F14" s="15">
        <v>0</v>
      </c>
      <c r="G14" s="16">
        <v>0</v>
      </c>
      <c r="H14" s="17">
        <v>0</v>
      </c>
      <c r="I14" s="15">
        <v>0</v>
      </c>
      <c r="J14" s="16">
        <v>0</v>
      </c>
      <c r="K14" s="15">
        <v>0</v>
      </c>
      <c r="L14" s="16">
        <v>0</v>
      </c>
      <c r="M14" s="17">
        <v>0</v>
      </c>
      <c r="N14" s="17">
        <v>0</v>
      </c>
      <c r="O14" s="15">
        <v>0</v>
      </c>
      <c r="P14" s="15">
        <v>0</v>
      </c>
      <c r="Q14" s="25"/>
      <c r="R14" s="15">
        <v>0</v>
      </c>
      <c r="S14" s="14" t="s">
        <v>93</v>
      </c>
      <c r="T14" s="18">
        <v>0</v>
      </c>
    </row>
    <row r="15" spans="1:20" ht="15.75" customHeight="1">
      <c r="A15" s="26">
        <v>340838</v>
      </c>
      <c r="B15" s="19" t="s">
        <v>85</v>
      </c>
      <c r="C15" s="19" t="s">
        <v>46</v>
      </c>
      <c r="D15" s="20">
        <v>1500</v>
      </c>
      <c r="E15" s="20">
        <v>35</v>
      </c>
      <c r="F15" s="20">
        <v>0</v>
      </c>
      <c r="G15" s="21">
        <v>1465</v>
      </c>
      <c r="H15" s="22">
        <v>1</v>
      </c>
      <c r="I15" s="20">
        <v>0</v>
      </c>
      <c r="J15" s="21">
        <v>0</v>
      </c>
      <c r="K15" s="20">
        <v>0</v>
      </c>
      <c r="L15" s="21">
        <v>0</v>
      </c>
      <c r="M15" s="22">
        <v>0</v>
      </c>
      <c r="N15" s="22">
        <v>0</v>
      </c>
      <c r="O15" s="20">
        <v>0</v>
      </c>
      <c r="P15" s="20">
        <v>0</v>
      </c>
      <c r="Q15" s="20">
        <v>285</v>
      </c>
      <c r="R15" s="20">
        <v>0</v>
      </c>
      <c r="S15" s="19" t="s">
        <v>87</v>
      </c>
      <c r="T15" s="23">
        <v>66</v>
      </c>
    </row>
    <row r="16" spans="1:20" ht="15.75" customHeight="1">
      <c r="A16" s="13">
        <v>339244</v>
      </c>
      <c r="B16" s="14" t="s">
        <v>85</v>
      </c>
      <c r="C16" s="14" t="s">
        <v>94</v>
      </c>
      <c r="D16" s="15">
        <v>1225</v>
      </c>
      <c r="E16" s="15">
        <v>200</v>
      </c>
      <c r="F16" s="15">
        <v>0</v>
      </c>
      <c r="G16" s="16">
        <v>1025</v>
      </c>
      <c r="H16" s="17">
        <v>1</v>
      </c>
      <c r="I16" s="15">
        <v>0</v>
      </c>
      <c r="J16" s="16">
        <v>0</v>
      </c>
      <c r="K16" s="15">
        <v>0</v>
      </c>
      <c r="L16" s="16">
        <v>0</v>
      </c>
      <c r="M16" s="17">
        <v>0</v>
      </c>
      <c r="N16" s="17">
        <v>0</v>
      </c>
      <c r="O16" s="15">
        <v>0</v>
      </c>
      <c r="P16" s="15">
        <v>0</v>
      </c>
      <c r="Q16" s="15">
        <v>0</v>
      </c>
      <c r="R16" s="15">
        <v>0</v>
      </c>
      <c r="S16" s="14" t="s">
        <v>95</v>
      </c>
      <c r="T16" s="18">
        <v>46</v>
      </c>
    </row>
    <row r="17" spans="1:20" ht="15.75" customHeight="1">
      <c r="A17" s="26">
        <v>340302</v>
      </c>
      <c r="B17" s="19" t="s">
        <v>85</v>
      </c>
      <c r="C17" s="19" t="s">
        <v>59</v>
      </c>
      <c r="D17" s="20">
        <v>1200</v>
      </c>
      <c r="E17" s="20">
        <v>320</v>
      </c>
      <c r="F17" s="20">
        <v>0</v>
      </c>
      <c r="G17" s="21">
        <v>880</v>
      </c>
      <c r="H17" s="22">
        <v>1</v>
      </c>
      <c r="I17" s="20">
        <v>0</v>
      </c>
      <c r="J17" s="21">
        <v>0</v>
      </c>
      <c r="K17" s="20">
        <v>0</v>
      </c>
      <c r="L17" s="21">
        <v>0</v>
      </c>
      <c r="M17" s="22">
        <v>0</v>
      </c>
      <c r="N17" s="22">
        <v>0</v>
      </c>
      <c r="O17" s="20">
        <v>0</v>
      </c>
      <c r="P17" s="20">
        <v>0</v>
      </c>
      <c r="Q17" s="20">
        <v>0</v>
      </c>
      <c r="R17" s="20">
        <v>220</v>
      </c>
      <c r="S17" s="19" t="s">
        <v>87</v>
      </c>
      <c r="T17" s="23">
        <v>40</v>
      </c>
    </row>
    <row r="18" spans="1:20" ht="15.75" customHeight="1">
      <c r="A18" s="13">
        <v>340790</v>
      </c>
      <c r="B18" s="14" t="s">
        <v>85</v>
      </c>
      <c r="C18" s="14" t="s">
        <v>57</v>
      </c>
      <c r="D18" s="15">
        <v>1150</v>
      </c>
      <c r="E18" s="15">
        <v>208</v>
      </c>
      <c r="F18" s="15">
        <v>0</v>
      </c>
      <c r="G18" s="16">
        <v>942</v>
      </c>
      <c r="H18" s="17">
        <v>1</v>
      </c>
      <c r="I18" s="15">
        <v>0</v>
      </c>
      <c r="J18" s="16">
        <v>0</v>
      </c>
      <c r="K18" s="15">
        <v>0</v>
      </c>
      <c r="L18" s="16">
        <v>0</v>
      </c>
      <c r="M18" s="17">
        <v>0</v>
      </c>
      <c r="N18" s="17">
        <v>0</v>
      </c>
      <c r="O18" s="15">
        <v>0</v>
      </c>
      <c r="P18" s="15">
        <v>0</v>
      </c>
      <c r="Q18" s="15">
        <v>0</v>
      </c>
      <c r="R18" s="15">
        <v>8</v>
      </c>
      <c r="S18" s="14" t="s">
        <v>87</v>
      </c>
      <c r="T18" s="18">
        <v>42</v>
      </c>
    </row>
    <row r="19" spans="1:20" ht="15.75" customHeight="1">
      <c r="A19" s="26">
        <v>340880</v>
      </c>
      <c r="B19" s="19" t="s">
        <v>88</v>
      </c>
      <c r="C19" s="19" t="s">
        <v>38</v>
      </c>
      <c r="D19" s="20">
        <v>1145</v>
      </c>
      <c r="E19" s="20">
        <v>0</v>
      </c>
      <c r="F19" s="20">
        <v>0</v>
      </c>
      <c r="G19" s="21">
        <v>0</v>
      </c>
      <c r="H19" s="22">
        <v>0</v>
      </c>
      <c r="I19" s="20">
        <v>0</v>
      </c>
      <c r="J19" s="21">
        <v>0</v>
      </c>
      <c r="K19" s="20">
        <v>0</v>
      </c>
      <c r="L19" s="21">
        <v>0</v>
      </c>
      <c r="M19" s="22">
        <v>0</v>
      </c>
      <c r="N19" s="22">
        <v>0</v>
      </c>
      <c r="O19" s="20">
        <v>0</v>
      </c>
      <c r="P19" s="20">
        <v>0</v>
      </c>
      <c r="Q19" s="27"/>
      <c r="R19" s="20">
        <v>0</v>
      </c>
      <c r="S19" s="19" t="s">
        <v>91</v>
      </c>
      <c r="T19" s="23">
        <v>0</v>
      </c>
    </row>
    <row r="20" spans="1:20" ht="15.75" customHeight="1">
      <c r="A20" s="13">
        <v>340872</v>
      </c>
      <c r="B20" s="14" t="s">
        <v>85</v>
      </c>
      <c r="C20" s="14" t="s">
        <v>46</v>
      </c>
      <c r="D20" s="15">
        <v>1135</v>
      </c>
      <c r="E20" s="15">
        <v>35</v>
      </c>
      <c r="F20" s="15">
        <v>0</v>
      </c>
      <c r="G20" s="16">
        <v>1100</v>
      </c>
      <c r="H20" s="17">
        <v>1</v>
      </c>
      <c r="I20" s="15">
        <v>0</v>
      </c>
      <c r="J20" s="16">
        <v>0</v>
      </c>
      <c r="K20" s="15">
        <v>0</v>
      </c>
      <c r="L20" s="16">
        <v>0</v>
      </c>
      <c r="M20" s="17">
        <v>0</v>
      </c>
      <c r="N20" s="17">
        <v>0</v>
      </c>
      <c r="O20" s="15">
        <v>0</v>
      </c>
      <c r="P20" s="15">
        <v>0</v>
      </c>
      <c r="Q20" s="15">
        <v>0</v>
      </c>
      <c r="R20" s="15">
        <v>0</v>
      </c>
      <c r="S20" s="14" t="s">
        <v>87</v>
      </c>
      <c r="T20" s="18">
        <v>50</v>
      </c>
    </row>
    <row r="21" spans="1:20" ht="15.75" customHeight="1">
      <c r="A21" s="26">
        <v>341109</v>
      </c>
      <c r="B21" s="19" t="s">
        <v>88</v>
      </c>
      <c r="C21" s="19" t="s">
        <v>60</v>
      </c>
      <c r="D21" s="20">
        <v>1095</v>
      </c>
      <c r="E21" s="20">
        <v>0</v>
      </c>
      <c r="F21" s="20">
        <v>0</v>
      </c>
      <c r="G21" s="21">
        <v>0</v>
      </c>
      <c r="H21" s="22">
        <v>0</v>
      </c>
      <c r="I21" s="20">
        <v>0</v>
      </c>
      <c r="J21" s="21">
        <v>0</v>
      </c>
      <c r="K21" s="20">
        <v>0</v>
      </c>
      <c r="L21" s="21">
        <v>0</v>
      </c>
      <c r="M21" s="22">
        <v>0</v>
      </c>
      <c r="N21" s="22">
        <v>0</v>
      </c>
      <c r="O21" s="20">
        <v>0</v>
      </c>
      <c r="P21" s="20">
        <v>0</v>
      </c>
      <c r="Q21" s="27"/>
      <c r="R21" s="20">
        <v>0</v>
      </c>
      <c r="S21" s="19" t="s">
        <v>87</v>
      </c>
      <c r="T21" s="23">
        <v>0</v>
      </c>
    </row>
    <row r="22" spans="1:20" ht="15.75" customHeight="1">
      <c r="A22" s="13">
        <v>340736</v>
      </c>
      <c r="B22" s="14" t="s">
        <v>85</v>
      </c>
      <c r="C22" s="14" t="s">
        <v>94</v>
      </c>
      <c r="D22" s="15">
        <v>1000</v>
      </c>
      <c r="E22" s="15">
        <v>0</v>
      </c>
      <c r="F22" s="15">
        <v>0</v>
      </c>
      <c r="G22" s="16">
        <v>1000</v>
      </c>
      <c r="H22" s="17">
        <v>1</v>
      </c>
      <c r="I22" s="15">
        <v>0</v>
      </c>
      <c r="J22" s="16">
        <v>0</v>
      </c>
      <c r="K22" s="15">
        <v>0</v>
      </c>
      <c r="L22" s="16">
        <v>0</v>
      </c>
      <c r="M22" s="17">
        <v>0</v>
      </c>
      <c r="N22" s="17">
        <v>0</v>
      </c>
      <c r="O22" s="15">
        <v>0</v>
      </c>
      <c r="P22" s="15">
        <v>0</v>
      </c>
      <c r="Q22" s="15">
        <v>0</v>
      </c>
      <c r="R22" s="15">
        <v>0</v>
      </c>
      <c r="S22" s="14" t="s">
        <v>95</v>
      </c>
      <c r="T22" s="18">
        <v>45</v>
      </c>
    </row>
    <row r="23" spans="1:20" ht="15.75" customHeight="1">
      <c r="A23" s="26">
        <v>340651</v>
      </c>
      <c r="B23" s="19" t="s">
        <v>85</v>
      </c>
      <c r="C23" s="19" t="s">
        <v>59</v>
      </c>
      <c r="D23" s="20">
        <v>985</v>
      </c>
      <c r="E23" s="20">
        <v>35</v>
      </c>
      <c r="F23" s="20">
        <v>0</v>
      </c>
      <c r="G23" s="21">
        <v>950</v>
      </c>
      <c r="H23" s="22">
        <v>1</v>
      </c>
      <c r="I23" s="20">
        <v>0</v>
      </c>
      <c r="J23" s="21">
        <v>0</v>
      </c>
      <c r="K23" s="20">
        <v>0</v>
      </c>
      <c r="L23" s="21">
        <v>0</v>
      </c>
      <c r="M23" s="22">
        <v>0</v>
      </c>
      <c r="N23" s="22">
        <v>0</v>
      </c>
      <c r="O23" s="20">
        <v>0</v>
      </c>
      <c r="P23" s="20">
        <v>0</v>
      </c>
      <c r="Q23" s="20">
        <v>0</v>
      </c>
      <c r="R23" s="20">
        <v>200</v>
      </c>
      <c r="S23" s="19" t="s">
        <v>87</v>
      </c>
      <c r="T23" s="23">
        <v>43</v>
      </c>
    </row>
    <row r="24" spans="1:20" ht="15.75" customHeight="1">
      <c r="A24" s="13">
        <v>338630</v>
      </c>
      <c r="B24" s="14" t="s">
        <v>88</v>
      </c>
      <c r="C24" s="14" t="s">
        <v>90</v>
      </c>
      <c r="D24" s="15">
        <v>980</v>
      </c>
      <c r="E24" s="15">
        <v>0</v>
      </c>
      <c r="F24" s="15">
        <v>0</v>
      </c>
      <c r="G24" s="16">
        <v>0</v>
      </c>
      <c r="H24" s="17">
        <v>0</v>
      </c>
      <c r="I24" s="15">
        <v>0</v>
      </c>
      <c r="J24" s="16">
        <v>0</v>
      </c>
      <c r="K24" s="15">
        <v>0</v>
      </c>
      <c r="L24" s="16">
        <v>0</v>
      </c>
      <c r="M24" s="17">
        <v>0</v>
      </c>
      <c r="N24" s="17">
        <v>0</v>
      </c>
      <c r="O24" s="15">
        <v>0</v>
      </c>
      <c r="P24" s="15">
        <v>0</v>
      </c>
      <c r="Q24" s="25"/>
      <c r="R24" s="15">
        <v>0</v>
      </c>
      <c r="S24" s="14" t="s">
        <v>91</v>
      </c>
      <c r="T24" s="18">
        <v>0</v>
      </c>
    </row>
    <row r="25" spans="1:20" ht="15.75" customHeight="1">
      <c r="A25" s="26">
        <v>339775</v>
      </c>
      <c r="B25" s="19" t="s">
        <v>85</v>
      </c>
      <c r="C25" s="19" t="s">
        <v>51</v>
      </c>
      <c r="D25" s="20">
        <v>935</v>
      </c>
      <c r="E25" s="20">
        <v>35</v>
      </c>
      <c r="F25" s="20">
        <v>0</v>
      </c>
      <c r="G25" s="21">
        <v>900</v>
      </c>
      <c r="H25" s="22">
        <v>1</v>
      </c>
      <c r="I25" s="20">
        <v>0</v>
      </c>
      <c r="J25" s="21">
        <v>0</v>
      </c>
      <c r="K25" s="20">
        <v>0</v>
      </c>
      <c r="L25" s="21">
        <v>0</v>
      </c>
      <c r="M25" s="22">
        <v>0</v>
      </c>
      <c r="N25" s="22">
        <v>0</v>
      </c>
      <c r="O25" s="20">
        <v>0</v>
      </c>
      <c r="P25" s="20">
        <v>0</v>
      </c>
      <c r="Q25" s="20">
        <v>0</v>
      </c>
      <c r="R25" s="20">
        <v>100</v>
      </c>
      <c r="S25" s="19" t="s">
        <v>87</v>
      </c>
      <c r="T25" s="23">
        <v>41</v>
      </c>
    </row>
    <row r="26" spans="1:20" ht="15.75" customHeight="1">
      <c r="A26" s="13">
        <v>340758</v>
      </c>
      <c r="B26" s="14" t="s">
        <v>85</v>
      </c>
      <c r="C26" s="14" t="s">
        <v>47</v>
      </c>
      <c r="D26" s="15">
        <v>935</v>
      </c>
      <c r="E26" s="15">
        <v>35</v>
      </c>
      <c r="F26" s="15">
        <v>0</v>
      </c>
      <c r="G26" s="16">
        <v>800</v>
      </c>
      <c r="H26" s="17">
        <v>2</v>
      </c>
      <c r="I26" s="15">
        <v>0</v>
      </c>
      <c r="J26" s="16">
        <v>0</v>
      </c>
      <c r="K26" s="15">
        <v>0</v>
      </c>
      <c r="L26" s="16">
        <v>0</v>
      </c>
      <c r="M26" s="17">
        <v>0</v>
      </c>
      <c r="N26" s="17">
        <v>0</v>
      </c>
      <c r="O26" s="15">
        <v>0</v>
      </c>
      <c r="P26" s="15">
        <v>100</v>
      </c>
      <c r="Q26" s="15">
        <v>63</v>
      </c>
      <c r="R26" s="15">
        <v>0</v>
      </c>
      <c r="S26" s="14" t="s">
        <v>91</v>
      </c>
      <c r="T26" s="18">
        <v>56</v>
      </c>
    </row>
    <row r="27" spans="1:20" ht="14.4">
      <c r="A27" s="26">
        <v>340944</v>
      </c>
      <c r="B27" s="19" t="s">
        <v>88</v>
      </c>
      <c r="C27" s="19" t="s">
        <v>89</v>
      </c>
      <c r="D27" s="20">
        <v>935</v>
      </c>
      <c r="E27" s="20">
        <v>0</v>
      </c>
      <c r="F27" s="20">
        <v>0</v>
      </c>
      <c r="G27" s="21">
        <v>0</v>
      </c>
      <c r="H27" s="22">
        <v>0</v>
      </c>
      <c r="I27" s="20">
        <v>0</v>
      </c>
      <c r="J27" s="21">
        <v>0</v>
      </c>
      <c r="K27" s="20">
        <v>0</v>
      </c>
      <c r="L27" s="21">
        <v>0</v>
      </c>
      <c r="M27" s="22">
        <v>0</v>
      </c>
      <c r="N27" s="22">
        <v>0</v>
      </c>
      <c r="O27" s="20">
        <v>0</v>
      </c>
      <c r="P27" s="20">
        <v>0</v>
      </c>
      <c r="Q27" s="27"/>
      <c r="R27" s="20">
        <v>0</v>
      </c>
      <c r="S27" s="19" t="s">
        <v>87</v>
      </c>
      <c r="T27" s="23">
        <v>0</v>
      </c>
    </row>
    <row r="28" spans="1:20" ht="14.4">
      <c r="A28" s="13">
        <v>340914</v>
      </c>
      <c r="B28" s="14" t="s">
        <v>88</v>
      </c>
      <c r="C28" s="14" t="s">
        <v>47</v>
      </c>
      <c r="D28" s="15">
        <v>900</v>
      </c>
      <c r="E28" s="15">
        <v>0</v>
      </c>
      <c r="F28" s="15">
        <v>0</v>
      </c>
      <c r="G28" s="16">
        <v>0</v>
      </c>
      <c r="H28" s="17">
        <v>0</v>
      </c>
      <c r="I28" s="15">
        <v>0</v>
      </c>
      <c r="J28" s="16">
        <v>0</v>
      </c>
      <c r="K28" s="15">
        <v>0</v>
      </c>
      <c r="L28" s="16">
        <v>0</v>
      </c>
      <c r="M28" s="17">
        <v>0</v>
      </c>
      <c r="N28" s="17">
        <v>0</v>
      </c>
      <c r="O28" s="15">
        <v>0</v>
      </c>
      <c r="P28" s="15">
        <v>0</v>
      </c>
      <c r="Q28" s="25"/>
      <c r="R28" s="15">
        <v>0</v>
      </c>
      <c r="S28" s="14" t="s">
        <v>91</v>
      </c>
      <c r="T28" s="18">
        <v>0</v>
      </c>
    </row>
    <row r="29" spans="1:20" ht="14.4">
      <c r="A29" s="26">
        <v>340228</v>
      </c>
      <c r="B29" s="19" t="s">
        <v>85</v>
      </c>
      <c r="C29" s="19" t="s">
        <v>96</v>
      </c>
      <c r="D29" s="20">
        <v>850</v>
      </c>
      <c r="E29" s="20">
        <v>0</v>
      </c>
      <c r="F29" s="20">
        <v>0</v>
      </c>
      <c r="G29" s="21">
        <v>850</v>
      </c>
      <c r="H29" s="22">
        <v>1</v>
      </c>
      <c r="I29" s="20">
        <v>0</v>
      </c>
      <c r="J29" s="21">
        <v>0</v>
      </c>
      <c r="K29" s="20">
        <v>0</v>
      </c>
      <c r="L29" s="21">
        <v>0</v>
      </c>
      <c r="M29" s="22">
        <v>0</v>
      </c>
      <c r="N29" s="22">
        <v>0</v>
      </c>
      <c r="O29" s="20">
        <v>0</v>
      </c>
      <c r="P29" s="20">
        <v>0</v>
      </c>
      <c r="Q29" s="20">
        <v>0</v>
      </c>
      <c r="R29" s="20">
        <v>0</v>
      </c>
      <c r="S29" s="19" t="s">
        <v>93</v>
      </c>
      <c r="T29" s="23">
        <v>38</v>
      </c>
    </row>
    <row r="30" spans="1:20" ht="14.4">
      <c r="A30" s="13">
        <v>340731</v>
      </c>
      <c r="B30" s="14" t="s">
        <v>85</v>
      </c>
      <c r="C30" s="14" t="s">
        <v>94</v>
      </c>
      <c r="D30" s="15">
        <v>840</v>
      </c>
      <c r="E30" s="15">
        <v>65</v>
      </c>
      <c r="F30" s="15">
        <v>0</v>
      </c>
      <c r="G30" s="16">
        <v>775</v>
      </c>
      <c r="H30" s="17">
        <v>4</v>
      </c>
      <c r="I30" s="15">
        <v>0</v>
      </c>
      <c r="J30" s="16">
        <v>0</v>
      </c>
      <c r="K30" s="15">
        <v>0</v>
      </c>
      <c r="L30" s="16">
        <v>0</v>
      </c>
      <c r="M30" s="17">
        <v>0</v>
      </c>
      <c r="N30" s="17">
        <v>0</v>
      </c>
      <c r="O30" s="15">
        <v>0</v>
      </c>
      <c r="P30" s="15">
        <v>0</v>
      </c>
      <c r="Q30" s="15">
        <v>0</v>
      </c>
      <c r="R30" s="15">
        <v>0</v>
      </c>
      <c r="S30" s="14" t="s">
        <v>95</v>
      </c>
      <c r="T30" s="18">
        <v>35</v>
      </c>
    </row>
    <row r="31" spans="1:20" ht="14.4">
      <c r="A31" s="26">
        <v>341119</v>
      </c>
      <c r="B31" s="19" t="s">
        <v>88</v>
      </c>
      <c r="C31" s="19" t="s">
        <v>97</v>
      </c>
      <c r="D31" s="20">
        <v>835</v>
      </c>
      <c r="E31" s="20">
        <v>0</v>
      </c>
      <c r="F31" s="20">
        <v>0</v>
      </c>
      <c r="G31" s="21">
        <v>0</v>
      </c>
      <c r="H31" s="22">
        <v>0</v>
      </c>
      <c r="I31" s="20">
        <v>0</v>
      </c>
      <c r="J31" s="21">
        <v>0</v>
      </c>
      <c r="K31" s="20">
        <v>0</v>
      </c>
      <c r="L31" s="21">
        <v>0</v>
      </c>
      <c r="M31" s="22">
        <v>0</v>
      </c>
      <c r="N31" s="22">
        <v>0</v>
      </c>
      <c r="O31" s="20">
        <v>0</v>
      </c>
      <c r="P31" s="20">
        <v>0</v>
      </c>
      <c r="Q31" s="27"/>
      <c r="R31" s="20">
        <v>0</v>
      </c>
      <c r="S31" s="19" t="s">
        <v>93</v>
      </c>
      <c r="T31" s="23">
        <v>0</v>
      </c>
    </row>
    <row r="32" spans="1:20" ht="14.4">
      <c r="A32" s="13">
        <v>340306</v>
      </c>
      <c r="B32" s="14" t="s">
        <v>85</v>
      </c>
      <c r="C32" s="14" t="s">
        <v>57</v>
      </c>
      <c r="D32" s="15">
        <v>800</v>
      </c>
      <c r="E32" s="15">
        <v>0</v>
      </c>
      <c r="F32" s="15">
        <v>0</v>
      </c>
      <c r="G32" s="16">
        <v>800</v>
      </c>
      <c r="H32" s="17">
        <v>1</v>
      </c>
      <c r="I32" s="15">
        <v>0</v>
      </c>
      <c r="J32" s="16">
        <v>0</v>
      </c>
      <c r="K32" s="15">
        <v>0</v>
      </c>
      <c r="L32" s="16">
        <v>0</v>
      </c>
      <c r="M32" s="17">
        <v>0</v>
      </c>
      <c r="N32" s="17">
        <v>0</v>
      </c>
      <c r="O32" s="15">
        <v>0</v>
      </c>
      <c r="P32" s="15">
        <v>0</v>
      </c>
      <c r="Q32" s="15">
        <v>0</v>
      </c>
      <c r="R32" s="15">
        <v>0</v>
      </c>
      <c r="S32" s="14" t="s">
        <v>87</v>
      </c>
      <c r="T32" s="18">
        <v>36</v>
      </c>
    </row>
    <row r="33" spans="1:20" ht="14.4">
      <c r="A33" s="26">
        <v>340921</v>
      </c>
      <c r="B33" s="19" t="s">
        <v>88</v>
      </c>
      <c r="C33" s="19" t="s">
        <v>57</v>
      </c>
      <c r="D33" s="20">
        <v>760</v>
      </c>
      <c r="E33" s="20">
        <v>0</v>
      </c>
      <c r="F33" s="20">
        <v>0</v>
      </c>
      <c r="G33" s="21">
        <v>0</v>
      </c>
      <c r="H33" s="22">
        <v>0</v>
      </c>
      <c r="I33" s="20">
        <v>0</v>
      </c>
      <c r="J33" s="21">
        <v>0</v>
      </c>
      <c r="K33" s="20">
        <v>0</v>
      </c>
      <c r="L33" s="21">
        <v>0</v>
      </c>
      <c r="M33" s="22">
        <v>0</v>
      </c>
      <c r="N33" s="22">
        <v>0</v>
      </c>
      <c r="O33" s="20">
        <v>0</v>
      </c>
      <c r="P33" s="20">
        <v>0</v>
      </c>
      <c r="Q33" s="27"/>
      <c r="R33" s="20">
        <v>0</v>
      </c>
      <c r="S33" s="19" t="s">
        <v>87</v>
      </c>
      <c r="T33" s="23">
        <v>0</v>
      </c>
    </row>
    <row r="34" spans="1:20" ht="14.4">
      <c r="A34" s="13">
        <v>341073</v>
      </c>
      <c r="B34" s="14" t="s">
        <v>88</v>
      </c>
      <c r="C34" s="14" t="s">
        <v>60</v>
      </c>
      <c r="D34" s="15">
        <v>750</v>
      </c>
      <c r="E34" s="15">
        <v>0</v>
      </c>
      <c r="F34" s="15">
        <v>0</v>
      </c>
      <c r="G34" s="16">
        <v>0</v>
      </c>
      <c r="H34" s="17">
        <v>0</v>
      </c>
      <c r="I34" s="15">
        <v>0</v>
      </c>
      <c r="J34" s="16">
        <v>0</v>
      </c>
      <c r="K34" s="15">
        <v>0</v>
      </c>
      <c r="L34" s="16">
        <v>0</v>
      </c>
      <c r="M34" s="17">
        <v>0</v>
      </c>
      <c r="N34" s="17">
        <v>0</v>
      </c>
      <c r="O34" s="15">
        <v>0</v>
      </c>
      <c r="P34" s="15">
        <v>0</v>
      </c>
      <c r="Q34" s="25"/>
      <c r="R34" s="15">
        <v>0</v>
      </c>
      <c r="S34" s="14" t="s">
        <v>87</v>
      </c>
      <c r="T34" s="18">
        <v>0</v>
      </c>
    </row>
    <row r="35" spans="1:20" ht="14.4">
      <c r="A35" s="26">
        <v>340291</v>
      </c>
      <c r="B35" s="19" t="s">
        <v>85</v>
      </c>
      <c r="C35" s="19" t="s">
        <v>38</v>
      </c>
      <c r="D35" s="20">
        <v>700</v>
      </c>
      <c r="E35" s="20">
        <v>35</v>
      </c>
      <c r="F35" s="20">
        <v>0</v>
      </c>
      <c r="G35" s="21">
        <v>665</v>
      </c>
      <c r="H35" s="22">
        <v>1</v>
      </c>
      <c r="I35" s="20">
        <v>0</v>
      </c>
      <c r="J35" s="21">
        <v>0</v>
      </c>
      <c r="K35" s="20">
        <v>0</v>
      </c>
      <c r="L35" s="21">
        <v>0</v>
      </c>
      <c r="M35" s="22">
        <v>0</v>
      </c>
      <c r="N35" s="22">
        <v>0</v>
      </c>
      <c r="O35" s="20">
        <v>0</v>
      </c>
      <c r="P35" s="20">
        <v>0</v>
      </c>
      <c r="Q35" s="20">
        <v>135</v>
      </c>
      <c r="R35" s="20">
        <v>0</v>
      </c>
      <c r="S35" s="19" t="s">
        <v>91</v>
      </c>
      <c r="T35" s="23">
        <v>30</v>
      </c>
    </row>
    <row r="36" spans="1:20" ht="14.4">
      <c r="A36" s="13">
        <v>340341</v>
      </c>
      <c r="B36" s="14" t="s">
        <v>85</v>
      </c>
      <c r="C36" s="14" t="s">
        <v>38</v>
      </c>
      <c r="D36" s="15">
        <v>700</v>
      </c>
      <c r="E36" s="15">
        <v>35</v>
      </c>
      <c r="F36" s="15">
        <v>0</v>
      </c>
      <c r="G36" s="16">
        <v>665</v>
      </c>
      <c r="H36" s="17">
        <v>1</v>
      </c>
      <c r="I36" s="15">
        <v>0</v>
      </c>
      <c r="J36" s="16">
        <v>0</v>
      </c>
      <c r="K36" s="15">
        <v>0</v>
      </c>
      <c r="L36" s="16">
        <v>0</v>
      </c>
      <c r="M36" s="17">
        <v>0</v>
      </c>
      <c r="N36" s="17">
        <v>0</v>
      </c>
      <c r="O36" s="15">
        <v>0</v>
      </c>
      <c r="P36" s="15">
        <v>0</v>
      </c>
      <c r="Q36" s="15">
        <v>35</v>
      </c>
      <c r="R36" s="15">
        <v>0</v>
      </c>
      <c r="S36" s="14" t="s">
        <v>91</v>
      </c>
      <c r="T36" s="18">
        <v>30</v>
      </c>
    </row>
    <row r="37" spans="1:20" ht="14.4">
      <c r="A37" s="26">
        <v>340943</v>
      </c>
      <c r="B37" s="19" t="s">
        <v>88</v>
      </c>
      <c r="C37" s="19" t="s">
        <v>44</v>
      </c>
      <c r="D37" s="20">
        <v>695</v>
      </c>
      <c r="E37" s="20">
        <v>0</v>
      </c>
      <c r="F37" s="20">
        <v>0</v>
      </c>
      <c r="G37" s="21">
        <v>0</v>
      </c>
      <c r="H37" s="22">
        <v>0</v>
      </c>
      <c r="I37" s="20">
        <v>0</v>
      </c>
      <c r="J37" s="21">
        <v>0</v>
      </c>
      <c r="K37" s="20">
        <v>0</v>
      </c>
      <c r="L37" s="21">
        <v>0</v>
      </c>
      <c r="M37" s="22">
        <v>0</v>
      </c>
      <c r="N37" s="22">
        <v>0</v>
      </c>
      <c r="O37" s="20">
        <v>0</v>
      </c>
      <c r="P37" s="20">
        <v>0</v>
      </c>
      <c r="Q37" s="27"/>
      <c r="R37" s="20">
        <v>0</v>
      </c>
      <c r="S37" s="19" t="s">
        <v>91</v>
      </c>
      <c r="T37" s="23">
        <v>0</v>
      </c>
    </row>
    <row r="38" spans="1:20" ht="14.4">
      <c r="A38" s="13">
        <v>340240</v>
      </c>
      <c r="B38" s="14" t="s">
        <v>85</v>
      </c>
      <c r="C38" s="14" t="s">
        <v>46</v>
      </c>
      <c r="D38" s="15">
        <v>645</v>
      </c>
      <c r="E38" s="15">
        <v>35</v>
      </c>
      <c r="F38" s="15">
        <v>0</v>
      </c>
      <c r="G38" s="16">
        <v>610</v>
      </c>
      <c r="H38" s="17">
        <v>2</v>
      </c>
      <c r="I38" s="15">
        <v>0</v>
      </c>
      <c r="J38" s="16">
        <v>0</v>
      </c>
      <c r="K38" s="15">
        <v>0</v>
      </c>
      <c r="L38" s="16">
        <v>0</v>
      </c>
      <c r="M38" s="17">
        <v>0</v>
      </c>
      <c r="N38" s="17">
        <v>0</v>
      </c>
      <c r="O38" s="15">
        <v>0</v>
      </c>
      <c r="P38" s="15">
        <v>0</v>
      </c>
      <c r="Q38" s="15">
        <v>0</v>
      </c>
      <c r="R38" s="15">
        <v>0</v>
      </c>
      <c r="S38" s="14" t="s">
        <v>87</v>
      </c>
      <c r="T38" s="18">
        <v>27</v>
      </c>
    </row>
    <row r="39" spans="1:20" ht="14.4">
      <c r="A39" s="26">
        <v>339842</v>
      </c>
      <c r="B39" s="19" t="s">
        <v>85</v>
      </c>
      <c r="C39" s="19" t="s">
        <v>60</v>
      </c>
      <c r="D39" s="20">
        <v>625</v>
      </c>
      <c r="E39" s="20">
        <v>35</v>
      </c>
      <c r="F39" s="20">
        <v>0</v>
      </c>
      <c r="G39" s="21">
        <v>590</v>
      </c>
      <c r="H39" s="22">
        <v>5</v>
      </c>
      <c r="I39" s="20">
        <v>0</v>
      </c>
      <c r="J39" s="21">
        <v>0</v>
      </c>
      <c r="K39" s="20">
        <v>0</v>
      </c>
      <c r="L39" s="21">
        <v>0</v>
      </c>
      <c r="M39" s="22">
        <v>0</v>
      </c>
      <c r="N39" s="22">
        <v>0</v>
      </c>
      <c r="O39" s="20">
        <v>0</v>
      </c>
      <c r="P39" s="20">
        <v>0</v>
      </c>
      <c r="Q39" s="20">
        <v>272</v>
      </c>
      <c r="R39" s="20">
        <v>0</v>
      </c>
      <c r="S39" s="19" t="s">
        <v>87</v>
      </c>
      <c r="T39" s="23">
        <v>27</v>
      </c>
    </row>
    <row r="40" spans="1:20" ht="14.4">
      <c r="A40" s="13">
        <v>340345</v>
      </c>
      <c r="B40" s="14" t="s">
        <v>85</v>
      </c>
      <c r="C40" s="14" t="s">
        <v>44</v>
      </c>
      <c r="D40" s="15">
        <v>615</v>
      </c>
      <c r="E40" s="15">
        <v>35</v>
      </c>
      <c r="F40" s="15">
        <v>0</v>
      </c>
      <c r="G40" s="16">
        <v>580</v>
      </c>
      <c r="H40" s="17">
        <v>2</v>
      </c>
      <c r="I40" s="15">
        <v>0</v>
      </c>
      <c r="J40" s="16">
        <v>0</v>
      </c>
      <c r="K40" s="15">
        <v>0</v>
      </c>
      <c r="L40" s="16">
        <v>0</v>
      </c>
      <c r="M40" s="17">
        <v>0</v>
      </c>
      <c r="N40" s="17">
        <v>0</v>
      </c>
      <c r="O40" s="15">
        <v>0</v>
      </c>
      <c r="P40" s="15">
        <v>0</v>
      </c>
      <c r="Q40" s="15">
        <v>90</v>
      </c>
      <c r="R40" s="15">
        <v>0</v>
      </c>
      <c r="S40" s="14" t="s">
        <v>91</v>
      </c>
      <c r="T40" s="18">
        <v>26</v>
      </c>
    </row>
    <row r="41" spans="1:20" ht="14.4">
      <c r="A41" s="26">
        <v>340233</v>
      </c>
      <c r="B41" s="19" t="s">
        <v>85</v>
      </c>
      <c r="C41" s="19" t="s">
        <v>94</v>
      </c>
      <c r="D41" s="20">
        <v>600</v>
      </c>
      <c r="E41" s="20">
        <v>0</v>
      </c>
      <c r="F41" s="20">
        <v>0</v>
      </c>
      <c r="G41" s="21">
        <v>600</v>
      </c>
      <c r="H41" s="22">
        <v>1</v>
      </c>
      <c r="I41" s="20">
        <v>0</v>
      </c>
      <c r="J41" s="21">
        <v>0</v>
      </c>
      <c r="K41" s="20">
        <v>0</v>
      </c>
      <c r="L41" s="21">
        <v>0</v>
      </c>
      <c r="M41" s="22">
        <v>0</v>
      </c>
      <c r="N41" s="22">
        <v>0</v>
      </c>
      <c r="O41" s="20">
        <v>0</v>
      </c>
      <c r="P41" s="20">
        <v>0</v>
      </c>
      <c r="Q41" s="20">
        <v>0</v>
      </c>
      <c r="R41" s="20">
        <v>0</v>
      </c>
      <c r="S41" s="19" t="s">
        <v>95</v>
      </c>
      <c r="T41" s="23">
        <v>27</v>
      </c>
    </row>
    <row r="42" spans="1:20" ht="14.4">
      <c r="A42" s="13">
        <v>340276</v>
      </c>
      <c r="B42" s="14" t="s">
        <v>85</v>
      </c>
      <c r="C42" s="14" t="s">
        <v>89</v>
      </c>
      <c r="D42" s="15">
        <v>600</v>
      </c>
      <c r="E42" s="15">
        <v>35</v>
      </c>
      <c r="F42" s="15">
        <v>0</v>
      </c>
      <c r="G42" s="16">
        <v>565</v>
      </c>
      <c r="H42" s="17">
        <v>4</v>
      </c>
      <c r="I42" s="15">
        <v>0</v>
      </c>
      <c r="J42" s="16">
        <v>0</v>
      </c>
      <c r="K42" s="15">
        <v>0</v>
      </c>
      <c r="L42" s="16">
        <v>0</v>
      </c>
      <c r="M42" s="17">
        <v>0</v>
      </c>
      <c r="N42" s="17">
        <v>0</v>
      </c>
      <c r="O42" s="15">
        <v>0</v>
      </c>
      <c r="P42" s="15">
        <v>0</v>
      </c>
      <c r="Q42" s="15">
        <v>120</v>
      </c>
      <c r="R42" s="15">
        <v>0</v>
      </c>
      <c r="S42" s="14" t="s">
        <v>87</v>
      </c>
      <c r="T42" s="18">
        <v>25</v>
      </c>
    </row>
    <row r="43" spans="1:20" ht="14.4">
      <c r="A43" s="26">
        <v>341060</v>
      </c>
      <c r="B43" s="19" t="s">
        <v>88</v>
      </c>
      <c r="C43" s="19" t="s">
        <v>43</v>
      </c>
      <c r="D43" s="20">
        <v>600</v>
      </c>
      <c r="E43" s="20">
        <v>0</v>
      </c>
      <c r="F43" s="20">
        <v>0</v>
      </c>
      <c r="G43" s="21">
        <v>0</v>
      </c>
      <c r="H43" s="22">
        <v>0</v>
      </c>
      <c r="I43" s="20">
        <v>0</v>
      </c>
      <c r="J43" s="21">
        <v>0</v>
      </c>
      <c r="K43" s="20">
        <v>0</v>
      </c>
      <c r="L43" s="21">
        <v>0</v>
      </c>
      <c r="M43" s="22">
        <v>0</v>
      </c>
      <c r="N43" s="22">
        <v>0</v>
      </c>
      <c r="O43" s="20">
        <v>0</v>
      </c>
      <c r="P43" s="20">
        <v>0</v>
      </c>
      <c r="Q43" s="27"/>
      <c r="R43" s="20">
        <v>0</v>
      </c>
      <c r="S43" s="19" t="s">
        <v>87</v>
      </c>
      <c r="T43" s="23">
        <v>0</v>
      </c>
    </row>
    <row r="44" spans="1:20" ht="14.4">
      <c r="A44" s="13">
        <v>340241</v>
      </c>
      <c r="B44" s="14" t="s">
        <v>85</v>
      </c>
      <c r="C44" s="14" t="s">
        <v>57</v>
      </c>
      <c r="D44" s="15">
        <v>594</v>
      </c>
      <c r="E44" s="15">
        <v>35</v>
      </c>
      <c r="F44" s="15">
        <v>0</v>
      </c>
      <c r="G44" s="16">
        <v>559</v>
      </c>
      <c r="H44" s="17">
        <v>2</v>
      </c>
      <c r="I44" s="15">
        <v>0</v>
      </c>
      <c r="J44" s="16">
        <v>0</v>
      </c>
      <c r="K44" s="15">
        <v>0</v>
      </c>
      <c r="L44" s="16">
        <v>0</v>
      </c>
      <c r="M44" s="17">
        <v>0</v>
      </c>
      <c r="N44" s="17">
        <v>0</v>
      </c>
      <c r="O44" s="15">
        <v>0</v>
      </c>
      <c r="P44" s="15">
        <v>0</v>
      </c>
      <c r="Q44" s="15">
        <v>0</v>
      </c>
      <c r="R44" s="15">
        <v>0</v>
      </c>
      <c r="S44" s="14" t="s">
        <v>87</v>
      </c>
      <c r="T44" s="18">
        <v>25</v>
      </c>
    </row>
    <row r="45" spans="1:20" ht="14.4">
      <c r="A45" s="26">
        <v>340888</v>
      </c>
      <c r="B45" s="19" t="s">
        <v>88</v>
      </c>
      <c r="C45" s="19" t="s">
        <v>97</v>
      </c>
      <c r="D45" s="20">
        <v>575</v>
      </c>
      <c r="E45" s="20">
        <v>0</v>
      </c>
      <c r="F45" s="20">
        <v>0</v>
      </c>
      <c r="G45" s="21">
        <v>0</v>
      </c>
      <c r="H45" s="22">
        <v>0</v>
      </c>
      <c r="I45" s="20">
        <v>0</v>
      </c>
      <c r="J45" s="21">
        <v>0</v>
      </c>
      <c r="K45" s="20">
        <v>0</v>
      </c>
      <c r="L45" s="21">
        <v>0</v>
      </c>
      <c r="M45" s="22">
        <v>0</v>
      </c>
      <c r="N45" s="22">
        <v>0</v>
      </c>
      <c r="O45" s="20">
        <v>0</v>
      </c>
      <c r="P45" s="20">
        <v>0</v>
      </c>
      <c r="Q45" s="27"/>
      <c r="R45" s="20">
        <v>0</v>
      </c>
      <c r="S45" s="19" t="s">
        <v>93</v>
      </c>
      <c r="T45" s="23">
        <v>0</v>
      </c>
    </row>
    <row r="46" spans="1:20" ht="14.4">
      <c r="A46" s="13">
        <v>340723</v>
      </c>
      <c r="B46" s="14" t="s">
        <v>85</v>
      </c>
      <c r="C46" s="14" t="s">
        <v>44</v>
      </c>
      <c r="D46" s="15">
        <v>570</v>
      </c>
      <c r="E46" s="15">
        <v>35</v>
      </c>
      <c r="F46" s="15">
        <v>0</v>
      </c>
      <c r="G46" s="16">
        <v>535</v>
      </c>
      <c r="H46" s="17">
        <v>1</v>
      </c>
      <c r="I46" s="15">
        <v>0</v>
      </c>
      <c r="J46" s="16">
        <v>0</v>
      </c>
      <c r="K46" s="15">
        <v>0</v>
      </c>
      <c r="L46" s="16">
        <v>0</v>
      </c>
      <c r="M46" s="17">
        <v>0</v>
      </c>
      <c r="N46" s="17">
        <v>0</v>
      </c>
      <c r="O46" s="15">
        <v>0</v>
      </c>
      <c r="P46" s="15">
        <v>0</v>
      </c>
      <c r="Q46" s="15">
        <v>0</v>
      </c>
      <c r="R46" s="15">
        <v>0</v>
      </c>
      <c r="S46" s="14" t="s">
        <v>91</v>
      </c>
      <c r="T46" s="18">
        <v>24</v>
      </c>
    </row>
    <row r="47" spans="1:20" ht="14.4">
      <c r="A47" s="26">
        <v>340961</v>
      </c>
      <c r="B47" s="19" t="s">
        <v>88</v>
      </c>
      <c r="C47" s="19" t="s">
        <v>44</v>
      </c>
      <c r="D47" s="20">
        <v>550</v>
      </c>
      <c r="E47" s="20">
        <v>0</v>
      </c>
      <c r="F47" s="20">
        <v>0</v>
      </c>
      <c r="G47" s="21">
        <v>0</v>
      </c>
      <c r="H47" s="22">
        <v>0</v>
      </c>
      <c r="I47" s="20">
        <v>0</v>
      </c>
      <c r="J47" s="21">
        <v>0</v>
      </c>
      <c r="K47" s="20">
        <v>0</v>
      </c>
      <c r="L47" s="21">
        <v>0</v>
      </c>
      <c r="M47" s="22">
        <v>0</v>
      </c>
      <c r="N47" s="22">
        <v>0</v>
      </c>
      <c r="O47" s="20">
        <v>0</v>
      </c>
      <c r="P47" s="20">
        <v>0</v>
      </c>
      <c r="Q47" s="27"/>
      <c r="R47" s="20">
        <v>0</v>
      </c>
      <c r="S47" s="19" t="s">
        <v>91</v>
      </c>
      <c r="T47" s="23">
        <v>0</v>
      </c>
    </row>
    <row r="48" spans="1:20" ht="14.4">
      <c r="A48" s="13">
        <v>340919</v>
      </c>
      <c r="B48" s="14" t="s">
        <v>88</v>
      </c>
      <c r="C48" s="14" t="s">
        <v>60</v>
      </c>
      <c r="D48" s="15">
        <v>535</v>
      </c>
      <c r="E48" s="15">
        <v>0</v>
      </c>
      <c r="F48" s="15">
        <v>0</v>
      </c>
      <c r="G48" s="16">
        <v>0</v>
      </c>
      <c r="H48" s="17">
        <v>0</v>
      </c>
      <c r="I48" s="15">
        <v>0</v>
      </c>
      <c r="J48" s="16">
        <v>0</v>
      </c>
      <c r="K48" s="15">
        <v>0</v>
      </c>
      <c r="L48" s="16">
        <v>0</v>
      </c>
      <c r="M48" s="17">
        <v>0</v>
      </c>
      <c r="N48" s="17">
        <v>0</v>
      </c>
      <c r="O48" s="15">
        <v>0</v>
      </c>
      <c r="P48" s="15">
        <v>0</v>
      </c>
      <c r="Q48" s="25"/>
      <c r="R48" s="15">
        <v>0</v>
      </c>
      <c r="S48" s="14" t="s">
        <v>87</v>
      </c>
      <c r="T48" s="18">
        <v>0</v>
      </c>
    </row>
    <row r="49" spans="1:20" ht="14.4">
      <c r="A49" s="26">
        <v>339419</v>
      </c>
      <c r="B49" s="19" t="s">
        <v>88</v>
      </c>
      <c r="C49" s="19" t="s">
        <v>98</v>
      </c>
      <c r="D49" s="20">
        <v>500</v>
      </c>
      <c r="E49" s="20">
        <v>0</v>
      </c>
      <c r="F49" s="20">
        <v>0</v>
      </c>
      <c r="G49" s="21">
        <v>0</v>
      </c>
      <c r="H49" s="22">
        <v>0</v>
      </c>
      <c r="I49" s="20">
        <v>0</v>
      </c>
      <c r="J49" s="21">
        <v>0</v>
      </c>
      <c r="K49" s="20">
        <v>0</v>
      </c>
      <c r="L49" s="21">
        <v>0</v>
      </c>
      <c r="M49" s="22">
        <v>0</v>
      </c>
      <c r="N49" s="22">
        <v>0</v>
      </c>
      <c r="O49" s="20">
        <v>0</v>
      </c>
      <c r="P49" s="20">
        <v>0</v>
      </c>
      <c r="Q49" s="27"/>
      <c r="R49" s="20">
        <v>0</v>
      </c>
      <c r="S49" s="19" t="s">
        <v>87</v>
      </c>
      <c r="T49" s="23">
        <v>0</v>
      </c>
    </row>
    <row r="50" spans="1:20" ht="14.4">
      <c r="A50" s="13">
        <v>340258</v>
      </c>
      <c r="B50" s="14" t="s">
        <v>85</v>
      </c>
      <c r="C50" s="14" t="s">
        <v>94</v>
      </c>
      <c r="D50" s="15">
        <v>500</v>
      </c>
      <c r="E50" s="15">
        <v>0</v>
      </c>
      <c r="F50" s="15">
        <v>0</v>
      </c>
      <c r="G50" s="16">
        <v>500</v>
      </c>
      <c r="H50" s="17">
        <v>2</v>
      </c>
      <c r="I50" s="15">
        <v>0</v>
      </c>
      <c r="J50" s="16">
        <v>0</v>
      </c>
      <c r="K50" s="15">
        <v>0</v>
      </c>
      <c r="L50" s="16">
        <v>0</v>
      </c>
      <c r="M50" s="17">
        <v>0</v>
      </c>
      <c r="N50" s="17">
        <v>0</v>
      </c>
      <c r="O50" s="15">
        <v>0</v>
      </c>
      <c r="P50" s="15">
        <v>0</v>
      </c>
      <c r="Q50" s="15">
        <v>0</v>
      </c>
      <c r="R50" s="15">
        <v>0</v>
      </c>
      <c r="S50" s="14" t="s">
        <v>95</v>
      </c>
      <c r="T50" s="18">
        <v>23</v>
      </c>
    </row>
    <row r="51" spans="1:20" ht="14.4">
      <c r="A51" s="26">
        <v>340354</v>
      </c>
      <c r="B51" s="19" t="s">
        <v>85</v>
      </c>
      <c r="C51" s="19" t="s">
        <v>89</v>
      </c>
      <c r="D51" s="20">
        <v>500</v>
      </c>
      <c r="E51" s="20">
        <v>35</v>
      </c>
      <c r="F51" s="20">
        <v>0</v>
      </c>
      <c r="G51" s="21">
        <v>465</v>
      </c>
      <c r="H51" s="22">
        <v>1</v>
      </c>
      <c r="I51" s="20">
        <v>0</v>
      </c>
      <c r="J51" s="21">
        <v>0</v>
      </c>
      <c r="K51" s="20">
        <v>0</v>
      </c>
      <c r="L51" s="21">
        <v>0</v>
      </c>
      <c r="M51" s="22">
        <v>0</v>
      </c>
      <c r="N51" s="22">
        <v>0</v>
      </c>
      <c r="O51" s="20">
        <v>0</v>
      </c>
      <c r="P51" s="20">
        <v>0</v>
      </c>
      <c r="Q51" s="20">
        <v>35</v>
      </c>
      <c r="R51" s="20">
        <v>0</v>
      </c>
      <c r="S51" s="19" t="s">
        <v>87</v>
      </c>
      <c r="T51" s="23">
        <v>21</v>
      </c>
    </row>
    <row r="52" spans="1:20" ht="14.4">
      <c r="A52" s="13">
        <v>340949</v>
      </c>
      <c r="B52" s="14" t="s">
        <v>88</v>
      </c>
      <c r="C52" s="14" t="s">
        <v>47</v>
      </c>
      <c r="D52" s="15">
        <v>494</v>
      </c>
      <c r="E52" s="15">
        <v>0</v>
      </c>
      <c r="F52" s="15">
        <v>0</v>
      </c>
      <c r="G52" s="16">
        <v>0</v>
      </c>
      <c r="H52" s="17">
        <v>0</v>
      </c>
      <c r="I52" s="15">
        <v>0</v>
      </c>
      <c r="J52" s="16">
        <v>0</v>
      </c>
      <c r="K52" s="15">
        <v>0</v>
      </c>
      <c r="L52" s="16">
        <v>0</v>
      </c>
      <c r="M52" s="17">
        <v>0</v>
      </c>
      <c r="N52" s="17">
        <v>0</v>
      </c>
      <c r="O52" s="15">
        <v>0</v>
      </c>
      <c r="P52" s="15">
        <v>0</v>
      </c>
      <c r="Q52" s="25"/>
      <c r="R52" s="15">
        <v>0</v>
      </c>
      <c r="S52" s="14" t="s">
        <v>91</v>
      </c>
      <c r="T52" s="18">
        <v>0</v>
      </c>
    </row>
    <row r="53" spans="1:20" ht="14.4">
      <c r="A53" s="26">
        <v>340169</v>
      </c>
      <c r="B53" s="19" t="s">
        <v>85</v>
      </c>
      <c r="C53" s="19" t="s">
        <v>89</v>
      </c>
      <c r="D53" s="20">
        <v>475</v>
      </c>
      <c r="E53" s="20">
        <v>35</v>
      </c>
      <c r="F53" s="20">
        <v>0</v>
      </c>
      <c r="G53" s="21">
        <v>440</v>
      </c>
      <c r="H53" s="22">
        <v>3</v>
      </c>
      <c r="I53" s="20">
        <v>0</v>
      </c>
      <c r="J53" s="21">
        <v>0</v>
      </c>
      <c r="K53" s="20">
        <v>0</v>
      </c>
      <c r="L53" s="21">
        <v>0</v>
      </c>
      <c r="M53" s="22">
        <v>0</v>
      </c>
      <c r="N53" s="22">
        <v>0</v>
      </c>
      <c r="O53" s="20">
        <v>0</v>
      </c>
      <c r="P53" s="20">
        <v>0</v>
      </c>
      <c r="Q53" s="20">
        <v>20</v>
      </c>
      <c r="R53" s="20">
        <v>0</v>
      </c>
      <c r="S53" s="19" t="s">
        <v>87</v>
      </c>
      <c r="T53" s="23">
        <v>20</v>
      </c>
    </row>
    <row r="54" spans="1:20" ht="14.4">
      <c r="A54" s="13">
        <v>340640</v>
      </c>
      <c r="B54" s="14" t="s">
        <v>85</v>
      </c>
      <c r="C54" s="14" t="s">
        <v>94</v>
      </c>
      <c r="D54" s="15">
        <v>475</v>
      </c>
      <c r="E54" s="15">
        <v>0</v>
      </c>
      <c r="F54" s="15">
        <v>0</v>
      </c>
      <c r="G54" s="16">
        <v>475</v>
      </c>
      <c r="H54" s="17">
        <v>1</v>
      </c>
      <c r="I54" s="15">
        <v>0</v>
      </c>
      <c r="J54" s="16">
        <v>0</v>
      </c>
      <c r="K54" s="15">
        <v>0</v>
      </c>
      <c r="L54" s="16">
        <v>0</v>
      </c>
      <c r="M54" s="17">
        <v>0</v>
      </c>
      <c r="N54" s="17">
        <v>0</v>
      </c>
      <c r="O54" s="15">
        <v>0</v>
      </c>
      <c r="P54" s="15">
        <v>0</v>
      </c>
      <c r="Q54" s="15">
        <v>0</v>
      </c>
      <c r="R54" s="15">
        <v>0</v>
      </c>
      <c r="S54" s="14" t="s">
        <v>95</v>
      </c>
      <c r="T54" s="18">
        <v>21</v>
      </c>
    </row>
    <row r="55" spans="1:20" ht="14.4">
      <c r="A55" s="26">
        <v>340897</v>
      </c>
      <c r="B55" s="19" t="s">
        <v>88</v>
      </c>
      <c r="C55" s="19" t="s">
        <v>44</v>
      </c>
      <c r="D55" s="20">
        <v>456</v>
      </c>
      <c r="E55" s="20">
        <v>0</v>
      </c>
      <c r="F55" s="20">
        <v>0</v>
      </c>
      <c r="G55" s="21">
        <v>0</v>
      </c>
      <c r="H55" s="22">
        <v>0</v>
      </c>
      <c r="I55" s="20">
        <v>0</v>
      </c>
      <c r="J55" s="21">
        <v>0</v>
      </c>
      <c r="K55" s="20">
        <v>0</v>
      </c>
      <c r="L55" s="21">
        <v>0</v>
      </c>
      <c r="M55" s="22">
        <v>0</v>
      </c>
      <c r="N55" s="22">
        <v>0</v>
      </c>
      <c r="O55" s="20">
        <v>0</v>
      </c>
      <c r="P55" s="20">
        <v>0</v>
      </c>
      <c r="Q55" s="27"/>
      <c r="R55" s="20">
        <v>0</v>
      </c>
      <c r="S55" s="19" t="s">
        <v>91</v>
      </c>
      <c r="T55" s="23">
        <v>0</v>
      </c>
    </row>
    <row r="56" spans="1:20" ht="14.4">
      <c r="A56" s="13">
        <v>340692</v>
      </c>
      <c r="B56" s="14" t="s">
        <v>85</v>
      </c>
      <c r="C56" s="14" t="s">
        <v>94</v>
      </c>
      <c r="D56" s="15">
        <v>450</v>
      </c>
      <c r="E56" s="15">
        <v>0</v>
      </c>
      <c r="F56" s="15">
        <v>0</v>
      </c>
      <c r="G56" s="16">
        <v>450</v>
      </c>
      <c r="H56" s="17">
        <v>1</v>
      </c>
      <c r="I56" s="15">
        <v>0</v>
      </c>
      <c r="J56" s="16">
        <v>0</v>
      </c>
      <c r="K56" s="15">
        <v>0</v>
      </c>
      <c r="L56" s="16">
        <v>0</v>
      </c>
      <c r="M56" s="17">
        <v>0</v>
      </c>
      <c r="N56" s="17">
        <v>0</v>
      </c>
      <c r="O56" s="15">
        <v>0</v>
      </c>
      <c r="P56" s="15">
        <v>0</v>
      </c>
      <c r="Q56" s="15">
        <v>0</v>
      </c>
      <c r="R56" s="15">
        <v>0</v>
      </c>
      <c r="S56" s="14" t="s">
        <v>95</v>
      </c>
      <c r="T56" s="18">
        <v>20</v>
      </c>
    </row>
    <row r="57" spans="1:20" ht="14.4">
      <c r="A57" s="26">
        <v>340985</v>
      </c>
      <c r="B57" s="19" t="s">
        <v>88</v>
      </c>
      <c r="C57" s="19" t="s">
        <v>37</v>
      </c>
      <c r="D57" s="20">
        <v>450</v>
      </c>
      <c r="E57" s="20">
        <v>0</v>
      </c>
      <c r="F57" s="20">
        <v>0</v>
      </c>
      <c r="G57" s="21">
        <v>0</v>
      </c>
      <c r="H57" s="22">
        <v>0</v>
      </c>
      <c r="I57" s="20">
        <v>0</v>
      </c>
      <c r="J57" s="21">
        <v>0</v>
      </c>
      <c r="K57" s="20">
        <v>0</v>
      </c>
      <c r="L57" s="21">
        <v>0</v>
      </c>
      <c r="M57" s="22">
        <v>0</v>
      </c>
      <c r="N57" s="22">
        <v>0</v>
      </c>
      <c r="O57" s="20">
        <v>0</v>
      </c>
      <c r="P57" s="20">
        <v>0</v>
      </c>
      <c r="Q57" s="27"/>
      <c r="R57" s="20">
        <v>0</v>
      </c>
      <c r="S57" s="19" t="s">
        <v>87</v>
      </c>
      <c r="T57" s="23">
        <v>0</v>
      </c>
    </row>
    <row r="58" spans="1:20" ht="14.4">
      <c r="A58" s="13">
        <v>340926</v>
      </c>
      <c r="B58" s="14" t="s">
        <v>88</v>
      </c>
      <c r="C58" s="14" t="s">
        <v>97</v>
      </c>
      <c r="D58" s="15">
        <v>445</v>
      </c>
      <c r="E58" s="15">
        <v>0</v>
      </c>
      <c r="F58" s="15">
        <v>0</v>
      </c>
      <c r="G58" s="16">
        <v>0</v>
      </c>
      <c r="H58" s="17">
        <v>0</v>
      </c>
      <c r="I58" s="15">
        <v>0</v>
      </c>
      <c r="J58" s="16">
        <v>0</v>
      </c>
      <c r="K58" s="15">
        <v>0</v>
      </c>
      <c r="L58" s="16">
        <v>0</v>
      </c>
      <c r="M58" s="17">
        <v>0</v>
      </c>
      <c r="N58" s="17">
        <v>0</v>
      </c>
      <c r="O58" s="15">
        <v>0</v>
      </c>
      <c r="P58" s="15">
        <v>0</v>
      </c>
      <c r="Q58" s="25"/>
      <c r="R58" s="15">
        <v>0</v>
      </c>
      <c r="S58" s="14" t="s">
        <v>93</v>
      </c>
      <c r="T58" s="18">
        <v>0</v>
      </c>
    </row>
    <row r="59" spans="1:20" ht="14.4">
      <c r="A59" s="26">
        <v>340889</v>
      </c>
      <c r="B59" s="19" t="s">
        <v>88</v>
      </c>
      <c r="C59" s="19" t="s">
        <v>37</v>
      </c>
      <c r="D59" s="20">
        <v>440</v>
      </c>
      <c r="E59" s="20">
        <v>0</v>
      </c>
      <c r="F59" s="20">
        <v>0</v>
      </c>
      <c r="G59" s="21">
        <v>0</v>
      </c>
      <c r="H59" s="22">
        <v>0</v>
      </c>
      <c r="I59" s="20">
        <v>0</v>
      </c>
      <c r="J59" s="21">
        <v>0</v>
      </c>
      <c r="K59" s="20">
        <v>0</v>
      </c>
      <c r="L59" s="21">
        <v>0</v>
      </c>
      <c r="M59" s="22">
        <v>0</v>
      </c>
      <c r="N59" s="22">
        <v>0</v>
      </c>
      <c r="O59" s="20">
        <v>0</v>
      </c>
      <c r="P59" s="20">
        <v>0</v>
      </c>
      <c r="Q59" s="27"/>
      <c r="R59" s="20">
        <v>0</v>
      </c>
      <c r="S59" s="19" t="s">
        <v>87</v>
      </c>
      <c r="T59" s="23">
        <v>0</v>
      </c>
    </row>
    <row r="60" spans="1:20" ht="14.4">
      <c r="A60" s="13">
        <v>341019</v>
      </c>
      <c r="B60" s="14" t="s">
        <v>88</v>
      </c>
      <c r="C60" s="14" t="s">
        <v>38</v>
      </c>
      <c r="D60" s="15">
        <v>435</v>
      </c>
      <c r="E60" s="15">
        <v>0</v>
      </c>
      <c r="F60" s="15">
        <v>0</v>
      </c>
      <c r="G60" s="16">
        <v>0</v>
      </c>
      <c r="H60" s="17">
        <v>0</v>
      </c>
      <c r="I60" s="15">
        <v>0</v>
      </c>
      <c r="J60" s="16">
        <v>0</v>
      </c>
      <c r="K60" s="15">
        <v>0</v>
      </c>
      <c r="L60" s="16">
        <v>0</v>
      </c>
      <c r="M60" s="17">
        <v>0</v>
      </c>
      <c r="N60" s="17">
        <v>0</v>
      </c>
      <c r="O60" s="15">
        <v>0</v>
      </c>
      <c r="P60" s="15">
        <v>0</v>
      </c>
      <c r="Q60" s="25"/>
      <c r="R60" s="15">
        <v>0</v>
      </c>
      <c r="S60" s="14" t="s">
        <v>91</v>
      </c>
      <c r="T60" s="18">
        <v>0</v>
      </c>
    </row>
    <row r="61" spans="1:20" ht="14.4">
      <c r="A61" s="26">
        <v>340988</v>
      </c>
      <c r="B61" s="19" t="s">
        <v>88</v>
      </c>
      <c r="C61" s="19" t="s">
        <v>37</v>
      </c>
      <c r="D61" s="20">
        <v>430</v>
      </c>
      <c r="E61" s="20">
        <v>0</v>
      </c>
      <c r="F61" s="20">
        <v>0</v>
      </c>
      <c r="G61" s="21">
        <v>0</v>
      </c>
      <c r="H61" s="22">
        <v>0</v>
      </c>
      <c r="I61" s="20">
        <v>0</v>
      </c>
      <c r="J61" s="21">
        <v>0</v>
      </c>
      <c r="K61" s="20">
        <v>0</v>
      </c>
      <c r="L61" s="21">
        <v>0</v>
      </c>
      <c r="M61" s="22">
        <v>0</v>
      </c>
      <c r="N61" s="22">
        <v>0</v>
      </c>
      <c r="O61" s="20">
        <v>0</v>
      </c>
      <c r="P61" s="20">
        <v>0</v>
      </c>
      <c r="Q61" s="27"/>
      <c r="R61" s="20">
        <v>0</v>
      </c>
      <c r="S61" s="19" t="s">
        <v>87</v>
      </c>
      <c r="T61" s="23">
        <v>0</v>
      </c>
    </row>
    <row r="62" spans="1:20" ht="14.4">
      <c r="A62" s="13">
        <v>341040</v>
      </c>
      <c r="B62" s="14" t="s">
        <v>88</v>
      </c>
      <c r="C62" s="14" t="s">
        <v>38</v>
      </c>
      <c r="D62" s="15">
        <v>425</v>
      </c>
      <c r="E62" s="15">
        <v>0</v>
      </c>
      <c r="F62" s="15">
        <v>0</v>
      </c>
      <c r="G62" s="16">
        <v>0</v>
      </c>
      <c r="H62" s="17">
        <v>0</v>
      </c>
      <c r="I62" s="15">
        <v>0</v>
      </c>
      <c r="J62" s="16">
        <v>0</v>
      </c>
      <c r="K62" s="15">
        <v>0</v>
      </c>
      <c r="L62" s="16">
        <v>0</v>
      </c>
      <c r="M62" s="17">
        <v>0</v>
      </c>
      <c r="N62" s="17">
        <v>0</v>
      </c>
      <c r="O62" s="15">
        <v>0</v>
      </c>
      <c r="P62" s="15">
        <v>0</v>
      </c>
      <c r="Q62" s="25"/>
      <c r="R62" s="15">
        <v>0</v>
      </c>
      <c r="S62" s="14" t="s">
        <v>91</v>
      </c>
      <c r="T62" s="18">
        <v>0</v>
      </c>
    </row>
    <row r="63" spans="1:20" ht="14.4">
      <c r="A63" s="26">
        <v>341074</v>
      </c>
      <c r="B63" s="19" t="s">
        <v>88</v>
      </c>
      <c r="C63" s="19" t="s">
        <v>99</v>
      </c>
      <c r="D63" s="20">
        <v>417</v>
      </c>
      <c r="E63" s="20">
        <v>0</v>
      </c>
      <c r="F63" s="20">
        <v>0</v>
      </c>
      <c r="G63" s="21">
        <v>0</v>
      </c>
      <c r="H63" s="22">
        <v>0</v>
      </c>
      <c r="I63" s="20">
        <v>0</v>
      </c>
      <c r="J63" s="21">
        <v>0</v>
      </c>
      <c r="K63" s="20">
        <v>0</v>
      </c>
      <c r="L63" s="21">
        <v>0</v>
      </c>
      <c r="M63" s="22">
        <v>0</v>
      </c>
      <c r="N63" s="22">
        <v>0</v>
      </c>
      <c r="O63" s="20">
        <v>0</v>
      </c>
      <c r="P63" s="20">
        <v>0</v>
      </c>
      <c r="Q63" s="27"/>
      <c r="R63" s="20">
        <v>0</v>
      </c>
      <c r="S63" s="19" t="s">
        <v>100</v>
      </c>
      <c r="T63" s="23">
        <v>0</v>
      </c>
    </row>
    <row r="64" spans="1:20" ht="14.4">
      <c r="A64" s="13">
        <v>340951</v>
      </c>
      <c r="B64" s="14" t="s">
        <v>88</v>
      </c>
      <c r="C64" s="14" t="s">
        <v>38</v>
      </c>
      <c r="D64" s="15">
        <v>412</v>
      </c>
      <c r="E64" s="15">
        <v>0</v>
      </c>
      <c r="F64" s="15">
        <v>0</v>
      </c>
      <c r="G64" s="16">
        <v>0</v>
      </c>
      <c r="H64" s="17">
        <v>0</v>
      </c>
      <c r="I64" s="15">
        <v>0</v>
      </c>
      <c r="J64" s="16">
        <v>0</v>
      </c>
      <c r="K64" s="15">
        <v>0</v>
      </c>
      <c r="L64" s="16">
        <v>0</v>
      </c>
      <c r="M64" s="17">
        <v>0</v>
      </c>
      <c r="N64" s="17">
        <v>0</v>
      </c>
      <c r="O64" s="15">
        <v>0</v>
      </c>
      <c r="P64" s="15">
        <v>0</v>
      </c>
      <c r="Q64" s="25"/>
      <c r="R64" s="15">
        <v>0</v>
      </c>
      <c r="S64" s="14" t="s">
        <v>91</v>
      </c>
      <c r="T64" s="18">
        <v>0</v>
      </c>
    </row>
    <row r="65" spans="1:20" ht="14.4">
      <c r="A65" s="26">
        <v>339763</v>
      </c>
      <c r="B65" s="19" t="s">
        <v>85</v>
      </c>
      <c r="C65" s="19" t="s">
        <v>43</v>
      </c>
      <c r="D65" s="20">
        <v>400</v>
      </c>
      <c r="E65" s="20">
        <v>0</v>
      </c>
      <c r="F65" s="20">
        <v>0</v>
      </c>
      <c r="G65" s="21">
        <v>400</v>
      </c>
      <c r="H65" s="22">
        <v>1</v>
      </c>
      <c r="I65" s="20">
        <v>0</v>
      </c>
      <c r="J65" s="21">
        <v>0</v>
      </c>
      <c r="K65" s="20">
        <v>0</v>
      </c>
      <c r="L65" s="21">
        <v>0</v>
      </c>
      <c r="M65" s="22">
        <v>0</v>
      </c>
      <c r="N65" s="22">
        <v>0</v>
      </c>
      <c r="O65" s="20">
        <v>0</v>
      </c>
      <c r="P65" s="20">
        <v>0</v>
      </c>
      <c r="Q65" s="20">
        <v>120</v>
      </c>
      <c r="R65" s="20">
        <v>0</v>
      </c>
      <c r="S65" s="19" t="s">
        <v>87</v>
      </c>
      <c r="T65" s="23">
        <v>18</v>
      </c>
    </row>
    <row r="66" spans="1:20" ht="14.4">
      <c r="A66" s="13">
        <v>340726</v>
      </c>
      <c r="B66" s="14" t="s">
        <v>88</v>
      </c>
      <c r="C66" s="14" t="s">
        <v>38</v>
      </c>
      <c r="D66" s="15">
        <v>400</v>
      </c>
      <c r="E66" s="15">
        <v>0</v>
      </c>
      <c r="F66" s="15">
        <v>0</v>
      </c>
      <c r="G66" s="16">
        <v>0</v>
      </c>
      <c r="H66" s="17">
        <v>0</v>
      </c>
      <c r="I66" s="15">
        <v>0</v>
      </c>
      <c r="J66" s="16">
        <v>0</v>
      </c>
      <c r="K66" s="15">
        <v>0</v>
      </c>
      <c r="L66" s="16">
        <v>0</v>
      </c>
      <c r="M66" s="17">
        <v>0</v>
      </c>
      <c r="N66" s="17">
        <v>0</v>
      </c>
      <c r="O66" s="15">
        <v>0</v>
      </c>
      <c r="P66" s="15">
        <v>0</v>
      </c>
      <c r="Q66" s="25"/>
      <c r="R66" s="15">
        <v>0</v>
      </c>
      <c r="S66" s="14" t="s">
        <v>91</v>
      </c>
      <c r="T66" s="18">
        <v>0</v>
      </c>
    </row>
    <row r="67" spans="1:20" ht="14.4">
      <c r="A67" s="26">
        <v>340897</v>
      </c>
      <c r="B67" s="19" t="s">
        <v>88</v>
      </c>
      <c r="C67" s="19" t="s">
        <v>44</v>
      </c>
      <c r="D67" s="20">
        <v>397</v>
      </c>
      <c r="E67" s="20">
        <v>0</v>
      </c>
      <c r="F67" s="20">
        <v>0</v>
      </c>
      <c r="G67" s="21">
        <v>0</v>
      </c>
      <c r="H67" s="22">
        <v>0</v>
      </c>
      <c r="I67" s="20">
        <v>0</v>
      </c>
      <c r="J67" s="21">
        <v>0</v>
      </c>
      <c r="K67" s="20">
        <v>0</v>
      </c>
      <c r="L67" s="21">
        <v>0</v>
      </c>
      <c r="M67" s="22">
        <v>0</v>
      </c>
      <c r="N67" s="22">
        <v>0</v>
      </c>
      <c r="O67" s="20">
        <v>0</v>
      </c>
      <c r="P67" s="20">
        <v>0</v>
      </c>
      <c r="Q67" s="27"/>
      <c r="R67" s="20">
        <v>0</v>
      </c>
      <c r="S67" s="19" t="s">
        <v>91</v>
      </c>
      <c r="T67" s="23">
        <v>0</v>
      </c>
    </row>
    <row r="68" spans="1:20" ht="14.4">
      <c r="A68" s="13">
        <v>340839</v>
      </c>
      <c r="B68" s="14" t="s">
        <v>85</v>
      </c>
      <c r="C68" s="14" t="s">
        <v>94</v>
      </c>
      <c r="D68" s="15">
        <v>375</v>
      </c>
      <c r="E68" s="15">
        <v>0</v>
      </c>
      <c r="F68" s="15">
        <v>0</v>
      </c>
      <c r="G68" s="16">
        <v>375</v>
      </c>
      <c r="H68" s="17">
        <v>1</v>
      </c>
      <c r="I68" s="15">
        <v>0</v>
      </c>
      <c r="J68" s="16">
        <v>0</v>
      </c>
      <c r="K68" s="15">
        <v>0</v>
      </c>
      <c r="L68" s="16">
        <v>0</v>
      </c>
      <c r="M68" s="17">
        <v>0</v>
      </c>
      <c r="N68" s="17">
        <v>0</v>
      </c>
      <c r="O68" s="15">
        <v>0</v>
      </c>
      <c r="P68" s="15">
        <v>0</v>
      </c>
      <c r="Q68" s="15">
        <v>0</v>
      </c>
      <c r="R68" s="15">
        <v>0</v>
      </c>
      <c r="S68" s="14" t="s">
        <v>95</v>
      </c>
      <c r="T68" s="18">
        <v>17</v>
      </c>
    </row>
    <row r="69" spans="1:20" ht="14.4">
      <c r="A69" s="26">
        <v>340171</v>
      </c>
      <c r="B69" s="19" t="s">
        <v>85</v>
      </c>
      <c r="C69" s="19" t="s">
        <v>44</v>
      </c>
      <c r="D69" s="20">
        <v>350</v>
      </c>
      <c r="E69" s="20">
        <v>35</v>
      </c>
      <c r="F69" s="20">
        <v>0</v>
      </c>
      <c r="G69" s="21">
        <v>315</v>
      </c>
      <c r="H69" s="22">
        <v>1</v>
      </c>
      <c r="I69" s="20">
        <v>0</v>
      </c>
      <c r="J69" s="21">
        <v>0</v>
      </c>
      <c r="K69" s="20">
        <v>0</v>
      </c>
      <c r="L69" s="21">
        <v>0</v>
      </c>
      <c r="M69" s="22">
        <v>0</v>
      </c>
      <c r="N69" s="22">
        <v>0</v>
      </c>
      <c r="O69" s="20">
        <v>0</v>
      </c>
      <c r="P69" s="20">
        <v>0</v>
      </c>
      <c r="Q69" s="20">
        <v>15</v>
      </c>
      <c r="R69" s="20">
        <v>0</v>
      </c>
      <c r="S69" s="19" t="s">
        <v>91</v>
      </c>
      <c r="T69" s="23">
        <v>14</v>
      </c>
    </row>
    <row r="70" spans="1:20" ht="14.4">
      <c r="A70" s="13">
        <v>340685</v>
      </c>
      <c r="B70" s="14" t="s">
        <v>85</v>
      </c>
      <c r="C70" s="14" t="s">
        <v>94</v>
      </c>
      <c r="D70" s="15">
        <v>350</v>
      </c>
      <c r="E70" s="15">
        <v>0</v>
      </c>
      <c r="F70" s="15">
        <v>0</v>
      </c>
      <c r="G70" s="16">
        <v>350</v>
      </c>
      <c r="H70" s="17">
        <v>1</v>
      </c>
      <c r="I70" s="15">
        <v>0</v>
      </c>
      <c r="J70" s="16">
        <v>0</v>
      </c>
      <c r="K70" s="15">
        <v>0</v>
      </c>
      <c r="L70" s="16">
        <v>0</v>
      </c>
      <c r="M70" s="17">
        <v>0</v>
      </c>
      <c r="N70" s="17">
        <v>0</v>
      </c>
      <c r="O70" s="15">
        <v>0</v>
      </c>
      <c r="P70" s="15">
        <v>0</v>
      </c>
      <c r="Q70" s="15">
        <v>0</v>
      </c>
      <c r="R70" s="15">
        <v>0</v>
      </c>
      <c r="S70" s="14" t="s">
        <v>95</v>
      </c>
      <c r="T70" s="18">
        <v>16</v>
      </c>
    </row>
    <row r="71" spans="1:20" ht="14.4">
      <c r="A71" s="26">
        <v>341055</v>
      </c>
      <c r="B71" s="19" t="s">
        <v>88</v>
      </c>
      <c r="C71" s="19" t="s">
        <v>97</v>
      </c>
      <c r="D71" s="20">
        <v>350</v>
      </c>
      <c r="E71" s="20">
        <v>0</v>
      </c>
      <c r="F71" s="20">
        <v>0</v>
      </c>
      <c r="G71" s="21">
        <v>0</v>
      </c>
      <c r="H71" s="22">
        <v>0</v>
      </c>
      <c r="I71" s="20">
        <v>0</v>
      </c>
      <c r="J71" s="21">
        <v>0</v>
      </c>
      <c r="K71" s="20">
        <v>0</v>
      </c>
      <c r="L71" s="21">
        <v>0</v>
      </c>
      <c r="M71" s="22">
        <v>0</v>
      </c>
      <c r="N71" s="22">
        <v>0</v>
      </c>
      <c r="O71" s="20">
        <v>0</v>
      </c>
      <c r="P71" s="20">
        <v>0</v>
      </c>
      <c r="Q71" s="27"/>
      <c r="R71" s="20">
        <v>0</v>
      </c>
      <c r="S71" s="19" t="s">
        <v>93</v>
      </c>
      <c r="T71" s="23">
        <v>0</v>
      </c>
    </row>
    <row r="72" spans="1:20" ht="14.4">
      <c r="A72" s="13">
        <v>340998</v>
      </c>
      <c r="B72" s="14" t="s">
        <v>88</v>
      </c>
      <c r="C72" s="14" t="s">
        <v>98</v>
      </c>
      <c r="D72" s="15">
        <v>338</v>
      </c>
      <c r="E72" s="15">
        <v>0</v>
      </c>
      <c r="F72" s="15">
        <v>0</v>
      </c>
      <c r="G72" s="16">
        <v>0</v>
      </c>
      <c r="H72" s="17">
        <v>0</v>
      </c>
      <c r="I72" s="15">
        <v>0</v>
      </c>
      <c r="J72" s="16">
        <v>0</v>
      </c>
      <c r="K72" s="15">
        <v>0</v>
      </c>
      <c r="L72" s="16">
        <v>0</v>
      </c>
      <c r="M72" s="17">
        <v>0</v>
      </c>
      <c r="N72" s="17">
        <v>0</v>
      </c>
      <c r="O72" s="15">
        <v>0</v>
      </c>
      <c r="P72" s="15">
        <v>0</v>
      </c>
      <c r="Q72" s="25"/>
      <c r="R72" s="15">
        <v>0</v>
      </c>
      <c r="S72" s="14" t="s">
        <v>87</v>
      </c>
      <c r="T72" s="18">
        <v>0</v>
      </c>
    </row>
    <row r="73" spans="1:20" ht="14.4">
      <c r="A73" s="26">
        <v>340301</v>
      </c>
      <c r="B73" s="19" t="s">
        <v>85</v>
      </c>
      <c r="C73" s="19" t="s">
        <v>86</v>
      </c>
      <c r="D73" s="20">
        <v>325</v>
      </c>
      <c r="E73" s="20">
        <v>35</v>
      </c>
      <c r="F73" s="20">
        <v>0</v>
      </c>
      <c r="G73" s="21">
        <v>290</v>
      </c>
      <c r="H73" s="22">
        <v>1</v>
      </c>
      <c r="I73" s="20">
        <v>0</v>
      </c>
      <c r="J73" s="21">
        <v>0</v>
      </c>
      <c r="K73" s="20">
        <v>0</v>
      </c>
      <c r="L73" s="21">
        <v>0</v>
      </c>
      <c r="M73" s="22">
        <v>0</v>
      </c>
      <c r="N73" s="22">
        <v>0</v>
      </c>
      <c r="O73" s="20">
        <v>0</v>
      </c>
      <c r="P73" s="20">
        <v>0</v>
      </c>
      <c r="Q73" s="20">
        <v>100</v>
      </c>
      <c r="R73" s="20">
        <v>0</v>
      </c>
      <c r="S73" s="19" t="s">
        <v>87</v>
      </c>
      <c r="T73" s="23">
        <v>13</v>
      </c>
    </row>
    <row r="74" spans="1:20" ht="14.4">
      <c r="A74" s="13">
        <v>341106</v>
      </c>
      <c r="B74" s="14" t="s">
        <v>88</v>
      </c>
      <c r="C74" s="14" t="s">
        <v>38</v>
      </c>
      <c r="D74" s="15">
        <v>325</v>
      </c>
      <c r="E74" s="15">
        <v>0</v>
      </c>
      <c r="F74" s="15">
        <v>0</v>
      </c>
      <c r="G74" s="16">
        <v>0</v>
      </c>
      <c r="H74" s="17">
        <v>0</v>
      </c>
      <c r="I74" s="15">
        <v>0</v>
      </c>
      <c r="J74" s="16">
        <v>0</v>
      </c>
      <c r="K74" s="15">
        <v>0</v>
      </c>
      <c r="L74" s="16">
        <v>0</v>
      </c>
      <c r="M74" s="17">
        <v>0</v>
      </c>
      <c r="N74" s="17">
        <v>0</v>
      </c>
      <c r="O74" s="15">
        <v>0</v>
      </c>
      <c r="P74" s="15">
        <v>0</v>
      </c>
      <c r="Q74" s="25"/>
      <c r="R74" s="15">
        <v>0</v>
      </c>
      <c r="S74" s="14" t="s">
        <v>91</v>
      </c>
      <c r="T74" s="18">
        <v>0</v>
      </c>
    </row>
    <row r="75" spans="1:20" ht="14.4">
      <c r="A75" s="26">
        <v>340932</v>
      </c>
      <c r="B75" s="19" t="s">
        <v>85</v>
      </c>
      <c r="C75" s="19" t="s">
        <v>59</v>
      </c>
      <c r="D75" s="20">
        <v>310</v>
      </c>
      <c r="E75" s="20">
        <v>35</v>
      </c>
      <c r="F75" s="20">
        <v>0</v>
      </c>
      <c r="G75" s="21">
        <v>275</v>
      </c>
      <c r="H75" s="22">
        <v>1</v>
      </c>
      <c r="I75" s="20">
        <v>0</v>
      </c>
      <c r="J75" s="21">
        <v>0</v>
      </c>
      <c r="K75" s="20">
        <v>0</v>
      </c>
      <c r="L75" s="21">
        <v>0</v>
      </c>
      <c r="M75" s="22">
        <v>0</v>
      </c>
      <c r="N75" s="22">
        <v>0</v>
      </c>
      <c r="O75" s="20">
        <v>0</v>
      </c>
      <c r="P75" s="20">
        <v>0</v>
      </c>
      <c r="Q75" s="20">
        <v>0</v>
      </c>
      <c r="R75" s="20">
        <v>100</v>
      </c>
      <c r="S75" s="19" t="s">
        <v>87</v>
      </c>
      <c r="T75" s="23">
        <v>12</v>
      </c>
    </row>
    <row r="76" spans="1:20" ht="14.4">
      <c r="A76" s="13">
        <v>340933</v>
      </c>
      <c r="B76" s="14" t="s">
        <v>88</v>
      </c>
      <c r="C76" s="14" t="s">
        <v>89</v>
      </c>
      <c r="D76" s="15">
        <v>305</v>
      </c>
      <c r="E76" s="15">
        <v>0</v>
      </c>
      <c r="F76" s="15">
        <v>0</v>
      </c>
      <c r="G76" s="16">
        <v>0</v>
      </c>
      <c r="H76" s="17">
        <v>0</v>
      </c>
      <c r="I76" s="15">
        <v>0</v>
      </c>
      <c r="J76" s="16">
        <v>0</v>
      </c>
      <c r="K76" s="15">
        <v>0</v>
      </c>
      <c r="L76" s="16">
        <v>0</v>
      </c>
      <c r="M76" s="17">
        <v>0</v>
      </c>
      <c r="N76" s="17">
        <v>0</v>
      </c>
      <c r="O76" s="15">
        <v>0</v>
      </c>
      <c r="P76" s="15">
        <v>0</v>
      </c>
      <c r="Q76" s="25"/>
      <c r="R76" s="15">
        <v>0</v>
      </c>
      <c r="S76" s="14" t="s">
        <v>87</v>
      </c>
      <c r="T76" s="18">
        <v>0</v>
      </c>
    </row>
    <row r="77" spans="1:20" ht="14.4">
      <c r="A77" s="26">
        <v>340771</v>
      </c>
      <c r="B77" s="19" t="s">
        <v>88</v>
      </c>
      <c r="C77" s="19" t="s">
        <v>60</v>
      </c>
      <c r="D77" s="20">
        <v>300</v>
      </c>
      <c r="E77" s="20">
        <v>0</v>
      </c>
      <c r="F77" s="20">
        <v>0</v>
      </c>
      <c r="G77" s="21">
        <v>0</v>
      </c>
      <c r="H77" s="22">
        <v>0</v>
      </c>
      <c r="I77" s="20">
        <v>0</v>
      </c>
      <c r="J77" s="21">
        <v>0</v>
      </c>
      <c r="K77" s="20">
        <v>0</v>
      </c>
      <c r="L77" s="21">
        <v>0</v>
      </c>
      <c r="M77" s="22">
        <v>0</v>
      </c>
      <c r="N77" s="22">
        <v>0</v>
      </c>
      <c r="O77" s="20">
        <v>0</v>
      </c>
      <c r="P77" s="20">
        <v>0</v>
      </c>
      <c r="Q77" s="27"/>
      <c r="R77" s="20">
        <v>0</v>
      </c>
      <c r="S77" s="19" t="s">
        <v>87</v>
      </c>
      <c r="T77" s="23">
        <v>0</v>
      </c>
    </row>
    <row r="78" spans="1:20" ht="14.4">
      <c r="A78" s="13">
        <v>340732</v>
      </c>
      <c r="B78" s="14" t="s">
        <v>85</v>
      </c>
      <c r="C78" s="14" t="s">
        <v>47</v>
      </c>
      <c r="D78" s="15">
        <v>300</v>
      </c>
      <c r="E78" s="15">
        <v>35</v>
      </c>
      <c r="F78" s="15">
        <v>0</v>
      </c>
      <c r="G78" s="16">
        <v>265</v>
      </c>
      <c r="H78" s="17">
        <v>2</v>
      </c>
      <c r="I78" s="15">
        <v>0</v>
      </c>
      <c r="J78" s="16">
        <v>0</v>
      </c>
      <c r="K78" s="15">
        <v>0</v>
      </c>
      <c r="L78" s="16">
        <v>0</v>
      </c>
      <c r="M78" s="17">
        <v>0</v>
      </c>
      <c r="N78" s="17">
        <v>0</v>
      </c>
      <c r="O78" s="15">
        <v>0</v>
      </c>
      <c r="P78" s="15">
        <v>0</v>
      </c>
      <c r="Q78" s="15">
        <v>0</v>
      </c>
      <c r="R78" s="15">
        <v>0</v>
      </c>
      <c r="S78" s="14" t="s">
        <v>91</v>
      </c>
      <c r="T78" s="18">
        <v>12</v>
      </c>
    </row>
    <row r="79" spans="1:20" ht="14.4">
      <c r="A79" s="26">
        <v>340776</v>
      </c>
      <c r="B79" s="19" t="s">
        <v>85</v>
      </c>
      <c r="C79" s="19" t="s">
        <v>89</v>
      </c>
      <c r="D79" s="20">
        <v>300</v>
      </c>
      <c r="E79" s="20">
        <v>35</v>
      </c>
      <c r="F79" s="20">
        <v>0</v>
      </c>
      <c r="G79" s="21">
        <v>265</v>
      </c>
      <c r="H79" s="22">
        <v>1</v>
      </c>
      <c r="I79" s="20">
        <v>0</v>
      </c>
      <c r="J79" s="21">
        <v>0</v>
      </c>
      <c r="K79" s="20">
        <v>0</v>
      </c>
      <c r="L79" s="21">
        <v>0</v>
      </c>
      <c r="M79" s="22">
        <v>0</v>
      </c>
      <c r="N79" s="22">
        <v>0</v>
      </c>
      <c r="O79" s="20">
        <v>0</v>
      </c>
      <c r="P79" s="20">
        <v>0</v>
      </c>
      <c r="Q79" s="20">
        <v>20</v>
      </c>
      <c r="R79" s="20">
        <v>0</v>
      </c>
      <c r="S79" s="19" t="s">
        <v>87</v>
      </c>
      <c r="T79" s="23">
        <v>12</v>
      </c>
    </row>
    <row r="80" spans="1:20" ht="14.4">
      <c r="A80" s="13">
        <v>341125</v>
      </c>
      <c r="B80" s="14" t="s">
        <v>88</v>
      </c>
      <c r="C80" s="14" t="s">
        <v>97</v>
      </c>
      <c r="D80" s="15">
        <v>292</v>
      </c>
      <c r="E80" s="15">
        <v>0</v>
      </c>
      <c r="F80" s="15">
        <v>0</v>
      </c>
      <c r="G80" s="16">
        <v>0</v>
      </c>
      <c r="H80" s="17">
        <v>0</v>
      </c>
      <c r="I80" s="15">
        <v>0</v>
      </c>
      <c r="J80" s="16">
        <v>0</v>
      </c>
      <c r="K80" s="15">
        <v>0</v>
      </c>
      <c r="L80" s="16">
        <v>0</v>
      </c>
      <c r="M80" s="17">
        <v>0</v>
      </c>
      <c r="N80" s="17">
        <v>0</v>
      </c>
      <c r="O80" s="15">
        <v>0</v>
      </c>
      <c r="P80" s="15">
        <v>0</v>
      </c>
      <c r="Q80" s="25"/>
      <c r="R80" s="15">
        <v>0</v>
      </c>
      <c r="S80" s="14" t="s">
        <v>93</v>
      </c>
      <c r="T80" s="18">
        <v>0</v>
      </c>
    </row>
    <row r="81" spans="1:20" ht="14.4">
      <c r="A81" s="26">
        <v>339668</v>
      </c>
      <c r="B81" s="19" t="s">
        <v>85</v>
      </c>
      <c r="C81" s="19" t="s">
        <v>37</v>
      </c>
      <c r="D81" s="20">
        <v>285</v>
      </c>
      <c r="E81" s="20">
        <v>35</v>
      </c>
      <c r="F81" s="20">
        <v>0</v>
      </c>
      <c r="G81" s="21">
        <v>250</v>
      </c>
      <c r="H81" s="22">
        <v>2</v>
      </c>
      <c r="I81" s="20">
        <v>0</v>
      </c>
      <c r="J81" s="21">
        <v>0</v>
      </c>
      <c r="K81" s="20">
        <v>0</v>
      </c>
      <c r="L81" s="21">
        <v>0</v>
      </c>
      <c r="M81" s="22">
        <v>0</v>
      </c>
      <c r="N81" s="22">
        <v>0</v>
      </c>
      <c r="O81" s="20">
        <v>0</v>
      </c>
      <c r="P81" s="20">
        <v>0</v>
      </c>
      <c r="Q81" s="20">
        <v>0</v>
      </c>
      <c r="R81" s="20">
        <v>0</v>
      </c>
      <c r="S81" s="19" t="s">
        <v>87</v>
      </c>
      <c r="T81" s="23">
        <v>11</v>
      </c>
    </row>
    <row r="82" spans="1:20" ht="14.4">
      <c r="A82" s="13">
        <v>340695</v>
      </c>
      <c r="B82" s="14" t="s">
        <v>85</v>
      </c>
      <c r="C82" s="14" t="s">
        <v>101</v>
      </c>
      <c r="D82" s="15">
        <v>285</v>
      </c>
      <c r="E82" s="15">
        <v>0</v>
      </c>
      <c r="F82" s="15">
        <v>0</v>
      </c>
      <c r="G82" s="16">
        <v>285</v>
      </c>
      <c r="H82" s="17">
        <v>2</v>
      </c>
      <c r="I82" s="15">
        <v>0</v>
      </c>
      <c r="J82" s="16">
        <v>0</v>
      </c>
      <c r="K82" s="15">
        <v>0</v>
      </c>
      <c r="L82" s="16">
        <v>0</v>
      </c>
      <c r="M82" s="17">
        <v>0</v>
      </c>
      <c r="N82" s="17">
        <v>0</v>
      </c>
      <c r="O82" s="15">
        <v>0</v>
      </c>
      <c r="P82" s="15">
        <v>0</v>
      </c>
      <c r="Q82" s="15">
        <v>0</v>
      </c>
      <c r="R82" s="15">
        <v>0</v>
      </c>
      <c r="S82" s="14" t="s">
        <v>95</v>
      </c>
      <c r="T82" s="18">
        <v>13</v>
      </c>
    </row>
    <row r="83" spans="1:20" ht="14.4">
      <c r="A83" s="26">
        <v>341038</v>
      </c>
      <c r="B83" s="19" t="s">
        <v>88</v>
      </c>
      <c r="C83" s="19" t="s">
        <v>86</v>
      </c>
      <c r="D83" s="20">
        <v>274</v>
      </c>
      <c r="E83" s="20">
        <v>0</v>
      </c>
      <c r="F83" s="20">
        <v>0</v>
      </c>
      <c r="G83" s="21">
        <v>0</v>
      </c>
      <c r="H83" s="22">
        <v>0</v>
      </c>
      <c r="I83" s="20">
        <v>0</v>
      </c>
      <c r="J83" s="21">
        <v>0</v>
      </c>
      <c r="K83" s="20">
        <v>0</v>
      </c>
      <c r="L83" s="21">
        <v>0</v>
      </c>
      <c r="M83" s="22">
        <v>0</v>
      </c>
      <c r="N83" s="22">
        <v>0</v>
      </c>
      <c r="O83" s="20">
        <v>0</v>
      </c>
      <c r="P83" s="20">
        <v>0</v>
      </c>
      <c r="Q83" s="27"/>
      <c r="R83" s="20">
        <v>0</v>
      </c>
      <c r="S83" s="19" t="s">
        <v>87</v>
      </c>
      <c r="T83" s="23">
        <v>0</v>
      </c>
    </row>
    <row r="84" spans="1:20" ht="14.4">
      <c r="A84" s="13">
        <v>339956</v>
      </c>
      <c r="B84" s="14" t="s">
        <v>88</v>
      </c>
      <c r="C84" s="14" t="s">
        <v>46</v>
      </c>
      <c r="D84" s="15">
        <v>273</v>
      </c>
      <c r="E84" s="15">
        <v>0</v>
      </c>
      <c r="F84" s="15">
        <v>0</v>
      </c>
      <c r="G84" s="16">
        <v>0</v>
      </c>
      <c r="H84" s="17">
        <v>0</v>
      </c>
      <c r="I84" s="15">
        <v>0</v>
      </c>
      <c r="J84" s="16">
        <v>0</v>
      </c>
      <c r="K84" s="15">
        <v>0</v>
      </c>
      <c r="L84" s="16">
        <v>0</v>
      </c>
      <c r="M84" s="17">
        <v>0</v>
      </c>
      <c r="N84" s="17">
        <v>0</v>
      </c>
      <c r="O84" s="15">
        <v>0</v>
      </c>
      <c r="P84" s="15">
        <v>0</v>
      </c>
      <c r="Q84" s="25"/>
      <c r="R84" s="15">
        <v>0</v>
      </c>
      <c r="S84" s="14" t="s">
        <v>87</v>
      </c>
      <c r="T84" s="18">
        <v>0</v>
      </c>
    </row>
    <row r="85" spans="1:20" ht="14.4">
      <c r="A85" s="28" t="s">
        <v>102</v>
      </c>
      <c r="B85" s="19" t="s">
        <v>85</v>
      </c>
      <c r="C85" s="19" t="s">
        <v>60</v>
      </c>
      <c r="D85" s="20">
        <v>270</v>
      </c>
      <c r="E85" s="20">
        <v>35</v>
      </c>
      <c r="F85" s="20">
        <v>0</v>
      </c>
      <c r="G85" s="21">
        <v>235</v>
      </c>
      <c r="H85" s="22">
        <v>2</v>
      </c>
      <c r="I85" s="20">
        <v>0</v>
      </c>
      <c r="J85" s="21">
        <v>0</v>
      </c>
      <c r="K85" s="20">
        <v>0</v>
      </c>
      <c r="L85" s="21">
        <v>0</v>
      </c>
      <c r="M85" s="22">
        <v>0</v>
      </c>
      <c r="N85" s="22">
        <v>0</v>
      </c>
      <c r="O85" s="20">
        <v>0</v>
      </c>
      <c r="P85" s="20">
        <v>0</v>
      </c>
      <c r="Q85" s="20">
        <v>129</v>
      </c>
      <c r="R85" s="20">
        <v>0</v>
      </c>
      <c r="S85" s="19" t="s">
        <v>87</v>
      </c>
      <c r="T85" s="23">
        <v>11</v>
      </c>
    </row>
    <row r="86" spans="1:20" ht="14.4">
      <c r="A86" s="13">
        <v>340900</v>
      </c>
      <c r="B86" s="14" t="s">
        <v>88</v>
      </c>
      <c r="C86" s="14" t="s">
        <v>47</v>
      </c>
      <c r="D86" s="15">
        <v>263</v>
      </c>
      <c r="E86" s="15">
        <v>0</v>
      </c>
      <c r="F86" s="15">
        <v>0</v>
      </c>
      <c r="G86" s="16">
        <v>0</v>
      </c>
      <c r="H86" s="17">
        <v>0</v>
      </c>
      <c r="I86" s="15">
        <v>0</v>
      </c>
      <c r="J86" s="16">
        <v>0</v>
      </c>
      <c r="K86" s="15">
        <v>0</v>
      </c>
      <c r="L86" s="16">
        <v>0</v>
      </c>
      <c r="M86" s="17">
        <v>0</v>
      </c>
      <c r="N86" s="17">
        <v>0</v>
      </c>
      <c r="O86" s="15">
        <v>0</v>
      </c>
      <c r="P86" s="15">
        <v>0</v>
      </c>
      <c r="Q86" s="25"/>
      <c r="R86" s="15">
        <v>0</v>
      </c>
      <c r="S86" s="14" t="s">
        <v>91</v>
      </c>
      <c r="T86" s="18">
        <v>0</v>
      </c>
    </row>
    <row r="87" spans="1:20" ht="14.4">
      <c r="A87" s="26">
        <v>340955</v>
      </c>
      <c r="B87" s="19" t="s">
        <v>88</v>
      </c>
      <c r="C87" s="19" t="s">
        <v>97</v>
      </c>
      <c r="D87" s="20">
        <v>260</v>
      </c>
      <c r="E87" s="20">
        <v>0</v>
      </c>
      <c r="F87" s="20">
        <v>0</v>
      </c>
      <c r="G87" s="21">
        <v>0</v>
      </c>
      <c r="H87" s="22">
        <v>0</v>
      </c>
      <c r="I87" s="20">
        <v>0</v>
      </c>
      <c r="J87" s="21">
        <v>0</v>
      </c>
      <c r="K87" s="20">
        <v>0</v>
      </c>
      <c r="L87" s="21">
        <v>0</v>
      </c>
      <c r="M87" s="22">
        <v>0</v>
      </c>
      <c r="N87" s="22">
        <v>0</v>
      </c>
      <c r="O87" s="20">
        <v>0</v>
      </c>
      <c r="P87" s="20">
        <v>0</v>
      </c>
      <c r="Q87" s="27"/>
      <c r="R87" s="20">
        <v>0</v>
      </c>
      <c r="S87" s="19" t="s">
        <v>93</v>
      </c>
      <c r="T87" s="23">
        <v>0</v>
      </c>
    </row>
    <row r="88" spans="1:20" ht="14.4">
      <c r="A88" s="13">
        <v>340966</v>
      </c>
      <c r="B88" s="14" t="s">
        <v>88</v>
      </c>
      <c r="C88" s="14" t="s">
        <v>99</v>
      </c>
      <c r="D88" s="15">
        <v>260</v>
      </c>
      <c r="E88" s="15">
        <v>0</v>
      </c>
      <c r="F88" s="15">
        <v>0</v>
      </c>
      <c r="G88" s="16">
        <v>0</v>
      </c>
      <c r="H88" s="17">
        <v>0</v>
      </c>
      <c r="I88" s="15">
        <v>0</v>
      </c>
      <c r="J88" s="16">
        <v>0</v>
      </c>
      <c r="K88" s="15">
        <v>0</v>
      </c>
      <c r="L88" s="16">
        <v>0</v>
      </c>
      <c r="M88" s="17">
        <v>0</v>
      </c>
      <c r="N88" s="17">
        <v>0</v>
      </c>
      <c r="O88" s="15">
        <v>0</v>
      </c>
      <c r="P88" s="15">
        <v>0</v>
      </c>
      <c r="Q88" s="25"/>
      <c r="R88" s="15">
        <v>0</v>
      </c>
      <c r="S88" s="14" t="s">
        <v>100</v>
      </c>
      <c r="T88" s="18">
        <v>0</v>
      </c>
    </row>
    <row r="89" spans="1:20" ht="14.4">
      <c r="A89" s="26">
        <v>341105</v>
      </c>
      <c r="B89" s="19" t="s">
        <v>88</v>
      </c>
      <c r="C89" s="19" t="s">
        <v>90</v>
      </c>
      <c r="D89" s="20">
        <v>254</v>
      </c>
      <c r="E89" s="20">
        <v>0</v>
      </c>
      <c r="F89" s="20">
        <v>0</v>
      </c>
      <c r="G89" s="21">
        <v>0</v>
      </c>
      <c r="H89" s="22">
        <v>0</v>
      </c>
      <c r="I89" s="20">
        <v>0</v>
      </c>
      <c r="J89" s="21">
        <v>0</v>
      </c>
      <c r="K89" s="20">
        <v>0</v>
      </c>
      <c r="L89" s="21">
        <v>0</v>
      </c>
      <c r="M89" s="22">
        <v>0</v>
      </c>
      <c r="N89" s="22">
        <v>0</v>
      </c>
      <c r="O89" s="20">
        <v>0</v>
      </c>
      <c r="P89" s="20">
        <v>0</v>
      </c>
      <c r="Q89" s="27"/>
      <c r="R89" s="20">
        <v>0</v>
      </c>
      <c r="S89" s="19" t="s">
        <v>91</v>
      </c>
      <c r="T89" s="23">
        <v>0</v>
      </c>
    </row>
    <row r="90" spans="1:20" ht="14.4">
      <c r="A90" s="13">
        <v>339941</v>
      </c>
      <c r="B90" s="14" t="s">
        <v>88</v>
      </c>
      <c r="C90" s="14" t="s">
        <v>43</v>
      </c>
      <c r="D90" s="15">
        <v>250</v>
      </c>
      <c r="E90" s="15">
        <v>0</v>
      </c>
      <c r="F90" s="15">
        <v>0</v>
      </c>
      <c r="G90" s="16">
        <v>0</v>
      </c>
      <c r="H90" s="17">
        <v>0</v>
      </c>
      <c r="I90" s="15">
        <v>0</v>
      </c>
      <c r="J90" s="16">
        <v>0</v>
      </c>
      <c r="K90" s="15">
        <v>0</v>
      </c>
      <c r="L90" s="16">
        <v>0</v>
      </c>
      <c r="M90" s="17">
        <v>0</v>
      </c>
      <c r="N90" s="17">
        <v>0</v>
      </c>
      <c r="O90" s="15">
        <v>0</v>
      </c>
      <c r="P90" s="15">
        <v>0</v>
      </c>
      <c r="Q90" s="25"/>
      <c r="R90" s="15">
        <v>0</v>
      </c>
      <c r="S90" s="14" t="s">
        <v>87</v>
      </c>
      <c r="T90" s="18">
        <v>0</v>
      </c>
    </row>
    <row r="91" spans="1:20" ht="14.4">
      <c r="A91" s="26">
        <v>340675</v>
      </c>
      <c r="B91" s="19" t="s">
        <v>85</v>
      </c>
      <c r="C91" s="19" t="s">
        <v>46</v>
      </c>
      <c r="D91" s="20">
        <v>250</v>
      </c>
      <c r="E91" s="20">
        <v>35</v>
      </c>
      <c r="F91" s="20">
        <v>0</v>
      </c>
      <c r="G91" s="21">
        <v>215</v>
      </c>
      <c r="H91" s="22">
        <v>1</v>
      </c>
      <c r="I91" s="20">
        <v>0</v>
      </c>
      <c r="J91" s="21">
        <v>0</v>
      </c>
      <c r="K91" s="20">
        <v>0</v>
      </c>
      <c r="L91" s="21">
        <v>0</v>
      </c>
      <c r="M91" s="22">
        <v>0</v>
      </c>
      <c r="N91" s="22">
        <v>0</v>
      </c>
      <c r="O91" s="20">
        <v>0</v>
      </c>
      <c r="P91" s="20">
        <v>0</v>
      </c>
      <c r="Q91" s="20">
        <v>0</v>
      </c>
      <c r="R91" s="20">
        <v>0</v>
      </c>
      <c r="S91" s="19" t="s">
        <v>87</v>
      </c>
      <c r="T91" s="23">
        <v>10</v>
      </c>
    </row>
    <row r="92" spans="1:20" ht="14.4">
      <c r="A92" s="13">
        <v>340786</v>
      </c>
      <c r="B92" s="14" t="s">
        <v>85</v>
      </c>
      <c r="C92" s="14" t="s">
        <v>43</v>
      </c>
      <c r="D92" s="15">
        <v>250</v>
      </c>
      <c r="E92" s="15">
        <v>35</v>
      </c>
      <c r="F92" s="15">
        <v>0</v>
      </c>
      <c r="G92" s="16">
        <v>215</v>
      </c>
      <c r="H92" s="17">
        <v>1</v>
      </c>
      <c r="I92" s="15">
        <v>0</v>
      </c>
      <c r="J92" s="16">
        <v>0</v>
      </c>
      <c r="K92" s="15">
        <v>0</v>
      </c>
      <c r="L92" s="16">
        <v>0</v>
      </c>
      <c r="M92" s="17">
        <v>0</v>
      </c>
      <c r="N92" s="17">
        <v>0</v>
      </c>
      <c r="O92" s="15">
        <v>0</v>
      </c>
      <c r="P92" s="15">
        <v>0</v>
      </c>
      <c r="Q92" s="15">
        <v>0</v>
      </c>
      <c r="R92" s="15">
        <v>35</v>
      </c>
      <c r="S92" s="14" t="s">
        <v>87</v>
      </c>
      <c r="T92" s="18">
        <v>10</v>
      </c>
    </row>
    <row r="93" spans="1:20" ht="14.4">
      <c r="A93" s="26">
        <v>340986</v>
      </c>
      <c r="B93" s="19" t="s">
        <v>88</v>
      </c>
      <c r="C93" s="19" t="s">
        <v>60</v>
      </c>
      <c r="D93" s="20">
        <v>240</v>
      </c>
      <c r="E93" s="20">
        <v>0</v>
      </c>
      <c r="F93" s="20">
        <v>0</v>
      </c>
      <c r="G93" s="21">
        <v>0</v>
      </c>
      <c r="H93" s="22">
        <v>0</v>
      </c>
      <c r="I93" s="20">
        <v>0</v>
      </c>
      <c r="J93" s="21">
        <v>0</v>
      </c>
      <c r="K93" s="20">
        <v>0</v>
      </c>
      <c r="L93" s="21">
        <v>0</v>
      </c>
      <c r="M93" s="22">
        <v>0</v>
      </c>
      <c r="N93" s="22">
        <v>0</v>
      </c>
      <c r="O93" s="20">
        <v>0</v>
      </c>
      <c r="P93" s="20">
        <v>0</v>
      </c>
      <c r="Q93" s="27"/>
      <c r="R93" s="20">
        <v>0</v>
      </c>
      <c r="S93" s="19" t="s">
        <v>87</v>
      </c>
      <c r="T93" s="23">
        <v>0</v>
      </c>
    </row>
    <row r="94" spans="1:20" ht="14.4">
      <c r="A94" s="13">
        <v>341043</v>
      </c>
      <c r="B94" s="14" t="s">
        <v>88</v>
      </c>
      <c r="C94" s="14" t="s">
        <v>60</v>
      </c>
      <c r="D94" s="15">
        <v>239</v>
      </c>
      <c r="E94" s="15">
        <v>0</v>
      </c>
      <c r="F94" s="15">
        <v>0</v>
      </c>
      <c r="G94" s="16">
        <v>0</v>
      </c>
      <c r="H94" s="17">
        <v>0</v>
      </c>
      <c r="I94" s="15">
        <v>0</v>
      </c>
      <c r="J94" s="16">
        <v>0</v>
      </c>
      <c r="K94" s="15">
        <v>0</v>
      </c>
      <c r="L94" s="16">
        <v>0</v>
      </c>
      <c r="M94" s="17">
        <v>0</v>
      </c>
      <c r="N94" s="17">
        <v>0</v>
      </c>
      <c r="O94" s="15">
        <v>0</v>
      </c>
      <c r="P94" s="15">
        <v>0</v>
      </c>
      <c r="Q94" s="25"/>
      <c r="R94" s="15">
        <v>0</v>
      </c>
      <c r="S94" s="14" t="s">
        <v>87</v>
      </c>
      <c r="T94" s="18">
        <v>0</v>
      </c>
    </row>
    <row r="95" spans="1:20" ht="14.4">
      <c r="A95" s="26">
        <v>340912</v>
      </c>
      <c r="B95" s="19" t="s">
        <v>88</v>
      </c>
      <c r="C95" s="19" t="s">
        <v>57</v>
      </c>
      <c r="D95" s="20">
        <v>235</v>
      </c>
      <c r="E95" s="20">
        <v>0</v>
      </c>
      <c r="F95" s="20">
        <v>0</v>
      </c>
      <c r="G95" s="21">
        <v>0</v>
      </c>
      <c r="H95" s="22">
        <v>0</v>
      </c>
      <c r="I95" s="20">
        <v>0</v>
      </c>
      <c r="J95" s="21">
        <v>0</v>
      </c>
      <c r="K95" s="20">
        <v>0</v>
      </c>
      <c r="L95" s="21">
        <v>0</v>
      </c>
      <c r="M95" s="22">
        <v>0</v>
      </c>
      <c r="N95" s="22">
        <v>0</v>
      </c>
      <c r="O95" s="20">
        <v>0</v>
      </c>
      <c r="P95" s="20">
        <v>0</v>
      </c>
      <c r="Q95" s="27"/>
      <c r="R95" s="20">
        <v>0</v>
      </c>
      <c r="S95" s="19" t="s">
        <v>87</v>
      </c>
      <c r="T95" s="23">
        <v>0</v>
      </c>
    </row>
    <row r="96" spans="1:20" ht="14.4">
      <c r="A96" s="13">
        <v>340918</v>
      </c>
      <c r="B96" s="14" t="s">
        <v>85</v>
      </c>
      <c r="C96" s="14" t="s">
        <v>37</v>
      </c>
      <c r="D96" s="15">
        <v>235</v>
      </c>
      <c r="E96" s="15">
        <v>35</v>
      </c>
      <c r="F96" s="15">
        <v>0</v>
      </c>
      <c r="G96" s="16">
        <v>200</v>
      </c>
      <c r="H96" s="17">
        <v>1</v>
      </c>
      <c r="I96" s="15">
        <v>0</v>
      </c>
      <c r="J96" s="16">
        <v>0</v>
      </c>
      <c r="K96" s="15">
        <v>0</v>
      </c>
      <c r="L96" s="16">
        <v>0</v>
      </c>
      <c r="M96" s="17">
        <v>0</v>
      </c>
      <c r="N96" s="17">
        <v>0</v>
      </c>
      <c r="O96" s="15">
        <v>0</v>
      </c>
      <c r="P96" s="15">
        <v>0</v>
      </c>
      <c r="Q96" s="15">
        <v>0</v>
      </c>
      <c r="R96" s="15">
        <v>0</v>
      </c>
      <c r="S96" s="14" t="s">
        <v>87</v>
      </c>
      <c r="T96" s="18">
        <v>9</v>
      </c>
    </row>
    <row r="97" spans="1:20" ht="14.4">
      <c r="A97" s="26">
        <v>341024</v>
      </c>
      <c r="B97" s="19" t="s">
        <v>88</v>
      </c>
      <c r="C97" s="19" t="s">
        <v>96</v>
      </c>
      <c r="D97" s="20">
        <v>235</v>
      </c>
      <c r="E97" s="20">
        <v>0</v>
      </c>
      <c r="F97" s="20">
        <v>0</v>
      </c>
      <c r="G97" s="21">
        <v>0</v>
      </c>
      <c r="H97" s="22">
        <v>0</v>
      </c>
      <c r="I97" s="20">
        <v>0</v>
      </c>
      <c r="J97" s="21">
        <v>0</v>
      </c>
      <c r="K97" s="20">
        <v>0</v>
      </c>
      <c r="L97" s="21">
        <v>0</v>
      </c>
      <c r="M97" s="22">
        <v>0</v>
      </c>
      <c r="N97" s="22">
        <v>0</v>
      </c>
      <c r="O97" s="20">
        <v>0</v>
      </c>
      <c r="P97" s="20">
        <v>0</v>
      </c>
      <c r="Q97" s="27"/>
      <c r="R97" s="20">
        <v>0</v>
      </c>
      <c r="S97" s="19" t="s">
        <v>93</v>
      </c>
      <c r="T97" s="23">
        <v>0</v>
      </c>
    </row>
    <row r="98" spans="1:20" ht="14.4">
      <c r="A98" s="13">
        <v>340659</v>
      </c>
      <c r="B98" s="14" t="s">
        <v>85</v>
      </c>
      <c r="C98" s="14" t="s">
        <v>47</v>
      </c>
      <c r="D98" s="15">
        <v>230</v>
      </c>
      <c r="E98" s="15">
        <v>35</v>
      </c>
      <c r="F98" s="15">
        <v>0</v>
      </c>
      <c r="G98" s="16">
        <v>195</v>
      </c>
      <c r="H98" s="17">
        <v>1</v>
      </c>
      <c r="I98" s="15">
        <v>0</v>
      </c>
      <c r="J98" s="16">
        <v>0</v>
      </c>
      <c r="K98" s="15">
        <v>0</v>
      </c>
      <c r="L98" s="16">
        <v>0</v>
      </c>
      <c r="M98" s="17">
        <v>0</v>
      </c>
      <c r="N98" s="17">
        <v>0</v>
      </c>
      <c r="O98" s="15">
        <v>0</v>
      </c>
      <c r="P98" s="15">
        <v>0</v>
      </c>
      <c r="Q98" s="15">
        <v>0</v>
      </c>
      <c r="R98" s="15">
        <v>0</v>
      </c>
      <c r="S98" s="14" t="s">
        <v>91</v>
      </c>
      <c r="T98" s="18">
        <v>9</v>
      </c>
    </row>
    <row r="99" spans="1:20" ht="14.4">
      <c r="A99" s="26">
        <v>341058</v>
      </c>
      <c r="B99" s="19" t="s">
        <v>88</v>
      </c>
      <c r="C99" s="19" t="s">
        <v>43</v>
      </c>
      <c r="D99" s="20">
        <v>230</v>
      </c>
      <c r="E99" s="20">
        <v>0</v>
      </c>
      <c r="F99" s="20">
        <v>0</v>
      </c>
      <c r="G99" s="21">
        <v>0</v>
      </c>
      <c r="H99" s="22">
        <v>0</v>
      </c>
      <c r="I99" s="20">
        <v>0</v>
      </c>
      <c r="J99" s="21">
        <v>0</v>
      </c>
      <c r="K99" s="20">
        <v>0</v>
      </c>
      <c r="L99" s="21">
        <v>0</v>
      </c>
      <c r="M99" s="22">
        <v>0</v>
      </c>
      <c r="N99" s="22">
        <v>0</v>
      </c>
      <c r="O99" s="20">
        <v>0</v>
      </c>
      <c r="P99" s="20">
        <v>0</v>
      </c>
      <c r="Q99" s="27"/>
      <c r="R99" s="20">
        <v>0</v>
      </c>
      <c r="S99" s="19" t="s">
        <v>87</v>
      </c>
      <c r="T99" s="23">
        <v>0</v>
      </c>
    </row>
    <row r="100" spans="1:20" ht="14.4">
      <c r="A100" s="13">
        <v>341028</v>
      </c>
      <c r="B100" s="14" t="s">
        <v>88</v>
      </c>
      <c r="C100" s="14" t="s">
        <v>60</v>
      </c>
      <c r="D100" s="15">
        <v>225</v>
      </c>
      <c r="E100" s="15">
        <v>0</v>
      </c>
      <c r="F100" s="15">
        <v>0</v>
      </c>
      <c r="G100" s="16">
        <v>0</v>
      </c>
      <c r="H100" s="17">
        <v>0</v>
      </c>
      <c r="I100" s="15">
        <v>0</v>
      </c>
      <c r="J100" s="16">
        <v>0</v>
      </c>
      <c r="K100" s="15">
        <v>0</v>
      </c>
      <c r="L100" s="16">
        <v>0</v>
      </c>
      <c r="M100" s="17">
        <v>0</v>
      </c>
      <c r="N100" s="17">
        <v>0</v>
      </c>
      <c r="O100" s="15">
        <v>0</v>
      </c>
      <c r="P100" s="15">
        <v>0</v>
      </c>
      <c r="Q100" s="25"/>
      <c r="R100" s="15">
        <v>0</v>
      </c>
      <c r="S100" s="14" t="s">
        <v>87</v>
      </c>
      <c r="T100" s="18">
        <v>0</v>
      </c>
    </row>
    <row r="101" spans="1:20" ht="14.4">
      <c r="A101" s="26">
        <v>340704</v>
      </c>
      <c r="B101" s="19" t="s">
        <v>85</v>
      </c>
      <c r="C101" s="19" t="s">
        <v>44</v>
      </c>
      <c r="D101" s="20">
        <v>215</v>
      </c>
      <c r="E101" s="20">
        <v>35</v>
      </c>
      <c r="F101" s="20">
        <v>0</v>
      </c>
      <c r="G101" s="21">
        <v>180</v>
      </c>
      <c r="H101" s="22">
        <v>3</v>
      </c>
      <c r="I101" s="20">
        <v>0</v>
      </c>
      <c r="J101" s="21">
        <v>0</v>
      </c>
      <c r="K101" s="20">
        <v>0</v>
      </c>
      <c r="L101" s="21">
        <v>0</v>
      </c>
      <c r="M101" s="22">
        <v>0</v>
      </c>
      <c r="N101" s="22">
        <v>0</v>
      </c>
      <c r="O101" s="20">
        <v>0</v>
      </c>
      <c r="P101" s="20">
        <v>0</v>
      </c>
      <c r="Q101" s="20">
        <v>30</v>
      </c>
      <c r="R101" s="20">
        <v>0</v>
      </c>
      <c r="S101" s="19" t="s">
        <v>91</v>
      </c>
      <c r="T101" s="23">
        <v>8</v>
      </c>
    </row>
    <row r="102" spans="1:20" ht="14.4">
      <c r="A102" s="13">
        <v>340661</v>
      </c>
      <c r="B102" s="14" t="s">
        <v>85</v>
      </c>
      <c r="C102" s="14" t="s">
        <v>44</v>
      </c>
      <c r="D102" s="15">
        <v>210</v>
      </c>
      <c r="E102" s="15">
        <v>35</v>
      </c>
      <c r="F102" s="15">
        <v>0</v>
      </c>
      <c r="G102" s="16">
        <v>175</v>
      </c>
      <c r="H102" s="17">
        <v>1</v>
      </c>
      <c r="I102" s="15">
        <v>0</v>
      </c>
      <c r="J102" s="16">
        <v>0</v>
      </c>
      <c r="K102" s="15">
        <v>0</v>
      </c>
      <c r="L102" s="16">
        <v>0</v>
      </c>
      <c r="M102" s="17">
        <v>0</v>
      </c>
      <c r="N102" s="17">
        <v>0</v>
      </c>
      <c r="O102" s="15">
        <v>0</v>
      </c>
      <c r="P102" s="15">
        <v>0</v>
      </c>
      <c r="Q102" s="15">
        <v>0</v>
      </c>
      <c r="R102" s="15">
        <v>0</v>
      </c>
      <c r="S102" s="14" t="s">
        <v>91</v>
      </c>
      <c r="T102" s="18">
        <v>8</v>
      </c>
    </row>
    <row r="103" spans="1:20" ht="14.4">
      <c r="A103" s="26">
        <v>340874</v>
      </c>
      <c r="B103" s="19" t="s">
        <v>88</v>
      </c>
      <c r="C103" s="19" t="s">
        <v>92</v>
      </c>
      <c r="D103" s="20">
        <v>208</v>
      </c>
      <c r="E103" s="20">
        <v>0</v>
      </c>
      <c r="F103" s="20">
        <v>0</v>
      </c>
      <c r="G103" s="21">
        <v>0</v>
      </c>
      <c r="H103" s="22">
        <v>0</v>
      </c>
      <c r="I103" s="20">
        <v>0</v>
      </c>
      <c r="J103" s="21">
        <v>0</v>
      </c>
      <c r="K103" s="20">
        <v>0</v>
      </c>
      <c r="L103" s="21">
        <v>0</v>
      </c>
      <c r="M103" s="22">
        <v>0</v>
      </c>
      <c r="N103" s="22">
        <v>0</v>
      </c>
      <c r="O103" s="20">
        <v>0</v>
      </c>
      <c r="P103" s="20">
        <v>0</v>
      </c>
      <c r="Q103" s="27"/>
      <c r="R103" s="20">
        <v>0</v>
      </c>
      <c r="S103" s="19" t="s">
        <v>93</v>
      </c>
      <c r="T103" s="23">
        <v>0</v>
      </c>
    </row>
    <row r="104" spans="1:20" ht="14.4">
      <c r="A104" s="13">
        <v>339820</v>
      </c>
      <c r="B104" s="14" t="s">
        <v>85</v>
      </c>
      <c r="C104" s="14" t="s">
        <v>51</v>
      </c>
      <c r="D104" s="15">
        <v>200</v>
      </c>
      <c r="E104" s="15">
        <v>35</v>
      </c>
      <c r="F104" s="15">
        <v>0</v>
      </c>
      <c r="G104" s="16">
        <v>165</v>
      </c>
      <c r="H104" s="17">
        <v>1</v>
      </c>
      <c r="I104" s="15">
        <v>0</v>
      </c>
      <c r="J104" s="16">
        <v>0</v>
      </c>
      <c r="K104" s="15">
        <v>0</v>
      </c>
      <c r="L104" s="16">
        <v>0</v>
      </c>
      <c r="M104" s="17">
        <v>0</v>
      </c>
      <c r="N104" s="17">
        <v>0</v>
      </c>
      <c r="O104" s="15">
        <v>0</v>
      </c>
      <c r="P104" s="15">
        <v>0</v>
      </c>
      <c r="Q104" s="15">
        <v>0</v>
      </c>
      <c r="R104" s="15">
        <v>0</v>
      </c>
      <c r="S104" s="14" t="s">
        <v>87</v>
      </c>
      <c r="T104" s="18">
        <v>7</v>
      </c>
    </row>
    <row r="105" spans="1:20" ht="14.4">
      <c r="A105" s="26">
        <v>340232</v>
      </c>
      <c r="B105" s="19" t="s">
        <v>85</v>
      </c>
      <c r="C105" s="19" t="s">
        <v>89</v>
      </c>
      <c r="D105" s="20">
        <v>200</v>
      </c>
      <c r="E105" s="20">
        <v>35</v>
      </c>
      <c r="F105" s="20">
        <v>0</v>
      </c>
      <c r="G105" s="21">
        <v>165</v>
      </c>
      <c r="H105" s="22">
        <v>1</v>
      </c>
      <c r="I105" s="20">
        <v>0</v>
      </c>
      <c r="J105" s="21">
        <v>0</v>
      </c>
      <c r="K105" s="20">
        <v>0</v>
      </c>
      <c r="L105" s="21">
        <v>0</v>
      </c>
      <c r="M105" s="22">
        <v>0</v>
      </c>
      <c r="N105" s="22">
        <v>0</v>
      </c>
      <c r="O105" s="20">
        <v>0</v>
      </c>
      <c r="P105" s="20">
        <v>0</v>
      </c>
      <c r="Q105" s="20">
        <v>35</v>
      </c>
      <c r="R105" s="20">
        <v>0</v>
      </c>
      <c r="S105" s="19" t="s">
        <v>87</v>
      </c>
      <c r="T105" s="23">
        <v>7</v>
      </c>
    </row>
    <row r="106" spans="1:20" ht="14.4">
      <c r="A106" s="13">
        <v>340815</v>
      </c>
      <c r="B106" s="14" t="s">
        <v>85</v>
      </c>
      <c r="C106" s="14" t="s">
        <v>37</v>
      </c>
      <c r="D106" s="15">
        <v>200</v>
      </c>
      <c r="E106" s="15">
        <v>35</v>
      </c>
      <c r="F106" s="15">
        <v>0</v>
      </c>
      <c r="G106" s="16">
        <v>165</v>
      </c>
      <c r="H106" s="17">
        <v>2</v>
      </c>
      <c r="I106" s="15">
        <v>0</v>
      </c>
      <c r="J106" s="16">
        <v>0</v>
      </c>
      <c r="K106" s="15">
        <v>0</v>
      </c>
      <c r="L106" s="16">
        <v>0</v>
      </c>
      <c r="M106" s="17">
        <v>0</v>
      </c>
      <c r="N106" s="17">
        <v>0</v>
      </c>
      <c r="O106" s="15">
        <v>0</v>
      </c>
      <c r="P106" s="15">
        <v>0</v>
      </c>
      <c r="Q106" s="15">
        <v>10</v>
      </c>
      <c r="R106" s="15">
        <v>0</v>
      </c>
      <c r="S106" s="14" t="s">
        <v>87</v>
      </c>
      <c r="T106" s="18">
        <v>7</v>
      </c>
    </row>
    <row r="107" spans="1:20" ht="14.4">
      <c r="A107" s="26">
        <v>341086</v>
      </c>
      <c r="B107" s="19" t="s">
        <v>88</v>
      </c>
      <c r="C107" s="19" t="s">
        <v>47</v>
      </c>
      <c r="D107" s="20">
        <v>200</v>
      </c>
      <c r="E107" s="20">
        <v>0</v>
      </c>
      <c r="F107" s="20">
        <v>0</v>
      </c>
      <c r="G107" s="21">
        <v>0</v>
      </c>
      <c r="H107" s="22">
        <v>0</v>
      </c>
      <c r="I107" s="20">
        <v>0</v>
      </c>
      <c r="J107" s="21">
        <v>0</v>
      </c>
      <c r="K107" s="20">
        <v>0</v>
      </c>
      <c r="L107" s="21">
        <v>0</v>
      </c>
      <c r="M107" s="22">
        <v>0</v>
      </c>
      <c r="N107" s="22">
        <v>0</v>
      </c>
      <c r="O107" s="20">
        <v>0</v>
      </c>
      <c r="P107" s="20">
        <v>0</v>
      </c>
      <c r="Q107" s="27"/>
      <c r="R107" s="20">
        <v>0</v>
      </c>
      <c r="S107" s="19" t="s">
        <v>91</v>
      </c>
      <c r="T107" s="23">
        <v>0</v>
      </c>
    </row>
    <row r="108" spans="1:20" ht="14.4">
      <c r="A108" s="13">
        <v>340861</v>
      </c>
      <c r="B108" s="14" t="s">
        <v>88</v>
      </c>
      <c r="C108" s="14" t="s">
        <v>97</v>
      </c>
      <c r="D108" s="15">
        <v>195</v>
      </c>
      <c r="E108" s="15">
        <v>0</v>
      </c>
      <c r="F108" s="15">
        <v>0</v>
      </c>
      <c r="G108" s="16">
        <v>0</v>
      </c>
      <c r="H108" s="17">
        <v>0</v>
      </c>
      <c r="I108" s="15">
        <v>0</v>
      </c>
      <c r="J108" s="16">
        <v>0</v>
      </c>
      <c r="K108" s="15">
        <v>0</v>
      </c>
      <c r="L108" s="16">
        <v>0</v>
      </c>
      <c r="M108" s="17">
        <v>0</v>
      </c>
      <c r="N108" s="17">
        <v>0</v>
      </c>
      <c r="O108" s="15">
        <v>0</v>
      </c>
      <c r="P108" s="15">
        <v>0</v>
      </c>
      <c r="Q108" s="25"/>
      <c r="R108" s="15">
        <v>0</v>
      </c>
      <c r="S108" s="14" t="s">
        <v>93</v>
      </c>
      <c r="T108" s="18">
        <v>0</v>
      </c>
    </row>
    <row r="109" spans="1:20" ht="14.4">
      <c r="A109" s="26">
        <v>339823</v>
      </c>
      <c r="B109" s="19" t="s">
        <v>85</v>
      </c>
      <c r="C109" s="19" t="s">
        <v>89</v>
      </c>
      <c r="D109" s="20">
        <v>190</v>
      </c>
      <c r="E109" s="20">
        <v>0</v>
      </c>
      <c r="F109" s="20">
        <v>0</v>
      </c>
      <c r="G109" s="21">
        <v>190</v>
      </c>
      <c r="H109" s="22">
        <v>1</v>
      </c>
      <c r="I109" s="20">
        <v>0</v>
      </c>
      <c r="J109" s="21">
        <v>0</v>
      </c>
      <c r="K109" s="20">
        <v>0</v>
      </c>
      <c r="L109" s="21">
        <v>0</v>
      </c>
      <c r="M109" s="22">
        <v>0</v>
      </c>
      <c r="N109" s="22">
        <v>0</v>
      </c>
      <c r="O109" s="20">
        <v>0</v>
      </c>
      <c r="P109" s="20">
        <v>0</v>
      </c>
      <c r="Q109" s="20">
        <v>0</v>
      </c>
      <c r="R109" s="20">
        <v>0</v>
      </c>
      <c r="S109" s="19" t="s">
        <v>87</v>
      </c>
      <c r="T109" s="23">
        <v>9</v>
      </c>
    </row>
    <row r="110" spans="1:20" ht="14.4">
      <c r="A110" s="13">
        <v>340330</v>
      </c>
      <c r="B110" s="14" t="s">
        <v>85</v>
      </c>
      <c r="C110" s="14" t="s">
        <v>57</v>
      </c>
      <c r="D110" s="15">
        <v>185</v>
      </c>
      <c r="E110" s="15">
        <v>35</v>
      </c>
      <c r="F110" s="15">
        <v>0</v>
      </c>
      <c r="G110" s="16">
        <v>150</v>
      </c>
      <c r="H110" s="17">
        <v>1</v>
      </c>
      <c r="I110" s="15">
        <v>0</v>
      </c>
      <c r="J110" s="16">
        <v>0</v>
      </c>
      <c r="K110" s="15">
        <v>0</v>
      </c>
      <c r="L110" s="16">
        <v>0</v>
      </c>
      <c r="M110" s="17">
        <v>0</v>
      </c>
      <c r="N110" s="17">
        <v>0</v>
      </c>
      <c r="O110" s="15">
        <v>0</v>
      </c>
      <c r="P110" s="15">
        <v>0</v>
      </c>
      <c r="Q110" s="15">
        <v>0</v>
      </c>
      <c r="R110" s="15">
        <v>0</v>
      </c>
      <c r="S110" s="14" t="s">
        <v>87</v>
      </c>
      <c r="T110" s="18">
        <v>7</v>
      </c>
    </row>
    <row r="111" spans="1:20" ht="14.4">
      <c r="A111" s="26">
        <v>340721</v>
      </c>
      <c r="B111" s="19" t="s">
        <v>85</v>
      </c>
      <c r="C111" s="19" t="s">
        <v>86</v>
      </c>
      <c r="D111" s="20">
        <v>185</v>
      </c>
      <c r="E111" s="20">
        <v>35</v>
      </c>
      <c r="F111" s="20">
        <v>0</v>
      </c>
      <c r="G111" s="21">
        <v>150</v>
      </c>
      <c r="H111" s="22">
        <v>1</v>
      </c>
      <c r="I111" s="20">
        <v>0</v>
      </c>
      <c r="J111" s="21">
        <v>0</v>
      </c>
      <c r="K111" s="20">
        <v>0</v>
      </c>
      <c r="L111" s="21">
        <v>0</v>
      </c>
      <c r="M111" s="22">
        <v>0</v>
      </c>
      <c r="N111" s="22">
        <v>0</v>
      </c>
      <c r="O111" s="20">
        <v>0</v>
      </c>
      <c r="P111" s="20">
        <v>0</v>
      </c>
      <c r="Q111" s="20">
        <v>0</v>
      </c>
      <c r="R111" s="20">
        <v>0</v>
      </c>
      <c r="S111" s="19" t="s">
        <v>87</v>
      </c>
      <c r="T111" s="23">
        <v>7</v>
      </c>
    </row>
    <row r="112" spans="1:20" ht="14.4">
      <c r="A112" s="13">
        <v>340728</v>
      </c>
      <c r="B112" s="14" t="s">
        <v>85</v>
      </c>
      <c r="C112" s="14" t="s">
        <v>90</v>
      </c>
      <c r="D112" s="15">
        <v>185</v>
      </c>
      <c r="E112" s="15">
        <v>35</v>
      </c>
      <c r="F112" s="15">
        <v>0</v>
      </c>
      <c r="G112" s="16">
        <v>150</v>
      </c>
      <c r="H112" s="17">
        <v>1</v>
      </c>
      <c r="I112" s="15">
        <v>0</v>
      </c>
      <c r="J112" s="16">
        <v>0</v>
      </c>
      <c r="K112" s="15">
        <v>0</v>
      </c>
      <c r="L112" s="16">
        <v>0</v>
      </c>
      <c r="M112" s="17">
        <v>0</v>
      </c>
      <c r="N112" s="17">
        <v>0</v>
      </c>
      <c r="O112" s="15">
        <v>0</v>
      </c>
      <c r="P112" s="15">
        <v>0</v>
      </c>
      <c r="Q112" s="15">
        <v>0</v>
      </c>
      <c r="R112" s="15">
        <v>0</v>
      </c>
      <c r="S112" s="14" t="s">
        <v>91</v>
      </c>
      <c r="T112" s="18">
        <v>7</v>
      </c>
    </row>
    <row r="113" spans="1:20" ht="14.4">
      <c r="A113" s="26">
        <v>340787</v>
      </c>
      <c r="B113" s="19" t="s">
        <v>85</v>
      </c>
      <c r="C113" s="19" t="s">
        <v>60</v>
      </c>
      <c r="D113" s="20">
        <v>185</v>
      </c>
      <c r="E113" s="20">
        <v>35</v>
      </c>
      <c r="F113" s="20">
        <v>0</v>
      </c>
      <c r="G113" s="21">
        <v>150</v>
      </c>
      <c r="H113" s="22">
        <v>1</v>
      </c>
      <c r="I113" s="20">
        <v>0</v>
      </c>
      <c r="J113" s="21">
        <v>0</v>
      </c>
      <c r="K113" s="20">
        <v>0</v>
      </c>
      <c r="L113" s="21">
        <v>0</v>
      </c>
      <c r="M113" s="22">
        <v>0</v>
      </c>
      <c r="N113" s="22">
        <v>0</v>
      </c>
      <c r="O113" s="20">
        <v>0</v>
      </c>
      <c r="P113" s="20">
        <v>0</v>
      </c>
      <c r="Q113" s="20">
        <v>0</v>
      </c>
      <c r="R113" s="20">
        <v>0</v>
      </c>
      <c r="S113" s="19" t="s">
        <v>87</v>
      </c>
      <c r="T113" s="23">
        <v>7</v>
      </c>
    </row>
    <row r="114" spans="1:20" ht="14.4">
      <c r="A114" s="13">
        <v>340811</v>
      </c>
      <c r="B114" s="14" t="s">
        <v>85</v>
      </c>
      <c r="C114" s="14" t="s">
        <v>57</v>
      </c>
      <c r="D114" s="15">
        <v>185</v>
      </c>
      <c r="E114" s="15">
        <v>35</v>
      </c>
      <c r="F114" s="15">
        <v>0</v>
      </c>
      <c r="G114" s="16">
        <v>150</v>
      </c>
      <c r="H114" s="17">
        <v>1</v>
      </c>
      <c r="I114" s="15">
        <v>0</v>
      </c>
      <c r="J114" s="16">
        <v>0</v>
      </c>
      <c r="K114" s="15">
        <v>0</v>
      </c>
      <c r="L114" s="16">
        <v>0</v>
      </c>
      <c r="M114" s="17">
        <v>0</v>
      </c>
      <c r="N114" s="17">
        <v>0</v>
      </c>
      <c r="O114" s="15">
        <v>0</v>
      </c>
      <c r="P114" s="15">
        <v>0</v>
      </c>
      <c r="Q114" s="15">
        <v>75</v>
      </c>
      <c r="R114" s="15">
        <v>0</v>
      </c>
      <c r="S114" s="14" t="s">
        <v>87</v>
      </c>
      <c r="T114" s="18">
        <v>7</v>
      </c>
    </row>
    <row r="115" spans="1:20" ht="14.4">
      <c r="A115" s="26">
        <v>340816</v>
      </c>
      <c r="B115" s="19" t="s">
        <v>85</v>
      </c>
      <c r="C115" s="19" t="s">
        <v>47</v>
      </c>
      <c r="D115" s="20">
        <v>185</v>
      </c>
      <c r="E115" s="20">
        <v>35</v>
      </c>
      <c r="F115" s="20">
        <v>0</v>
      </c>
      <c r="G115" s="21">
        <v>150</v>
      </c>
      <c r="H115" s="22">
        <v>1</v>
      </c>
      <c r="I115" s="20">
        <v>0</v>
      </c>
      <c r="J115" s="21">
        <v>0</v>
      </c>
      <c r="K115" s="20">
        <v>0</v>
      </c>
      <c r="L115" s="21">
        <v>0</v>
      </c>
      <c r="M115" s="22">
        <v>0</v>
      </c>
      <c r="N115" s="22">
        <v>0</v>
      </c>
      <c r="O115" s="20">
        <v>0</v>
      </c>
      <c r="P115" s="20">
        <v>0</v>
      </c>
      <c r="Q115" s="20">
        <v>0</v>
      </c>
      <c r="R115" s="20">
        <v>0</v>
      </c>
      <c r="S115" s="19" t="s">
        <v>91</v>
      </c>
      <c r="T115" s="23">
        <v>7</v>
      </c>
    </row>
    <row r="116" spans="1:20" ht="14.4">
      <c r="A116" s="13">
        <v>340999</v>
      </c>
      <c r="B116" s="14" t="s">
        <v>88</v>
      </c>
      <c r="C116" s="14" t="s">
        <v>86</v>
      </c>
      <c r="D116" s="15">
        <v>185</v>
      </c>
      <c r="E116" s="15">
        <v>0</v>
      </c>
      <c r="F116" s="15">
        <v>0</v>
      </c>
      <c r="G116" s="16">
        <v>0</v>
      </c>
      <c r="H116" s="17">
        <v>0</v>
      </c>
      <c r="I116" s="15">
        <v>0</v>
      </c>
      <c r="J116" s="16">
        <v>0</v>
      </c>
      <c r="K116" s="15">
        <v>0</v>
      </c>
      <c r="L116" s="16">
        <v>0</v>
      </c>
      <c r="M116" s="17">
        <v>0</v>
      </c>
      <c r="N116" s="17">
        <v>0</v>
      </c>
      <c r="O116" s="15">
        <v>0</v>
      </c>
      <c r="P116" s="15">
        <v>0</v>
      </c>
      <c r="Q116" s="25"/>
      <c r="R116" s="15">
        <v>0</v>
      </c>
      <c r="S116" s="14" t="s">
        <v>87</v>
      </c>
      <c r="T116" s="18">
        <v>0</v>
      </c>
    </row>
    <row r="117" spans="1:20" ht="14.4">
      <c r="A117" s="26">
        <v>341047</v>
      </c>
      <c r="B117" s="19" t="s">
        <v>88</v>
      </c>
      <c r="C117" s="19" t="s">
        <v>97</v>
      </c>
      <c r="D117" s="20">
        <v>181</v>
      </c>
      <c r="E117" s="20">
        <v>0</v>
      </c>
      <c r="F117" s="20">
        <v>0</v>
      </c>
      <c r="G117" s="21">
        <v>0</v>
      </c>
      <c r="H117" s="22">
        <v>0</v>
      </c>
      <c r="I117" s="20">
        <v>0</v>
      </c>
      <c r="J117" s="21">
        <v>0</v>
      </c>
      <c r="K117" s="20">
        <v>0</v>
      </c>
      <c r="L117" s="21">
        <v>0</v>
      </c>
      <c r="M117" s="22">
        <v>0</v>
      </c>
      <c r="N117" s="22">
        <v>0</v>
      </c>
      <c r="O117" s="20">
        <v>0</v>
      </c>
      <c r="P117" s="20">
        <v>0</v>
      </c>
      <c r="Q117" s="27"/>
      <c r="R117" s="20">
        <v>0</v>
      </c>
      <c r="S117" s="19" t="s">
        <v>93</v>
      </c>
      <c r="T117" s="23">
        <v>0</v>
      </c>
    </row>
    <row r="118" spans="1:20" ht="14.4">
      <c r="A118" s="13">
        <v>337036</v>
      </c>
      <c r="B118" s="14" t="s">
        <v>88</v>
      </c>
      <c r="C118" s="14" t="s">
        <v>59</v>
      </c>
      <c r="D118" s="15">
        <v>175</v>
      </c>
      <c r="E118" s="15">
        <v>0</v>
      </c>
      <c r="F118" s="15">
        <v>0</v>
      </c>
      <c r="G118" s="16">
        <v>0</v>
      </c>
      <c r="H118" s="17">
        <v>0</v>
      </c>
      <c r="I118" s="15">
        <v>0</v>
      </c>
      <c r="J118" s="16">
        <v>0</v>
      </c>
      <c r="K118" s="15">
        <v>0</v>
      </c>
      <c r="L118" s="16">
        <v>0</v>
      </c>
      <c r="M118" s="17">
        <v>0</v>
      </c>
      <c r="N118" s="17">
        <v>0</v>
      </c>
      <c r="O118" s="15">
        <v>0</v>
      </c>
      <c r="P118" s="15">
        <v>0</v>
      </c>
      <c r="Q118" s="25"/>
      <c r="R118" s="15">
        <v>0</v>
      </c>
      <c r="S118" s="14" t="s">
        <v>87</v>
      </c>
      <c r="T118" s="18">
        <v>0</v>
      </c>
    </row>
    <row r="119" spans="1:20" ht="14.4">
      <c r="A119" s="26">
        <v>340963</v>
      </c>
      <c r="B119" s="19" t="s">
        <v>88</v>
      </c>
      <c r="C119" s="19" t="s">
        <v>97</v>
      </c>
      <c r="D119" s="20">
        <v>175</v>
      </c>
      <c r="E119" s="20">
        <v>0</v>
      </c>
      <c r="F119" s="20">
        <v>0</v>
      </c>
      <c r="G119" s="21">
        <v>0</v>
      </c>
      <c r="H119" s="22">
        <v>0</v>
      </c>
      <c r="I119" s="20">
        <v>0</v>
      </c>
      <c r="J119" s="21">
        <v>0</v>
      </c>
      <c r="K119" s="20">
        <v>0</v>
      </c>
      <c r="L119" s="21">
        <v>0</v>
      </c>
      <c r="M119" s="22">
        <v>0</v>
      </c>
      <c r="N119" s="22">
        <v>0</v>
      </c>
      <c r="O119" s="20">
        <v>0</v>
      </c>
      <c r="P119" s="20">
        <v>0</v>
      </c>
      <c r="Q119" s="27"/>
      <c r="R119" s="20">
        <v>0</v>
      </c>
      <c r="S119" s="19" t="s">
        <v>93</v>
      </c>
      <c r="T119" s="23">
        <v>0</v>
      </c>
    </row>
    <row r="120" spans="1:20" ht="14.4">
      <c r="A120" s="13">
        <v>341045</v>
      </c>
      <c r="B120" s="14" t="s">
        <v>88</v>
      </c>
      <c r="C120" s="14" t="s">
        <v>43</v>
      </c>
      <c r="D120" s="15">
        <v>175</v>
      </c>
      <c r="E120" s="15">
        <v>0</v>
      </c>
      <c r="F120" s="15">
        <v>0</v>
      </c>
      <c r="G120" s="16">
        <v>0</v>
      </c>
      <c r="H120" s="17">
        <v>0</v>
      </c>
      <c r="I120" s="15">
        <v>0</v>
      </c>
      <c r="J120" s="16">
        <v>0</v>
      </c>
      <c r="K120" s="15">
        <v>0</v>
      </c>
      <c r="L120" s="16">
        <v>0</v>
      </c>
      <c r="M120" s="17">
        <v>0</v>
      </c>
      <c r="N120" s="17">
        <v>0</v>
      </c>
      <c r="O120" s="15">
        <v>0</v>
      </c>
      <c r="P120" s="15">
        <v>0</v>
      </c>
      <c r="Q120" s="25"/>
      <c r="R120" s="15">
        <v>0</v>
      </c>
      <c r="S120" s="14" t="s">
        <v>87</v>
      </c>
      <c r="T120" s="18">
        <v>0</v>
      </c>
    </row>
    <row r="121" spans="1:20" ht="14.4">
      <c r="A121" s="26">
        <v>341085</v>
      </c>
      <c r="B121" s="19" t="s">
        <v>88</v>
      </c>
      <c r="C121" s="19" t="s">
        <v>90</v>
      </c>
      <c r="D121" s="20">
        <v>175</v>
      </c>
      <c r="E121" s="20">
        <v>0</v>
      </c>
      <c r="F121" s="20">
        <v>0</v>
      </c>
      <c r="G121" s="21">
        <v>0</v>
      </c>
      <c r="H121" s="22">
        <v>0</v>
      </c>
      <c r="I121" s="20">
        <v>0</v>
      </c>
      <c r="J121" s="21">
        <v>0</v>
      </c>
      <c r="K121" s="20">
        <v>0</v>
      </c>
      <c r="L121" s="21">
        <v>0</v>
      </c>
      <c r="M121" s="22">
        <v>0</v>
      </c>
      <c r="N121" s="22">
        <v>0</v>
      </c>
      <c r="O121" s="20">
        <v>0</v>
      </c>
      <c r="P121" s="20">
        <v>0</v>
      </c>
      <c r="Q121" s="27"/>
      <c r="R121" s="20">
        <v>0</v>
      </c>
      <c r="S121" s="19" t="s">
        <v>91</v>
      </c>
      <c r="T121" s="23">
        <v>0</v>
      </c>
    </row>
    <row r="122" spans="1:20" ht="14.4">
      <c r="A122" s="13">
        <v>341118</v>
      </c>
      <c r="B122" s="14" t="s">
        <v>88</v>
      </c>
      <c r="C122" s="14" t="s">
        <v>97</v>
      </c>
      <c r="D122" s="15">
        <v>175</v>
      </c>
      <c r="E122" s="15">
        <v>0</v>
      </c>
      <c r="F122" s="15">
        <v>0</v>
      </c>
      <c r="G122" s="16">
        <v>0</v>
      </c>
      <c r="H122" s="17">
        <v>0</v>
      </c>
      <c r="I122" s="15">
        <v>0</v>
      </c>
      <c r="J122" s="16">
        <v>0</v>
      </c>
      <c r="K122" s="15">
        <v>0</v>
      </c>
      <c r="L122" s="16">
        <v>0</v>
      </c>
      <c r="M122" s="17">
        <v>0</v>
      </c>
      <c r="N122" s="17">
        <v>0</v>
      </c>
      <c r="O122" s="15">
        <v>0</v>
      </c>
      <c r="P122" s="15">
        <v>0</v>
      </c>
      <c r="Q122" s="25"/>
      <c r="R122" s="15">
        <v>0</v>
      </c>
      <c r="S122" s="14" t="s">
        <v>93</v>
      </c>
      <c r="T122" s="18">
        <v>0</v>
      </c>
    </row>
    <row r="123" spans="1:20" ht="14.4">
      <c r="A123" s="26">
        <v>340958</v>
      </c>
      <c r="B123" s="19" t="s">
        <v>88</v>
      </c>
      <c r="C123" s="19" t="s">
        <v>57</v>
      </c>
      <c r="D123" s="20">
        <v>170</v>
      </c>
      <c r="E123" s="20">
        <v>0</v>
      </c>
      <c r="F123" s="20">
        <v>0</v>
      </c>
      <c r="G123" s="21">
        <v>0</v>
      </c>
      <c r="H123" s="22">
        <v>0</v>
      </c>
      <c r="I123" s="20">
        <v>0</v>
      </c>
      <c r="J123" s="21">
        <v>0</v>
      </c>
      <c r="K123" s="20">
        <v>0</v>
      </c>
      <c r="L123" s="21">
        <v>0</v>
      </c>
      <c r="M123" s="22">
        <v>0</v>
      </c>
      <c r="N123" s="22">
        <v>0</v>
      </c>
      <c r="O123" s="20">
        <v>0</v>
      </c>
      <c r="P123" s="20">
        <v>0</v>
      </c>
      <c r="Q123" s="27"/>
      <c r="R123" s="20">
        <v>0</v>
      </c>
      <c r="S123" s="19" t="s">
        <v>87</v>
      </c>
      <c r="T123" s="23">
        <v>0</v>
      </c>
    </row>
    <row r="124" spans="1:20" ht="14.4">
      <c r="A124" s="13">
        <v>340183</v>
      </c>
      <c r="B124" s="14" t="s">
        <v>88</v>
      </c>
      <c r="C124" s="14" t="s">
        <v>89</v>
      </c>
      <c r="D124" s="15">
        <v>170</v>
      </c>
      <c r="E124" s="15">
        <v>0</v>
      </c>
      <c r="F124" s="15">
        <v>0</v>
      </c>
      <c r="G124" s="16">
        <v>0</v>
      </c>
      <c r="H124" s="17">
        <v>0</v>
      </c>
      <c r="I124" s="15">
        <v>0</v>
      </c>
      <c r="J124" s="16">
        <v>0</v>
      </c>
      <c r="K124" s="15">
        <v>0</v>
      </c>
      <c r="L124" s="16">
        <v>0</v>
      </c>
      <c r="M124" s="17">
        <v>0</v>
      </c>
      <c r="N124" s="17">
        <v>0</v>
      </c>
      <c r="O124" s="15">
        <v>0</v>
      </c>
      <c r="P124" s="15">
        <v>0</v>
      </c>
      <c r="Q124" s="25"/>
      <c r="R124" s="15">
        <v>0</v>
      </c>
      <c r="S124" s="14" t="s">
        <v>87</v>
      </c>
      <c r="T124" s="18">
        <v>0</v>
      </c>
    </row>
    <row r="125" spans="1:20" ht="14.4">
      <c r="A125" s="26">
        <v>340937</v>
      </c>
      <c r="B125" s="19" t="s">
        <v>85</v>
      </c>
      <c r="C125" s="19" t="s">
        <v>38</v>
      </c>
      <c r="D125" s="20">
        <v>170</v>
      </c>
      <c r="E125" s="20">
        <v>35</v>
      </c>
      <c r="F125" s="20">
        <v>0</v>
      </c>
      <c r="G125" s="21">
        <v>135</v>
      </c>
      <c r="H125" s="22">
        <v>1</v>
      </c>
      <c r="I125" s="20">
        <v>0</v>
      </c>
      <c r="J125" s="21">
        <v>0</v>
      </c>
      <c r="K125" s="20">
        <v>0</v>
      </c>
      <c r="L125" s="21">
        <v>0</v>
      </c>
      <c r="M125" s="22">
        <v>0</v>
      </c>
      <c r="N125" s="22">
        <v>0</v>
      </c>
      <c r="O125" s="20">
        <v>0</v>
      </c>
      <c r="P125" s="20">
        <v>0</v>
      </c>
      <c r="Q125" s="20">
        <v>0</v>
      </c>
      <c r="R125" s="20">
        <v>0</v>
      </c>
      <c r="S125" s="19" t="s">
        <v>91</v>
      </c>
      <c r="T125" s="23">
        <v>6</v>
      </c>
    </row>
    <row r="126" spans="1:20" ht="14.4">
      <c r="A126" s="13">
        <v>340288</v>
      </c>
      <c r="B126" s="14" t="s">
        <v>85</v>
      </c>
      <c r="C126" s="14" t="s">
        <v>57</v>
      </c>
      <c r="D126" s="15">
        <v>165</v>
      </c>
      <c r="E126" s="15">
        <v>35</v>
      </c>
      <c r="F126" s="15">
        <v>0</v>
      </c>
      <c r="G126" s="16">
        <v>130</v>
      </c>
      <c r="H126" s="17">
        <v>1</v>
      </c>
      <c r="I126" s="15">
        <v>0</v>
      </c>
      <c r="J126" s="16">
        <v>0</v>
      </c>
      <c r="K126" s="15">
        <v>0</v>
      </c>
      <c r="L126" s="16">
        <v>0</v>
      </c>
      <c r="M126" s="17">
        <v>0</v>
      </c>
      <c r="N126" s="17">
        <v>0</v>
      </c>
      <c r="O126" s="15">
        <v>0</v>
      </c>
      <c r="P126" s="15">
        <v>0</v>
      </c>
      <c r="Q126" s="15">
        <v>0</v>
      </c>
      <c r="R126" s="15">
        <v>0</v>
      </c>
      <c r="S126" s="14" t="s">
        <v>87</v>
      </c>
      <c r="T126" s="18">
        <v>6</v>
      </c>
    </row>
    <row r="127" spans="1:20" ht="14.4">
      <c r="A127" s="26">
        <v>341083</v>
      </c>
      <c r="B127" s="19" t="s">
        <v>88</v>
      </c>
      <c r="C127" s="19" t="s">
        <v>97</v>
      </c>
      <c r="D127" s="20">
        <v>163</v>
      </c>
      <c r="E127" s="20">
        <v>0</v>
      </c>
      <c r="F127" s="20">
        <v>0</v>
      </c>
      <c r="G127" s="21">
        <v>0</v>
      </c>
      <c r="H127" s="22">
        <v>0</v>
      </c>
      <c r="I127" s="20">
        <v>0</v>
      </c>
      <c r="J127" s="21">
        <v>0</v>
      </c>
      <c r="K127" s="20">
        <v>0</v>
      </c>
      <c r="L127" s="21">
        <v>0</v>
      </c>
      <c r="M127" s="22">
        <v>0</v>
      </c>
      <c r="N127" s="22">
        <v>0</v>
      </c>
      <c r="O127" s="20">
        <v>0</v>
      </c>
      <c r="P127" s="20">
        <v>0</v>
      </c>
      <c r="Q127" s="27"/>
      <c r="R127" s="20">
        <v>0</v>
      </c>
      <c r="S127" s="19" t="s">
        <v>93</v>
      </c>
      <c r="T127" s="23">
        <v>0</v>
      </c>
    </row>
    <row r="128" spans="1:20" ht="14.4">
      <c r="A128" s="13">
        <v>341090</v>
      </c>
      <c r="B128" s="14" t="s">
        <v>88</v>
      </c>
      <c r="C128" s="14" t="s">
        <v>38</v>
      </c>
      <c r="D128" s="15">
        <v>162</v>
      </c>
      <c r="E128" s="15">
        <v>0</v>
      </c>
      <c r="F128" s="15">
        <v>0</v>
      </c>
      <c r="G128" s="16">
        <v>0</v>
      </c>
      <c r="H128" s="17">
        <v>0</v>
      </c>
      <c r="I128" s="15">
        <v>0</v>
      </c>
      <c r="J128" s="16">
        <v>0</v>
      </c>
      <c r="K128" s="15">
        <v>0</v>
      </c>
      <c r="L128" s="16">
        <v>0</v>
      </c>
      <c r="M128" s="17">
        <v>0</v>
      </c>
      <c r="N128" s="17">
        <v>0</v>
      </c>
      <c r="O128" s="15">
        <v>0</v>
      </c>
      <c r="P128" s="15">
        <v>0</v>
      </c>
      <c r="Q128" s="25"/>
      <c r="R128" s="15">
        <v>0</v>
      </c>
      <c r="S128" s="14" t="s">
        <v>91</v>
      </c>
      <c r="T128" s="18">
        <v>0</v>
      </c>
    </row>
    <row r="129" spans="1:20" ht="14.4">
      <c r="A129" s="26">
        <v>340343</v>
      </c>
      <c r="B129" s="19" t="s">
        <v>85</v>
      </c>
      <c r="C129" s="19" t="s">
        <v>89</v>
      </c>
      <c r="D129" s="20">
        <v>160</v>
      </c>
      <c r="E129" s="20">
        <v>35</v>
      </c>
      <c r="F129" s="20">
        <v>0</v>
      </c>
      <c r="G129" s="21">
        <v>125</v>
      </c>
      <c r="H129" s="22">
        <v>1</v>
      </c>
      <c r="I129" s="20">
        <v>0</v>
      </c>
      <c r="J129" s="21">
        <v>0</v>
      </c>
      <c r="K129" s="20">
        <v>0</v>
      </c>
      <c r="L129" s="21">
        <v>0</v>
      </c>
      <c r="M129" s="22">
        <v>0</v>
      </c>
      <c r="N129" s="22">
        <v>0</v>
      </c>
      <c r="O129" s="20">
        <v>0</v>
      </c>
      <c r="P129" s="20">
        <v>0</v>
      </c>
      <c r="Q129" s="20">
        <v>0</v>
      </c>
      <c r="R129" s="20">
        <v>0</v>
      </c>
      <c r="S129" s="19" t="s">
        <v>87</v>
      </c>
      <c r="T129" s="23">
        <v>6</v>
      </c>
    </row>
    <row r="130" spans="1:20" ht="14.4">
      <c r="A130" s="13">
        <v>340716</v>
      </c>
      <c r="B130" s="14" t="s">
        <v>85</v>
      </c>
      <c r="C130" s="14" t="s">
        <v>90</v>
      </c>
      <c r="D130" s="15">
        <v>160</v>
      </c>
      <c r="E130" s="15">
        <v>35</v>
      </c>
      <c r="F130" s="15">
        <v>0</v>
      </c>
      <c r="G130" s="16">
        <v>125</v>
      </c>
      <c r="H130" s="17">
        <v>1</v>
      </c>
      <c r="I130" s="15">
        <v>0</v>
      </c>
      <c r="J130" s="16">
        <v>0</v>
      </c>
      <c r="K130" s="15">
        <v>0</v>
      </c>
      <c r="L130" s="16">
        <v>0</v>
      </c>
      <c r="M130" s="17">
        <v>0</v>
      </c>
      <c r="N130" s="17">
        <v>0</v>
      </c>
      <c r="O130" s="15">
        <v>0</v>
      </c>
      <c r="P130" s="15">
        <v>0</v>
      </c>
      <c r="Q130" s="15">
        <v>284</v>
      </c>
      <c r="R130" s="15">
        <v>0</v>
      </c>
      <c r="S130" s="14" t="s">
        <v>91</v>
      </c>
      <c r="T130" s="18">
        <v>6</v>
      </c>
    </row>
    <row r="131" spans="1:20" ht="14.4">
      <c r="A131" s="26">
        <v>340643</v>
      </c>
      <c r="B131" s="19" t="s">
        <v>85</v>
      </c>
      <c r="C131" s="19" t="s">
        <v>89</v>
      </c>
      <c r="D131" s="20">
        <v>155</v>
      </c>
      <c r="E131" s="20">
        <v>35</v>
      </c>
      <c r="F131" s="20">
        <v>0</v>
      </c>
      <c r="G131" s="21">
        <v>120</v>
      </c>
      <c r="H131" s="22">
        <v>2</v>
      </c>
      <c r="I131" s="20">
        <v>0</v>
      </c>
      <c r="J131" s="21">
        <v>0</v>
      </c>
      <c r="K131" s="20">
        <v>0</v>
      </c>
      <c r="L131" s="21">
        <v>0</v>
      </c>
      <c r="M131" s="22">
        <v>0</v>
      </c>
      <c r="N131" s="22">
        <v>0</v>
      </c>
      <c r="O131" s="20">
        <v>0</v>
      </c>
      <c r="P131" s="20">
        <v>0</v>
      </c>
      <c r="Q131" s="20">
        <v>0</v>
      </c>
      <c r="R131" s="20">
        <v>0</v>
      </c>
      <c r="S131" s="19" t="s">
        <v>87</v>
      </c>
      <c r="T131" s="23">
        <v>5</v>
      </c>
    </row>
    <row r="132" spans="1:20" ht="14.4">
      <c r="A132" s="13">
        <v>340730</v>
      </c>
      <c r="B132" s="14" t="s">
        <v>85</v>
      </c>
      <c r="C132" s="14" t="s">
        <v>60</v>
      </c>
      <c r="D132" s="15">
        <v>155</v>
      </c>
      <c r="E132" s="15">
        <v>35</v>
      </c>
      <c r="F132" s="15">
        <v>0</v>
      </c>
      <c r="G132" s="16">
        <v>120</v>
      </c>
      <c r="H132" s="17">
        <v>2</v>
      </c>
      <c r="I132" s="15">
        <v>0</v>
      </c>
      <c r="J132" s="16">
        <v>0</v>
      </c>
      <c r="K132" s="15">
        <v>0</v>
      </c>
      <c r="L132" s="16">
        <v>0</v>
      </c>
      <c r="M132" s="17">
        <v>0</v>
      </c>
      <c r="N132" s="17">
        <v>0</v>
      </c>
      <c r="O132" s="15">
        <v>0</v>
      </c>
      <c r="P132" s="15">
        <v>0</v>
      </c>
      <c r="Q132" s="15">
        <v>0</v>
      </c>
      <c r="R132" s="15">
        <v>0</v>
      </c>
      <c r="S132" s="14" t="s">
        <v>87</v>
      </c>
      <c r="T132" s="18">
        <v>5</v>
      </c>
    </row>
    <row r="133" spans="1:20" ht="14.4">
      <c r="A133" s="26">
        <v>340920</v>
      </c>
      <c r="B133" s="19" t="s">
        <v>85</v>
      </c>
      <c r="C133" s="19" t="s">
        <v>101</v>
      </c>
      <c r="D133" s="20">
        <v>155</v>
      </c>
      <c r="E133" s="20">
        <v>0</v>
      </c>
      <c r="F133" s="20">
        <v>0</v>
      </c>
      <c r="G133" s="21">
        <v>155</v>
      </c>
      <c r="H133" s="22">
        <v>1</v>
      </c>
      <c r="I133" s="20">
        <v>0</v>
      </c>
      <c r="J133" s="21">
        <v>0</v>
      </c>
      <c r="K133" s="20">
        <v>0</v>
      </c>
      <c r="L133" s="21">
        <v>0</v>
      </c>
      <c r="M133" s="22">
        <v>0</v>
      </c>
      <c r="N133" s="22">
        <v>0</v>
      </c>
      <c r="O133" s="20">
        <v>0</v>
      </c>
      <c r="P133" s="20">
        <v>0</v>
      </c>
      <c r="Q133" s="20">
        <v>0</v>
      </c>
      <c r="R133" s="20">
        <v>0</v>
      </c>
      <c r="S133" s="19" t="s">
        <v>95</v>
      </c>
      <c r="T133" s="23">
        <v>7</v>
      </c>
    </row>
    <row r="134" spans="1:20" ht="14.4">
      <c r="A134" s="13">
        <v>340939</v>
      </c>
      <c r="B134" s="14" t="s">
        <v>88</v>
      </c>
      <c r="C134" s="14" t="s">
        <v>59</v>
      </c>
      <c r="D134" s="15">
        <v>155</v>
      </c>
      <c r="E134" s="15">
        <v>0</v>
      </c>
      <c r="F134" s="15">
        <v>0</v>
      </c>
      <c r="G134" s="16">
        <v>0</v>
      </c>
      <c r="H134" s="17">
        <v>0</v>
      </c>
      <c r="I134" s="15">
        <v>0</v>
      </c>
      <c r="J134" s="16">
        <v>0</v>
      </c>
      <c r="K134" s="15">
        <v>0</v>
      </c>
      <c r="L134" s="16">
        <v>0</v>
      </c>
      <c r="M134" s="17">
        <v>0</v>
      </c>
      <c r="N134" s="17">
        <v>0</v>
      </c>
      <c r="O134" s="15">
        <v>0</v>
      </c>
      <c r="P134" s="15">
        <v>0</v>
      </c>
      <c r="Q134" s="25"/>
      <c r="R134" s="15">
        <v>0</v>
      </c>
      <c r="S134" s="14" t="s">
        <v>87</v>
      </c>
      <c r="T134" s="18">
        <v>0</v>
      </c>
    </row>
    <row r="135" spans="1:20" ht="14.4">
      <c r="A135" s="26">
        <v>340125</v>
      </c>
      <c r="B135" s="19" t="s">
        <v>85</v>
      </c>
      <c r="C135" s="19" t="s">
        <v>60</v>
      </c>
      <c r="D135" s="20">
        <v>150</v>
      </c>
      <c r="E135" s="20">
        <v>35</v>
      </c>
      <c r="F135" s="20">
        <v>0</v>
      </c>
      <c r="G135" s="21">
        <v>115</v>
      </c>
      <c r="H135" s="22">
        <v>1</v>
      </c>
      <c r="I135" s="20">
        <v>0</v>
      </c>
      <c r="J135" s="21">
        <v>0</v>
      </c>
      <c r="K135" s="20">
        <v>0</v>
      </c>
      <c r="L135" s="21">
        <v>0</v>
      </c>
      <c r="M135" s="22">
        <v>0</v>
      </c>
      <c r="N135" s="22">
        <v>0</v>
      </c>
      <c r="O135" s="20">
        <v>0</v>
      </c>
      <c r="P135" s="20">
        <v>0</v>
      </c>
      <c r="Q135" s="20">
        <v>0</v>
      </c>
      <c r="R135" s="20">
        <v>0</v>
      </c>
      <c r="S135" s="19" t="s">
        <v>87</v>
      </c>
      <c r="T135" s="23">
        <v>5</v>
      </c>
    </row>
    <row r="136" spans="1:20" ht="14.4">
      <c r="A136" s="13">
        <v>340687</v>
      </c>
      <c r="B136" s="14" t="s">
        <v>85</v>
      </c>
      <c r="C136" s="14" t="s">
        <v>94</v>
      </c>
      <c r="D136" s="15">
        <v>150</v>
      </c>
      <c r="E136" s="15">
        <v>0</v>
      </c>
      <c r="F136" s="15">
        <v>0</v>
      </c>
      <c r="G136" s="16">
        <v>150</v>
      </c>
      <c r="H136" s="17">
        <v>1</v>
      </c>
      <c r="I136" s="15">
        <v>0</v>
      </c>
      <c r="J136" s="16">
        <v>0</v>
      </c>
      <c r="K136" s="15">
        <v>0</v>
      </c>
      <c r="L136" s="16">
        <v>0</v>
      </c>
      <c r="M136" s="17">
        <v>0</v>
      </c>
      <c r="N136" s="17">
        <v>0</v>
      </c>
      <c r="O136" s="15">
        <v>0</v>
      </c>
      <c r="P136" s="15">
        <v>0</v>
      </c>
      <c r="Q136" s="15">
        <v>0</v>
      </c>
      <c r="R136" s="15">
        <v>0</v>
      </c>
      <c r="S136" s="14" t="s">
        <v>95</v>
      </c>
      <c r="T136" s="18">
        <v>7</v>
      </c>
    </row>
    <row r="137" spans="1:20" ht="14.4">
      <c r="A137" s="26">
        <v>340860</v>
      </c>
      <c r="B137" s="19" t="s">
        <v>88</v>
      </c>
      <c r="C137" s="19" t="s">
        <v>97</v>
      </c>
      <c r="D137" s="20">
        <v>150</v>
      </c>
      <c r="E137" s="20">
        <v>0</v>
      </c>
      <c r="F137" s="20">
        <v>0</v>
      </c>
      <c r="G137" s="21">
        <v>0</v>
      </c>
      <c r="H137" s="22">
        <v>0</v>
      </c>
      <c r="I137" s="20">
        <v>0</v>
      </c>
      <c r="J137" s="21">
        <v>0</v>
      </c>
      <c r="K137" s="20">
        <v>0</v>
      </c>
      <c r="L137" s="21">
        <v>0</v>
      </c>
      <c r="M137" s="22">
        <v>0</v>
      </c>
      <c r="N137" s="22">
        <v>0</v>
      </c>
      <c r="O137" s="20">
        <v>0</v>
      </c>
      <c r="P137" s="20">
        <v>0</v>
      </c>
      <c r="Q137" s="27"/>
      <c r="R137" s="20">
        <v>0</v>
      </c>
      <c r="S137" s="19" t="s">
        <v>93</v>
      </c>
      <c r="T137" s="23">
        <v>0</v>
      </c>
    </row>
    <row r="138" spans="1:20" ht="14.4">
      <c r="A138" s="13">
        <v>341053</v>
      </c>
      <c r="B138" s="14" t="s">
        <v>88</v>
      </c>
      <c r="C138" s="14" t="s">
        <v>57</v>
      </c>
      <c r="D138" s="15">
        <v>150</v>
      </c>
      <c r="E138" s="15">
        <v>0</v>
      </c>
      <c r="F138" s="15">
        <v>0</v>
      </c>
      <c r="G138" s="16">
        <v>0</v>
      </c>
      <c r="H138" s="17">
        <v>0</v>
      </c>
      <c r="I138" s="15">
        <v>0</v>
      </c>
      <c r="J138" s="16">
        <v>0</v>
      </c>
      <c r="K138" s="15">
        <v>0</v>
      </c>
      <c r="L138" s="16">
        <v>0</v>
      </c>
      <c r="M138" s="17">
        <v>0</v>
      </c>
      <c r="N138" s="17">
        <v>0</v>
      </c>
      <c r="O138" s="15">
        <v>0</v>
      </c>
      <c r="P138" s="15">
        <v>0</v>
      </c>
      <c r="Q138" s="25"/>
      <c r="R138" s="15">
        <v>0</v>
      </c>
      <c r="S138" s="14" t="s">
        <v>87</v>
      </c>
      <c r="T138" s="18">
        <v>0</v>
      </c>
    </row>
    <row r="139" spans="1:20" ht="14.4">
      <c r="A139" s="26">
        <v>339955</v>
      </c>
      <c r="B139" s="19" t="s">
        <v>85</v>
      </c>
      <c r="C139" s="19" t="s">
        <v>57</v>
      </c>
      <c r="D139" s="20">
        <v>135</v>
      </c>
      <c r="E139" s="20">
        <v>35</v>
      </c>
      <c r="F139" s="20">
        <v>0</v>
      </c>
      <c r="G139" s="21">
        <v>100</v>
      </c>
      <c r="H139" s="22">
        <v>1</v>
      </c>
      <c r="I139" s="20">
        <v>0</v>
      </c>
      <c r="J139" s="21">
        <v>0</v>
      </c>
      <c r="K139" s="20">
        <v>0</v>
      </c>
      <c r="L139" s="21">
        <v>0</v>
      </c>
      <c r="M139" s="22">
        <v>0</v>
      </c>
      <c r="N139" s="22">
        <v>0</v>
      </c>
      <c r="O139" s="20">
        <v>0</v>
      </c>
      <c r="P139" s="20">
        <v>0</v>
      </c>
      <c r="Q139" s="20">
        <v>0</v>
      </c>
      <c r="R139" s="20">
        <v>0</v>
      </c>
      <c r="S139" s="19" t="s">
        <v>87</v>
      </c>
      <c r="T139" s="23">
        <v>5</v>
      </c>
    </row>
    <row r="140" spans="1:20" ht="14.4">
      <c r="A140" s="13">
        <v>340259</v>
      </c>
      <c r="B140" s="14" t="s">
        <v>85</v>
      </c>
      <c r="C140" s="14" t="s">
        <v>38</v>
      </c>
      <c r="D140" s="15">
        <v>135</v>
      </c>
      <c r="E140" s="15">
        <v>35</v>
      </c>
      <c r="F140" s="15">
        <v>0</v>
      </c>
      <c r="G140" s="16">
        <v>100</v>
      </c>
      <c r="H140" s="17">
        <v>1</v>
      </c>
      <c r="I140" s="15">
        <v>0</v>
      </c>
      <c r="J140" s="16">
        <v>0</v>
      </c>
      <c r="K140" s="15">
        <v>0</v>
      </c>
      <c r="L140" s="16">
        <v>0</v>
      </c>
      <c r="M140" s="17">
        <v>0</v>
      </c>
      <c r="N140" s="17">
        <v>0</v>
      </c>
      <c r="O140" s="15">
        <v>0</v>
      </c>
      <c r="P140" s="15">
        <v>0</v>
      </c>
      <c r="Q140" s="15">
        <v>0</v>
      </c>
      <c r="R140" s="15">
        <v>0</v>
      </c>
      <c r="S140" s="14" t="s">
        <v>91</v>
      </c>
      <c r="T140" s="18">
        <v>5</v>
      </c>
    </row>
    <row r="141" spans="1:20" ht="14.4">
      <c r="A141" s="26">
        <v>340309</v>
      </c>
      <c r="B141" s="19" t="s">
        <v>85</v>
      </c>
      <c r="C141" s="19" t="s">
        <v>57</v>
      </c>
      <c r="D141" s="20">
        <v>135</v>
      </c>
      <c r="E141" s="20">
        <v>35</v>
      </c>
      <c r="F141" s="20">
        <v>0</v>
      </c>
      <c r="G141" s="21">
        <v>100</v>
      </c>
      <c r="H141" s="22">
        <v>2</v>
      </c>
      <c r="I141" s="20">
        <v>0</v>
      </c>
      <c r="J141" s="21">
        <v>0</v>
      </c>
      <c r="K141" s="20">
        <v>0</v>
      </c>
      <c r="L141" s="21">
        <v>0</v>
      </c>
      <c r="M141" s="22">
        <v>0</v>
      </c>
      <c r="N141" s="22">
        <v>0</v>
      </c>
      <c r="O141" s="20">
        <v>0</v>
      </c>
      <c r="P141" s="20">
        <v>0</v>
      </c>
      <c r="Q141" s="20">
        <v>0</v>
      </c>
      <c r="R141" s="20">
        <v>0</v>
      </c>
      <c r="S141" s="19" t="s">
        <v>87</v>
      </c>
      <c r="T141" s="23">
        <v>5</v>
      </c>
    </row>
    <row r="142" spans="1:20" ht="14.4">
      <c r="A142" s="13">
        <v>340667</v>
      </c>
      <c r="B142" s="14" t="s">
        <v>85</v>
      </c>
      <c r="C142" s="14" t="s">
        <v>86</v>
      </c>
      <c r="D142" s="15">
        <v>135</v>
      </c>
      <c r="E142" s="15">
        <v>35</v>
      </c>
      <c r="F142" s="15">
        <v>0</v>
      </c>
      <c r="G142" s="16">
        <v>100</v>
      </c>
      <c r="H142" s="17">
        <v>1</v>
      </c>
      <c r="I142" s="15">
        <v>0</v>
      </c>
      <c r="J142" s="16">
        <v>0</v>
      </c>
      <c r="K142" s="15">
        <v>0</v>
      </c>
      <c r="L142" s="16">
        <v>0</v>
      </c>
      <c r="M142" s="17">
        <v>0</v>
      </c>
      <c r="N142" s="17">
        <v>0</v>
      </c>
      <c r="O142" s="15">
        <v>0</v>
      </c>
      <c r="P142" s="15">
        <v>0</v>
      </c>
      <c r="Q142" s="15">
        <v>0</v>
      </c>
      <c r="R142" s="15">
        <v>0</v>
      </c>
      <c r="S142" s="14" t="s">
        <v>87</v>
      </c>
      <c r="T142" s="18">
        <v>5</v>
      </c>
    </row>
    <row r="143" spans="1:20" ht="14.4">
      <c r="A143" s="26">
        <v>340676</v>
      </c>
      <c r="B143" s="19" t="s">
        <v>85</v>
      </c>
      <c r="C143" s="19" t="s">
        <v>86</v>
      </c>
      <c r="D143" s="20">
        <v>135</v>
      </c>
      <c r="E143" s="20">
        <v>35</v>
      </c>
      <c r="F143" s="20">
        <v>0</v>
      </c>
      <c r="G143" s="21">
        <v>100</v>
      </c>
      <c r="H143" s="22">
        <v>1</v>
      </c>
      <c r="I143" s="20">
        <v>0</v>
      </c>
      <c r="J143" s="21">
        <v>0</v>
      </c>
      <c r="K143" s="20">
        <v>0</v>
      </c>
      <c r="L143" s="21">
        <v>0</v>
      </c>
      <c r="M143" s="22">
        <v>0</v>
      </c>
      <c r="N143" s="22">
        <v>0</v>
      </c>
      <c r="O143" s="20">
        <v>0</v>
      </c>
      <c r="P143" s="20">
        <v>0</v>
      </c>
      <c r="Q143" s="20">
        <v>0</v>
      </c>
      <c r="R143" s="20">
        <v>0</v>
      </c>
      <c r="S143" s="19" t="s">
        <v>87</v>
      </c>
      <c r="T143" s="23">
        <v>5</v>
      </c>
    </row>
    <row r="144" spans="1:20" ht="14.4">
      <c r="A144" s="13">
        <v>341116</v>
      </c>
      <c r="B144" s="14" t="s">
        <v>88</v>
      </c>
      <c r="C144" s="14" t="s">
        <v>97</v>
      </c>
      <c r="D144" s="15">
        <v>135</v>
      </c>
      <c r="E144" s="15">
        <v>0</v>
      </c>
      <c r="F144" s="15">
        <v>0</v>
      </c>
      <c r="G144" s="16">
        <v>0</v>
      </c>
      <c r="H144" s="17">
        <v>0</v>
      </c>
      <c r="I144" s="15">
        <v>0</v>
      </c>
      <c r="J144" s="16">
        <v>0</v>
      </c>
      <c r="K144" s="15">
        <v>0</v>
      </c>
      <c r="L144" s="16">
        <v>0</v>
      </c>
      <c r="M144" s="17">
        <v>0</v>
      </c>
      <c r="N144" s="17">
        <v>0</v>
      </c>
      <c r="O144" s="15">
        <v>0</v>
      </c>
      <c r="P144" s="15">
        <v>0</v>
      </c>
      <c r="Q144" s="25"/>
      <c r="R144" s="15">
        <v>0</v>
      </c>
      <c r="S144" s="14" t="s">
        <v>93</v>
      </c>
      <c r="T144" s="18">
        <v>0</v>
      </c>
    </row>
    <row r="145" spans="1:20" ht="14.4">
      <c r="A145" s="26">
        <v>340779</v>
      </c>
      <c r="B145" s="19" t="s">
        <v>85</v>
      </c>
      <c r="C145" s="19" t="s">
        <v>46</v>
      </c>
      <c r="D145" s="20">
        <v>130</v>
      </c>
      <c r="E145" s="20">
        <v>35</v>
      </c>
      <c r="F145" s="20">
        <v>0</v>
      </c>
      <c r="G145" s="21">
        <v>95</v>
      </c>
      <c r="H145" s="22">
        <v>1</v>
      </c>
      <c r="I145" s="20">
        <v>0</v>
      </c>
      <c r="J145" s="21">
        <v>0</v>
      </c>
      <c r="K145" s="20">
        <v>0</v>
      </c>
      <c r="L145" s="21">
        <v>0</v>
      </c>
      <c r="M145" s="22">
        <v>0</v>
      </c>
      <c r="N145" s="22">
        <v>0</v>
      </c>
      <c r="O145" s="20">
        <v>0</v>
      </c>
      <c r="P145" s="20">
        <v>0</v>
      </c>
      <c r="Q145" s="20">
        <v>0</v>
      </c>
      <c r="R145" s="20">
        <v>0</v>
      </c>
      <c r="S145" s="19" t="s">
        <v>87</v>
      </c>
      <c r="T145" s="23">
        <v>4</v>
      </c>
    </row>
    <row r="146" spans="1:20" ht="14.4">
      <c r="A146" s="13">
        <v>341121</v>
      </c>
      <c r="B146" s="14" t="s">
        <v>88</v>
      </c>
      <c r="C146" s="14" t="s">
        <v>97</v>
      </c>
      <c r="D146" s="15">
        <v>130</v>
      </c>
      <c r="E146" s="15">
        <v>0</v>
      </c>
      <c r="F146" s="15">
        <v>0</v>
      </c>
      <c r="G146" s="16">
        <v>0</v>
      </c>
      <c r="H146" s="17">
        <v>0</v>
      </c>
      <c r="I146" s="15">
        <v>0</v>
      </c>
      <c r="J146" s="16">
        <v>0</v>
      </c>
      <c r="K146" s="15">
        <v>0</v>
      </c>
      <c r="L146" s="16">
        <v>0</v>
      </c>
      <c r="M146" s="17">
        <v>0</v>
      </c>
      <c r="N146" s="17">
        <v>0</v>
      </c>
      <c r="O146" s="15">
        <v>0</v>
      </c>
      <c r="P146" s="15">
        <v>0</v>
      </c>
      <c r="Q146" s="25"/>
      <c r="R146" s="15">
        <v>0</v>
      </c>
      <c r="S146" s="14" t="s">
        <v>93</v>
      </c>
      <c r="T146" s="18">
        <v>0</v>
      </c>
    </row>
    <row r="147" spans="1:20" ht="14.4">
      <c r="A147" s="26">
        <v>339985</v>
      </c>
      <c r="B147" s="19" t="s">
        <v>85</v>
      </c>
      <c r="C147" s="19" t="s">
        <v>94</v>
      </c>
      <c r="D147" s="20">
        <v>125</v>
      </c>
      <c r="E147" s="20">
        <v>0</v>
      </c>
      <c r="F147" s="20">
        <v>0</v>
      </c>
      <c r="G147" s="21">
        <v>125</v>
      </c>
      <c r="H147" s="22">
        <v>1</v>
      </c>
      <c r="I147" s="20">
        <v>0</v>
      </c>
      <c r="J147" s="21">
        <v>0</v>
      </c>
      <c r="K147" s="20">
        <v>0</v>
      </c>
      <c r="L147" s="21">
        <v>0</v>
      </c>
      <c r="M147" s="22">
        <v>0</v>
      </c>
      <c r="N147" s="22">
        <v>0</v>
      </c>
      <c r="O147" s="20">
        <v>0</v>
      </c>
      <c r="P147" s="20">
        <v>0</v>
      </c>
      <c r="Q147" s="20">
        <v>25</v>
      </c>
      <c r="R147" s="20">
        <v>0</v>
      </c>
      <c r="S147" s="19" t="s">
        <v>95</v>
      </c>
      <c r="T147" s="23">
        <v>6</v>
      </c>
    </row>
    <row r="148" spans="1:20" ht="14.4">
      <c r="A148" s="13">
        <v>340387</v>
      </c>
      <c r="B148" s="14" t="s">
        <v>85</v>
      </c>
      <c r="C148" s="14" t="s">
        <v>94</v>
      </c>
      <c r="D148" s="15">
        <v>125</v>
      </c>
      <c r="E148" s="15">
        <v>0</v>
      </c>
      <c r="F148" s="15">
        <v>0</v>
      </c>
      <c r="G148" s="16">
        <v>125</v>
      </c>
      <c r="H148" s="17">
        <v>1</v>
      </c>
      <c r="I148" s="15">
        <v>0</v>
      </c>
      <c r="J148" s="16">
        <v>0</v>
      </c>
      <c r="K148" s="15">
        <v>0</v>
      </c>
      <c r="L148" s="16">
        <v>0</v>
      </c>
      <c r="M148" s="17">
        <v>0</v>
      </c>
      <c r="N148" s="17">
        <v>0</v>
      </c>
      <c r="O148" s="15">
        <v>0</v>
      </c>
      <c r="P148" s="15">
        <v>0</v>
      </c>
      <c r="Q148" s="15">
        <v>0</v>
      </c>
      <c r="R148" s="15">
        <v>0</v>
      </c>
      <c r="S148" s="14" t="s">
        <v>95</v>
      </c>
      <c r="T148" s="18">
        <v>6</v>
      </c>
    </row>
    <row r="149" spans="1:20" ht="14.4">
      <c r="A149" s="26">
        <v>340800</v>
      </c>
      <c r="B149" s="19" t="s">
        <v>85</v>
      </c>
      <c r="C149" s="19" t="s">
        <v>94</v>
      </c>
      <c r="D149" s="20">
        <v>125</v>
      </c>
      <c r="E149" s="20">
        <v>0</v>
      </c>
      <c r="F149" s="20">
        <v>0</v>
      </c>
      <c r="G149" s="21">
        <v>125</v>
      </c>
      <c r="H149" s="22">
        <v>1</v>
      </c>
      <c r="I149" s="20">
        <v>0</v>
      </c>
      <c r="J149" s="21">
        <v>0</v>
      </c>
      <c r="K149" s="20">
        <v>0</v>
      </c>
      <c r="L149" s="21">
        <v>0</v>
      </c>
      <c r="M149" s="22">
        <v>0</v>
      </c>
      <c r="N149" s="22">
        <v>0</v>
      </c>
      <c r="O149" s="20">
        <v>0</v>
      </c>
      <c r="P149" s="20">
        <v>0</v>
      </c>
      <c r="Q149" s="20">
        <v>0</v>
      </c>
      <c r="R149" s="20">
        <v>0</v>
      </c>
      <c r="S149" s="19" t="s">
        <v>95</v>
      </c>
      <c r="T149" s="23">
        <v>6</v>
      </c>
    </row>
    <row r="150" spans="1:20" ht="14.4">
      <c r="A150" s="13">
        <v>340923</v>
      </c>
      <c r="B150" s="14" t="s">
        <v>88</v>
      </c>
      <c r="C150" s="14" t="s">
        <v>97</v>
      </c>
      <c r="D150" s="15">
        <v>125</v>
      </c>
      <c r="E150" s="15">
        <v>0</v>
      </c>
      <c r="F150" s="15">
        <v>0</v>
      </c>
      <c r="G150" s="16">
        <v>0</v>
      </c>
      <c r="H150" s="17">
        <v>0</v>
      </c>
      <c r="I150" s="15">
        <v>0</v>
      </c>
      <c r="J150" s="16">
        <v>0</v>
      </c>
      <c r="K150" s="15">
        <v>0</v>
      </c>
      <c r="L150" s="16">
        <v>0</v>
      </c>
      <c r="M150" s="17">
        <v>0</v>
      </c>
      <c r="N150" s="17">
        <v>0</v>
      </c>
      <c r="O150" s="15">
        <v>0</v>
      </c>
      <c r="P150" s="15">
        <v>0</v>
      </c>
      <c r="Q150" s="25"/>
      <c r="R150" s="15">
        <v>0</v>
      </c>
      <c r="S150" s="14" t="s">
        <v>93</v>
      </c>
      <c r="T150" s="18">
        <v>0</v>
      </c>
    </row>
    <row r="151" spans="1:20" ht="14.4">
      <c r="A151" s="26">
        <v>340928</v>
      </c>
      <c r="B151" s="19" t="s">
        <v>88</v>
      </c>
      <c r="C151" s="19" t="s">
        <v>57</v>
      </c>
      <c r="D151" s="20">
        <v>125</v>
      </c>
      <c r="E151" s="20">
        <v>0</v>
      </c>
      <c r="F151" s="20">
        <v>0</v>
      </c>
      <c r="G151" s="21">
        <v>0</v>
      </c>
      <c r="H151" s="22">
        <v>0</v>
      </c>
      <c r="I151" s="20">
        <v>0</v>
      </c>
      <c r="J151" s="21">
        <v>0</v>
      </c>
      <c r="K151" s="20">
        <v>0</v>
      </c>
      <c r="L151" s="21">
        <v>0</v>
      </c>
      <c r="M151" s="22">
        <v>0</v>
      </c>
      <c r="N151" s="22">
        <v>0</v>
      </c>
      <c r="O151" s="20">
        <v>0</v>
      </c>
      <c r="P151" s="20">
        <v>0</v>
      </c>
      <c r="Q151" s="27"/>
      <c r="R151" s="20">
        <v>0</v>
      </c>
      <c r="S151" s="19" t="s">
        <v>87</v>
      </c>
      <c r="T151" s="23">
        <v>0</v>
      </c>
    </row>
    <row r="152" spans="1:20" ht="14.4">
      <c r="A152" s="13">
        <v>340946</v>
      </c>
      <c r="B152" s="14" t="s">
        <v>88</v>
      </c>
      <c r="C152" s="14" t="s">
        <v>47</v>
      </c>
      <c r="D152" s="15">
        <v>125</v>
      </c>
      <c r="E152" s="15">
        <v>0</v>
      </c>
      <c r="F152" s="15">
        <v>0</v>
      </c>
      <c r="G152" s="16">
        <v>0</v>
      </c>
      <c r="H152" s="17">
        <v>0</v>
      </c>
      <c r="I152" s="15">
        <v>0</v>
      </c>
      <c r="J152" s="16">
        <v>0</v>
      </c>
      <c r="K152" s="15">
        <v>0</v>
      </c>
      <c r="L152" s="16">
        <v>0</v>
      </c>
      <c r="M152" s="17">
        <v>0</v>
      </c>
      <c r="N152" s="17">
        <v>0</v>
      </c>
      <c r="O152" s="15">
        <v>0</v>
      </c>
      <c r="P152" s="15">
        <v>0</v>
      </c>
      <c r="Q152" s="25"/>
      <c r="R152" s="15">
        <v>0</v>
      </c>
      <c r="S152" s="14" t="s">
        <v>91</v>
      </c>
      <c r="T152" s="18">
        <v>0</v>
      </c>
    </row>
    <row r="153" spans="1:20" ht="14.4">
      <c r="A153" s="26">
        <v>340959</v>
      </c>
      <c r="B153" s="19" t="s">
        <v>88</v>
      </c>
      <c r="C153" s="19" t="s">
        <v>43</v>
      </c>
      <c r="D153" s="20">
        <v>125</v>
      </c>
      <c r="E153" s="20">
        <v>0</v>
      </c>
      <c r="F153" s="20">
        <v>0</v>
      </c>
      <c r="G153" s="21">
        <v>0</v>
      </c>
      <c r="H153" s="22">
        <v>0</v>
      </c>
      <c r="I153" s="20">
        <v>0</v>
      </c>
      <c r="J153" s="21">
        <v>0</v>
      </c>
      <c r="K153" s="20">
        <v>0</v>
      </c>
      <c r="L153" s="21">
        <v>0</v>
      </c>
      <c r="M153" s="22">
        <v>0</v>
      </c>
      <c r="N153" s="22">
        <v>0</v>
      </c>
      <c r="O153" s="20">
        <v>0</v>
      </c>
      <c r="P153" s="20">
        <v>0</v>
      </c>
      <c r="Q153" s="27"/>
      <c r="R153" s="20">
        <v>0</v>
      </c>
      <c r="S153" s="19" t="s">
        <v>87</v>
      </c>
      <c r="T153" s="23">
        <v>0</v>
      </c>
    </row>
    <row r="154" spans="1:20" ht="14.4">
      <c r="A154" s="13">
        <v>341110</v>
      </c>
      <c r="B154" s="14" t="s">
        <v>88</v>
      </c>
      <c r="C154" s="14" t="s">
        <v>97</v>
      </c>
      <c r="D154" s="15">
        <v>125</v>
      </c>
      <c r="E154" s="15">
        <v>0</v>
      </c>
      <c r="F154" s="15">
        <v>0</v>
      </c>
      <c r="G154" s="16">
        <v>0</v>
      </c>
      <c r="H154" s="17">
        <v>0</v>
      </c>
      <c r="I154" s="15">
        <v>0</v>
      </c>
      <c r="J154" s="16">
        <v>0</v>
      </c>
      <c r="K154" s="15">
        <v>0</v>
      </c>
      <c r="L154" s="16">
        <v>0</v>
      </c>
      <c r="M154" s="17">
        <v>0</v>
      </c>
      <c r="N154" s="17">
        <v>0</v>
      </c>
      <c r="O154" s="15">
        <v>0</v>
      </c>
      <c r="P154" s="15">
        <v>0</v>
      </c>
      <c r="Q154" s="25"/>
      <c r="R154" s="15">
        <v>0</v>
      </c>
      <c r="S154" s="14" t="s">
        <v>93</v>
      </c>
      <c r="T154" s="18">
        <v>0</v>
      </c>
    </row>
    <row r="155" spans="1:20" ht="14.4">
      <c r="A155" s="26">
        <v>340227</v>
      </c>
      <c r="B155" s="19" t="s">
        <v>85</v>
      </c>
      <c r="C155" s="19" t="s">
        <v>57</v>
      </c>
      <c r="D155" s="20">
        <v>124</v>
      </c>
      <c r="E155" s="20">
        <v>35</v>
      </c>
      <c r="F155" s="20">
        <v>0</v>
      </c>
      <c r="G155" s="21">
        <v>89</v>
      </c>
      <c r="H155" s="22">
        <v>1</v>
      </c>
      <c r="I155" s="20">
        <v>0</v>
      </c>
      <c r="J155" s="21">
        <v>0</v>
      </c>
      <c r="K155" s="20">
        <v>0</v>
      </c>
      <c r="L155" s="21">
        <v>0</v>
      </c>
      <c r="M155" s="22">
        <v>0</v>
      </c>
      <c r="N155" s="22">
        <v>0</v>
      </c>
      <c r="O155" s="20">
        <v>0</v>
      </c>
      <c r="P155" s="20">
        <v>0</v>
      </c>
      <c r="Q155" s="20">
        <v>0</v>
      </c>
      <c r="R155" s="20">
        <v>0</v>
      </c>
      <c r="S155" s="19" t="s">
        <v>87</v>
      </c>
      <c r="T155" s="23">
        <v>4</v>
      </c>
    </row>
    <row r="156" spans="1:20" ht="14.4">
      <c r="A156" s="13">
        <v>341104</v>
      </c>
      <c r="B156" s="14" t="s">
        <v>88</v>
      </c>
      <c r="C156" s="14" t="s">
        <v>60</v>
      </c>
      <c r="D156" s="15">
        <v>122</v>
      </c>
      <c r="E156" s="15">
        <v>0</v>
      </c>
      <c r="F156" s="15">
        <v>0</v>
      </c>
      <c r="G156" s="16">
        <v>0</v>
      </c>
      <c r="H156" s="17">
        <v>0</v>
      </c>
      <c r="I156" s="15">
        <v>0</v>
      </c>
      <c r="J156" s="16">
        <v>0</v>
      </c>
      <c r="K156" s="15">
        <v>0</v>
      </c>
      <c r="L156" s="16">
        <v>0</v>
      </c>
      <c r="M156" s="17">
        <v>0</v>
      </c>
      <c r="N156" s="17">
        <v>0</v>
      </c>
      <c r="O156" s="15">
        <v>0</v>
      </c>
      <c r="P156" s="15">
        <v>0</v>
      </c>
      <c r="Q156" s="25"/>
      <c r="R156" s="15">
        <v>0</v>
      </c>
      <c r="S156" s="14" t="s">
        <v>87</v>
      </c>
      <c r="T156" s="18">
        <v>0</v>
      </c>
    </row>
    <row r="157" spans="1:20" ht="14.4">
      <c r="A157" s="26">
        <v>340677</v>
      </c>
      <c r="B157" s="19" t="s">
        <v>85</v>
      </c>
      <c r="C157" s="19" t="s">
        <v>60</v>
      </c>
      <c r="D157" s="20">
        <v>120</v>
      </c>
      <c r="E157" s="20">
        <v>35</v>
      </c>
      <c r="F157" s="20">
        <v>0</v>
      </c>
      <c r="G157" s="21">
        <v>85</v>
      </c>
      <c r="H157" s="22">
        <v>1</v>
      </c>
      <c r="I157" s="20">
        <v>0</v>
      </c>
      <c r="J157" s="21">
        <v>0</v>
      </c>
      <c r="K157" s="20">
        <v>0</v>
      </c>
      <c r="L157" s="21">
        <v>0</v>
      </c>
      <c r="M157" s="22">
        <v>0</v>
      </c>
      <c r="N157" s="22">
        <v>0</v>
      </c>
      <c r="O157" s="20">
        <v>0</v>
      </c>
      <c r="P157" s="20">
        <v>0</v>
      </c>
      <c r="Q157" s="20">
        <v>0</v>
      </c>
      <c r="R157" s="20">
        <v>0</v>
      </c>
      <c r="S157" s="19" t="s">
        <v>87</v>
      </c>
      <c r="T157" s="23">
        <v>4</v>
      </c>
    </row>
    <row r="158" spans="1:20" ht="14.4">
      <c r="A158" s="13">
        <v>340820</v>
      </c>
      <c r="B158" s="14" t="s">
        <v>85</v>
      </c>
      <c r="C158" s="14" t="s">
        <v>94</v>
      </c>
      <c r="D158" s="15">
        <v>120</v>
      </c>
      <c r="E158" s="15">
        <v>0</v>
      </c>
      <c r="F158" s="15">
        <v>0</v>
      </c>
      <c r="G158" s="16">
        <v>120</v>
      </c>
      <c r="H158" s="17">
        <v>1</v>
      </c>
      <c r="I158" s="15">
        <v>0</v>
      </c>
      <c r="J158" s="16">
        <v>0</v>
      </c>
      <c r="K158" s="15">
        <v>0</v>
      </c>
      <c r="L158" s="16">
        <v>0</v>
      </c>
      <c r="M158" s="17">
        <v>0</v>
      </c>
      <c r="N158" s="17">
        <v>0</v>
      </c>
      <c r="O158" s="15">
        <v>0</v>
      </c>
      <c r="P158" s="15">
        <v>0</v>
      </c>
      <c r="Q158" s="15">
        <v>0</v>
      </c>
      <c r="R158" s="15">
        <v>0</v>
      </c>
      <c r="S158" s="14" t="s">
        <v>95</v>
      </c>
      <c r="T158" s="18">
        <v>5</v>
      </c>
    </row>
    <row r="159" spans="1:20" ht="14.4">
      <c r="A159" s="26">
        <v>341117</v>
      </c>
      <c r="B159" s="19" t="s">
        <v>88</v>
      </c>
      <c r="C159" s="19" t="s">
        <v>97</v>
      </c>
      <c r="D159" s="20">
        <v>120</v>
      </c>
      <c r="E159" s="20">
        <v>0</v>
      </c>
      <c r="F159" s="20">
        <v>0</v>
      </c>
      <c r="G159" s="21">
        <v>0</v>
      </c>
      <c r="H159" s="22">
        <v>0</v>
      </c>
      <c r="I159" s="20">
        <v>0</v>
      </c>
      <c r="J159" s="21">
        <v>0</v>
      </c>
      <c r="K159" s="20">
        <v>0</v>
      </c>
      <c r="L159" s="21">
        <v>0</v>
      </c>
      <c r="M159" s="22">
        <v>0</v>
      </c>
      <c r="N159" s="22">
        <v>0</v>
      </c>
      <c r="O159" s="20">
        <v>0</v>
      </c>
      <c r="P159" s="20">
        <v>0</v>
      </c>
      <c r="Q159" s="27"/>
      <c r="R159" s="20">
        <v>0</v>
      </c>
      <c r="S159" s="19" t="s">
        <v>93</v>
      </c>
      <c r="T159" s="23">
        <v>0</v>
      </c>
    </row>
    <row r="160" spans="1:20" ht="14.4">
      <c r="A160" s="13">
        <v>340853</v>
      </c>
      <c r="B160" s="14" t="s">
        <v>88</v>
      </c>
      <c r="C160" s="14" t="s">
        <v>97</v>
      </c>
      <c r="D160" s="15">
        <v>116</v>
      </c>
      <c r="E160" s="15">
        <v>0</v>
      </c>
      <c r="F160" s="15">
        <v>0</v>
      </c>
      <c r="G160" s="16">
        <v>0</v>
      </c>
      <c r="H160" s="17">
        <v>0</v>
      </c>
      <c r="I160" s="15">
        <v>0</v>
      </c>
      <c r="J160" s="16">
        <v>0</v>
      </c>
      <c r="K160" s="15">
        <v>0</v>
      </c>
      <c r="L160" s="16">
        <v>0</v>
      </c>
      <c r="M160" s="17">
        <v>0</v>
      </c>
      <c r="N160" s="17">
        <v>0</v>
      </c>
      <c r="O160" s="15">
        <v>0</v>
      </c>
      <c r="P160" s="15">
        <v>0</v>
      </c>
      <c r="Q160" s="25"/>
      <c r="R160" s="15">
        <v>0</v>
      </c>
      <c r="S160" s="14" t="s">
        <v>93</v>
      </c>
      <c r="T160" s="18">
        <v>0</v>
      </c>
    </row>
    <row r="161" spans="1:20" ht="14.4">
      <c r="A161" s="26">
        <v>340916</v>
      </c>
      <c r="B161" s="19" t="s">
        <v>88</v>
      </c>
      <c r="C161" s="19" t="s">
        <v>44</v>
      </c>
      <c r="D161" s="20">
        <v>115</v>
      </c>
      <c r="E161" s="20">
        <v>0</v>
      </c>
      <c r="F161" s="20">
        <v>0</v>
      </c>
      <c r="G161" s="21">
        <v>0</v>
      </c>
      <c r="H161" s="22">
        <v>0</v>
      </c>
      <c r="I161" s="20">
        <v>0</v>
      </c>
      <c r="J161" s="21">
        <v>0</v>
      </c>
      <c r="K161" s="20">
        <v>0</v>
      </c>
      <c r="L161" s="21">
        <v>0</v>
      </c>
      <c r="M161" s="22">
        <v>0</v>
      </c>
      <c r="N161" s="22">
        <v>0</v>
      </c>
      <c r="O161" s="20">
        <v>0</v>
      </c>
      <c r="P161" s="20">
        <v>0</v>
      </c>
      <c r="Q161" s="27"/>
      <c r="R161" s="20">
        <v>0</v>
      </c>
      <c r="S161" s="19" t="s">
        <v>91</v>
      </c>
      <c r="T161" s="23">
        <v>0</v>
      </c>
    </row>
    <row r="162" spans="1:20" ht="14.4">
      <c r="A162" s="13">
        <v>340954</v>
      </c>
      <c r="B162" s="14" t="s">
        <v>88</v>
      </c>
      <c r="C162" s="14" t="s">
        <v>97</v>
      </c>
      <c r="D162" s="15">
        <v>115</v>
      </c>
      <c r="E162" s="15">
        <v>0</v>
      </c>
      <c r="F162" s="15">
        <v>0</v>
      </c>
      <c r="G162" s="16">
        <v>0</v>
      </c>
      <c r="H162" s="17">
        <v>0</v>
      </c>
      <c r="I162" s="15">
        <v>0</v>
      </c>
      <c r="J162" s="16">
        <v>0</v>
      </c>
      <c r="K162" s="15">
        <v>0</v>
      </c>
      <c r="L162" s="16">
        <v>0</v>
      </c>
      <c r="M162" s="17">
        <v>0</v>
      </c>
      <c r="N162" s="17">
        <v>0</v>
      </c>
      <c r="O162" s="15">
        <v>0</v>
      </c>
      <c r="P162" s="15">
        <v>0</v>
      </c>
      <c r="Q162" s="25"/>
      <c r="R162" s="15">
        <v>0</v>
      </c>
      <c r="S162" s="14" t="s">
        <v>93</v>
      </c>
      <c r="T162" s="18">
        <v>0</v>
      </c>
    </row>
    <row r="163" spans="1:20" ht="14.4">
      <c r="A163" s="26">
        <v>341108</v>
      </c>
      <c r="B163" s="19" t="s">
        <v>88</v>
      </c>
      <c r="C163" s="19" t="s">
        <v>44</v>
      </c>
      <c r="D163" s="20">
        <v>115</v>
      </c>
      <c r="E163" s="20">
        <v>0</v>
      </c>
      <c r="F163" s="20">
        <v>0</v>
      </c>
      <c r="G163" s="21">
        <v>0</v>
      </c>
      <c r="H163" s="22">
        <v>0</v>
      </c>
      <c r="I163" s="20">
        <v>0</v>
      </c>
      <c r="J163" s="21">
        <v>0</v>
      </c>
      <c r="K163" s="20">
        <v>0</v>
      </c>
      <c r="L163" s="21">
        <v>0</v>
      </c>
      <c r="M163" s="22">
        <v>0</v>
      </c>
      <c r="N163" s="22">
        <v>0</v>
      </c>
      <c r="O163" s="20">
        <v>0</v>
      </c>
      <c r="P163" s="20">
        <v>0</v>
      </c>
      <c r="Q163" s="27"/>
      <c r="R163" s="20">
        <v>0</v>
      </c>
      <c r="S163" s="19" t="s">
        <v>91</v>
      </c>
      <c r="T163" s="23">
        <v>0</v>
      </c>
    </row>
    <row r="164" spans="1:20" ht="14.4">
      <c r="A164" s="13">
        <v>340314</v>
      </c>
      <c r="B164" s="14" t="s">
        <v>85</v>
      </c>
      <c r="C164" s="14" t="s">
        <v>38</v>
      </c>
      <c r="D164" s="15">
        <v>110</v>
      </c>
      <c r="E164" s="15">
        <v>35</v>
      </c>
      <c r="F164" s="15">
        <v>0</v>
      </c>
      <c r="G164" s="16">
        <v>75</v>
      </c>
      <c r="H164" s="17">
        <v>1</v>
      </c>
      <c r="I164" s="15">
        <v>0</v>
      </c>
      <c r="J164" s="16">
        <v>0</v>
      </c>
      <c r="K164" s="15">
        <v>0</v>
      </c>
      <c r="L164" s="16">
        <v>0</v>
      </c>
      <c r="M164" s="17">
        <v>0</v>
      </c>
      <c r="N164" s="17">
        <v>0</v>
      </c>
      <c r="O164" s="15">
        <v>0</v>
      </c>
      <c r="P164" s="15">
        <v>0</v>
      </c>
      <c r="Q164" s="15">
        <v>0</v>
      </c>
      <c r="R164" s="15">
        <v>0</v>
      </c>
      <c r="S164" s="14" t="s">
        <v>91</v>
      </c>
      <c r="T164" s="18">
        <v>3</v>
      </c>
    </row>
    <row r="165" spans="1:20" ht="14.4">
      <c r="A165" s="26">
        <v>340317</v>
      </c>
      <c r="B165" s="19" t="s">
        <v>85</v>
      </c>
      <c r="C165" s="19" t="s">
        <v>44</v>
      </c>
      <c r="D165" s="20">
        <v>110</v>
      </c>
      <c r="E165" s="20">
        <v>35</v>
      </c>
      <c r="F165" s="20">
        <v>0</v>
      </c>
      <c r="G165" s="21">
        <v>75</v>
      </c>
      <c r="H165" s="22">
        <v>1</v>
      </c>
      <c r="I165" s="20">
        <v>0</v>
      </c>
      <c r="J165" s="21">
        <v>0</v>
      </c>
      <c r="K165" s="20">
        <v>0</v>
      </c>
      <c r="L165" s="21">
        <v>0</v>
      </c>
      <c r="M165" s="22">
        <v>0</v>
      </c>
      <c r="N165" s="22">
        <v>0</v>
      </c>
      <c r="O165" s="20">
        <v>0</v>
      </c>
      <c r="P165" s="20">
        <v>0</v>
      </c>
      <c r="Q165" s="20">
        <v>0</v>
      </c>
      <c r="R165" s="20">
        <v>0</v>
      </c>
      <c r="S165" s="19" t="s">
        <v>91</v>
      </c>
      <c r="T165" s="23">
        <v>3</v>
      </c>
    </row>
    <row r="166" spans="1:20" ht="14.4">
      <c r="A166" s="13">
        <v>340654</v>
      </c>
      <c r="B166" s="14" t="s">
        <v>85</v>
      </c>
      <c r="C166" s="14" t="s">
        <v>89</v>
      </c>
      <c r="D166" s="15">
        <v>110</v>
      </c>
      <c r="E166" s="15">
        <v>35</v>
      </c>
      <c r="F166" s="15">
        <v>0</v>
      </c>
      <c r="G166" s="16">
        <v>75</v>
      </c>
      <c r="H166" s="17">
        <v>1</v>
      </c>
      <c r="I166" s="15">
        <v>0</v>
      </c>
      <c r="J166" s="16">
        <v>0</v>
      </c>
      <c r="K166" s="15">
        <v>0</v>
      </c>
      <c r="L166" s="16">
        <v>0</v>
      </c>
      <c r="M166" s="17">
        <v>0</v>
      </c>
      <c r="N166" s="17">
        <v>0</v>
      </c>
      <c r="O166" s="15">
        <v>0</v>
      </c>
      <c r="P166" s="15">
        <v>0</v>
      </c>
      <c r="Q166" s="15">
        <v>0</v>
      </c>
      <c r="R166" s="15">
        <v>0</v>
      </c>
      <c r="S166" s="14" t="s">
        <v>87</v>
      </c>
      <c r="T166" s="18">
        <v>3</v>
      </c>
    </row>
    <row r="167" spans="1:20" ht="14.4">
      <c r="A167" s="26">
        <v>340865</v>
      </c>
      <c r="B167" s="19" t="s">
        <v>88</v>
      </c>
      <c r="C167" s="19" t="s">
        <v>97</v>
      </c>
      <c r="D167" s="20">
        <v>110</v>
      </c>
      <c r="E167" s="20">
        <v>0</v>
      </c>
      <c r="F167" s="20">
        <v>0</v>
      </c>
      <c r="G167" s="21">
        <v>0</v>
      </c>
      <c r="H167" s="22">
        <v>0</v>
      </c>
      <c r="I167" s="20">
        <v>0</v>
      </c>
      <c r="J167" s="21">
        <v>0</v>
      </c>
      <c r="K167" s="20">
        <v>0</v>
      </c>
      <c r="L167" s="21">
        <v>0</v>
      </c>
      <c r="M167" s="22">
        <v>0</v>
      </c>
      <c r="N167" s="22">
        <v>0</v>
      </c>
      <c r="O167" s="20">
        <v>0</v>
      </c>
      <c r="P167" s="20">
        <v>0</v>
      </c>
      <c r="Q167" s="27"/>
      <c r="R167" s="20">
        <v>0</v>
      </c>
      <c r="S167" s="19" t="s">
        <v>93</v>
      </c>
      <c r="T167" s="23">
        <v>0</v>
      </c>
    </row>
    <row r="168" spans="1:20" ht="14.4">
      <c r="A168" s="13">
        <v>340887</v>
      </c>
      <c r="B168" s="14" t="s">
        <v>88</v>
      </c>
      <c r="C168" s="14" t="s">
        <v>97</v>
      </c>
      <c r="D168" s="15">
        <v>110</v>
      </c>
      <c r="E168" s="15">
        <v>0</v>
      </c>
      <c r="F168" s="15">
        <v>0</v>
      </c>
      <c r="G168" s="16">
        <v>0</v>
      </c>
      <c r="H168" s="17">
        <v>0</v>
      </c>
      <c r="I168" s="15">
        <v>0</v>
      </c>
      <c r="J168" s="16">
        <v>0</v>
      </c>
      <c r="K168" s="15">
        <v>0</v>
      </c>
      <c r="L168" s="16">
        <v>0</v>
      </c>
      <c r="M168" s="17">
        <v>0</v>
      </c>
      <c r="N168" s="17">
        <v>0</v>
      </c>
      <c r="O168" s="15">
        <v>0</v>
      </c>
      <c r="P168" s="15">
        <v>0</v>
      </c>
      <c r="Q168" s="25"/>
      <c r="R168" s="15">
        <v>0</v>
      </c>
      <c r="S168" s="14" t="s">
        <v>93</v>
      </c>
      <c r="T168" s="18">
        <v>0</v>
      </c>
    </row>
    <row r="169" spans="1:20" ht="14.4">
      <c r="A169" s="26">
        <v>340942</v>
      </c>
      <c r="B169" s="19" t="s">
        <v>88</v>
      </c>
      <c r="C169" s="19" t="s">
        <v>97</v>
      </c>
      <c r="D169" s="20">
        <v>110</v>
      </c>
      <c r="E169" s="20">
        <v>0</v>
      </c>
      <c r="F169" s="20">
        <v>0</v>
      </c>
      <c r="G169" s="21">
        <v>0</v>
      </c>
      <c r="H169" s="22">
        <v>0</v>
      </c>
      <c r="I169" s="20">
        <v>0</v>
      </c>
      <c r="J169" s="21">
        <v>0</v>
      </c>
      <c r="K169" s="20">
        <v>0</v>
      </c>
      <c r="L169" s="21">
        <v>0</v>
      </c>
      <c r="M169" s="22">
        <v>0</v>
      </c>
      <c r="N169" s="22">
        <v>0</v>
      </c>
      <c r="O169" s="20">
        <v>0</v>
      </c>
      <c r="P169" s="20">
        <v>0</v>
      </c>
      <c r="Q169" s="27"/>
      <c r="R169" s="20">
        <v>0</v>
      </c>
      <c r="S169" s="19" t="s">
        <v>93</v>
      </c>
      <c r="T169" s="23">
        <v>0</v>
      </c>
    </row>
    <row r="170" spans="1:20" ht="14.4">
      <c r="A170" s="13">
        <v>340960</v>
      </c>
      <c r="B170" s="14" t="s">
        <v>88</v>
      </c>
      <c r="C170" s="14" t="s">
        <v>97</v>
      </c>
      <c r="D170" s="15">
        <v>110</v>
      </c>
      <c r="E170" s="15">
        <v>0</v>
      </c>
      <c r="F170" s="15">
        <v>0</v>
      </c>
      <c r="G170" s="16">
        <v>0</v>
      </c>
      <c r="H170" s="17">
        <v>0</v>
      </c>
      <c r="I170" s="15">
        <v>0</v>
      </c>
      <c r="J170" s="16">
        <v>0</v>
      </c>
      <c r="K170" s="15">
        <v>0</v>
      </c>
      <c r="L170" s="16">
        <v>0</v>
      </c>
      <c r="M170" s="17">
        <v>0</v>
      </c>
      <c r="N170" s="17">
        <v>0</v>
      </c>
      <c r="O170" s="15">
        <v>0</v>
      </c>
      <c r="P170" s="15">
        <v>0</v>
      </c>
      <c r="Q170" s="25"/>
      <c r="R170" s="15">
        <v>0</v>
      </c>
      <c r="S170" s="14" t="s">
        <v>93</v>
      </c>
      <c r="T170" s="18">
        <v>0</v>
      </c>
    </row>
    <row r="171" spans="1:20" ht="14.4">
      <c r="A171" s="26">
        <v>341013</v>
      </c>
      <c r="B171" s="19" t="s">
        <v>88</v>
      </c>
      <c r="C171" s="19" t="s">
        <v>97</v>
      </c>
      <c r="D171" s="20">
        <v>110</v>
      </c>
      <c r="E171" s="20">
        <v>0</v>
      </c>
      <c r="F171" s="20">
        <v>0</v>
      </c>
      <c r="G171" s="21">
        <v>0</v>
      </c>
      <c r="H171" s="22">
        <v>0</v>
      </c>
      <c r="I171" s="20">
        <v>0</v>
      </c>
      <c r="J171" s="21">
        <v>0</v>
      </c>
      <c r="K171" s="20">
        <v>0</v>
      </c>
      <c r="L171" s="21">
        <v>0</v>
      </c>
      <c r="M171" s="22">
        <v>0</v>
      </c>
      <c r="N171" s="22">
        <v>0</v>
      </c>
      <c r="O171" s="20">
        <v>0</v>
      </c>
      <c r="P171" s="20">
        <v>0</v>
      </c>
      <c r="Q171" s="27"/>
      <c r="R171" s="20">
        <v>0</v>
      </c>
      <c r="S171" s="19" t="s">
        <v>93</v>
      </c>
      <c r="T171" s="23">
        <v>0</v>
      </c>
    </row>
    <row r="172" spans="1:20" ht="14.4">
      <c r="A172" s="13">
        <v>341020</v>
      </c>
      <c r="B172" s="14" t="s">
        <v>88</v>
      </c>
      <c r="C172" s="14" t="s">
        <v>97</v>
      </c>
      <c r="D172" s="15">
        <v>110</v>
      </c>
      <c r="E172" s="15">
        <v>0</v>
      </c>
      <c r="F172" s="15">
        <v>0</v>
      </c>
      <c r="G172" s="16">
        <v>0</v>
      </c>
      <c r="H172" s="17">
        <v>0</v>
      </c>
      <c r="I172" s="15">
        <v>0</v>
      </c>
      <c r="J172" s="16">
        <v>0</v>
      </c>
      <c r="K172" s="15">
        <v>0</v>
      </c>
      <c r="L172" s="16">
        <v>0</v>
      </c>
      <c r="M172" s="17">
        <v>0</v>
      </c>
      <c r="N172" s="17">
        <v>0</v>
      </c>
      <c r="O172" s="15">
        <v>0</v>
      </c>
      <c r="P172" s="15">
        <v>0</v>
      </c>
      <c r="Q172" s="25"/>
      <c r="R172" s="15">
        <v>0</v>
      </c>
      <c r="S172" s="14" t="s">
        <v>93</v>
      </c>
      <c r="T172" s="18">
        <v>0</v>
      </c>
    </row>
    <row r="173" spans="1:20" ht="14.4">
      <c r="A173" s="26">
        <v>341031</v>
      </c>
      <c r="B173" s="19" t="s">
        <v>88</v>
      </c>
      <c r="C173" s="19" t="s">
        <v>97</v>
      </c>
      <c r="D173" s="20">
        <v>110</v>
      </c>
      <c r="E173" s="20">
        <v>0</v>
      </c>
      <c r="F173" s="20">
        <v>0</v>
      </c>
      <c r="G173" s="21">
        <v>0</v>
      </c>
      <c r="H173" s="22">
        <v>0</v>
      </c>
      <c r="I173" s="20">
        <v>0</v>
      </c>
      <c r="J173" s="21">
        <v>0</v>
      </c>
      <c r="K173" s="20">
        <v>0</v>
      </c>
      <c r="L173" s="21">
        <v>0</v>
      </c>
      <c r="M173" s="22">
        <v>0</v>
      </c>
      <c r="N173" s="22">
        <v>0</v>
      </c>
      <c r="O173" s="20">
        <v>0</v>
      </c>
      <c r="P173" s="20">
        <v>0</v>
      </c>
      <c r="Q173" s="27"/>
      <c r="R173" s="20">
        <v>0</v>
      </c>
      <c r="S173" s="19" t="s">
        <v>93</v>
      </c>
      <c r="T173" s="23">
        <v>0</v>
      </c>
    </row>
    <row r="174" spans="1:20" ht="14.4">
      <c r="A174" s="13">
        <v>341032</v>
      </c>
      <c r="B174" s="14" t="s">
        <v>88</v>
      </c>
      <c r="C174" s="14" t="s">
        <v>97</v>
      </c>
      <c r="D174" s="15">
        <v>110</v>
      </c>
      <c r="E174" s="15">
        <v>0</v>
      </c>
      <c r="F174" s="15">
        <v>0</v>
      </c>
      <c r="G174" s="16">
        <v>0</v>
      </c>
      <c r="H174" s="17">
        <v>0</v>
      </c>
      <c r="I174" s="15">
        <v>0</v>
      </c>
      <c r="J174" s="16">
        <v>0</v>
      </c>
      <c r="K174" s="15">
        <v>0</v>
      </c>
      <c r="L174" s="16">
        <v>0</v>
      </c>
      <c r="M174" s="17">
        <v>0</v>
      </c>
      <c r="N174" s="17">
        <v>0</v>
      </c>
      <c r="O174" s="15">
        <v>0</v>
      </c>
      <c r="P174" s="15">
        <v>0</v>
      </c>
      <c r="Q174" s="25"/>
      <c r="R174" s="15">
        <v>0</v>
      </c>
      <c r="S174" s="14" t="s">
        <v>93</v>
      </c>
      <c r="T174" s="18">
        <v>0</v>
      </c>
    </row>
    <row r="175" spans="1:20" ht="14.4">
      <c r="A175" s="26">
        <v>341034</v>
      </c>
      <c r="B175" s="19" t="s">
        <v>88</v>
      </c>
      <c r="C175" s="19" t="s">
        <v>97</v>
      </c>
      <c r="D175" s="20">
        <v>110</v>
      </c>
      <c r="E175" s="20">
        <v>0</v>
      </c>
      <c r="F175" s="20">
        <v>0</v>
      </c>
      <c r="G175" s="21">
        <v>0</v>
      </c>
      <c r="H175" s="22">
        <v>0</v>
      </c>
      <c r="I175" s="20">
        <v>0</v>
      </c>
      <c r="J175" s="21">
        <v>0</v>
      </c>
      <c r="K175" s="20">
        <v>0</v>
      </c>
      <c r="L175" s="21">
        <v>0</v>
      </c>
      <c r="M175" s="22">
        <v>0</v>
      </c>
      <c r="N175" s="22">
        <v>0</v>
      </c>
      <c r="O175" s="20">
        <v>0</v>
      </c>
      <c r="P175" s="20">
        <v>0</v>
      </c>
      <c r="Q175" s="27"/>
      <c r="R175" s="20">
        <v>0</v>
      </c>
      <c r="S175" s="19" t="s">
        <v>93</v>
      </c>
      <c r="T175" s="23">
        <v>0</v>
      </c>
    </row>
    <row r="176" spans="1:20" ht="14.4">
      <c r="A176" s="13">
        <v>341049</v>
      </c>
      <c r="B176" s="14" t="s">
        <v>88</v>
      </c>
      <c r="C176" s="14" t="s">
        <v>44</v>
      </c>
      <c r="D176" s="15">
        <v>110</v>
      </c>
      <c r="E176" s="15">
        <v>0</v>
      </c>
      <c r="F176" s="15">
        <v>0</v>
      </c>
      <c r="G176" s="16">
        <v>0</v>
      </c>
      <c r="H176" s="17">
        <v>0</v>
      </c>
      <c r="I176" s="15">
        <v>0</v>
      </c>
      <c r="J176" s="16">
        <v>0</v>
      </c>
      <c r="K176" s="15">
        <v>0</v>
      </c>
      <c r="L176" s="16">
        <v>0</v>
      </c>
      <c r="M176" s="17">
        <v>0</v>
      </c>
      <c r="N176" s="17">
        <v>0</v>
      </c>
      <c r="O176" s="15">
        <v>0</v>
      </c>
      <c r="P176" s="15">
        <v>0</v>
      </c>
      <c r="Q176" s="25"/>
      <c r="R176" s="15">
        <v>0</v>
      </c>
      <c r="S176" s="14" t="s">
        <v>91</v>
      </c>
      <c r="T176" s="18">
        <v>0</v>
      </c>
    </row>
    <row r="177" spans="1:20" ht="14.4">
      <c r="A177" s="26">
        <v>340965</v>
      </c>
      <c r="B177" s="19" t="s">
        <v>88</v>
      </c>
      <c r="C177" s="19" t="s">
        <v>60</v>
      </c>
      <c r="D177" s="20">
        <v>109</v>
      </c>
      <c r="E177" s="20">
        <v>0</v>
      </c>
      <c r="F177" s="20">
        <v>0</v>
      </c>
      <c r="G177" s="21">
        <v>0</v>
      </c>
      <c r="H177" s="22">
        <v>0</v>
      </c>
      <c r="I177" s="20">
        <v>0</v>
      </c>
      <c r="J177" s="21">
        <v>0</v>
      </c>
      <c r="K177" s="20">
        <v>0</v>
      </c>
      <c r="L177" s="21">
        <v>0</v>
      </c>
      <c r="M177" s="22">
        <v>0</v>
      </c>
      <c r="N177" s="22">
        <v>0</v>
      </c>
      <c r="O177" s="20">
        <v>0</v>
      </c>
      <c r="P177" s="20">
        <v>0</v>
      </c>
      <c r="Q177" s="27"/>
      <c r="R177" s="20">
        <v>0</v>
      </c>
      <c r="S177" s="19" t="s">
        <v>87</v>
      </c>
      <c r="T177" s="23">
        <v>0</v>
      </c>
    </row>
    <row r="178" spans="1:20" ht="14.4">
      <c r="A178" s="13">
        <v>341025</v>
      </c>
      <c r="B178" s="14" t="s">
        <v>88</v>
      </c>
      <c r="C178" s="14" t="s">
        <v>99</v>
      </c>
      <c r="D178" s="15">
        <v>108</v>
      </c>
      <c r="E178" s="15">
        <v>0</v>
      </c>
      <c r="F178" s="15">
        <v>0</v>
      </c>
      <c r="G178" s="16">
        <v>0</v>
      </c>
      <c r="H178" s="17">
        <v>0</v>
      </c>
      <c r="I178" s="15">
        <v>0</v>
      </c>
      <c r="J178" s="16">
        <v>0</v>
      </c>
      <c r="K178" s="15">
        <v>0</v>
      </c>
      <c r="L178" s="16">
        <v>0</v>
      </c>
      <c r="M178" s="17">
        <v>0</v>
      </c>
      <c r="N178" s="17">
        <v>0</v>
      </c>
      <c r="O178" s="15">
        <v>0</v>
      </c>
      <c r="P178" s="15">
        <v>0</v>
      </c>
      <c r="Q178" s="25"/>
      <c r="R178" s="15">
        <v>0</v>
      </c>
      <c r="S178" s="14" t="s">
        <v>100</v>
      </c>
      <c r="T178" s="18">
        <v>0</v>
      </c>
    </row>
    <row r="179" spans="1:20" ht="14.4">
      <c r="A179" s="26">
        <v>340953</v>
      </c>
      <c r="B179" s="19" t="s">
        <v>88</v>
      </c>
      <c r="C179" s="19" t="s">
        <v>97</v>
      </c>
      <c r="D179" s="20">
        <v>107</v>
      </c>
      <c r="E179" s="20">
        <v>0</v>
      </c>
      <c r="F179" s="20">
        <v>0</v>
      </c>
      <c r="G179" s="21">
        <v>0</v>
      </c>
      <c r="H179" s="22">
        <v>0</v>
      </c>
      <c r="I179" s="20">
        <v>0</v>
      </c>
      <c r="J179" s="21">
        <v>0</v>
      </c>
      <c r="K179" s="20">
        <v>0</v>
      </c>
      <c r="L179" s="21">
        <v>0</v>
      </c>
      <c r="M179" s="22">
        <v>0</v>
      </c>
      <c r="N179" s="22">
        <v>0</v>
      </c>
      <c r="O179" s="20">
        <v>0</v>
      </c>
      <c r="P179" s="20">
        <v>0</v>
      </c>
      <c r="Q179" s="27"/>
      <c r="R179" s="20">
        <v>0</v>
      </c>
      <c r="S179" s="19" t="s">
        <v>93</v>
      </c>
      <c r="T179" s="23">
        <v>0</v>
      </c>
    </row>
    <row r="180" spans="1:20" ht="14.4">
      <c r="A180" s="13">
        <v>340891</v>
      </c>
      <c r="B180" s="14" t="s">
        <v>88</v>
      </c>
      <c r="C180" s="14" t="s">
        <v>89</v>
      </c>
      <c r="D180" s="15">
        <v>105</v>
      </c>
      <c r="E180" s="15">
        <v>0</v>
      </c>
      <c r="F180" s="15">
        <v>0</v>
      </c>
      <c r="G180" s="16">
        <v>0</v>
      </c>
      <c r="H180" s="17">
        <v>0</v>
      </c>
      <c r="I180" s="15">
        <v>0</v>
      </c>
      <c r="J180" s="16">
        <v>0</v>
      </c>
      <c r="K180" s="15">
        <v>0</v>
      </c>
      <c r="L180" s="16">
        <v>0</v>
      </c>
      <c r="M180" s="17">
        <v>0</v>
      </c>
      <c r="N180" s="17">
        <v>0</v>
      </c>
      <c r="O180" s="15">
        <v>0</v>
      </c>
      <c r="P180" s="15">
        <v>0</v>
      </c>
      <c r="Q180" s="25"/>
      <c r="R180" s="15">
        <v>0</v>
      </c>
      <c r="S180" s="14" t="s">
        <v>87</v>
      </c>
      <c r="T180" s="18">
        <v>0</v>
      </c>
    </row>
    <row r="181" spans="1:20" ht="14.4">
      <c r="A181" s="26">
        <v>340735</v>
      </c>
      <c r="B181" s="19" t="s">
        <v>85</v>
      </c>
      <c r="C181" s="19" t="s">
        <v>90</v>
      </c>
      <c r="D181" s="20">
        <v>105</v>
      </c>
      <c r="E181" s="20">
        <v>35</v>
      </c>
      <c r="F181" s="20">
        <v>0</v>
      </c>
      <c r="G181" s="21">
        <v>70</v>
      </c>
      <c r="H181" s="22">
        <v>1</v>
      </c>
      <c r="I181" s="20">
        <v>0</v>
      </c>
      <c r="J181" s="21">
        <v>0</v>
      </c>
      <c r="K181" s="20">
        <v>0</v>
      </c>
      <c r="L181" s="21">
        <v>0</v>
      </c>
      <c r="M181" s="22">
        <v>0</v>
      </c>
      <c r="N181" s="22">
        <v>0</v>
      </c>
      <c r="O181" s="20">
        <v>0</v>
      </c>
      <c r="P181" s="20">
        <v>0</v>
      </c>
      <c r="Q181" s="20">
        <v>0</v>
      </c>
      <c r="R181" s="20">
        <v>0</v>
      </c>
      <c r="S181" s="19" t="s">
        <v>91</v>
      </c>
      <c r="T181" s="23">
        <v>3</v>
      </c>
    </row>
    <row r="182" spans="1:20" ht="14.4">
      <c r="A182" s="13">
        <v>341084</v>
      </c>
      <c r="B182" s="14" t="s">
        <v>88</v>
      </c>
      <c r="C182" s="14" t="s">
        <v>97</v>
      </c>
      <c r="D182" s="15">
        <v>105</v>
      </c>
      <c r="E182" s="15">
        <v>0</v>
      </c>
      <c r="F182" s="15">
        <v>0</v>
      </c>
      <c r="G182" s="16">
        <v>0</v>
      </c>
      <c r="H182" s="17">
        <v>0</v>
      </c>
      <c r="I182" s="15">
        <v>0</v>
      </c>
      <c r="J182" s="16">
        <v>0</v>
      </c>
      <c r="K182" s="15">
        <v>0</v>
      </c>
      <c r="L182" s="16">
        <v>0</v>
      </c>
      <c r="M182" s="17">
        <v>0</v>
      </c>
      <c r="N182" s="17">
        <v>0</v>
      </c>
      <c r="O182" s="15">
        <v>0</v>
      </c>
      <c r="P182" s="15">
        <v>0</v>
      </c>
      <c r="Q182" s="25"/>
      <c r="R182" s="15">
        <v>0</v>
      </c>
      <c r="S182" s="14" t="s">
        <v>93</v>
      </c>
      <c r="T182" s="18">
        <v>0</v>
      </c>
    </row>
    <row r="183" spans="1:20" ht="14.4">
      <c r="A183" s="26">
        <v>337863</v>
      </c>
      <c r="B183" s="19" t="s">
        <v>85</v>
      </c>
      <c r="C183" s="19" t="s">
        <v>51</v>
      </c>
      <c r="D183" s="20">
        <v>100</v>
      </c>
      <c r="E183" s="20">
        <v>0</v>
      </c>
      <c r="F183" s="20">
        <v>58</v>
      </c>
      <c r="G183" s="21">
        <v>700</v>
      </c>
      <c r="H183" s="22">
        <v>4</v>
      </c>
      <c r="I183" s="20">
        <v>0</v>
      </c>
      <c r="J183" s="21">
        <v>0</v>
      </c>
      <c r="K183" s="20">
        <v>0</v>
      </c>
      <c r="L183" s="21">
        <v>0</v>
      </c>
      <c r="M183" s="22">
        <v>0</v>
      </c>
      <c r="N183" s="22">
        <v>0</v>
      </c>
      <c r="O183" s="20">
        <v>0</v>
      </c>
      <c r="P183" s="20">
        <v>0</v>
      </c>
      <c r="Q183" s="20">
        <v>0</v>
      </c>
      <c r="R183" s="20">
        <v>100</v>
      </c>
      <c r="S183" s="19" t="s">
        <v>87</v>
      </c>
      <c r="T183" s="23">
        <v>32</v>
      </c>
    </row>
    <row r="184" spans="1:20" ht="14.4">
      <c r="A184" s="13">
        <v>339708</v>
      </c>
      <c r="B184" s="14" t="s">
        <v>88</v>
      </c>
      <c r="C184" s="14" t="s">
        <v>60</v>
      </c>
      <c r="D184" s="15">
        <v>100</v>
      </c>
      <c r="E184" s="15">
        <v>0</v>
      </c>
      <c r="F184" s="15">
        <v>0</v>
      </c>
      <c r="G184" s="16">
        <v>0</v>
      </c>
      <c r="H184" s="17">
        <v>0</v>
      </c>
      <c r="I184" s="15">
        <v>0</v>
      </c>
      <c r="J184" s="16">
        <v>0</v>
      </c>
      <c r="K184" s="15">
        <v>0</v>
      </c>
      <c r="L184" s="16">
        <v>0</v>
      </c>
      <c r="M184" s="17">
        <v>0</v>
      </c>
      <c r="N184" s="17">
        <v>0</v>
      </c>
      <c r="O184" s="15">
        <v>0</v>
      </c>
      <c r="P184" s="15">
        <v>0</v>
      </c>
      <c r="Q184" s="25"/>
      <c r="R184" s="15">
        <v>0</v>
      </c>
      <c r="S184" s="14" t="s">
        <v>87</v>
      </c>
      <c r="T184" s="18">
        <v>0</v>
      </c>
    </row>
    <row r="185" spans="1:20" ht="14.4">
      <c r="A185" s="26">
        <v>340141</v>
      </c>
      <c r="B185" s="19" t="s">
        <v>88</v>
      </c>
      <c r="C185" s="19" t="s">
        <v>60</v>
      </c>
      <c r="D185" s="20">
        <v>100</v>
      </c>
      <c r="E185" s="20">
        <v>0</v>
      </c>
      <c r="F185" s="20">
        <v>0</v>
      </c>
      <c r="G185" s="21">
        <v>0</v>
      </c>
      <c r="H185" s="22">
        <v>0</v>
      </c>
      <c r="I185" s="20">
        <v>0</v>
      </c>
      <c r="J185" s="21">
        <v>0</v>
      </c>
      <c r="K185" s="20">
        <v>0</v>
      </c>
      <c r="L185" s="21">
        <v>0</v>
      </c>
      <c r="M185" s="22">
        <v>0</v>
      </c>
      <c r="N185" s="22">
        <v>0</v>
      </c>
      <c r="O185" s="20">
        <v>0</v>
      </c>
      <c r="P185" s="20">
        <v>0</v>
      </c>
      <c r="Q185" s="27"/>
      <c r="R185" s="20">
        <v>0</v>
      </c>
      <c r="S185" s="19" t="s">
        <v>87</v>
      </c>
      <c r="T185" s="23">
        <v>0</v>
      </c>
    </row>
    <row r="186" spans="1:20" ht="14.4">
      <c r="A186" s="13">
        <v>340280</v>
      </c>
      <c r="B186" s="14" t="s">
        <v>85</v>
      </c>
      <c r="C186" s="14" t="s">
        <v>94</v>
      </c>
      <c r="D186" s="15">
        <v>100</v>
      </c>
      <c r="E186" s="15">
        <v>25</v>
      </c>
      <c r="F186" s="15">
        <v>0</v>
      </c>
      <c r="G186" s="16">
        <v>75</v>
      </c>
      <c r="H186" s="17">
        <v>1</v>
      </c>
      <c r="I186" s="15">
        <v>0</v>
      </c>
      <c r="J186" s="16">
        <v>0</v>
      </c>
      <c r="K186" s="15">
        <v>0</v>
      </c>
      <c r="L186" s="16">
        <v>0</v>
      </c>
      <c r="M186" s="17">
        <v>0</v>
      </c>
      <c r="N186" s="17">
        <v>0</v>
      </c>
      <c r="O186" s="15">
        <v>0</v>
      </c>
      <c r="P186" s="15">
        <v>0</v>
      </c>
      <c r="Q186" s="15">
        <v>0</v>
      </c>
      <c r="R186" s="15">
        <v>0</v>
      </c>
      <c r="S186" s="14" t="s">
        <v>95</v>
      </c>
      <c r="T186" s="18">
        <v>3</v>
      </c>
    </row>
    <row r="187" spans="1:20" ht="14.4">
      <c r="A187" s="26">
        <v>340281</v>
      </c>
      <c r="B187" s="19" t="s">
        <v>85</v>
      </c>
      <c r="C187" s="19" t="s">
        <v>94</v>
      </c>
      <c r="D187" s="20">
        <v>100</v>
      </c>
      <c r="E187" s="20">
        <v>25</v>
      </c>
      <c r="F187" s="20">
        <v>0</v>
      </c>
      <c r="G187" s="21">
        <v>75</v>
      </c>
      <c r="H187" s="22">
        <v>1</v>
      </c>
      <c r="I187" s="20">
        <v>0</v>
      </c>
      <c r="J187" s="21">
        <v>0</v>
      </c>
      <c r="K187" s="20">
        <v>0</v>
      </c>
      <c r="L187" s="21">
        <v>0</v>
      </c>
      <c r="M187" s="22">
        <v>0</v>
      </c>
      <c r="N187" s="22">
        <v>0</v>
      </c>
      <c r="O187" s="20">
        <v>0</v>
      </c>
      <c r="P187" s="20">
        <v>0</v>
      </c>
      <c r="Q187" s="20">
        <v>0</v>
      </c>
      <c r="R187" s="20">
        <v>0</v>
      </c>
      <c r="S187" s="19" t="s">
        <v>95</v>
      </c>
      <c r="T187" s="23">
        <v>3</v>
      </c>
    </row>
    <row r="188" spans="1:20" ht="14.4">
      <c r="A188" s="13">
        <v>340352</v>
      </c>
      <c r="B188" s="14" t="s">
        <v>85</v>
      </c>
      <c r="C188" s="14" t="s">
        <v>94</v>
      </c>
      <c r="D188" s="15">
        <v>100</v>
      </c>
      <c r="E188" s="15">
        <v>0</v>
      </c>
      <c r="F188" s="15">
        <v>0</v>
      </c>
      <c r="G188" s="16">
        <v>100</v>
      </c>
      <c r="H188" s="17">
        <v>1</v>
      </c>
      <c r="I188" s="15">
        <v>0</v>
      </c>
      <c r="J188" s="16">
        <v>0</v>
      </c>
      <c r="K188" s="15">
        <v>0</v>
      </c>
      <c r="L188" s="16">
        <v>0</v>
      </c>
      <c r="M188" s="17">
        <v>0</v>
      </c>
      <c r="N188" s="17">
        <v>0</v>
      </c>
      <c r="O188" s="15">
        <v>0</v>
      </c>
      <c r="P188" s="15">
        <v>0</v>
      </c>
      <c r="Q188" s="15">
        <v>0</v>
      </c>
      <c r="R188" s="15">
        <v>0</v>
      </c>
      <c r="S188" s="14" t="s">
        <v>95</v>
      </c>
      <c r="T188" s="18">
        <v>5</v>
      </c>
    </row>
    <row r="189" spans="1:20" ht="14.4">
      <c r="A189" s="26">
        <v>340669</v>
      </c>
      <c r="B189" s="19" t="s">
        <v>85</v>
      </c>
      <c r="C189" s="19" t="s">
        <v>94</v>
      </c>
      <c r="D189" s="20">
        <v>100</v>
      </c>
      <c r="E189" s="20">
        <v>25</v>
      </c>
      <c r="F189" s="20">
        <v>0</v>
      </c>
      <c r="G189" s="21">
        <v>75</v>
      </c>
      <c r="H189" s="22">
        <v>1</v>
      </c>
      <c r="I189" s="20">
        <v>0</v>
      </c>
      <c r="J189" s="21">
        <v>0</v>
      </c>
      <c r="K189" s="20">
        <v>0</v>
      </c>
      <c r="L189" s="21">
        <v>0</v>
      </c>
      <c r="M189" s="22">
        <v>0</v>
      </c>
      <c r="N189" s="22">
        <v>0</v>
      </c>
      <c r="O189" s="20">
        <v>0</v>
      </c>
      <c r="P189" s="20">
        <v>0</v>
      </c>
      <c r="Q189" s="20">
        <v>0</v>
      </c>
      <c r="R189" s="20">
        <v>0</v>
      </c>
      <c r="S189" s="19" t="s">
        <v>95</v>
      </c>
      <c r="T189" s="23">
        <v>3</v>
      </c>
    </row>
    <row r="190" spans="1:20" ht="14.4">
      <c r="A190" s="13">
        <v>340713</v>
      </c>
      <c r="B190" s="14" t="s">
        <v>85</v>
      </c>
      <c r="C190" s="14" t="s">
        <v>101</v>
      </c>
      <c r="D190" s="15">
        <v>100</v>
      </c>
      <c r="E190" s="15">
        <v>0</v>
      </c>
      <c r="F190" s="15">
        <v>0</v>
      </c>
      <c r="G190" s="16">
        <v>100</v>
      </c>
      <c r="H190" s="17">
        <v>1</v>
      </c>
      <c r="I190" s="15">
        <v>0</v>
      </c>
      <c r="J190" s="16">
        <v>0</v>
      </c>
      <c r="K190" s="15">
        <v>0</v>
      </c>
      <c r="L190" s="16">
        <v>0</v>
      </c>
      <c r="M190" s="17">
        <v>0</v>
      </c>
      <c r="N190" s="17">
        <v>0</v>
      </c>
      <c r="O190" s="15">
        <v>0</v>
      </c>
      <c r="P190" s="15">
        <v>0</v>
      </c>
      <c r="Q190" s="15">
        <v>0</v>
      </c>
      <c r="R190" s="15">
        <v>0</v>
      </c>
      <c r="S190" s="14" t="s">
        <v>95</v>
      </c>
      <c r="T190" s="18">
        <v>5</v>
      </c>
    </row>
    <row r="191" spans="1:20" ht="14.4">
      <c r="A191" s="26">
        <v>340766</v>
      </c>
      <c r="B191" s="19" t="s">
        <v>85</v>
      </c>
      <c r="C191" s="19" t="s">
        <v>94</v>
      </c>
      <c r="D191" s="20">
        <v>100</v>
      </c>
      <c r="E191" s="20">
        <v>0</v>
      </c>
      <c r="F191" s="20">
        <v>0</v>
      </c>
      <c r="G191" s="21">
        <v>100</v>
      </c>
      <c r="H191" s="22">
        <v>1</v>
      </c>
      <c r="I191" s="20">
        <v>0</v>
      </c>
      <c r="J191" s="21">
        <v>0</v>
      </c>
      <c r="K191" s="20">
        <v>0</v>
      </c>
      <c r="L191" s="21">
        <v>0</v>
      </c>
      <c r="M191" s="22">
        <v>0</v>
      </c>
      <c r="N191" s="22">
        <v>0</v>
      </c>
      <c r="O191" s="20">
        <v>0</v>
      </c>
      <c r="P191" s="20">
        <v>0</v>
      </c>
      <c r="Q191" s="20">
        <v>0</v>
      </c>
      <c r="R191" s="20">
        <v>0</v>
      </c>
      <c r="S191" s="19" t="s">
        <v>95</v>
      </c>
      <c r="T191" s="23">
        <v>5</v>
      </c>
    </row>
    <row r="192" spans="1:20" ht="14.4">
      <c r="A192" s="13">
        <v>340769</v>
      </c>
      <c r="B192" s="14" t="s">
        <v>85</v>
      </c>
      <c r="C192" s="14" t="s">
        <v>94</v>
      </c>
      <c r="D192" s="15">
        <v>100</v>
      </c>
      <c r="E192" s="15">
        <v>25</v>
      </c>
      <c r="F192" s="15">
        <v>0</v>
      </c>
      <c r="G192" s="16">
        <v>75</v>
      </c>
      <c r="H192" s="17">
        <v>1</v>
      </c>
      <c r="I192" s="15">
        <v>0</v>
      </c>
      <c r="J192" s="16">
        <v>0</v>
      </c>
      <c r="K192" s="15">
        <v>0</v>
      </c>
      <c r="L192" s="16">
        <v>0</v>
      </c>
      <c r="M192" s="17">
        <v>0</v>
      </c>
      <c r="N192" s="17">
        <v>0</v>
      </c>
      <c r="O192" s="15">
        <v>0</v>
      </c>
      <c r="P192" s="15">
        <v>0</v>
      </c>
      <c r="Q192" s="15">
        <v>0</v>
      </c>
      <c r="R192" s="15">
        <v>0</v>
      </c>
      <c r="S192" s="14" t="s">
        <v>95</v>
      </c>
      <c r="T192" s="18">
        <v>3</v>
      </c>
    </row>
    <row r="193" spans="1:20" ht="14.4">
      <c r="A193" s="26">
        <v>340858</v>
      </c>
      <c r="B193" s="19" t="s">
        <v>88</v>
      </c>
      <c r="C193" s="19" t="s">
        <v>97</v>
      </c>
      <c r="D193" s="20">
        <v>100</v>
      </c>
      <c r="E193" s="20">
        <v>0</v>
      </c>
      <c r="F193" s="20">
        <v>0</v>
      </c>
      <c r="G193" s="21">
        <v>0</v>
      </c>
      <c r="H193" s="22">
        <v>0</v>
      </c>
      <c r="I193" s="20">
        <v>0</v>
      </c>
      <c r="J193" s="21">
        <v>0</v>
      </c>
      <c r="K193" s="20">
        <v>0</v>
      </c>
      <c r="L193" s="21">
        <v>0</v>
      </c>
      <c r="M193" s="22">
        <v>0</v>
      </c>
      <c r="N193" s="22">
        <v>0</v>
      </c>
      <c r="O193" s="20">
        <v>0</v>
      </c>
      <c r="P193" s="20">
        <v>0</v>
      </c>
      <c r="Q193" s="27"/>
      <c r="R193" s="20">
        <v>0</v>
      </c>
      <c r="S193" s="19" t="s">
        <v>93</v>
      </c>
      <c r="T193" s="23">
        <v>0</v>
      </c>
    </row>
    <row r="194" spans="1:20" ht="14.4">
      <c r="A194" s="13">
        <v>340871</v>
      </c>
      <c r="B194" s="14" t="s">
        <v>88</v>
      </c>
      <c r="C194" s="14" t="s">
        <v>44</v>
      </c>
      <c r="D194" s="15">
        <v>100</v>
      </c>
      <c r="E194" s="15">
        <v>0</v>
      </c>
      <c r="F194" s="15">
        <v>0</v>
      </c>
      <c r="G194" s="16">
        <v>0</v>
      </c>
      <c r="H194" s="17">
        <v>0</v>
      </c>
      <c r="I194" s="15">
        <v>0</v>
      </c>
      <c r="J194" s="16">
        <v>0</v>
      </c>
      <c r="K194" s="15">
        <v>0</v>
      </c>
      <c r="L194" s="16">
        <v>0</v>
      </c>
      <c r="M194" s="17">
        <v>0</v>
      </c>
      <c r="N194" s="17">
        <v>0</v>
      </c>
      <c r="O194" s="15">
        <v>0</v>
      </c>
      <c r="P194" s="15">
        <v>0</v>
      </c>
      <c r="Q194" s="25"/>
      <c r="R194" s="15">
        <v>0</v>
      </c>
      <c r="S194" s="14" t="s">
        <v>91</v>
      </c>
      <c r="T194" s="18">
        <v>0</v>
      </c>
    </row>
    <row r="195" spans="1:20" ht="14.4">
      <c r="A195" s="26">
        <v>340881</v>
      </c>
      <c r="B195" s="19" t="s">
        <v>88</v>
      </c>
      <c r="C195" s="19" t="s">
        <v>37</v>
      </c>
      <c r="D195" s="20">
        <v>100</v>
      </c>
      <c r="E195" s="20">
        <v>0</v>
      </c>
      <c r="F195" s="20">
        <v>0</v>
      </c>
      <c r="G195" s="21">
        <v>0</v>
      </c>
      <c r="H195" s="22">
        <v>0</v>
      </c>
      <c r="I195" s="20">
        <v>0</v>
      </c>
      <c r="J195" s="21">
        <v>0</v>
      </c>
      <c r="K195" s="20">
        <v>0</v>
      </c>
      <c r="L195" s="21">
        <v>0</v>
      </c>
      <c r="M195" s="22">
        <v>0</v>
      </c>
      <c r="N195" s="22">
        <v>0</v>
      </c>
      <c r="O195" s="20">
        <v>0</v>
      </c>
      <c r="P195" s="20">
        <v>0</v>
      </c>
      <c r="Q195" s="27"/>
      <c r="R195" s="20">
        <v>0</v>
      </c>
      <c r="S195" s="19" t="s">
        <v>87</v>
      </c>
      <c r="T195" s="23">
        <v>0</v>
      </c>
    </row>
    <row r="196" spans="1:20" ht="14.4">
      <c r="A196" s="13">
        <v>340885</v>
      </c>
      <c r="B196" s="14" t="s">
        <v>88</v>
      </c>
      <c r="C196" s="14" t="s">
        <v>47</v>
      </c>
      <c r="D196" s="15">
        <v>100</v>
      </c>
      <c r="E196" s="15">
        <v>0</v>
      </c>
      <c r="F196" s="15">
        <v>0</v>
      </c>
      <c r="G196" s="16">
        <v>0</v>
      </c>
      <c r="H196" s="17">
        <v>0</v>
      </c>
      <c r="I196" s="15">
        <v>0</v>
      </c>
      <c r="J196" s="16">
        <v>0</v>
      </c>
      <c r="K196" s="15">
        <v>0</v>
      </c>
      <c r="L196" s="16">
        <v>0</v>
      </c>
      <c r="M196" s="17">
        <v>0</v>
      </c>
      <c r="N196" s="17">
        <v>0</v>
      </c>
      <c r="O196" s="15">
        <v>0</v>
      </c>
      <c r="P196" s="15">
        <v>0</v>
      </c>
      <c r="Q196" s="25"/>
      <c r="R196" s="15">
        <v>0</v>
      </c>
      <c r="S196" s="14" t="s">
        <v>91</v>
      </c>
      <c r="T196" s="18">
        <v>0</v>
      </c>
    </row>
    <row r="197" spans="1:20" ht="14.4">
      <c r="A197" s="26">
        <v>340907</v>
      </c>
      <c r="B197" s="19" t="s">
        <v>88</v>
      </c>
      <c r="C197" s="19" t="s">
        <v>97</v>
      </c>
      <c r="D197" s="20">
        <v>100</v>
      </c>
      <c r="E197" s="20">
        <v>0</v>
      </c>
      <c r="F197" s="20">
        <v>0</v>
      </c>
      <c r="G197" s="21">
        <v>0</v>
      </c>
      <c r="H197" s="22">
        <v>0</v>
      </c>
      <c r="I197" s="20">
        <v>0</v>
      </c>
      <c r="J197" s="21">
        <v>0</v>
      </c>
      <c r="K197" s="20">
        <v>0</v>
      </c>
      <c r="L197" s="21">
        <v>0</v>
      </c>
      <c r="M197" s="22">
        <v>0</v>
      </c>
      <c r="N197" s="22">
        <v>0</v>
      </c>
      <c r="O197" s="20">
        <v>0</v>
      </c>
      <c r="P197" s="20">
        <v>0</v>
      </c>
      <c r="Q197" s="27"/>
      <c r="R197" s="20">
        <v>0</v>
      </c>
      <c r="S197" s="19" t="s">
        <v>93</v>
      </c>
      <c r="T197" s="23">
        <v>0</v>
      </c>
    </row>
    <row r="198" spans="1:20" ht="14.4">
      <c r="A198" s="13">
        <v>340967</v>
      </c>
      <c r="B198" s="14" t="s">
        <v>88</v>
      </c>
      <c r="C198" s="14" t="s">
        <v>37</v>
      </c>
      <c r="D198" s="15">
        <v>100</v>
      </c>
      <c r="E198" s="15">
        <v>0</v>
      </c>
      <c r="F198" s="15">
        <v>0</v>
      </c>
      <c r="G198" s="16">
        <v>0</v>
      </c>
      <c r="H198" s="17">
        <v>0</v>
      </c>
      <c r="I198" s="15">
        <v>0</v>
      </c>
      <c r="J198" s="16">
        <v>0</v>
      </c>
      <c r="K198" s="15">
        <v>0</v>
      </c>
      <c r="L198" s="16">
        <v>0</v>
      </c>
      <c r="M198" s="17">
        <v>0</v>
      </c>
      <c r="N198" s="17">
        <v>0</v>
      </c>
      <c r="O198" s="15">
        <v>0</v>
      </c>
      <c r="P198" s="15">
        <v>0</v>
      </c>
      <c r="Q198" s="25"/>
      <c r="R198" s="15">
        <v>0</v>
      </c>
      <c r="S198" s="14" t="s">
        <v>87</v>
      </c>
      <c r="T198" s="18">
        <v>0</v>
      </c>
    </row>
    <row r="199" spans="1:20" ht="14.4">
      <c r="A199" s="26">
        <v>340991</v>
      </c>
      <c r="B199" s="19" t="s">
        <v>88</v>
      </c>
      <c r="C199" s="19" t="s">
        <v>97</v>
      </c>
      <c r="D199" s="20">
        <v>100</v>
      </c>
      <c r="E199" s="20">
        <v>0</v>
      </c>
      <c r="F199" s="20">
        <v>0</v>
      </c>
      <c r="G199" s="21">
        <v>0</v>
      </c>
      <c r="H199" s="22">
        <v>0</v>
      </c>
      <c r="I199" s="20">
        <v>0</v>
      </c>
      <c r="J199" s="21">
        <v>0</v>
      </c>
      <c r="K199" s="20">
        <v>0</v>
      </c>
      <c r="L199" s="21">
        <v>0</v>
      </c>
      <c r="M199" s="22">
        <v>0</v>
      </c>
      <c r="N199" s="22">
        <v>0</v>
      </c>
      <c r="O199" s="20">
        <v>0</v>
      </c>
      <c r="P199" s="20">
        <v>0</v>
      </c>
      <c r="Q199" s="27"/>
      <c r="R199" s="20">
        <v>0</v>
      </c>
      <c r="S199" s="19" t="s">
        <v>93</v>
      </c>
      <c r="T199" s="23">
        <v>0</v>
      </c>
    </row>
    <row r="200" spans="1:20" ht="14.4">
      <c r="A200" s="13">
        <v>341006</v>
      </c>
      <c r="B200" s="14" t="s">
        <v>88</v>
      </c>
      <c r="C200" s="14" t="s">
        <v>46</v>
      </c>
      <c r="D200" s="15">
        <v>100</v>
      </c>
      <c r="E200" s="15">
        <v>0</v>
      </c>
      <c r="F200" s="15">
        <v>0</v>
      </c>
      <c r="G200" s="16">
        <v>0</v>
      </c>
      <c r="H200" s="17">
        <v>0</v>
      </c>
      <c r="I200" s="15">
        <v>0</v>
      </c>
      <c r="J200" s="16">
        <v>0</v>
      </c>
      <c r="K200" s="15">
        <v>0</v>
      </c>
      <c r="L200" s="16">
        <v>0</v>
      </c>
      <c r="M200" s="17">
        <v>0</v>
      </c>
      <c r="N200" s="17">
        <v>0</v>
      </c>
      <c r="O200" s="15">
        <v>0</v>
      </c>
      <c r="P200" s="15">
        <v>0</v>
      </c>
      <c r="Q200" s="25"/>
      <c r="R200" s="15">
        <v>0</v>
      </c>
      <c r="S200" s="14" t="s">
        <v>87</v>
      </c>
      <c r="T200" s="18">
        <v>0</v>
      </c>
    </row>
    <row r="201" spans="1:20" ht="14.4">
      <c r="A201" s="26">
        <v>341056</v>
      </c>
      <c r="B201" s="19" t="s">
        <v>88</v>
      </c>
      <c r="C201" s="19" t="s">
        <v>97</v>
      </c>
      <c r="D201" s="20">
        <v>100</v>
      </c>
      <c r="E201" s="20">
        <v>0</v>
      </c>
      <c r="F201" s="20">
        <v>0</v>
      </c>
      <c r="G201" s="21">
        <v>0</v>
      </c>
      <c r="H201" s="22">
        <v>0</v>
      </c>
      <c r="I201" s="20">
        <v>0</v>
      </c>
      <c r="J201" s="21">
        <v>0</v>
      </c>
      <c r="K201" s="20">
        <v>0</v>
      </c>
      <c r="L201" s="21">
        <v>0</v>
      </c>
      <c r="M201" s="22">
        <v>0</v>
      </c>
      <c r="N201" s="22">
        <v>0</v>
      </c>
      <c r="O201" s="20">
        <v>0</v>
      </c>
      <c r="P201" s="20">
        <v>0</v>
      </c>
      <c r="Q201" s="27"/>
      <c r="R201" s="20">
        <v>0</v>
      </c>
      <c r="S201" s="19" t="s">
        <v>93</v>
      </c>
      <c r="T201" s="23">
        <v>0</v>
      </c>
    </row>
    <row r="202" spans="1:20" ht="14.4">
      <c r="A202" s="13">
        <v>341067</v>
      </c>
      <c r="B202" s="14" t="s">
        <v>88</v>
      </c>
      <c r="C202" s="14" t="s">
        <v>54</v>
      </c>
      <c r="D202" s="15">
        <v>100</v>
      </c>
      <c r="E202" s="15">
        <v>0</v>
      </c>
      <c r="F202" s="15">
        <v>0</v>
      </c>
      <c r="G202" s="16">
        <v>0</v>
      </c>
      <c r="H202" s="17">
        <v>0</v>
      </c>
      <c r="I202" s="15">
        <v>0</v>
      </c>
      <c r="J202" s="16">
        <v>0</v>
      </c>
      <c r="K202" s="15">
        <v>0</v>
      </c>
      <c r="L202" s="16">
        <v>0</v>
      </c>
      <c r="M202" s="17">
        <v>0</v>
      </c>
      <c r="N202" s="17">
        <v>0</v>
      </c>
      <c r="O202" s="15">
        <v>0</v>
      </c>
      <c r="P202" s="15">
        <v>0</v>
      </c>
      <c r="Q202" s="25"/>
      <c r="R202" s="15">
        <v>0</v>
      </c>
      <c r="S202" s="14" t="s">
        <v>93</v>
      </c>
      <c r="T202" s="18">
        <v>0</v>
      </c>
    </row>
    <row r="203" spans="1:20" ht="14.4">
      <c r="A203" s="26">
        <v>341102</v>
      </c>
      <c r="B203" s="19" t="s">
        <v>88</v>
      </c>
      <c r="C203" s="19" t="s">
        <v>98</v>
      </c>
      <c r="D203" s="20">
        <v>100</v>
      </c>
      <c r="E203" s="20">
        <v>0</v>
      </c>
      <c r="F203" s="20">
        <v>0</v>
      </c>
      <c r="G203" s="21">
        <v>0</v>
      </c>
      <c r="H203" s="22">
        <v>0</v>
      </c>
      <c r="I203" s="20">
        <v>0</v>
      </c>
      <c r="J203" s="21">
        <v>0</v>
      </c>
      <c r="K203" s="20">
        <v>0</v>
      </c>
      <c r="L203" s="21">
        <v>0</v>
      </c>
      <c r="M203" s="22">
        <v>0</v>
      </c>
      <c r="N203" s="22">
        <v>0</v>
      </c>
      <c r="O203" s="20">
        <v>0</v>
      </c>
      <c r="P203" s="20">
        <v>0</v>
      </c>
      <c r="Q203" s="27"/>
      <c r="R203" s="20">
        <v>0</v>
      </c>
      <c r="S203" s="19" t="s">
        <v>87</v>
      </c>
      <c r="T203" s="23">
        <v>0</v>
      </c>
    </row>
    <row r="204" spans="1:20" ht="14.4">
      <c r="A204" s="13">
        <v>341111</v>
      </c>
      <c r="B204" s="14" t="s">
        <v>88</v>
      </c>
      <c r="C204" s="14" t="s">
        <v>97</v>
      </c>
      <c r="D204" s="15">
        <v>100</v>
      </c>
      <c r="E204" s="15">
        <v>0</v>
      </c>
      <c r="F204" s="15">
        <v>0</v>
      </c>
      <c r="G204" s="16">
        <v>0</v>
      </c>
      <c r="H204" s="17">
        <v>0</v>
      </c>
      <c r="I204" s="15">
        <v>0</v>
      </c>
      <c r="J204" s="16">
        <v>0</v>
      </c>
      <c r="K204" s="15">
        <v>0</v>
      </c>
      <c r="L204" s="16">
        <v>0</v>
      </c>
      <c r="M204" s="17">
        <v>0</v>
      </c>
      <c r="N204" s="17">
        <v>0</v>
      </c>
      <c r="O204" s="15">
        <v>0</v>
      </c>
      <c r="P204" s="15">
        <v>0</v>
      </c>
      <c r="Q204" s="25"/>
      <c r="R204" s="15">
        <v>0</v>
      </c>
      <c r="S204" s="14" t="s">
        <v>93</v>
      </c>
      <c r="T204" s="18">
        <v>0</v>
      </c>
    </row>
    <row r="205" spans="1:20" ht="14.4">
      <c r="A205" s="26">
        <v>341122</v>
      </c>
      <c r="B205" s="19" t="s">
        <v>88</v>
      </c>
      <c r="C205" s="19" t="s">
        <v>97</v>
      </c>
      <c r="D205" s="20">
        <v>100</v>
      </c>
      <c r="E205" s="20">
        <v>0</v>
      </c>
      <c r="F205" s="20">
        <v>0</v>
      </c>
      <c r="G205" s="21">
        <v>0</v>
      </c>
      <c r="H205" s="22">
        <v>0</v>
      </c>
      <c r="I205" s="20">
        <v>0</v>
      </c>
      <c r="J205" s="21">
        <v>0</v>
      </c>
      <c r="K205" s="20">
        <v>0</v>
      </c>
      <c r="L205" s="21">
        <v>0</v>
      </c>
      <c r="M205" s="22">
        <v>0</v>
      </c>
      <c r="N205" s="22">
        <v>0</v>
      </c>
      <c r="O205" s="20">
        <v>0</v>
      </c>
      <c r="P205" s="20">
        <v>0</v>
      </c>
      <c r="Q205" s="27"/>
      <c r="R205" s="20">
        <v>0</v>
      </c>
      <c r="S205" s="19" t="s">
        <v>93</v>
      </c>
      <c r="T205" s="23">
        <v>0</v>
      </c>
    </row>
    <row r="206" spans="1:20" ht="14.4">
      <c r="A206" s="13">
        <v>340927</v>
      </c>
      <c r="B206" s="14" t="s">
        <v>88</v>
      </c>
      <c r="C206" s="14" t="s">
        <v>97</v>
      </c>
      <c r="D206" s="15">
        <v>99</v>
      </c>
      <c r="E206" s="15">
        <v>0</v>
      </c>
      <c r="F206" s="15">
        <v>0</v>
      </c>
      <c r="G206" s="16">
        <v>0</v>
      </c>
      <c r="H206" s="17">
        <v>0</v>
      </c>
      <c r="I206" s="15">
        <v>0</v>
      </c>
      <c r="J206" s="16">
        <v>0</v>
      </c>
      <c r="K206" s="15">
        <v>0</v>
      </c>
      <c r="L206" s="16">
        <v>0</v>
      </c>
      <c r="M206" s="17">
        <v>0</v>
      </c>
      <c r="N206" s="17">
        <v>0</v>
      </c>
      <c r="O206" s="15">
        <v>0</v>
      </c>
      <c r="P206" s="15">
        <v>0</v>
      </c>
      <c r="Q206" s="25"/>
      <c r="R206" s="15">
        <v>0</v>
      </c>
      <c r="S206" s="14" t="s">
        <v>93</v>
      </c>
      <c r="T206" s="18">
        <v>0</v>
      </c>
    </row>
    <row r="207" spans="1:20" ht="14.4">
      <c r="A207" s="26">
        <v>340936</v>
      </c>
      <c r="B207" s="19" t="s">
        <v>88</v>
      </c>
      <c r="C207" s="19" t="s">
        <v>90</v>
      </c>
      <c r="D207" s="20">
        <v>97</v>
      </c>
      <c r="E207" s="20">
        <v>0</v>
      </c>
      <c r="F207" s="20">
        <v>0</v>
      </c>
      <c r="G207" s="21">
        <v>0</v>
      </c>
      <c r="H207" s="22">
        <v>0</v>
      </c>
      <c r="I207" s="20">
        <v>0</v>
      </c>
      <c r="J207" s="21">
        <v>0</v>
      </c>
      <c r="K207" s="20">
        <v>0</v>
      </c>
      <c r="L207" s="21">
        <v>0</v>
      </c>
      <c r="M207" s="22">
        <v>0</v>
      </c>
      <c r="N207" s="22">
        <v>0</v>
      </c>
      <c r="O207" s="20">
        <v>0</v>
      </c>
      <c r="P207" s="20">
        <v>0</v>
      </c>
      <c r="Q207" s="27"/>
      <c r="R207" s="20">
        <v>0</v>
      </c>
      <c r="S207" s="19" t="s">
        <v>91</v>
      </c>
      <c r="T207" s="23">
        <v>0</v>
      </c>
    </row>
    <row r="208" spans="1:20" ht="14.4">
      <c r="A208" s="13">
        <v>339455</v>
      </c>
      <c r="B208" s="14" t="s">
        <v>85</v>
      </c>
      <c r="C208" s="14" t="s">
        <v>60</v>
      </c>
      <c r="D208" s="15">
        <v>95</v>
      </c>
      <c r="E208" s="15">
        <v>35</v>
      </c>
      <c r="F208" s="15">
        <v>0</v>
      </c>
      <c r="G208" s="16">
        <v>60</v>
      </c>
      <c r="H208" s="17">
        <v>1</v>
      </c>
      <c r="I208" s="15">
        <v>0</v>
      </c>
      <c r="J208" s="16">
        <v>0</v>
      </c>
      <c r="K208" s="15">
        <v>0</v>
      </c>
      <c r="L208" s="16">
        <v>0</v>
      </c>
      <c r="M208" s="17">
        <v>0</v>
      </c>
      <c r="N208" s="17">
        <v>0</v>
      </c>
      <c r="O208" s="15">
        <v>0</v>
      </c>
      <c r="P208" s="15">
        <v>0</v>
      </c>
      <c r="Q208" s="15">
        <v>0</v>
      </c>
      <c r="R208" s="15">
        <v>0</v>
      </c>
      <c r="S208" s="14" t="s">
        <v>87</v>
      </c>
      <c r="T208" s="18">
        <v>3</v>
      </c>
    </row>
    <row r="209" spans="1:20" ht="14.4">
      <c r="A209" s="26">
        <v>340642</v>
      </c>
      <c r="B209" s="19" t="s">
        <v>85</v>
      </c>
      <c r="C209" s="19" t="s">
        <v>46</v>
      </c>
      <c r="D209" s="20">
        <v>95</v>
      </c>
      <c r="E209" s="20">
        <v>35</v>
      </c>
      <c r="F209" s="20">
        <v>0</v>
      </c>
      <c r="G209" s="21">
        <v>60</v>
      </c>
      <c r="H209" s="22">
        <v>1</v>
      </c>
      <c r="I209" s="20">
        <v>0</v>
      </c>
      <c r="J209" s="21">
        <v>0</v>
      </c>
      <c r="K209" s="20">
        <v>0</v>
      </c>
      <c r="L209" s="21">
        <v>0</v>
      </c>
      <c r="M209" s="22">
        <v>0</v>
      </c>
      <c r="N209" s="22">
        <v>0</v>
      </c>
      <c r="O209" s="20">
        <v>0</v>
      </c>
      <c r="P209" s="20">
        <v>0</v>
      </c>
      <c r="Q209" s="20">
        <v>0</v>
      </c>
      <c r="R209" s="20">
        <v>0</v>
      </c>
      <c r="S209" s="19" t="s">
        <v>87</v>
      </c>
      <c r="T209" s="23">
        <v>3</v>
      </c>
    </row>
    <row r="210" spans="1:20" ht="14.4">
      <c r="A210" s="13">
        <v>340863</v>
      </c>
      <c r="B210" s="14" t="s">
        <v>88</v>
      </c>
      <c r="C210" s="14" t="s">
        <v>97</v>
      </c>
      <c r="D210" s="15">
        <v>95</v>
      </c>
      <c r="E210" s="15">
        <v>0</v>
      </c>
      <c r="F210" s="15">
        <v>0</v>
      </c>
      <c r="G210" s="16">
        <v>0</v>
      </c>
      <c r="H210" s="17">
        <v>0</v>
      </c>
      <c r="I210" s="15">
        <v>0</v>
      </c>
      <c r="J210" s="16">
        <v>0</v>
      </c>
      <c r="K210" s="15">
        <v>0</v>
      </c>
      <c r="L210" s="16">
        <v>0</v>
      </c>
      <c r="M210" s="17">
        <v>0</v>
      </c>
      <c r="N210" s="17">
        <v>0</v>
      </c>
      <c r="O210" s="15">
        <v>0</v>
      </c>
      <c r="P210" s="15">
        <v>0</v>
      </c>
      <c r="Q210" s="25"/>
      <c r="R210" s="15">
        <v>0</v>
      </c>
      <c r="S210" s="14" t="s">
        <v>93</v>
      </c>
      <c r="T210" s="18">
        <v>0</v>
      </c>
    </row>
    <row r="211" spans="1:20" ht="14.4">
      <c r="A211" s="26">
        <v>340895</v>
      </c>
      <c r="B211" s="19" t="s">
        <v>88</v>
      </c>
      <c r="C211" s="19" t="s">
        <v>97</v>
      </c>
      <c r="D211" s="20">
        <v>95</v>
      </c>
      <c r="E211" s="20">
        <v>0</v>
      </c>
      <c r="F211" s="20">
        <v>0</v>
      </c>
      <c r="G211" s="21">
        <v>0</v>
      </c>
      <c r="H211" s="22">
        <v>0</v>
      </c>
      <c r="I211" s="20">
        <v>0</v>
      </c>
      <c r="J211" s="21">
        <v>0</v>
      </c>
      <c r="K211" s="20">
        <v>0</v>
      </c>
      <c r="L211" s="21">
        <v>0</v>
      </c>
      <c r="M211" s="22">
        <v>0</v>
      </c>
      <c r="N211" s="22">
        <v>0</v>
      </c>
      <c r="O211" s="20">
        <v>0</v>
      </c>
      <c r="P211" s="20">
        <v>0</v>
      </c>
      <c r="Q211" s="27"/>
      <c r="R211" s="20">
        <v>0</v>
      </c>
      <c r="S211" s="19" t="s">
        <v>93</v>
      </c>
      <c r="T211" s="23">
        <v>0</v>
      </c>
    </row>
    <row r="212" spans="1:20" ht="14.4">
      <c r="A212" s="13">
        <v>340898</v>
      </c>
      <c r="B212" s="14" t="s">
        <v>85</v>
      </c>
      <c r="C212" s="14" t="s">
        <v>38</v>
      </c>
      <c r="D212" s="15">
        <v>95</v>
      </c>
      <c r="E212" s="15">
        <v>35</v>
      </c>
      <c r="F212" s="15">
        <v>0</v>
      </c>
      <c r="G212" s="16">
        <v>60</v>
      </c>
      <c r="H212" s="17">
        <v>1</v>
      </c>
      <c r="I212" s="15">
        <v>0</v>
      </c>
      <c r="J212" s="16">
        <v>0</v>
      </c>
      <c r="K212" s="15">
        <v>0</v>
      </c>
      <c r="L212" s="16">
        <v>0</v>
      </c>
      <c r="M212" s="17">
        <v>0</v>
      </c>
      <c r="N212" s="17">
        <v>0</v>
      </c>
      <c r="O212" s="15">
        <v>0</v>
      </c>
      <c r="P212" s="15">
        <v>0</v>
      </c>
      <c r="Q212" s="15">
        <v>0</v>
      </c>
      <c r="R212" s="15">
        <v>0</v>
      </c>
      <c r="S212" s="14" t="s">
        <v>91</v>
      </c>
      <c r="T212" s="18">
        <v>3</v>
      </c>
    </row>
    <row r="213" spans="1:20" ht="14.4">
      <c r="A213" s="26">
        <v>340915</v>
      </c>
      <c r="B213" s="19" t="s">
        <v>88</v>
      </c>
      <c r="C213" s="19" t="s">
        <v>97</v>
      </c>
      <c r="D213" s="20">
        <v>95</v>
      </c>
      <c r="E213" s="20">
        <v>0</v>
      </c>
      <c r="F213" s="20">
        <v>0</v>
      </c>
      <c r="G213" s="21">
        <v>0</v>
      </c>
      <c r="H213" s="22">
        <v>0</v>
      </c>
      <c r="I213" s="20">
        <v>0</v>
      </c>
      <c r="J213" s="21">
        <v>0</v>
      </c>
      <c r="K213" s="20">
        <v>0</v>
      </c>
      <c r="L213" s="21">
        <v>0</v>
      </c>
      <c r="M213" s="22">
        <v>0</v>
      </c>
      <c r="N213" s="22">
        <v>0</v>
      </c>
      <c r="O213" s="20">
        <v>0</v>
      </c>
      <c r="P213" s="20">
        <v>0</v>
      </c>
      <c r="Q213" s="27"/>
      <c r="R213" s="20">
        <v>0</v>
      </c>
      <c r="S213" s="19" t="s">
        <v>93</v>
      </c>
      <c r="T213" s="23">
        <v>0</v>
      </c>
    </row>
    <row r="214" spans="1:20" ht="14.4">
      <c r="A214" s="13">
        <v>340948</v>
      </c>
      <c r="B214" s="14" t="s">
        <v>88</v>
      </c>
      <c r="C214" s="14" t="s">
        <v>97</v>
      </c>
      <c r="D214" s="15">
        <v>95</v>
      </c>
      <c r="E214" s="15">
        <v>0</v>
      </c>
      <c r="F214" s="15">
        <v>0</v>
      </c>
      <c r="G214" s="16">
        <v>0</v>
      </c>
      <c r="H214" s="17">
        <v>0</v>
      </c>
      <c r="I214" s="15">
        <v>0</v>
      </c>
      <c r="J214" s="16">
        <v>0</v>
      </c>
      <c r="K214" s="15">
        <v>0</v>
      </c>
      <c r="L214" s="16">
        <v>0</v>
      </c>
      <c r="M214" s="17">
        <v>0</v>
      </c>
      <c r="N214" s="17">
        <v>0</v>
      </c>
      <c r="O214" s="15">
        <v>0</v>
      </c>
      <c r="P214" s="15">
        <v>0</v>
      </c>
      <c r="Q214" s="25"/>
      <c r="R214" s="15">
        <v>0</v>
      </c>
      <c r="S214" s="14" t="s">
        <v>93</v>
      </c>
      <c r="T214" s="18">
        <v>0</v>
      </c>
    </row>
    <row r="215" spans="1:20" ht="14.4">
      <c r="A215" s="26">
        <v>340973</v>
      </c>
      <c r="B215" s="19" t="s">
        <v>88</v>
      </c>
      <c r="C215" s="19" t="s">
        <v>97</v>
      </c>
      <c r="D215" s="20">
        <v>95</v>
      </c>
      <c r="E215" s="20">
        <v>0</v>
      </c>
      <c r="F215" s="20">
        <v>0</v>
      </c>
      <c r="G215" s="21">
        <v>0</v>
      </c>
      <c r="H215" s="22">
        <v>0</v>
      </c>
      <c r="I215" s="20">
        <v>0</v>
      </c>
      <c r="J215" s="21">
        <v>0</v>
      </c>
      <c r="K215" s="20">
        <v>0</v>
      </c>
      <c r="L215" s="21">
        <v>0</v>
      </c>
      <c r="M215" s="22">
        <v>0</v>
      </c>
      <c r="N215" s="22">
        <v>0</v>
      </c>
      <c r="O215" s="20">
        <v>0</v>
      </c>
      <c r="P215" s="20">
        <v>0</v>
      </c>
      <c r="Q215" s="27"/>
      <c r="R215" s="20">
        <v>0</v>
      </c>
      <c r="S215" s="19" t="s">
        <v>93</v>
      </c>
      <c r="T215" s="23">
        <v>0</v>
      </c>
    </row>
    <row r="216" spans="1:20" ht="14.4">
      <c r="A216" s="13">
        <v>340974</v>
      </c>
      <c r="B216" s="14" t="s">
        <v>88</v>
      </c>
      <c r="C216" s="14" t="s">
        <v>97</v>
      </c>
      <c r="D216" s="15">
        <v>95</v>
      </c>
      <c r="E216" s="15">
        <v>0</v>
      </c>
      <c r="F216" s="15">
        <v>0</v>
      </c>
      <c r="G216" s="16">
        <v>0</v>
      </c>
      <c r="H216" s="17">
        <v>0</v>
      </c>
      <c r="I216" s="15">
        <v>0</v>
      </c>
      <c r="J216" s="16">
        <v>0</v>
      </c>
      <c r="K216" s="15">
        <v>0</v>
      </c>
      <c r="L216" s="16">
        <v>0</v>
      </c>
      <c r="M216" s="17">
        <v>0</v>
      </c>
      <c r="N216" s="17">
        <v>0</v>
      </c>
      <c r="O216" s="15">
        <v>0</v>
      </c>
      <c r="P216" s="15">
        <v>0</v>
      </c>
      <c r="Q216" s="25"/>
      <c r="R216" s="15">
        <v>0</v>
      </c>
      <c r="S216" s="14" t="s">
        <v>93</v>
      </c>
      <c r="T216" s="18">
        <v>0</v>
      </c>
    </row>
    <row r="217" spans="1:20" ht="14.4">
      <c r="A217" s="26">
        <v>340976</v>
      </c>
      <c r="B217" s="19" t="s">
        <v>88</v>
      </c>
      <c r="C217" s="19" t="s">
        <v>97</v>
      </c>
      <c r="D217" s="20">
        <v>95</v>
      </c>
      <c r="E217" s="20">
        <v>0</v>
      </c>
      <c r="F217" s="20">
        <v>0</v>
      </c>
      <c r="G217" s="21">
        <v>0</v>
      </c>
      <c r="H217" s="22">
        <v>0</v>
      </c>
      <c r="I217" s="20">
        <v>0</v>
      </c>
      <c r="J217" s="21">
        <v>0</v>
      </c>
      <c r="K217" s="20">
        <v>0</v>
      </c>
      <c r="L217" s="21">
        <v>0</v>
      </c>
      <c r="M217" s="22">
        <v>0</v>
      </c>
      <c r="N217" s="22">
        <v>0</v>
      </c>
      <c r="O217" s="20">
        <v>0</v>
      </c>
      <c r="P217" s="20">
        <v>0</v>
      </c>
      <c r="Q217" s="27"/>
      <c r="R217" s="20">
        <v>0</v>
      </c>
      <c r="S217" s="19" t="s">
        <v>93</v>
      </c>
      <c r="T217" s="23">
        <v>0</v>
      </c>
    </row>
    <row r="218" spans="1:20" ht="14.4">
      <c r="A218" s="13">
        <v>341014</v>
      </c>
      <c r="B218" s="14" t="s">
        <v>88</v>
      </c>
      <c r="C218" s="14" t="s">
        <v>97</v>
      </c>
      <c r="D218" s="15">
        <v>95</v>
      </c>
      <c r="E218" s="15">
        <v>0</v>
      </c>
      <c r="F218" s="15">
        <v>0</v>
      </c>
      <c r="G218" s="16">
        <v>0</v>
      </c>
      <c r="H218" s="17">
        <v>0</v>
      </c>
      <c r="I218" s="15">
        <v>0</v>
      </c>
      <c r="J218" s="16">
        <v>0</v>
      </c>
      <c r="K218" s="15">
        <v>0</v>
      </c>
      <c r="L218" s="16">
        <v>0</v>
      </c>
      <c r="M218" s="17">
        <v>0</v>
      </c>
      <c r="N218" s="17">
        <v>0</v>
      </c>
      <c r="O218" s="15">
        <v>0</v>
      </c>
      <c r="P218" s="15">
        <v>0</v>
      </c>
      <c r="Q218" s="25"/>
      <c r="R218" s="15">
        <v>0</v>
      </c>
      <c r="S218" s="14" t="s">
        <v>93</v>
      </c>
      <c r="T218" s="18">
        <v>0</v>
      </c>
    </row>
    <row r="219" spans="1:20" ht="14.4">
      <c r="A219" s="26">
        <v>341046</v>
      </c>
      <c r="B219" s="19" t="s">
        <v>88</v>
      </c>
      <c r="C219" s="19" t="s">
        <v>97</v>
      </c>
      <c r="D219" s="20">
        <v>95</v>
      </c>
      <c r="E219" s="20">
        <v>0</v>
      </c>
      <c r="F219" s="20">
        <v>0</v>
      </c>
      <c r="G219" s="21">
        <v>0</v>
      </c>
      <c r="H219" s="22">
        <v>0</v>
      </c>
      <c r="I219" s="20">
        <v>0</v>
      </c>
      <c r="J219" s="21">
        <v>0</v>
      </c>
      <c r="K219" s="20">
        <v>0</v>
      </c>
      <c r="L219" s="21">
        <v>0</v>
      </c>
      <c r="M219" s="22">
        <v>0</v>
      </c>
      <c r="N219" s="22">
        <v>0</v>
      </c>
      <c r="O219" s="20">
        <v>0</v>
      </c>
      <c r="P219" s="20">
        <v>0</v>
      </c>
      <c r="Q219" s="27"/>
      <c r="R219" s="20">
        <v>0</v>
      </c>
      <c r="S219" s="19" t="s">
        <v>93</v>
      </c>
      <c r="T219" s="23">
        <v>0</v>
      </c>
    </row>
    <row r="220" spans="1:20" ht="14.4">
      <c r="A220" s="13">
        <v>341072</v>
      </c>
      <c r="B220" s="14" t="s">
        <v>88</v>
      </c>
      <c r="C220" s="14" t="s">
        <v>90</v>
      </c>
      <c r="D220" s="15">
        <v>95</v>
      </c>
      <c r="E220" s="15">
        <v>0</v>
      </c>
      <c r="F220" s="15">
        <v>0</v>
      </c>
      <c r="G220" s="16">
        <v>0</v>
      </c>
      <c r="H220" s="17">
        <v>0</v>
      </c>
      <c r="I220" s="15">
        <v>0</v>
      </c>
      <c r="J220" s="16">
        <v>0</v>
      </c>
      <c r="K220" s="15">
        <v>0</v>
      </c>
      <c r="L220" s="16">
        <v>0</v>
      </c>
      <c r="M220" s="17">
        <v>0</v>
      </c>
      <c r="N220" s="17">
        <v>0</v>
      </c>
      <c r="O220" s="15">
        <v>0</v>
      </c>
      <c r="P220" s="15">
        <v>0</v>
      </c>
      <c r="Q220" s="25"/>
      <c r="R220" s="15">
        <v>0</v>
      </c>
      <c r="S220" s="14" t="s">
        <v>91</v>
      </c>
      <c r="T220" s="18">
        <v>0</v>
      </c>
    </row>
    <row r="221" spans="1:20" ht="14.4">
      <c r="A221" s="26">
        <v>341120</v>
      </c>
      <c r="B221" s="19" t="s">
        <v>88</v>
      </c>
      <c r="C221" s="19" t="s">
        <v>97</v>
      </c>
      <c r="D221" s="20">
        <v>95</v>
      </c>
      <c r="E221" s="20">
        <v>0</v>
      </c>
      <c r="F221" s="20">
        <v>0</v>
      </c>
      <c r="G221" s="21">
        <v>0</v>
      </c>
      <c r="H221" s="22">
        <v>0</v>
      </c>
      <c r="I221" s="20">
        <v>0</v>
      </c>
      <c r="J221" s="21">
        <v>0</v>
      </c>
      <c r="K221" s="20">
        <v>0</v>
      </c>
      <c r="L221" s="21">
        <v>0</v>
      </c>
      <c r="M221" s="22">
        <v>0</v>
      </c>
      <c r="N221" s="22">
        <v>0</v>
      </c>
      <c r="O221" s="20">
        <v>0</v>
      </c>
      <c r="P221" s="20">
        <v>0</v>
      </c>
      <c r="Q221" s="27"/>
      <c r="R221" s="20">
        <v>0</v>
      </c>
      <c r="S221" s="19" t="s">
        <v>93</v>
      </c>
      <c r="T221" s="23">
        <v>0</v>
      </c>
    </row>
    <row r="222" spans="1:20" ht="14.4">
      <c r="A222" s="13">
        <v>341015</v>
      </c>
      <c r="B222" s="14" t="s">
        <v>88</v>
      </c>
      <c r="C222" s="14" t="s">
        <v>97</v>
      </c>
      <c r="D222" s="15">
        <v>92</v>
      </c>
      <c r="E222" s="15">
        <v>0</v>
      </c>
      <c r="F222" s="15">
        <v>0</v>
      </c>
      <c r="G222" s="16">
        <v>0</v>
      </c>
      <c r="H222" s="17">
        <v>0</v>
      </c>
      <c r="I222" s="15">
        <v>0</v>
      </c>
      <c r="J222" s="16">
        <v>0</v>
      </c>
      <c r="K222" s="15">
        <v>0</v>
      </c>
      <c r="L222" s="16">
        <v>0</v>
      </c>
      <c r="M222" s="17">
        <v>0</v>
      </c>
      <c r="N222" s="17">
        <v>0</v>
      </c>
      <c r="O222" s="15">
        <v>0</v>
      </c>
      <c r="P222" s="15">
        <v>0</v>
      </c>
      <c r="Q222" s="25"/>
      <c r="R222" s="15">
        <v>0</v>
      </c>
      <c r="S222" s="14" t="s">
        <v>93</v>
      </c>
      <c r="T222" s="18">
        <v>0</v>
      </c>
    </row>
    <row r="223" spans="1:20" ht="14.4">
      <c r="A223" s="26">
        <v>341115</v>
      </c>
      <c r="B223" s="19" t="s">
        <v>88</v>
      </c>
      <c r="C223" s="19" t="s">
        <v>97</v>
      </c>
      <c r="D223" s="20">
        <v>90</v>
      </c>
      <c r="E223" s="20">
        <v>0</v>
      </c>
      <c r="F223" s="20">
        <v>0</v>
      </c>
      <c r="G223" s="21">
        <v>0</v>
      </c>
      <c r="H223" s="22">
        <v>0</v>
      </c>
      <c r="I223" s="20">
        <v>0</v>
      </c>
      <c r="J223" s="21">
        <v>0</v>
      </c>
      <c r="K223" s="20">
        <v>0</v>
      </c>
      <c r="L223" s="21">
        <v>0</v>
      </c>
      <c r="M223" s="22">
        <v>0</v>
      </c>
      <c r="N223" s="22">
        <v>0</v>
      </c>
      <c r="O223" s="20">
        <v>0</v>
      </c>
      <c r="P223" s="20">
        <v>0</v>
      </c>
      <c r="Q223" s="27"/>
      <c r="R223" s="20">
        <v>0</v>
      </c>
      <c r="S223" s="19" t="s">
        <v>93</v>
      </c>
      <c r="T223" s="23">
        <v>0</v>
      </c>
    </row>
    <row r="224" spans="1:20" ht="14.4">
      <c r="A224" s="13">
        <v>341124</v>
      </c>
      <c r="B224" s="14" t="s">
        <v>88</v>
      </c>
      <c r="C224" s="14" t="s">
        <v>97</v>
      </c>
      <c r="D224" s="15">
        <v>89</v>
      </c>
      <c r="E224" s="15">
        <v>0</v>
      </c>
      <c r="F224" s="15">
        <v>0</v>
      </c>
      <c r="G224" s="16">
        <v>0</v>
      </c>
      <c r="H224" s="17">
        <v>0</v>
      </c>
      <c r="I224" s="15">
        <v>0</v>
      </c>
      <c r="J224" s="16">
        <v>0</v>
      </c>
      <c r="K224" s="15">
        <v>0</v>
      </c>
      <c r="L224" s="16">
        <v>0</v>
      </c>
      <c r="M224" s="17">
        <v>0</v>
      </c>
      <c r="N224" s="17">
        <v>0</v>
      </c>
      <c r="O224" s="15">
        <v>0</v>
      </c>
      <c r="P224" s="15">
        <v>0</v>
      </c>
      <c r="Q224" s="25"/>
      <c r="R224" s="15">
        <v>0</v>
      </c>
      <c r="S224" s="14" t="s">
        <v>93</v>
      </c>
      <c r="T224" s="18">
        <v>0</v>
      </c>
    </row>
    <row r="225" spans="1:20" ht="14.4">
      <c r="A225" s="26">
        <v>341064</v>
      </c>
      <c r="B225" s="19" t="s">
        <v>88</v>
      </c>
      <c r="C225" s="19" t="s">
        <v>97</v>
      </c>
      <c r="D225" s="20">
        <v>86</v>
      </c>
      <c r="E225" s="20">
        <v>0</v>
      </c>
      <c r="F225" s="20">
        <v>0</v>
      </c>
      <c r="G225" s="21">
        <v>0</v>
      </c>
      <c r="H225" s="22">
        <v>0</v>
      </c>
      <c r="I225" s="20">
        <v>0</v>
      </c>
      <c r="J225" s="21">
        <v>0</v>
      </c>
      <c r="K225" s="20">
        <v>0</v>
      </c>
      <c r="L225" s="21">
        <v>0</v>
      </c>
      <c r="M225" s="22">
        <v>0</v>
      </c>
      <c r="N225" s="22">
        <v>0</v>
      </c>
      <c r="O225" s="20">
        <v>0</v>
      </c>
      <c r="P225" s="20">
        <v>0</v>
      </c>
      <c r="Q225" s="27"/>
      <c r="R225" s="20">
        <v>0</v>
      </c>
      <c r="S225" s="19" t="s">
        <v>93</v>
      </c>
      <c r="T225" s="23">
        <v>0</v>
      </c>
    </row>
    <row r="226" spans="1:20" ht="14.4">
      <c r="A226" s="13">
        <v>339977</v>
      </c>
      <c r="B226" s="14" t="s">
        <v>85</v>
      </c>
      <c r="C226" s="14" t="s">
        <v>37</v>
      </c>
      <c r="D226" s="15">
        <v>85</v>
      </c>
      <c r="E226" s="15">
        <v>35</v>
      </c>
      <c r="F226" s="15">
        <v>0</v>
      </c>
      <c r="G226" s="16">
        <v>50</v>
      </c>
      <c r="H226" s="17">
        <v>1</v>
      </c>
      <c r="I226" s="15">
        <v>0</v>
      </c>
      <c r="J226" s="16">
        <v>0</v>
      </c>
      <c r="K226" s="15">
        <v>0</v>
      </c>
      <c r="L226" s="16">
        <v>0</v>
      </c>
      <c r="M226" s="17">
        <v>0</v>
      </c>
      <c r="N226" s="17">
        <v>0</v>
      </c>
      <c r="O226" s="15">
        <v>0</v>
      </c>
      <c r="P226" s="15">
        <v>0</v>
      </c>
      <c r="Q226" s="15">
        <v>0</v>
      </c>
      <c r="R226" s="15">
        <v>0</v>
      </c>
      <c r="S226" s="14" t="s">
        <v>87</v>
      </c>
      <c r="T226" s="18">
        <v>2</v>
      </c>
    </row>
    <row r="227" spans="1:20" ht="14.4">
      <c r="A227" s="26">
        <v>340817</v>
      </c>
      <c r="B227" s="19" t="s">
        <v>85</v>
      </c>
      <c r="C227" s="19" t="s">
        <v>59</v>
      </c>
      <c r="D227" s="20">
        <v>85</v>
      </c>
      <c r="E227" s="20">
        <v>25</v>
      </c>
      <c r="F227" s="20">
        <v>0</v>
      </c>
      <c r="G227" s="21">
        <v>60</v>
      </c>
      <c r="H227" s="22">
        <v>1</v>
      </c>
      <c r="I227" s="20">
        <v>0</v>
      </c>
      <c r="J227" s="21">
        <v>0</v>
      </c>
      <c r="K227" s="20">
        <v>0</v>
      </c>
      <c r="L227" s="21">
        <v>0</v>
      </c>
      <c r="M227" s="22">
        <v>0</v>
      </c>
      <c r="N227" s="22">
        <v>0</v>
      </c>
      <c r="O227" s="20">
        <v>0</v>
      </c>
      <c r="P227" s="20">
        <v>0</v>
      </c>
      <c r="Q227" s="20">
        <v>0</v>
      </c>
      <c r="R227" s="20">
        <v>0</v>
      </c>
      <c r="S227" s="19" t="s">
        <v>87</v>
      </c>
      <c r="T227" s="23">
        <v>3</v>
      </c>
    </row>
    <row r="228" spans="1:20" ht="14.4">
      <c r="A228" s="13">
        <v>340823</v>
      </c>
      <c r="B228" s="14" t="s">
        <v>85</v>
      </c>
      <c r="C228" s="14" t="s">
        <v>43</v>
      </c>
      <c r="D228" s="15">
        <v>85</v>
      </c>
      <c r="E228" s="15">
        <v>35</v>
      </c>
      <c r="F228" s="15">
        <v>0</v>
      </c>
      <c r="G228" s="16">
        <v>50</v>
      </c>
      <c r="H228" s="17">
        <v>1</v>
      </c>
      <c r="I228" s="15">
        <v>0</v>
      </c>
      <c r="J228" s="16">
        <v>0</v>
      </c>
      <c r="K228" s="15">
        <v>0</v>
      </c>
      <c r="L228" s="16">
        <v>0</v>
      </c>
      <c r="M228" s="17">
        <v>0</v>
      </c>
      <c r="N228" s="17">
        <v>0</v>
      </c>
      <c r="O228" s="15">
        <v>0</v>
      </c>
      <c r="P228" s="15">
        <v>0</v>
      </c>
      <c r="Q228" s="15">
        <v>25</v>
      </c>
      <c r="R228" s="15">
        <v>0</v>
      </c>
      <c r="S228" s="14" t="s">
        <v>87</v>
      </c>
      <c r="T228" s="18">
        <v>2</v>
      </c>
    </row>
    <row r="229" spans="1:20" ht="14.4">
      <c r="A229" s="26">
        <v>340857</v>
      </c>
      <c r="B229" s="19" t="s">
        <v>88</v>
      </c>
      <c r="C229" s="19" t="s">
        <v>97</v>
      </c>
      <c r="D229" s="20">
        <v>85</v>
      </c>
      <c r="E229" s="20">
        <v>0</v>
      </c>
      <c r="F229" s="20">
        <v>0</v>
      </c>
      <c r="G229" s="21">
        <v>0</v>
      </c>
      <c r="H229" s="22">
        <v>0</v>
      </c>
      <c r="I229" s="20">
        <v>0</v>
      </c>
      <c r="J229" s="21">
        <v>0</v>
      </c>
      <c r="K229" s="20">
        <v>0</v>
      </c>
      <c r="L229" s="21">
        <v>0</v>
      </c>
      <c r="M229" s="22">
        <v>0</v>
      </c>
      <c r="N229" s="22">
        <v>0</v>
      </c>
      <c r="O229" s="20">
        <v>0</v>
      </c>
      <c r="P229" s="20">
        <v>0</v>
      </c>
      <c r="Q229" s="27"/>
      <c r="R229" s="20">
        <v>0</v>
      </c>
      <c r="S229" s="19" t="s">
        <v>93</v>
      </c>
      <c r="T229" s="23">
        <v>0</v>
      </c>
    </row>
    <row r="230" spans="1:20" ht="14.4">
      <c r="A230" s="13">
        <v>340859</v>
      </c>
      <c r="B230" s="14" t="s">
        <v>88</v>
      </c>
      <c r="C230" s="14" t="s">
        <v>97</v>
      </c>
      <c r="D230" s="15">
        <v>85</v>
      </c>
      <c r="E230" s="15">
        <v>0</v>
      </c>
      <c r="F230" s="15">
        <v>0</v>
      </c>
      <c r="G230" s="16">
        <v>0</v>
      </c>
      <c r="H230" s="17">
        <v>0</v>
      </c>
      <c r="I230" s="15">
        <v>0</v>
      </c>
      <c r="J230" s="16">
        <v>0</v>
      </c>
      <c r="K230" s="15">
        <v>0</v>
      </c>
      <c r="L230" s="16">
        <v>0</v>
      </c>
      <c r="M230" s="17">
        <v>0</v>
      </c>
      <c r="N230" s="17">
        <v>0</v>
      </c>
      <c r="O230" s="15">
        <v>0</v>
      </c>
      <c r="P230" s="15">
        <v>0</v>
      </c>
      <c r="Q230" s="25"/>
      <c r="R230" s="15">
        <v>0</v>
      </c>
      <c r="S230" s="14" t="s">
        <v>93</v>
      </c>
      <c r="T230" s="18">
        <v>0</v>
      </c>
    </row>
    <row r="231" spans="1:20" ht="14.4">
      <c r="A231" s="26">
        <v>340862</v>
      </c>
      <c r="B231" s="19" t="s">
        <v>88</v>
      </c>
      <c r="C231" s="19" t="s">
        <v>97</v>
      </c>
      <c r="D231" s="20">
        <v>85</v>
      </c>
      <c r="E231" s="20">
        <v>0</v>
      </c>
      <c r="F231" s="20">
        <v>0</v>
      </c>
      <c r="G231" s="21">
        <v>0</v>
      </c>
      <c r="H231" s="22">
        <v>0</v>
      </c>
      <c r="I231" s="20">
        <v>0</v>
      </c>
      <c r="J231" s="21">
        <v>0</v>
      </c>
      <c r="K231" s="20">
        <v>0</v>
      </c>
      <c r="L231" s="21">
        <v>0</v>
      </c>
      <c r="M231" s="22">
        <v>0</v>
      </c>
      <c r="N231" s="22">
        <v>0</v>
      </c>
      <c r="O231" s="20">
        <v>0</v>
      </c>
      <c r="P231" s="20">
        <v>0</v>
      </c>
      <c r="Q231" s="27"/>
      <c r="R231" s="20">
        <v>0</v>
      </c>
      <c r="S231" s="19" t="s">
        <v>93</v>
      </c>
      <c r="T231" s="23">
        <v>0</v>
      </c>
    </row>
    <row r="232" spans="1:20" ht="14.4">
      <c r="A232" s="13">
        <v>340867</v>
      </c>
      <c r="B232" s="14" t="s">
        <v>88</v>
      </c>
      <c r="C232" s="14" t="s">
        <v>37</v>
      </c>
      <c r="D232" s="15">
        <v>85</v>
      </c>
      <c r="E232" s="15">
        <v>0</v>
      </c>
      <c r="F232" s="15">
        <v>0</v>
      </c>
      <c r="G232" s="16">
        <v>0</v>
      </c>
      <c r="H232" s="17">
        <v>0</v>
      </c>
      <c r="I232" s="15">
        <v>0</v>
      </c>
      <c r="J232" s="16">
        <v>0</v>
      </c>
      <c r="K232" s="15">
        <v>0</v>
      </c>
      <c r="L232" s="16">
        <v>0</v>
      </c>
      <c r="M232" s="17">
        <v>0</v>
      </c>
      <c r="N232" s="17">
        <v>0</v>
      </c>
      <c r="O232" s="15">
        <v>0</v>
      </c>
      <c r="P232" s="15">
        <v>0</v>
      </c>
      <c r="Q232" s="25"/>
      <c r="R232" s="15">
        <v>0</v>
      </c>
      <c r="S232" s="14" t="s">
        <v>87</v>
      </c>
      <c r="T232" s="18">
        <v>0</v>
      </c>
    </row>
    <row r="233" spans="1:20" ht="14.4">
      <c r="A233" s="26">
        <v>340883</v>
      </c>
      <c r="B233" s="19" t="s">
        <v>88</v>
      </c>
      <c r="C233" s="19" t="s">
        <v>97</v>
      </c>
      <c r="D233" s="20">
        <v>85</v>
      </c>
      <c r="E233" s="20">
        <v>0</v>
      </c>
      <c r="F233" s="20">
        <v>0</v>
      </c>
      <c r="G233" s="21">
        <v>0</v>
      </c>
      <c r="H233" s="22">
        <v>0</v>
      </c>
      <c r="I233" s="20">
        <v>0</v>
      </c>
      <c r="J233" s="21">
        <v>0</v>
      </c>
      <c r="K233" s="20">
        <v>0</v>
      </c>
      <c r="L233" s="21">
        <v>0</v>
      </c>
      <c r="M233" s="22">
        <v>0</v>
      </c>
      <c r="N233" s="22">
        <v>0</v>
      </c>
      <c r="O233" s="20">
        <v>0</v>
      </c>
      <c r="P233" s="20">
        <v>0</v>
      </c>
      <c r="Q233" s="27"/>
      <c r="R233" s="20">
        <v>0</v>
      </c>
      <c r="S233" s="19" t="s">
        <v>93</v>
      </c>
      <c r="T233" s="23">
        <v>0</v>
      </c>
    </row>
    <row r="234" spans="1:20" ht="14.4">
      <c r="A234" s="13">
        <v>340894</v>
      </c>
      <c r="B234" s="14" t="s">
        <v>88</v>
      </c>
      <c r="C234" s="14" t="s">
        <v>97</v>
      </c>
      <c r="D234" s="15">
        <v>85</v>
      </c>
      <c r="E234" s="15">
        <v>0</v>
      </c>
      <c r="F234" s="15">
        <v>0</v>
      </c>
      <c r="G234" s="16">
        <v>0</v>
      </c>
      <c r="H234" s="17">
        <v>0</v>
      </c>
      <c r="I234" s="15">
        <v>0</v>
      </c>
      <c r="J234" s="16">
        <v>0</v>
      </c>
      <c r="K234" s="15">
        <v>0</v>
      </c>
      <c r="L234" s="16">
        <v>0</v>
      </c>
      <c r="M234" s="17">
        <v>0</v>
      </c>
      <c r="N234" s="17">
        <v>0</v>
      </c>
      <c r="O234" s="15">
        <v>0</v>
      </c>
      <c r="P234" s="15">
        <v>0</v>
      </c>
      <c r="Q234" s="25"/>
      <c r="R234" s="15">
        <v>0</v>
      </c>
      <c r="S234" s="14" t="s">
        <v>93</v>
      </c>
      <c r="T234" s="18">
        <v>0</v>
      </c>
    </row>
    <row r="235" spans="1:20" ht="14.4">
      <c r="A235" s="26">
        <v>340925</v>
      </c>
      <c r="B235" s="19" t="s">
        <v>88</v>
      </c>
      <c r="C235" s="19" t="s">
        <v>97</v>
      </c>
      <c r="D235" s="20">
        <v>85</v>
      </c>
      <c r="E235" s="20">
        <v>0</v>
      </c>
      <c r="F235" s="20">
        <v>0</v>
      </c>
      <c r="G235" s="21">
        <v>0</v>
      </c>
      <c r="H235" s="22">
        <v>0</v>
      </c>
      <c r="I235" s="20">
        <v>0</v>
      </c>
      <c r="J235" s="21">
        <v>0</v>
      </c>
      <c r="K235" s="20">
        <v>0</v>
      </c>
      <c r="L235" s="21">
        <v>0</v>
      </c>
      <c r="M235" s="22">
        <v>0</v>
      </c>
      <c r="N235" s="22">
        <v>0</v>
      </c>
      <c r="O235" s="20">
        <v>0</v>
      </c>
      <c r="P235" s="20">
        <v>0</v>
      </c>
      <c r="Q235" s="27"/>
      <c r="R235" s="20">
        <v>0</v>
      </c>
      <c r="S235" s="19" t="s">
        <v>93</v>
      </c>
      <c r="T235" s="23">
        <v>0</v>
      </c>
    </row>
    <row r="236" spans="1:20" ht="14.4">
      <c r="A236" s="13">
        <v>340934</v>
      </c>
      <c r="B236" s="14" t="s">
        <v>88</v>
      </c>
      <c r="C236" s="14" t="s">
        <v>97</v>
      </c>
      <c r="D236" s="15">
        <v>85</v>
      </c>
      <c r="E236" s="15">
        <v>0</v>
      </c>
      <c r="F236" s="15">
        <v>0</v>
      </c>
      <c r="G236" s="16">
        <v>0</v>
      </c>
      <c r="H236" s="17">
        <v>0</v>
      </c>
      <c r="I236" s="15">
        <v>0</v>
      </c>
      <c r="J236" s="16">
        <v>0</v>
      </c>
      <c r="K236" s="15">
        <v>0</v>
      </c>
      <c r="L236" s="16">
        <v>0</v>
      </c>
      <c r="M236" s="17">
        <v>0</v>
      </c>
      <c r="N236" s="17">
        <v>0</v>
      </c>
      <c r="O236" s="15">
        <v>0</v>
      </c>
      <c r="P236" s="15">
        <v>0</v>
      </c>
      <c r="Q236" s="25"/>
      <c r="R236" s="15">
        <v>0</v>
      </c>
      <c r="S236" s="14" t="s">
        <v>93</v>
      </c>
      <c r="T236" s="18">
        <v>0</v>
      </c>
    </row>
    <row r="237" spans="1:20" ht="14.4">
      <c r="A237" s="26">
        <v>340975</v>
      </c>
      <c r="B237" s="19" t="s">
        <v>88</v>
      </c>
      <c r="C237" s="19" t="s">
        <v>97</v>
      </c>
      <c r="D237" s="20">
        <v>85</v>
      </c>
      <c r="E237" s="20">
        <v>0</v>
      </c>
      <c r="F237" s="20">
        <v>0</v>
      </c>
      <c r="G237" s="21">
        <v>0</v>
      </c>
      <c r="H237" s="22">
        <v>0</v>
      </c>
      <c r="I237" s="20">
        <v>0</v>
      </c>
      <c r="J237" s="21">
        <v>0</v>
      </c>
      <c r="K237" s="20">
        <v>0</v>
      </c>
      <c r="L237" s="21">
        <v>0</v>
      </c>
      <c r="M237" s="22">
        <v>0</v>
      </c>
      <c r="N237" s="22">
        <v>0</v>
      </c>
      <c r="O237" s="20">
        <v>0</v>
      </c>
      <c r="P237" s="20">
        <v>0</v>
      </c>
      <c r="Q237" s="27"/>
      <c r="R237" s="20">
        <v>0</v>
      </c>
      <c r="S237" s="19" t="s">
        <v>93</v>
      </c>
      <c r="T237" s="23">
        <v>0</v>
      </c>
    </row>
    <row r="238" spans="1:20" ht="14.4">
      <c r="A238" s="13">
        <v>340989</v>
      </c>
      <c r="B238" s="14" t="s">
        <v>88</v>
      </c>
      <c r="C238" s="14" t="s">
        <v>92</v>
      </c>
      <c r="D238" s="15">
        <v>85</v>
      </c>
      <c r="E238" s="15">
        <v>0</v>
      </c>
      <c r="F238" s="15">
        <v>0</v>
      </c>
      <c r="G238" s="16">
        <v>0</v>
      </c>
      <c r="H238" s="17">
        <v>0</v>
      </c>
      <c r="I238" s="15">
        <v>0</v>
      </c>
      <c r="J238" s="16">
        <v>0</v>
      </c>
      <c r="K238" s="15">
        <v>0</v>
      </c>
      <c r="L238" s="16">
        <v>0</v>
      </c>
      <c r="M238" s="17">
        <v>0</v>
      </c>
      <c r="N238" s="17">
        <v>0</v>
      </c>
      <c r="O238" s="15">
        <v>0</v>
      </c>
      <c r="P238" s="15">
        <v>0</v>
      </c>
      <c r="Q238" s="25"/>
      <c r="R238" s="15">
        <v>0</v>
      </c>
      <c r="S238" s="14" t="s">
        <v>93</v>
      </c>
      <c r="T238" s="18">
        <v>0</v>
      </c>
    </row>
    <row r="239" spans="1:20" ht="14.4">
      <c r="A239" s="26">
        <v>340992</v>
      </c>
      <c r="B239" s="19" t="s">
        <v>88</v>
      </c>
      <c r="C239" s="19" t="s">
        <v>97</v>
      </c>
      <c r="D239" s="20">
        <v>85</v>
      </c>
      <c r="E239" s="20">
        <v>0</v>
      </c>
      <c r="F239" s="20">
        <v>0</v>
      </c>
      <c r="G239" s="21">
        <v>0</v>
      </c>
      <c r="H239" s="22">
        <v>0</v>
      </c>
      <c r="I239" s="20">
        <v>0</v>
      </c>
      <c r="J239" s="21">
        <v>0</v>
      </c>
      <c r="K239" s="20">
        <v>0</v>
      </c>
      <c r="L239" s="21">
        <v>0</v>
      </c>
      <c r="M239" s="22">
        <v>0</v>
      </c>
      <c r="N239" s="22">
        <v>0</v>
      </c>
      <c r="O239" s="20">
        <v>0</v>
      </c>
      <c r="P239" s="20">
        <v>0</v>
      </c>
      <c r="Q239" s="27"/>
      <c r="R239" s="20">
        <v>0</v>
      </c>
      <c r="S239" s="19" t="s">
        <v>93</v>
      </c>
      <c r="T239" s="23">
        <v>0</v>
      </c>
    </row>
    <row r="240" spans="1:20" ht="14.4">
      <c r="A240" s="13">
        <v>341001</v>
      </c>
      <c r="B240" s="14" t="s">
        <v>88</v>
      </c>
      <c r="C240" s="14" t="s">
        <v>97</v>
      </c>
      <c r="D240" s="15">
        <v>85</v>
      </c>
      <c r="E240" s="15">
        <v>0</v>
      </c>
      <c r="F240" s="15">
        <v>0</v>
      </c>
      <c r="G240" s="16">
        <v>0</v>
      </c>
      <c r="H240" s="17">
        <v>0</v>
      </c>
      <c r="I240" s="15">
        <v>0</v>
      </c>
      <c r="J240" s="16">
        <v>0</v>
      </c>
      <c r="K240" s="15">
        <v>0</v>
      </c>
      <c r="L240" s="16">
        <v>0</v>
      </c>
      <c r="M240" s="17">
        <v>0</v>
      </c>
      <c r="N240" s="17">
        <v>0</v>
      </c>
      <c r="O240" s="15">
        <v>0</v>
      </c>
      <c r="P240" s="15">
        <v>0</v>
      </c>
      <c r="Q240" s="25"/>
      <c r="R240" s="15">
        <v>0</v>
      </c>
      <c r="S240" s="14" t="s">
        <v>93</v>
      </c>
      <c r="T240" s="18">
        <v>0</v>
      </c>
    </row>
    <row r="241" spans="1:20" ht="14.4">
      <c r="A241" s="26">
        <v>341012</v>
      </c>
      <c r="B241" s="19" t="s">
        <v>88</v>
      </c>
      <c r="C241" s="19" t="s">
        <v>97</v>
      </c>
      <c r="D241" s="20">
        <v>85</v>
      </c>
      <c r="E241" s="20">
        <v>0</v>
      </c>
      <c r="F241" s="20">
        <v>0</v>
      </c>
      <c r="G241" s="21">
        <v>0</v>
      </c>
      <c r="H241" s="22">
        <v>0</v>
      </c>
      <c r="I241" s="20">
        <v>0</v>
      </c>
      <c r="J241" s="21">
        <v>0</v>
      </c>
      <c r="K241" s="20">
        <v>0</v>
      </c>
      <c r="L241" s="21">
        <v>0</v>
      </c>
      <c r="M241" s="22">
        <v>0</v>
      </c>
      <c r="N241" s="22">
        <v>0</v>
      </c>
      <c r="O241" s="20">
        <v>0</v>
      </c>
      <c r="P241" s="20">
        <v>0</v>
      </c>
      <c r="Q241" s="27"/>
      <c r="R241" s="20">
        <v>0</v>
      </c>
      <c r="S241" s="19" t="s">
        <v>93</v>
      </c>
      <c r="T241" s="23">
        <v>0</v>
      </c>
    </row>
    <row r="242" spans="1:20" ht="14.4">
      <c r="A242" s="13">
        <v>341033</v>
      </c>
      <c r="B242" s="14" t="s">
        <v>88</v>
      </c>
      <c r="C242" s="14" t="s">
        <v>97</v>
      </c>
      <c r="D242" s="15">
        <v>85</v>
      </c>
      <c r="E242" s="15">
        <v>0</v>
      </c>
      <c r="F242" s="15">
        <v>0</v>
      </c>
      <c r="G242" s="16">
        <v>0</v>
      </c>
      <c r="H242" s="17">
        <v>0</v>
      </c>
      <c r="I242" s="15">
        <v>0</v>
      </c>
      <c r="J242" s="16">
        <v>0</v>
      </c>
      <c r="K242" s="15">
        <v>0</v>
      </c>
      <c r="L242" s="16">
        <v>0</v>
      </c>
      <c r="M242" s="17">
        <v>0</v>
      </c>
      <c r="N242" s="17">
        <v>0</v>
      </c>
      <c r="O242" s="15">
        <v>0</v>
      </c>
      <c r="P242" s="15">
        <v>0</v>
      </c>
      <c r="Q242" s="25"/>
      <c r="R242" s="15">
        <v>0</v>
      </c>
      <c r="S242" s="14" t="s">
        <v>93</v>
      </c>
      <c r="T242" s="18">
        <v>0</v>
      </c>
    </row>
    <row r="243" spans="1:20" ht="14.4">
      <c r="A243" s="26">
        <v>341035</v>
      </c>
      <c r="B243" s="19" t="s">
        <v>88</v>
      </c>
      <c r="C243" s="19" t="s">
        <v>97</v>
      </c>
      <c r="D243" s="20">
        <v>85</v>
      </c>
      <c r="E243" s="20">
        <v>0</v>
      </c>
      <c r="F243" s="20">
        <v>0</v>
      </c>
      <c r="G243" s="21">
        <v>0</v>
      </c>
      <c r="H243" s="22">
        <v>0</v>
      </c>
      <c r="I243" s="20">
        <v>0</v>
      </c>
      <c r="J243" s="21">
        <v>0</v>
      </c>
      <c r="K243" s="20">
        <v>0</v>
      </c>
      <c r="L243" s="21">
        <v>0</v>
      </c>
      <c r="M243" s="22">
        <v>0</v>
      </c>
      <c r="N243" s="22">
        <v>0</v>
      </c>
      <c r="O243" s="20">
        <v>0</v>
      </c>
      <c r="P243" s="20">
        <v>0</v>
      </c>
      <c r="Q243" s="27"/>
      <c r="R243" s="20">
        <v>0</v>
      </c>
      <c r="S243" s="19" t="s">
        <v>93</v>
      </c>
      <c r="T243" s="23">
        <v>0</v>
      </c>
    </row>
    <row r="244" spans="1:20" ht="14.4">
      <c r="A244" s="13">
        <v>341123</v>
      </c>
      <c r="B244" s="14" t="s">
        <v>88</v>
      </c>
      <c r="C244" s="14" t="s">
        <v>97</v>
      </c>
      <c r="D244" s="15">
        <v>85</v>
      </c>
      <c r="E244" s="15">
        <v>0</v>
      </c>
      <c r="F244" s="15">
        <v>0</v>
      </c>
      <c r="G244" s="16">
        <v>0</v>
      </c>
      <c r="H244" s="17">
        <v>0</v>
      </c>
      <c r="I244" s="15">
        <v>0</v>
      </c>
      <c r="J244" s="16">
        <v>0</v>
      </c>
      <c r="K244" s="15">
        <v>0</v>
      </c>
      <c r="L244" s="16">
        <v>0</v>
      </c>
      <c r="M244" s="17">
        <v>0</v>
      </c>
      <c r="N244" s="17">
        <v>0</v>
      </c>
      <c r="O244" s="15">
        <v>0</v>
      </c>
      <c r="P244" s="15">
        <v>0</v>
      </c>
      <c r="Q244" s="25"/>
      <c r="R244" s="15">
        <v>0</v>
      </c>
      <c r="S244" s="14" t="s">
        <v>93</v>
      </c>
      <c r="T244" s="18">
        <v>0</v>
      </c>
    </row>
    <row r="245" spans="1:20" ht="14.4">
      <c r="A245" s="26">
        <v>341126</v>
      </c>
      <c r="B245" s="19" t="s">
        <v>88</v>
      </c>
      <c r="C245" s="19" t="s">
        <v>97</v>
      </c>
      <c r="D245" s="20">
        <v>85</v>
      </c>
      <c r="E245" s="20">
        <v>0</v>
      </c>
      <c r="F245" s="20">
        <v>0</v>
      </c>
      <c r="G245" s="21">
        <v>0</v>
      </c>
      <c r="H245" s="22">
        <v>0</v>
      </c>
      <c r="I245" s="20">
        <v>0</v>
      </c>
      <c r="J245" s="21">
        <v>0</v>
      </c>
      <c r="K245" s="20">
        <v>0</v>
      </c>
      <c r="L245" s="21">
        <v>0</v>
      </c>
      <c r="M245" s="22">
        <v>0</v>
      </c>
      <c r="N245" s="22">
        <v>0</v>
      </c>
      <c r="O245" s="20">
        <v>0</v>
      </c>
      <c r="P245" s="20">
        <v>0</v>
      </c>
      <c r="Q245" s="27"/>
      <c r="R245" s="20">
        <v>0</v>
      </c>
      <c r="S245" s="19" t="s">
        <v>93</v>
      </c>
      <c r="T245" s="23">
        <v>0</v>
      </c>
    </row>
    <row r="246" spans="1:20" ht="14.4">
      <c r="A246" s="13">
        <v>338369</v>
      </c>
      <c r="B246" s="14" t="s">
        <v>85</v>
      </c>
      <c r="C246" s="14" t="s">
        <v>60</v>
      </c>
      <c r="D246" s="15">
        <v>75</v>
      </c>
      <c r="E246" s="15">
        <v>0</v>
      </c>
      <c r="F246" s="15">
        <v>0</v>
      </c>
      <c r="G246" s="16">
        <v>75</v>
      </c>
      <c r="H246" s="17">
        <v>1</v>
      </c>
      <c r="I246" s="15">
        <v>0</v>
      </c>
      <c r="J246" s="16">
        <v>0</v>
      </c>
      <c r="K246" s="15">
        <v>0</v>
      </c>
      <c r="L246" s="16">
        <v>0</v>
      </c>
      <c r="M246" s="17">
        <v>0</v>
      </c>
      <c r="N246" s="17">
        <v>0</v>
      </c>
      <c r="O246" s="15">
        <v>0</v>
      </c>
      <c r="P246" s="15">
        <v>0</v>
      </c>
      <c r="Q246" s="15">
        <v>40</v>
      </c>
      <c r="R246" s="15">
        <v>0</v>
      </c>
      <c r="S246" s="14" t="s">
        <v>87</v>
      </c>
      <c r="T246" s="18">
        <v>3</v>
      </c>
    </row>
    <row r="247" spans="1:20" ht="14.4">
      <c r="A247" s="26">
        <v>339722</v>
      </c>
      <c r="B247" s="19" t="s">
        <v>85</v>
      </c>
      <c r="C247" s="19" t="s">
        <v>37</v>
      </c>
      <c r="D247" s="20">
        <v>75</v>
      </c>
      <c r="E247" s="20">
        <v>0</v>
      </c>
      <c r="F247" s="20">
        <v>0</v>
      </c>
      <c r="G247" s="21">
        <v>75</v>
      </c>
      <c r="H247" s="22">
        <v>1</v>
      </c>
      <c r="I247" s="20">
        <v>0</v>
      </c>
      <c r="J247" s="21">
        <v>0</v>
      </c>
      <c r="K247" s="20">
        <v>0</v>
      </c>
      <c r="L247" s="21">
        <v>0</v>
      </c>
      <c r="M247" s="22">
        <v>0</v>
      </c>
      <c r="N247" s="22">
        <v>0</v>
      </c>
      <c r="O247" s="20">
        <v>0</v>
      </c>
      <c r="P247" s="20">
        <v>0</v>
      </c>
      <c r="Q247" s="20">
        <v>0</v>
      </c>
      <c r="R247" s="20">
        <v>0</v>
      </c>
      <c r="S247" s="19" t="s">
        <v>87</v>
      </c>
      <c r="T247" s="23">
        <v>3</v>
      </c>
    </row>
    <row r="248" spans="1:20" ht="14.4">
      <c r="A248" s="13">
        <v>340740</v>
      </c>
      <c r="B248" s="14" t="s">
        <v>85</v>
      </c>
      <c r="C248" s="14" t="s">
        <v>101</v>
      </c>
      <c r="D248" s="15">
        <v>75</v>
      </c>
      <c r="E248" s="15">
        <v>0</v>
      </c>
      <c r="F248" s="15">
        <v>0</v>
      </c>
      <c r="G248" s="16">
        <v>75</v>
      </c>
      <c r="H248" s="17">
        <v>1</v>
      </c>
      <c r="I248" s="15">
        <v>0</v>
      </c>
      <c r="J248" s="16">
        <v>0</v>
      </c>
      <c r="K248" s="15">
        <v>0</v>
      </c>
      <c r="L248" s="16">
        <v>0</v>
      </c>
      <c r="M248" s="17">
        <v>0</v>
      </c>
      <c r="N248" s="17">
        <v>0</v>
      </c>
      <c r="O248" s="15">
        <v>0</v>
      </c>
      <c r="P248" s="15">
        <v>0</v>
      </c>
      <c r="Q248" s="15">
        <v>0</v>
      </c>
      <c r="R248" s="15">
        <v>0</v>
      </c>
      <c r="S248" s="14" t="s">
        <v>95</v>
      </c>
      <c r="T248" s="18">
        <v>3</v>
      </c>
    </row>
    <row r="249" spans="1:20" ht="14.4">
      <c r="A249" s="26">
        <v>340906</v>
      </c>
      <c r="B249" s="19" t="s">
        <v>88</v>
      </c>
      <c r="C249" s="19" t="s">
        <v>97</v>
      </c>
      <c r="D249" s="20">
        <v>75</v>
      </c>
      <c r="E249" s="20">
        <v>0</v>
      </c>
      <c r="F249" s="20">
        <v>0</v>
      </c>
      <c r="G249" s="21">
        <v>0</v>
      </c>
      <c r="H249" s="22">
        <v>0</v>
      </c>
      <c r="I249" s="20">
        <v>0</v>
      </c>
      <c r="J249" s="21">
        <v>0</v>
      </c>
      <c r="K249" s="20">
        <v>0</v>
      </c>
      <c r="L249" s="21">
        <v>0</v>
      </c>
      <c r="M249" s="22">
        <v>0</v>
      </c>
      <c r="N249" s="22">
        <v>0</v>
      </c>
      <c r="O249" s="20">
        <v>0</v>
      </c>
      <c r="P249" s="20">
        <v>0</v>
      </c>
      <c r="Q249" s="27"/>
      <c r="R249" s="20">
        <v>0</v>
      </c>
      <c r="S249" s="19" t="s">
        <v>93</v>
      </c>
      <c r="T249" s="23">
        <v>0</v>
      </c>
    </row>
    <row r="250" spans="1:20" ht="14.4">
      <c r="A250" s="13">
        <v>340913</v>
      </c>
      <c r="B250" s="14" t="s">
        <v>88</v>
      </c>
      <c r="C250" s="14" t="s">
        <v>59</v>
      </c>
      <c r="D250" s="15">
        <v>75</v>
      </c>
      <c r="E250" s="15">
        <v>0</v>
      </c>
      <c r="F250" s="15">
        <v>0</v>
      </c>
      <c r="G250" s="16">
        <v>0</v>
      </c>
      <c r="H250" s="17">
        <v>0</v>
      </c>
      <c r="I250" s="15">
        <v>0</v>
      </c>
      <c r="J250" s="16">
        <v>0</v>
      </c>
      <c r="K250" s="15">
        <v>0</v>
      </c>
      <c r="L250" s="16">
        <v>0</v>
      </c>
      <c r="M250" s="17">
        <v>0</v>
      </c>
      <c r="N250" s="17">
        <v>0</v>
      </c>
      <c r="O250" s="15">
        <v>0</v>
      </c>
      <c r="P250" s="15">
        <v>0</v>
      </c>
      <c r="Q250" s="25"/>
      <c r="R250" s="15">
        <v>0</v>
      </c>
      <c r="S250" s="14" t="s">
        <v>87</v>
      </c>
      <c r="T250" s="18">
        <v>0</v>
      </c>
    </row>
    <row r="251" spans="1:20" ht="14.4">
      <c r="A251" s="26">
        <v>341021</v>
      </c>
      <c r="B251" s="19" t="s">
        <v>88</v>
      </c>
      <c r="C251" s="19" t="s">
        <v>47</v>
      </c>
      <c r="D251" s="20">
        <v>75</v>
      </c>
      <c r="E251" s="20">
        <v>0</v>
      </c>
      <c r="F251" s="20">
        <v>0</v>
      </c>
      <c r="G251" s="21">
        <v>0</v>
      </c>
      <c r="H251" s="22">
        <v>0</v>
      </c>
      <c r="I251" s="20">
        <v>0</v>
      </c>
      <c r="J251" s="21">
        <v>0</v>
      </c>
      <c r="K251" s="20">
        <v>0</v>
      </c>
      <c r="L251" s="21">
        <v>0</v>
      </c>
      <c r="M251" s="22">
        <v>0</v>
      </c>
      <c r="N251" s="22">
        <v>0</v>
      </c>
      <c r="O251" s="20">
        <v>0</v>
      </c>
      <c r="P251" s="20">
        <v>0</v>
      </c>
      <c r="Q251" s="27"/>
      <c r="R251" s="20">
        <v>0</v>
      </c>
      <c r="S251" s="19" t="s">
        <v>91</v>
      </c>
      <c r="T251" s="23">
        <v>0</v>
      </c>
    </row>
    <row r="252" spans="1:20" ht="14.4">
      <c r="A252" s="13">
        <v>341037</v>
      </c>
      <c r="B252" s="14" t="s">
        <v>88</v>
      </c>
      <c r="C252" s="14" t="s">
        <v>59</v>
      </c>
      <c r="D252" s="15">
        <v>75</v>
      </c>
      <c r="E252" s="15">
        <v>0</v>
      </c>
      <c r="F252" s="15">
        <v>0</v>
      </c>
      <c r="G252" s="16">
        <v>0</v>
      </c>
      <c r="H252" s="17">
        <v>0</v>
      </c>
      <c r="I252" s="15">
        <v>0</v>
      </c>
      <c r="J252" s="16">
        <v>0</v>
      </c>
      <c r="K252" s="15">
        <v>0</v>
      </c>
      <c r="L252" s="16">
        <v>0</v>
      </c>
      <c r="M252" s="17">
        <v>0</v>
      </c>
      <c r="N252" s="17">
        <v>0</v>
      </c>
      <c r="O252" s="15">
        <v>0</v>
      </c>
      <c r="P252" s="15">
        <v>0</v>
      </c>
      <c r="Q252" s="25"/>
      <c r="R252" s="15">
        <v>0</v>
      </c>
      <c r="S252" s="14" t="s">
        <v>87</v>
      </c>
      <c r="T252" s="18">
        <v>0</v>
      </c>
    </row>
    <row r="253" spans="1:20" ht="14.4">
      <c r="A253" s="26">
        <v>341059</v>
      </c>
      <c r="B253" s="19" t="s">
        <v>88</v>
      </c>
      <c r="C253" s="19" t="s">
        <v>89</v>
      </c>
      <c r="D253" s="20">
        <v>75</v>
      </c>
      <c r="E253" s="20">
        <v>0</v>
      </c>
      <c r="F253" s="20">
        <v>0</v>
      </c>
      <c r="G253" s="21">
        <v>0</v>
      </c>
      <c r="H253" s="22">
        <v>0</v>
      </c>
      <c r="I253" s="20">
        <v>0</v>
      </c>
      <c r="J253" s="21">
        <v>0</v>
      </c>
      <c r="K253" s="20">
        <v>0</v>
      </c>
      <c r="L253" s="21">
        <v>0</v>
      </c>
      <c r="M253" s="22">
        <v>0</v>
      </c>
      <c r="N253" s="22">
        <v>0</v>
      </c>
      <c r="O253" s="20">
        <v>0</v>
      </c>
      <c r="P253" s="20">
        <v>0</v>
      </c>
      <c r="Q253" s="27"/>
      <c r="R253" s="20">
        <v>0</v>
      </c>
      <c r="S253" s="19" t="s">
        <v>87</v>
      </c>
      <c r="T253" s="23">
        <v>0</v>
      </c>
    </row>
    <row r="254" spans="1:20" ht="14.4">
      <c r="A254" s="13">
        <v>340761</v>
      </c>
      <c r="B254" s="14" t="s">
        <v>85</v>
      </c>
      <c r="C254" s="14" t="s">
        <v>89</v>
      </c>
      <c r="D254" s="15">
        <v>70</v>
      </c>
      <c r="E254" s="15">
        <v>20</v>
      </c>
      <c r="F254" s="15">
        <v>0</v>
      </c>
      <c r="G254" s="16">
        <v>50</v>
      </c>
      <c r="H254" s="17">
        <v>1</v>
      </c>
      <c r="I254" s="15">
        <v>0</v>
      </c>
      <c r="J254" s="16">
        <v>0</v>
      </c>
      <c r="K254" s="15">
        <v>0</v>
      </c>
      <c r="L254" s="16">
        <v>0</v>
      </c>
      <c r="M254" s="17">
        <v>0</v>
      </c>
      <c r="N254" s="17">
        <v>0</v>
      </c>
      <c r="O254" s="15">
        <v>0</v>
      </c>
      <c r="P254" s="15">
        <v>0</v>
      </c>
      <c r="Q254" s="15">
        <v>0</v>
      </c>
      <c r="R254" s="15">
        <v>0</v>
      </c>
      <c r="S254" s="14" t="s">
        <v>87</v>
      </c>
      <c r="T254" s="18">
        <v>2</v>
      </c>
    </row>
    <row r="255" spans="1:20" ht="14.4">
      <c r="A255" s="26">
        <v>340868</v>
      </c>
      <c r="B255" s="19" t="s">
        <v>88</v>
      </c>
      <c r="C255" s="19" t="s">
        <v>43</v>
      </c>
      <c r="D255" s="20">
        <v>70</v>
      </c>
      <c r="E255" s="20">
        <v>0</v>
      </c>
      <c r="F255" s="20">
        <v>0</v>
      </c>
      <c r="G255" s="21">
        <v>0</v>
      </c>
      <c r="H255" s="22">
        <v>0</v>
      </c>
      <c r="I255" s="20">
        <v>0</v>
      </c>
      <c r="J255" s="21">
        <v>0</v>
      </c>
      <c r="K255" s="20">
        <v>0</v>
      </c>
      <c r="L255" s="21">
        <v>0</v>
      </c>
      <c r="M255" s="22">
        <v>0</v>
      </c>
      <c r="N255" s="22">
        <v>0</v>
      </c>
      <c r="O255" s="20">
        <v>0</v>
      </c>
      <c r="P255" s="20">
        <v>0</v>
      </c>
      <c r="Q255" s="27"/>
      <c r="R255" s="20">
        <v>0</v>
      </c>
      <c r="S255" s="19" t="s">
        <v>87</v>
      </c>
      <c r="T255" s="23">
        <v>0</v>
      </c>
    </row>
    <row r="256" spans="1:20" ht="14.4">
      <c r="A256" s="13">
        <v>340877</v>
      </c>
      <c r="B256" s="14" t="s">
        <v>88</v>
      </c>
      <c r="C256" s="14" t="s">
        <v>37</v>
      </c>
      <c r="D256" s="15">
        <v>60</v>
      </c>
      <c r="E256" s="15">
        <v>0</v>
      </c>
      <c r="F256" s="15">
        <v>0</v>
      </c>
      <c r="G256" s="16">
        <v>0</v>
      </c>
      <c r="H256" s="17">
        <v>0</v>
      </c>
      <c r="I256" s="15">
        <v>0</v>
      </c>
      <c r="J256" s="16">
        <v>0</v>
      </c>
      <c r="K256" s="15">
        <v>0</v>
      </c>
      <c r="L256" s="16">
        <v>0</v>
      </c>
      <c r="M256" s="17">
        <v>0</v>
      </c>
      <c r="N256" s="17">
        <v>0</v>
      </c>
      <c r="O256" s="15">
        <v>0</v>
      </c>
      <c r="P256" s="15">
        <v>0</v>
      </c>
      <c r="Q256" s="25"/>
      <c r="R256" s="15">
        <v>0</v>
      </c>
      <c r="S256" s="14" t="s">
        <v>87</v>
      </c>
      <c r="T256" s="18">
        <v>0</v>
      </c>
    </row>
    <row r="257" spans="1:20" ht="14.4">
      <c r="A257" s="26">
        <v>340924</v>
      </c>
      <c r="B257" s="19" t="s">
        <v>88</v>
      </c>
      <c r="C257" s="19" t="s">
        <v>97</v>
      </c>
      <c r="D257" s="20">
        <v>60</v>
      </c>
      <c r="E257" s="20">
        <v>0</v>
      </c>
      <c r="F257" s="20">
        <v>0</v>
      </c>
      <c r="G257" s="21">
        <v>0</v>
      </c>
      <c r="H257" s="22">
        <v>0</v>
      </c>
      <c r="I257" s="20">
        <v>0</v>
      </c>
      <c r="J257" s="21">
        <v>0</v>
      </c>
      <c r="K257" s="20">
        <v>0</v>
      </c>
      <c r="L257" s="21">
        <v>0</v>
      </c>
      <c r="M257" s="22">
        <v>0</v>
      </c>
      <c r="N257" s="22">
        <v>0</v>
      </c>
      <c r="O257" s="20">
        <v>0</v>
      </c>
      <c r="P257" s="20">
        <v>0</v>
      </c>
      <c r="Q257" s="27"/>
      <c r="R257" s="20">
        <v>0</v>
      </c>
      <c r="S257" s="19" t="s">
        <v>93</v>
      </c>
      <c r="T257" s="23">
        <v>0</v>
      </c>
    </row>
    <row r="258" spans="1:20" ht="14.4">
      <c r="A258" s="13">
        <v>341049</v>
      </c>
      <c r="B258" s="14" t="s">
        <v>88</v>
      </c>
      <c r="C258" s="14" t="s">
        <v>44</v>
      </c>
      <c r="D258" s="15">
        <v>60</v>
      </c>
      <c r="E258" s="15">
        <v>0</v>
      </c>
      <c r="F258" s="15">
        <v>0</v>
      </c>
      <c r="G258" s="16">
        <v>0</v>
      </c>
      <c r="H258" s="17">
        <v>0</v>
      </c>
      <c r="I258" s="15">
        <v>0</v>
      </c>
      <c r="J258" s="16">
        <v>0</v>
      </c>
      <c r="K258" s="15">
        <v>0</v>
      </c>
      <c r="L258" s="16">
        <v>0</v>
      </c>
      <c r="M258" s="17">
        <v>0</v>
      </c>
      <c r="N258" s="17">
        <v>0</v>
      </c>
      <c r="O258" s="15">
        <v>0</v>
      </c>
      <c r="P258" s="15">
        <v>0</v>
      </c>
      <c r="Q258" s="25"/>
      <c r="R258" s="15">
        <v>0</v>
      </c>
      <c r="S258" s="14" t="s">
        <v>91</v>
      </c>
      <c r="T258" s="18">
        <v>0</v>
      </c>
    </row>
    <row r="259" spans="1:20" ht="14.4">
      <c r="A259" s="26">
        <v>340694</v>
      </c>
      <c r="B259" s="19" t="s">
        <v>85</v>
      </c>
      <c r="C259" s="19" t="s">
        <v>59</v>
      </c>
      <c r="D259" s="20">
        <v>54</v>
      </c>
      <c r="E259" s="20">
        <v>0</v>
      </c>
      <c r="F259" s="20">
        <v>4</v>
      </c>
      <c r="G259" s="21">
        <v>50</v>
      </c>
      <c r="H259" s="22">
        <v>1</v>
      </c>
      <c r="I259" s="20">
        <v>0</v>
      </c>
      <c r="J259" s="21">
        <v>0</v>
      </c>
      <c r="K259" s="20">
        <v>0</v>
      </c>
      <c r="L259" s="21">
        <v>0</v>
      </c>
      <c r="M259" s="22">
        <v>0</v>
      </c>
      <c r="N259" s="22">
        <v>0</v>
      </c>
      <c r="O259" s="20">
        <v>0</v>
      </c>
      <c r="P259" s="20">
        <v>0</v>
      </c>
      <c r="Q259" s="20">
        <v>0</v>
      </c>
      <c r="R259" s="20">
        <v>0</v>
      </c>
      <c r="S259" s="19" t="s">
        <v>87</v>
      </c>
      <c r="T259" s="23">
        <v>2</v>
      </c>
    </row>
    <row r="260" spans="1:20" ht="14.4">
      <c r="A260" s="13">
        <v>339773</v>
      </c>
      <c r="B260" s="14" t="s">
        <v>85</v>
      </c>
      <c r="C260" s="14" t="s">
        <v>89</v>
      </c>
      <c r="D260" s="15">
        <v>50</v>
      </c>
      <c r="E260" s="15">
        <v>35</v>
      </c>
      <c r="F260" s="15">
        <v>0</v>
      </c>
      <c r="G260" s="16">
        <v>290</v>
      </c>
      <c r="H260" s="17">
        <v>5</v>
      </c>
      <c r="I260" s="15">
        <v>0</v>
      </c>
      <c r="J260" s="16">
        <v>0</v>
      </c>
      <c r="K260" s="15">
        <v>0</v>
      </c>
      <c r="L260" s="16">
        <v>0</v>
      </c>
      <c r="M260" s="17">
        <v>0</v>
      </c>
      <c r="N260" s="17">
        <v>0</v>
      </c>
      <c r="O260" s="15">
        <v>0</v>
      </c>
      <c r="P260" s="15">
        <v>0</v>
      </c>
      <c r="Q260" s="15">
        <v>0</v>
      </c>
      <c r="R260" s="15">
        <v>0</v>
      </c>
      <c r="S260" s="14" t="s">
        <v>87</v>
      </c>
      <c r="T260" s="18">
        <v>13</v>
      </c>
    </row>
    <row r="261" spans="1:20" ht="14.4">
      <c r="A261" s="26">
        <v>340708</v>
      </c>
      <c r="B261" s="19" t="s">
        <v>85</v>
      </c>
      <c r="C261" s="19" t="s">
        <v>94</v>
      </c>
      <c r="D261" s="20">
        <v>50</v>
      </c>
      <c r="E261" s="20">
        <v>0</v>
      </c>
      <c r="F261" s="20">
        <v>0</v>
      </c>
      <c r="G261" s="21">
        <v>50</v>
      </c>
      <c r="H261" s="22">
        <v>1</v>
      </c>
      <c r="I261" s="20">
        <v>0</v>
      </c>
      <c r="J261" s="21">
        <v>0</v>
      </c>
      <c r="K261" s="20">
        <v>0</v>
      </c>
      <c r="L261" s="21">
        <v>0</v>
      </c>
      <c r="M261" s="22">
        <v>0</v>
      </c>
      <c r="N261" s="22">
        <v>0</v>
      </c>
      <c r="O261" s="20">
        <v>0</v>
      </c>
      <c r="P261" s="20">
        <v>0</v>
      </c>
      <c r="Q261" s="20">
        <v>0</v>
      </c>
      <c r="R261" s="20">
        <v>0</v>
      </c>
      <c r="S261" s="19" t="s">
        <v>95</v>
      </c>
      <c r="T261" s="23">
        <v>2</v>
      </c>
    </row>
    <row r="262" spans="1:20" ht="14.4">
      <c r="A262" s="13">
        <v>340870</v>
      </c>
      <c r="B262" s="14" t="s">
        <v>88</v>
      </c>
      <c r="C262" s="14" t="s">
        <v>46</v>
      </c>
      <c r="D262" s="15">
        <v>50</v>
      </c>
      <c r="E262" s="15">
        <v>0</v>
      </c>
      <c r="F262" s="15">
        <v>0</v>
      </c>
      <c r="G262" s="16">
        <v>0</v>
      </c>
      <c r="H262" s="17">
        <v>0</v>
      </c>
      <c r="I262" s="15">
        <v>0</v>
      </c>
      <c r="J262" s="16">
        <v>0</v>
      </c>
      <c r="K262" s="15">
        <v>0</v>
      </c>
      <c r="L262" s="16">
        <v>0</v>
      </c>
      <c r="M262" s="17">
        <v>0</v>
      </c>
      <c r="N262" s="17">
        <v>0</v>
      </c>
      <c r="O262" s="15">
        <v>0</v>
      </c>
      <c r="P262" s="15">
        <v>0</v>
      </c>
      <c r="Q262" s="25"/>
      <c r="R262" s="15">
        <v>0</v>
      </c>
      <c r="S262" s="14" t="s">
        <v>87</v>
      </c>
      <c r="T262" s="18">
        <v>0</v>
      </c>
    </row>
    <row r="263" spans="1:20" ht="14.4">
      <c r="A263" s="26">
        <v>340882</v>
      </c>
      <c r="B263" s="19" t="s">
        <v>88</v>
      </c>
      <c r="C263" s="19" t="s">
        <v>37</v>
      </c>
      <c r="D263" s="20">
        <v>50</v>
      </c>
      <c r="E263" s="20">
        <v>0</v>
      </c>
      <c r="F263" s="20">
        <v>0</v>
      </c>
      <c r="G263" s="21">
        <v>0</v>
      </c>
      <c r="H263" s="22">
        <v>0</v>
      </c>
      <c r="I263" s="20">
        <v>0</v>
      </c>
      <c r="J263" s="21">
        <v>0</v>
      </c>
      <c r="K263" s="20">
        <v>0</v>
      </c>
      <c r="L263" s="21">
        <v>0</v>
      </c>
      <c r="M263" s="22">
        <v>0</v>
      </c>
      <c r="N263" s="22">
        <v>0</v>
      </c>
      <c r="O263" s="20">
        <v>0</v>
      </c>
      <c r="P263" s="20">
        <v>0</v>
      </c>
      <c r="Q263" s="27"/>
      <c r="R263" s="20">
        <v>0</v>
      </c>
      <c r="S263" s="19" t="s">
        <v>87</v>
      </c>
      <c r="T263" s="23">
        <v>0</v>
      </c>
    </row>
    <row r="264" spans="1:20" ht="14.4">
      <c r="A264" s="13">
        <v>340873</v>
      </c>
      <c r="B264" s="14" t="s">
        <v>88</v>
      </c>
      <c r="C264" s="14" t="s">
        <v>37</v>
      </c>
      <c r="D264" s="15">
        <v>35</v>
      </c>
      <c r="E264" s="15">
        <v>0</v>
      </c>
      <c r="F264" s="15">
        <v>0</v>
      </c>
      <c r="G264" s="16">
        <v>0</v>
      </c>
      <c r="H264" s="17">
        <v>0</v>
      </c>
      <c r="I264" s="15">
        <v>0</v>
      </c>
      <c r="J264" s="16">
        <v>0</v>
      </c>
      <c r="K264" s="15">
        <v>0</v>
      </c>
      <c r="L264" s="16">
        <v>0</v>
      </c>
      <c r="M264" s="17">
        <v>0</v>
      </c>
      <c r="N264" s="17">
        <v>0</v>
      </c>
      <c r="O264" s="15">
        <v>0</v>
      </c>
      <c r="P264" s="15">
        <v>0</v>
      </c>
      <c r="Q264" s="25"/>
      <c r="R264" s="15">
        <v>0</v>
      </c>
      <c r="S264" s="14" t="s">
        <v>87</v>
      </c>
      <c r="T264" s="18">
        <v>0</v>
      </c>
    </row>
    <row r="265" spans="1:20" ht="14.4">
      <c r="A265" s="26">
        <v>340882</v>
      </c>
      <c r="B265" s="19" t="s">
        <v>88</v>
      </c>
      <c r="C265" s="19" t="s">
        <v>37</v>
      </c>
      <c r="D265" s="20">
        <v>35</v>
      </c>
      <c r="E265" s="20">
        <v>0</v>
      </c>
      <c r="F265" s="20">
        <v>0</v>
      </c>
      <c r="G265" s="21">
        <v>0</v>
      </c>
      <c r="H265" s="22">
        <v>0</v>
      </c>
      <c r="I265" s="20">
        <v>0</v>
      </c>
      <c r="J265" s="21">
        <v>0</v>
      </c>
      <c r="K265" s="20">
        <v>0</v>
      </c>
      <c r="L265" s="21">
        <v>0</v>
      </c>
      <c r="M265" s="22">
        <v>0</v>
      </c>
      <c r="N265" s="22">
        <v>0</v>
      </c>
      <c r="O265" s="20">
        <v>0</v>
      </c>
      <c r="P265" s="20">
        <v>0</v>
      </c>
      <c r="Q265" s="27"/>
      <c r="R265" s="20">
        <v>0</v>
      </c>
      <c r="S265" s="19" t="s">
        <v>87</v>
      </c>
      <c r="T265" s="23">
        <v>0</v>
      </c>
    </row>
    <row r="266" spans="1:20" ht="14.4">
      <c r="A266" s="13">
        <v>331768</v>
      </c>
      <c r="B266" s="14" t="s">
        <v>85</v>
      </c>
      <c r="C266" s="14" t="s">
        <v>97</v>
      </c>
      <c r="D266" s="15">
        <v>0</v>
      </c>
      <c r="E266" s="15">
        <v>0</v>
      </c>
      <c r="F266" s="15">
        <v>0</v>
      </c>
      <c r="G266" s="16">
        <v>200</v>
      </c>
      <c r="H266" s="17">
        <v>1</v>
      </c>
      <c r="I266" s="15">
        <v>0</v>
      </c>
      <c r="J266" s="16">
        <v>0</v>
      </c>
      <c r="K266" s="15">
        <v>0</v>
      </c>
      <c r="L266" s="16">
        <v>0</v>
      </c>
      <c r="M266" s="17">
        <v>0</v>
      </c>
      <c r="N266" s="17">
        <v>0</v>
      </c>
      <c r="O266" s="15">
        <v>0</v>
      </c>
      <c r="P266" s="15">
        <v>0</v>
      </c>
      <c r="Q266" s="15">
        <v>0</v>
      </c>
      <c r="R266" s="15">
        <v>0</v>
      </c>
      <c r="S266" s="14" t="s">
        <v>93</v>
      </c>
      <c r="T266" s="18">
        <v>9</v>
      </c>
    </row>
    <row r="267" spans="1:20" ht="14.4">
      <c r="A267" s="26">
        <v>337036</v>
      </c>
      <c r="B267" s="19" t="s">
        <v>85</v>
      </c>
      <c r="C267" s="19" t="s">
        <v>59</v>
      </c>
      <c r="D267" s="20">
        <v>0</v>
      </c>
      <c r="E267" s="20">
        <v>0</v>
      </c>
      <c r="F267" s="20">
        <v>0</v>
      </c>
      <c r="G267" s="21">
        <v>175</v>
      </c>
      <c r="H267" s="22">
        <v>1</v>
      </c>
      <c r="I267" s="20">
        <v>0</v>
      </c>
      <c r="J267" s="21">
        <v>0</v>
      </c>
      <c r="K267" s="20">
        <v>0</v>
      </c>
      <c r="L267" s="21">
        <v>0</v>
      </c>
      <c r="M267" s="22">
        <v>0</v>
      </c>
      <c r="N267" s="22">
        <v>0</v>
      </c>
      <c r="O267" s="20">
        <v>0</v>
      </c>
      <c r="P267" s="20">
        <v>0</v>
      </c>
      <c r="Q267" s="20">
        <v>50</v>
      </c>
      <c r="R267" s="20">
        <v>0</v>
      </c>
      <c r="S267" s="19" t="s">
        <v>87</v>
      </c>
      <c r="T267" s="23">
        <v>8</v>
      </c>
    </row>
    <row r="268" spans="1:20" ht="14.4">
      <c r="A268" s="13">
        <v>337474</v>
      </c>
      <c r="B268" s="14" t="s">
        <v>85</v>
      </c>
      <c r="C268" s="14" t="s">
        <v>97</v>
      </c>
      <c r="D268" s="15">
        <v>0</v>
      </c>
      <c r="E268" s="15">
        <v>400</v>
      </c>
      <c r="F268" s="15">
        <v>0</v>
      </c>
      <c r="G268" s="16">
        <v>355</v>
      </c>
      <c r="H268" s="17">
        <v>1</v>
      </c>
      <c r="I268" s="15">
        <v>0</v>
      </c>
      <c r="J268" s="16">
        <v>0</v>
      </c>
      <c r="K268" s="15">
        <v>0</v>
      </c>
      <c r="L268" s="16">
        <v>0</v>
      </c>
      <c r="M268" s="17">
        <v>0</v>
      </c>
      <c r="N268" s="17">
        <v>0</v>
      </c>
      <c r="O268" s="15">
        <v>0</v>
      </c>
      <c r="P268" s="15">
        <v>0</v>
      </c>
      <c r="Q268" s="15">
        <v>0</v>
      </c>
      <c r="R268" s="15">
        <v>0</v>
      </c>
      <c r="S268" s="14" t="s">
        <v>93</v>
      </c>
      <c r="T268" s="18">
        <v>16</v>
      </c>
    </row>
    <row r="269" spans="1:20" ht="14.4">
      <c r="A269" s="26">
        <v>337546</v>
      </c>
      <c r="B269" s="19" t="s">
        <v>85</v>
      </c>
      <c r="C269" s="19" t="s">
        <v>97</v>
      </c>
      <c r="D269" s="20">
        <v>0</v>
      </c>
      <c r="E269" s="20">
        <v>0</v>
      </c>
      <c r="F269" s="20">
        <v>0</v>
      </c>
      <c r="G269" s="21">
        <v>190</v>
      </c>
      <c r="H269" s="22">
        <v>1</v>
      </c>
      <c r="I269" s="20">
        <v>0</v>
      </c>
      <c r="J269" s="21">
        <v>0</v>
      </c>
      <c r="K269" s="20">
        <v>0</v>
      </c>
      <c r="L269" s="21">
        <v>0</v>
      </c>
      <c r="M269" s="22">
        <v>0</v>
      </c>
      <c r="N269" s="22">
        <v>0</v>
      </c>
      <c r="O269" s="20">
        <v>0</v>
      </c>
      <c r="P269" s="20">
        <v>0</v>
      </c>
      <c r="Q269" s="20">
        <v>10</v>
      </c>
      <c r="R269" s="20">
        <v>0</v>
      </c>
      <c r="S269" s="19" t="s">
        <v>93</v>
      </c>
      <c r="T269" s="23">
        <v>9</v>
      </c>
    </row>
    <row r="270" spans="1:20" ht="14.4">
      <c r="A270" s="13">
        <v>337828</v>
      </c>
      <c r="B270" s="14" t="s">
        <v>85</v>
      </c>
      <c r="C270" s="14" t="s">
        <v>46</v>
      </c>
      <c r="D270" s="15">
        <v>0</v>
      </c>
      <c r="E270" s="15">
        <v>0</v>
      </c>
      <c r="F270" s="15">
        <v>0</v>
      </c>
      <c r="G270" s="16">
        <v>400</v>
      </c>
      <c r="H270" s="17">
        <v>1</v>
      </c>
      <c r="I270" s="15">
        <v>0</v>
      </c>
      <c r="J270" s="16">
        <v>0</v>
      </c>
      <c r="K270" s="15">
        <v>0</v>
      </c>
      <c r="L270" s="16">
        <v>0</v>
      </c>
      <c r="M270" s="17">
        <v>0</v>
      </c>
      <c r="N270" s="17">
        <v>0</v>
      </c>
      <c r="O270" s="15">
        <v>0</v>
      </c>
      <c r="P270" s="15">
        <v>0</v>
      </c>
      <c r="Q270" s="15">
        <v>40</v>
      </c>
      <c r="R270" s="15">
        <v>0</v>
      </c>
      <c r="S270" s="14" t="s">
        <v>87</v>
      </c>
      <c r="T270" s="18">
        <v>18</v>
      </c>
    </row>
    <row r="271" spans="1:20" ht="14.4">
      <c r="A271" s="26">
        <v>338059</v>
      </c>
      <c r="B271" s="19" t="s">
        <v>85</v>
      </c>
      <c r="C271" s="19" t="s">
        <v>59</v>
      </c>
      <c r="D271" s="20">
        <v>0</v>
      </c>
      <c r="E271" s="20">
        <v>0</v>
      </c>
      <c r="F271" s="20">
        <v>236</v>
      </c>
      <c r="G271" s="21">
        <v>0</v>
      </c>
      <c r="H271" s="22">
        <v>0</v>
      </c>
      <c r="I271" s="20">
        <v>0</v>
      </c>
      <c r="J271" s="21">
        <v>2700</v>
      </c>
      <c r="K271" s="20">
        <v>300</v>
      </c>
      <c r="L271" s="21">
        <v>11.11</v>
      </c>
      <c r="M271" s="22">
        <v>1</v>
      </c>
      <c r="N271" s="22">
        <v>0</v>
      </c>
      <c r="O271" s="20">
        <v>0</v>
      </c>
      <c r="P271" s="20">
        <v>0</v>
      </c>
      <c r="Q271" s="20">
        <v>0</v>
      </c>
      <c r="R271" s="20">
        <v>0</v>
      </c>
      <c r="S271" s="19" t="s">
        <v>87</v>
      </c>
      <c r="T271" s="23">
        <v>30</v>
      </c>
    </row>
    <row r="272" spans="1:20" ht="14.4">
      <c r="A272" s="13">
        <v>338142</v>
      </c>
      <c r="B272" s="14" t="s">
        <v>85</v>
      </c>
      <c r="C272" s="14" t="s">
        <v>97</v>
      </c>
      <c r="D272" s="15">
        <v>0</v>
      </c>
      <c r="E272" s="15">
        <v>35</v>
      </c>
      <c r="F272" s="15">
        <v>0</v>
      </c>
      <c r="G272" s="16">
        <v>60</v>
      </c>
      <c r="H272" s="17">
        <v>1</v>
      </c>
      <c r="I272" s="15">
        <v>0</v>
      </c>
      <c r="J272" s="16">
        <v>0</v>
      </c>
      <c r="K272" s="15">
        <v>0</v>
      </c>
      <c r="L272" s="16">
        <v>0</v>
      </c>
      <c r="M272" s="17">
        <v>0</v>
      </c>
      <c r="N272" s="17">
        <v>0</v>
      </c>
      <c r="O272" s="15">
        <v>0</v>
      </c>
      <c r="P272" s="15">
        <v>0</v>
      </c>
      <c r="Q272" s="15">
        <v>0</v>
      </c>
      <c r="R272" s="15">
        <v>0</v>
      </c>
      <c r="S272" s="14" t="s">
        <v>93</v>
      </c>
      <c r="T272" s="18">
        <v>3</v>
      </c>
    </row>
    <row r="273" spans="1:20" ht="14.4">
      <c r="A273" s="26">
        <v>338170</v>
      </c>
      <c r="B273" s="19" t="s">
        <v>85</v>
      </c>
      <c r="C273" s="19" t="s">
        <v>89</v>
      </c>
      <c r="D273" s="20">
        <v>0</v>
      </c>
      <c r="E273" s="20">
        <v>35</v>
      </c>
      <c r="F273" s="20">
        <v>125</v>
      </c>
      <c r="G273" s="21">
        <v>1218</v>
      </c>
      <c r="H273" s="22">
        <v>5</v>
      </c>
      <c r="I273" s="20">
        <v>0</v>
      </c>
      <c r="J273" s="21">
        <v>0</v>
      </c>
      <c r="K273" s="20">
        <v>0</v>
      </c>
      <c r="L273" s="21">
        <v>0</v>
      </c>
      <c r="M273" s="22">
        <v>0</v>
      </c>
      <c r="N273" s="22">
        <v>0</v>
      </c>
      <c r="O273" s="20">
        <v>0</v>
      </c>
      <c r="P273" s="20">
        <v>0</v>
      </c>
      <c r="Q273" s="20">
        <v>120</v>
      </c>
      <c r="R273" s="20">
        <v>0</v>
      </c>
      <c r="S273" s="19" t="s">
        <v>87</v>
      </c>
      <c r="T273" s="23">
        <v>55</v>
      </c>
    </row>
    <row r="274" spans="1:20" ht="14.4">
      <c r="A274" s="13">
        <v>338284</v>
      </c>
      <c r="B274" s="14" t="s">
        <v>85</v>
      </c>
      <c r="C274" s="14" t="s">
        <v>60</v>
      </c>
      <c r="D274" s="15">
        <v>0</v>
      </c>
      <c r="E274" s="15">
        <v>400</v>
      </c>
      <c r="F274" s="15">
        <v>0</v>
      </c>
      <c r="G274" s="16">
        <v>215</v>
      </c>
      <c r="H274" s="17">
        <v>1</v>
      </c>
      <c r="I274" s="15">
        <v>0</v>
      </c>
      <c r="J274" s="16">
        <v>0</v>
      </c>
      <c r="K274" s="15">
        <v>0</v>
      </c>
      <c r="L274" s="16">
        <v>0</v>
      </c>
      <c r="M274" s="17">
        <v>0</v>
      </c>
      <c r="N274" s="17">
        <v>0</v>
      </c>
      <c r="O274" s="15">
        <v>0</v>
      </c>
      <c r="P274" s="15">
        <v>0</v>
      </c>
      <c r="Q274" s="15">
        <v>6</v>
      </c>
      <c r="R274" s="15">
        <v>0</v>
      </c>
      <c r="S274" s="14" t="s">
        <v>87</v>
      </c>
      <c r="T274" s="18">
        <v>10</v>
      </c>
    </row>
    <row r="275" spans="1:20" ht="14.4">
      <c r="A275" s="26">
        <v>338481</v>
      </c>
      <c r="B275" s="19" t="s">
        <v>85</v>
      </c>
      <c r="C275" s="19" t="s">
        <v>43</v>
      </c>
      <c r="D275" s="20">
        <v>0</v>
      </c>
      <c r="E275" s="20">
        <v>0</v>
      </c>
      <c r="F275" s="20">
        <v>193</v>
      </c>
      <c r="G275" s="21">
        <v>2207</v>
      </c>
      <c r="H275" s="22">
        <v>1</v>
      </c>
      <c r="I275" s="20">
        <v>0</v>
      </c>
      <c r="J275" s="21">
        <v>0</v>
      </c>
      <c r="K275" s="20">
        <v>0</v>
      </c>
      <c r="L275" s="21">
        <v>0</v>
      </c>
      <c r="M275" s="22">
        <v>0</v>
      </c>
      <c r="N275" s="22">
        <v>0</v>
      </c>
      <c r="O275" s="20">
        <v>0</v>
      </c>
      <c r="P275" s="20">
        <v>0</v>
      </c>
      <c r="Q275" s="20">
        <v>0</v>
      </c>
      <c r="R275" s="20">
        <v>0</v>
      </c>
      <c r="S275" s="19" t="s">
        <v>87</v>
      </c>
      <c r="T275" s="23">
        <v>99</v>
      </c>
    </row>
    <row r="276" spans="1:20" ht="14.4">
      <c r="A276" s="13">
        <v>338629</v>
      </c>
      <c r="B276" s="14" t="s">
        <v>85</v>
      </c>
      <c r="C276" s="14" t="s">
        <v>86</v>
      </c>
      <c r="D276" s="15">
        <v>0</v>
      </c>
      <c r="E276" s="15">
        <v>100</v>
      </c>
      <c r="F276" s="15">
        <v>0</v>
      </c>
      <c r="G276" s="16">
        <v>150</v>
      </c>
      <c r="H276" s="17">
        <v>1</v>
      </c>
      <c r="I276" s="15">
        <v>0</v>
      </c>
      <c r="J276" s="16">
        <v>0</v>
      </c>
      <c r="K276" s="15">
        <v>0</v>
      </c>
      <c r="L276" s="16">
        <v>0</v>
      </c>
      <c r="M276" s="17">
        <v>0</v>
      </c>
      <c r="N276" s="17">
        <v>0</v>
      </c>
      <c r="O276" s="15">
        <v>0</v>
      </c>
      <c r="P276" s="15">
        <v>0</v>
      </c>
      <c r="Q276" s="15">
        <v>0</v>
      </c>
      <c r="R276" s="15">
        <v>0</v>
      </c>
      <c r="S276" s="14" t="s">
        <v>87</v>
      </c>
      <c r="T276" s="18">
        <v>7</v>
      </c>
    </row>
    <row r="277" spans="1:20" ht="14.4">
      <c r="A277" s="26">
        <v>338924</v>
      </c>
      <c r="B277" s="19" t="s">
        <v>85</v>
      </c>
      <c r="C277" s="19" t="s">
        <v>57</v>
      </c>
      <c r="D277" s="20">
        <v>0</v>
      </c>
      <c r="E277" s="20">
        <v>321</v>
      </c>
      <c r="F277" s="20">
        <v>0</v>
      </c>
      <c r="G277" s="21">
        <v>8379.2000000000007</v>
      </c>
      <c r="H277" s="22">
        <v>1</v>
      </c>
      <c r="I277" s="20">
        <v>0</v>
      </c>
      <c r="J277" s="21">
        <v>0</v>
      </c>
      <c r="K277" s="20">
        <v>0</v>
      </c>
      <c r="L277" s="21">
        <v>0</v>
      </c>
      <c r="M277" s="22">
        <v>0</v>
      </c>
      <c r="N277" s="22">
        <v>0</v>
      </c>
      <c r="O277" s="20">
        <v>200</v>
      </c>
      <c r="P277" s="20">
        <v>0</v>
      </c>
      <c r="Q277" s="20">
        <v>0</v>
      </c>
      <c r="R277" s="20">
        <v>0</v>
      </c>
      <c r="S277" s="19" t="s">
        <v>87</v>
      </c>
      <c r="T277" s="23">
        <v>417</v>
      </c>
    </row>
    <row r="278" spans="1:20" ht="14.4">
      <c r="A278" s="13">
        <v>338971</v>
      </c>
      <c r="B278" s="14" t="s">
        <v>85</v>
      </c>
      <c r="C278" s="14" t="s">
        <v>60</v>
      </c>
      <c r="D278" s="15">
        <v>0</v>
      </c>
      <c r="E278" s="15">
        <v>35</v>
      </c>
      <c r="F278" s="15">
        <v>0</v>
      </c>
      <c r="G278" s="16">
        <v>900</v>
      </c>
      <c r="H278" s="17">
        <v>1</v>
      </c>
      <c r="I278" s="15">
        <v>0</v>
      </c>
      <c r="J278" s="16">
        <v>0</v>
      </c>
      <c r="K278" s="15">
        <v>0</v>
      </c>
      <c r="L278" s="16">
        <v>0</v>
      </c>
      <c r="M278" s="17">
        <v>0</v>
      </c>
      <c r="N278" s="17">
        <v>0</v>
      </c>
      <c r="O278" s="15">
        <v>0</v>
      </c>
      <c r="P278" s="15">
        <v>0</v>
      </c>
      <c r="Q278" s="15">
        <v>100</v>
      </c>
      <c r="R278" s="15">
        <v>0</v>
      </c>
      <c r="S278" s="14" t="s">
        <v>87</v>
      </c>
      <c r="T278" s="18">
        <v>41</v>
      </c>
    </row>
    <row r="279" spans="1:20" ht="14.4">
      <c r="A279" s="26">
        <v>338994</v>
      </c>
      <c r="B279" s="19" t="s">
        <v>85</v>
      </c>
      <c r="C279" s="19" t="s">
        <v>43</v>
      </c>
      <c r="D279" s="20">
        <v>0</v>
      </c>
      <c r="E279" s="20">
        <v>200</v>
      </c>
      <c r="F279" s="20">
        <v>0</v>
      </c>
      <c r="G279" s="21">
        <v>60</v>
      </c>
      <c r="H279" s="22">
        <v>1</v>
      </c>
      <c r="I279" s="20">
        <v>0</v>
      </c>
      <c r="J279" s="21">
        <v>0</v>
      </c>
      <c r="K279" s="20">
        <v>0</v>
      </c>
      <c r="L279" s="21">
        <v>0</v>
      </c>
      <c r="M279" s="22">
        <v>0</v>
      </c>
      <c r="N279" s="22">
        <v>0</v>
      </c>
      <c r="O279" s="20">
        <v>0</v>
      </c>
      <c r="P279" s="20">
        <v>0</v>
      </c>
      <c r="Q279" s="20">
        <v>165</v>
      </c>
      <c r="R279" s="20">
        <v>0</v>
      </c>
      <c r="S279" s="19" t="s">
        <v>87</v>
      </c>
      <c r="T279" s="23">
        <v>3</v>
      </c>
    </row>
    <row r="280" spans="1:20" ht="14.4">
      <c r="A280" s="13">
        <v>339118</v>
      </c>
      <c r="B280" s="14" t="s">
        <v>85</v>
      </c>
      <c r="C280" s="14" t="s">
        <v>57</v>
      </c>
      <c r="D280" s="15">
        <v>0</v>
      </c>
      <c r="E280" s="15">
        <v>252</v>
      </c>
      <c r="F280" s="15">
        <v>0</v>
      </c>
      <c r="G280" s="16">
        <v>1197.78</v>
      </c>
      <c r="H280" s="17">
        <v>1</v>
      </c>
      <c r="I280" s="15">
        <v>0</v>
      </c>
      <c r="J280" s="16">
        <v>0</v>
      </c>
      <c r="K280" s="15">
        <v>0</v>
      </c>
      <c r="L280" s="16">
        <v>0</v>
      </c>
      <c r="M280" s="17">
        <v>0</v>
      </c>
      <c r="N280" s="17">
        <v>0</v>
      </c>
      <c r="O280" s="15">
        <v>0</v>
      </c>
      <c r="P280" s="15">
        <v>0</v>
      </c>
      <c r="Q280" s="15">
        <v>52</v>
      </c>
      <c r="R280" s="15">
        <v>0</v>
      </c>
      <c r="S280" s="14" t="s">
        <v>87</v>
      </c>
      <c r="T280" s="18">
        <v>54</v>
      </c>
    </row>
    <row r="281" spans="1:20" ht="14.4">
      <c r="A281" s="26">
        <v>339160</v>
      </c>
      <c r="B281" s="19" t="s">
        <v>85</v>
      </c>
      <c r="C281" s="19" t="s">
        <v>90</v>
      </c>
      <c r="D281" s="20">
        <v>0</v>
      </c>
      <c r="E281" s="20">
        <v>50</v>
      </c>
      <c r="F281" s="20">
        <v>0</v>
      </c>
      <c r="G281" s="21">
        <v>560</v>
      </c>
      <c r="H281" s="22">
        <v>4</v>
      </c>
      <c r="I281" s="20">
        <v>0</v>
      </c>
      <c r="J281" s="21">
        <v>0</v>
      </c>
      <c r="K281" s="20">
        <v>0</v>
      </c>
      <c r="L281" s="21">
        <v>0</v>
      </c>
      <c r="M281" s="22">
        <v>0</v>
      </c>
      <c r="N281" s="22">
        <v>0</v>
      </c>
      <c r="O281" s="20">
        <v>0</v>
      </c>
      <c r="P281" s="20">
        <v>0</v>
      </c>
      <c r="Q281" s="20">
        <v>0</v>
      </c>
      <c r="R281" s="20">
        <v>0</v>
      </c>
      <c r="S281" s="19" t="s">
        <v>91</v>
      </c>
      <c r="T281" s="23">
        <v>25</v>
      </c>
    </row>
    <row r="282" spans="1:20" ht="14.4">
      <c r="A282" s="13">
        <v>339196</v>
      </c>
      <c r="B282" s="14" t="s">
        <v>85</v>
      </c>
      <c r="C282" s="14" t="s">
        <v>86</v>
      </c>
      <c r="D282" s="15">
        <v>0</v>
      </c>
      <c r="E282" s="15">
        <v>210</v>
      </c>
      <c r="F282" s="15">
        <v>0</v>
      </c>
      <c r="G282" s="16">
        <v>380</v>
      </c>
      <c r="H282" s="17">
        <v>1</v>
      </c>
      <c r="I282" s="15">
        <v>0</v>
      </c>
      <c r="J282" s="16">
        <v>0</v>
      </c>
      <c r="K282" s="15">
        <v>0</v>
      </c>
      <c r="L282" s="16">
        <v>0</v>
      </c>
      <c r="M282" s="17">
        <v>0</v>
      </c>
      <c r="N282" s="17">
        <v>0</v>
      </c>
      <c r="O282" s="15">
        <v>0</v>
      </c>
      <c r="P282" s="15">
        <v>0</v>
      </c>
      <c r="Q282" s="15">
        <v>120</v>
      </c>
      <c r="R282" s="15">
        <v>0</v>
      </c>
      <c r="S282" s="14" t="s">
        <v>87</v>
      </c>
      <c r="T282" s="18">
        <v>17</v>
      </c>
    </row>
    <row r="283" spans="1:20" ht="14.4">
      <c r="A283" s="26">
        <v>339306</v>
      </c>
      <c r="B283" s="19" t="s">
        <v>85</v>
      </c>
      <c r="C283" s="19" t="s">
        <v>57</v>
      </c>
      <c r="D283" s="20">
        <v>0</v>
      </c>
      <c r="E283" s="20">
        <v>0</v>
      </c>
      <c r="F283" s="20">
        <v>21</v>
      </c>
      <c r="G283" s="21">
        <v>250</v>
      </c>
      <c r="H283" s="22">
        <v>2</v>
      </c>
      <c r="I283" s="20">
        <v>0</v>
      </c>
      <c r="J283" s="21">
        <v>0</v>
      </c>
      <c r="K283" s="20">
        <v>0</v>
      </c>
      <c r="L283" s="21">
        <v>0</v>
      </c>
      <c r="M283" s="22">
        <v>0</v>
      </c>
      <c r="N283" s="22">
        <v>0</v>
      </c>
      <c r="O283" s="20">
        <v>0</v>
      </c>
      <c r="P283" s="20">
        <v>0</v>
      </c>
      <c r="Q283" s="20">
        <v>0</v>
      </c>
      <c r="R283" s="20">
        <v>0</v>
      </c>
      <c r="S283" s="19" t="s">
        <v>87</v>
      </c>
      <c r="T283" s="23">
        <v>11</v>
      </c>
    </row>
    <row r="284" spans="1:20" ht="14.4">
      <c r="A284" s="13">
        <v>339498</v>
      </c>
      <c r="B284" s="14" t="s">
        <v>85</v>
      </c>
      <c r="C284" s="14" t="s">
        <v>97</v>
      </c>
      <c r="D284" s="15">
        <v>0</v>
      </c>
      <c r="E284" s="15">
        <v>35</v>
      </c>
      <c r="F284" s="15">
        <v>0</v>
      </c>
      <c r="G284" s="16">
        <v>60</v>
      </c>
      <c r="H284" s="17">
        <v>1</v>
      </c>
      <c r="I284" s="15">
        <v>0</v>
      </c>
      <c r="J284" s="16">
        <v>0</v>
      </c>
      <c r="K284" s="15">
        <v>0</v>
      </c>
      <c r="L284" s="16">
        <v>0</v>
      </c>
      <c r="M284" s="17">
        <v>0</v>
      </c>
      <c r="N284" s="17">
        <v>0</v>
      </c>
      <c r="O284" s="15">
        <v>0</v>
      </c>
      <c r="P284" s="15">
        <v>0</v>
      </c>
      <c r="Q284" s="15">
        <v>0</v>
      </c>
      <c r="R284" s="15">
        <v>0</v>
      </c>
      <c r="S284" s="14" t="s">
        <v>93</v>
      </c>
      <c r="T284" s="18">
        <v>3</v>
      </c>
    </row>
    <row r="285" spans="1:20" ht="14.4">
      <c r="A285" s="26">
        <v>339549</v>
      </c>
      <c r="B285" s="19" t="s">
        <v>85</v>
      </c>
      <c r="C285" s="19" t="s">
        <v>97</v>
      </c>
      <c r="D285" s="20">
        <v>0</v>
      </c>
      <c r="E285" s="20">
        <v>35</v>
      </c>
      <c r="F285" s="20">
        <v>0</v>
      </c>
      <c r="G285" s="21">
        <v>90</v>
      </c>
      <c r="H285" s="22">
        <v>1</v>
      </c>
      <c r="I285" s="20">
        <v>0</v>
      </c>
      <c r="J285" s="21">
        <v>0</v>
      </c>
      <c r="K285" s="20">
        <v>0</v>
      </c>
      <c r="L285" s="21">
        <v>0</v>
      </c>
      <c r="M285" s="22">
        <v>0</v>
      </c>
      <c r="N285" s="22">
        <v>0</v>
      </c>
      <c r="O285" s="20">
        <v>0</v>
      </c>
      <c r="P285" s="20">
        <v>0</v>
      </c>
      <c r="Q285" s="20">
        <v>10</v>
      </c>
      <c r="R285" s="20">
        <v>0</v>
      </c>
      <c r="S285" s="19" t="s">
        <v>93</v>
      </c>
      <c r="T285" s="23">
        <v>4</v>
      </c>
    </row>
    <row r="286" spans="1:20" ht="14.4">
      <c r="A286" s="13">
        <v>339550</v>
      </c>
      <c r="B286" s="14" t="s">
        <v>85</v>
      </c>
      <c r="C286" s="14" t="s">
        <v>97</v>
      </c>
      <c r="D286" s="15">
        <v>0</v>
      </c>
      <c r="E286" s="15">
        <v>35</v>
      </c>
      <c r="F286" s="15">
        <v>0</v>
      </c>
      <c r="G286" s="16">
        <v>130</v>
      </c>
      <c r="H286" s="17">
        <v>1</v>
      </c>
      <c r="I286" s="15">
        <v>0</v>
      </c>
      <c r="J286" s="16">
        <v>0</v>
      </c>
      <c r="K286" s="15">
        <v>0</v>
      </c>
      <c r="L286" s="16">
        <v>0</v>
      </c>
      <c r="M286" s="17">
        <v>0</v>
      </c>
      <c r="N286" s="17">
        <v>0</v>
      </c>
      <c r="O286" s="15">
        <v>0</v>
      </c>
      <c r="P286" s="15">
        <v>0</v>
      </c>
      <c r="Q286" s="15">
        <v>20</v>
      </c>
      <c r="R286" s="15">
        <v>0</v>
      </c>
      <c r="S286" s="14" t="s">
        <v>93</v>
      </c>
      <c r="T286" s="18">
        <v>6</v>
      </c>
    </row>
    <row r="287" spans="1:20" ht="14.4">
      <c r="A287" s="26">
        <v>339566</v>
      </c>
      <c r="B287" s="19" t="s">
        <v>85</v>
      </c>
      <c r="C287" s="19" t="s">
        <v>97</v>
      </c>
      <c r="D287" s="20">
        <v>0</v>
      </c>
      <c r="E287" s="20">
        <v>400</v>
      </c>
      <c r="F287" s="20">
        <v>0</v>
      </c>
      <c r="G287" s="21">
        <v>1300</v>
      </c>
      <c r="H287" s="22">
        <v>1</v>
      </c>
      <c r="I287" s="20">
        <v>0</v>
      </c>
      <c r="J287" s="21">
        <v>0</v>
      </c>
      <c r="K287" s="20">
        <v>0</v>
      </c>
      <c r="L287" s="21">
        <v>0</v>
      </c>
      <c r="M287" s="22">
        <v>0</v>
      </c>
      <c r="N287" s="22">
        <v>0</v>
      </c>
      <c r="O287" s="20">
        <v>0</v>
      </c>
      <c r="P287" s="20">
        <v>0</v>
      </c>
      <c r="Q287" s="20">
        <v>0</v>
      </c>
      <c r="R287" s="20">
        <v>0</v>
      </c>
      <c r="S287" s="19" t="s">
        <v>93</v>
      </c>
      <c r="T287" s="23">
        <v>59</v>
      </c>
    </row>
    <row r="288" spans="1:20" ht="14.4">
      <c r="A288" s="13">
        <v>339576</v>
      </c>
      <c r="B288" s="14" t="s">
        <v>85</v>
      </c>
      <c r="C288" s="14" t="s">
        <v>47</v>
      </c>
      <c r="D288" s="15">
        <v>0</v>
      </c>
      <c r="E288" s="15">
        <v>250</v>
      </c>
      <c r="F288" s="15">
        <v>0</v>
      </c>
      <c r="G288" s="16">
        <v>630</v>
      </c>
      <c r="H288" s="17">
        <v>4</v>
      </c>
      <c r="I288" s="15">
        <v>0</v>
      </c>
      <c r="J288" s="16">
        <v>0</v>
      </c>
      <c r="K288" s="15">
        <v>0</v>
      </c>
      <c r="L288" s="16">
        <v>0</v>
      </c>
      <c r="M288" s="17">
        <v>0</v>
      </c>
      <c r="N288" s="17">
        <v>0</v>
      </c>
      <c r="O288" s="15">
        <v>0</v>
      </c>
      <c r="P288" s="15">
        <v>0</v>
      </c>
      <c r="Q288" s="15">
        <v>0</v>
      </c>
      <c r="R288" s="15">
        <v>0</v>
      </c>
      <c r="S288" s="14" t="s">
        <v>91</v>
      </c>
      <c r="T288" s="18">
        <v>28</v>
      </c>
    </row>
    <row r="289" spans="1:20" ht="14.4">
      <c r="A289" s="26">
        <v>339580</v>
      </c>
      <c r="B289" s="19" t="s">
        <v>85</v>
      </c>
      <c r="C289" s="19" t="s">
        <v>97</v>
      </c>
      <c r="D289" s="20">
        <v>0</v>
      </c>
      <c r="E289" s="20">
        <v>35</v>
      </c>
      <c r="F289" s="20">
        <v>0</v>
      </c>
      <c r="G289" s="21">
        <v>60</v>
      </c>
      <c r="H289" s="22">
        <v>1</v>
      </c>
      <c r="I289" s="20">
        <v>0</v>
      </c>
      <c r="J289" s="21">
        <v>0</v>
      </c>
      <c r="K289" s="20">
        <v>0</v>
      </c>
      <c r="L289" s="21">
        <v>0</v>
      </c>
      <c r="M289" s="22">
        <v>0</v>
      </c>
      <c r="N289" s="22">
        <v>0</v>
      </c>
      <c r="O289" s="20">
        <v>0</v>
      </c>
      <c r="P289" s="20">
        <v>0</v>
      </c>
      <c r="Q289" s="20">
        <v>0</v>
      </c>
      <c r="R289" s="20">
        <v>0</v>
      </c>
      <c r="S289" s="19" t="s">
        <v>93</v>
      </c>
      <c r="T289" s="23">
        <v>3</v>
      </c>
    </row>
    <row r="290" spans="1:20" ht="14.4">
      <c r="A290" s="13">
        <v>339650</v>
      </c>
      <c r="B290" s="14" t="s">
        <v>85</v>
      </c>
      <c r="C290" s="14" t="s">
        <v>46</v>
      </c>
      <c r="D290" s="15">
        <v>0</v>
      </c>
      <c r="E290" s="15">
        <v>25</v>
      </c>
      <c r="F290" s="15">
        <v>0</v>
      </c>
      <c r="G290" s="16">
        <v>130</v>
      </c>
      <c r="H290" s="17">
        <v>1</v>
      </c>
      <c r="I290" s="15">
        <v>0</v>
      </c>
      <c r="J290" s="16">
        <v>0</v>
      </c>
      <c r="K290" s="15">
        <v>0</v>
      </c>
      <c r="L290" s="16">
        <v>0</v>
      </c>
      <c r="M290" s="17">
        <v>0</v>
      </c>
      <c r="N290" s="17">
        <v>0</v>
      </c>
      <c r="O290" s="15">
        <v>0</v>
      </c>
      <c r="P290" s="15">
        <v>0</v>
      </c>
      <c r="Q290" s="15">
        <v>0</v>
      </c>
      <c r="R290" s="15">
        <v>0</v>
      </c>
      <c r="S290" s="14" t="s">
        <v>87</v>
      </c>
      <c r="T290" s="18">
        <v>6</v>
      </c>
    </row>
    <row r="291" spans="1:20" ht="14.4">
      <c r="A291" s="26">
        <v>339705</v>
      </c>
      <c r="B291" s="19" t="s">
        <v>85</v>
      </c>
      <c r="C291" s="19" t="s">
        <v>57</v>
      </c>
      <c r="D291" s="20">
        <v>0</v>
      </c>
      <c r="E291" s="20">
        <v>218</v>
      </c>
      <c r="F291" s="20">
        <v>0</v>
      </c>
      <c r="G291" s="21">
        <v>932.16</v>
      </c>
      <c r="H291" s="22">
        <v>1</v>
      </c>
      <c r="I291" s="20">
        <v>0</v>
      </c>
      <c r="J291" s="21">
        <v>0</v>
      </c>
      <c r="K291" s="20">
        <v>0</v>
      </c>
      <c r="L291" s="21">
        <v>0</v>
      </c>
      <c r="M291" s="22">
        <v>0</v>
      </c>
      <c r="N291" s="22">
        <v>0</v>
      </c>
      <c r="O291" s="20">
        <v>0</v>
      </c>
      <c r="P291" s="20">
        <v>0</v>
      </c>
      <c r="Q291" s="20">
        <v>168</v>
      </c>
      <c r="R291" s="20">
        <v>0</v>
      </c>
      <c r="S291" s="19" t="s">
        <v>87</v>
      </c>
      <c r="T291" s="23">
        <v>42</v>
      </c>
    </row>
    <row r="292" spans="1:20" ht="14.4">
      <c r="A292" s="13">
        <v>339708</v>
      </c>
      <c r="B292" s="14" t="s">
        <v>85</v>
      </c>
      <c r="C292" s="14" t="s">
        <v>60</v>
      </c>
      <c r="D292" s="15">
        <v>0</v>
      </c>
      <c r="E292" s="15">
        <v>0</v>
      </c>
      <c r="F292" s="15">
        <v>0</v>
      </c>
      <c r="G292" s="16">
        <v>100</v>
      </c>
      <c r="H292" s="17">
        <v>1</v>
      </c>
      <c r="I292" s="15">
        <v>0</v>
      </c>
      <c r="J292" s="16">
        <v>0</v>
      </c>
      <c r="K292" s="15">
        <v>0</v>
      </c>
      <c r="L292" s="16">
        <v>0</v>
      </c>
      <c r="M292" s="17">
        <v>0</v>
      </c>
      <c r="N292" s="17">
        <v>0</v>
      </c>
      <c r="O292" s="15">
        <v>0</v>
      </c>
      <c r="P292" s="15">
        <v>0</v>
      </c>
      <c r="Q292" s="15">
        <v>0</v>
      </c>
      <c r="R292" s="15">
        <v>0</v>
      </c>
      <c r="S292" s="14" t="s">
        <v>87</v>
      </c>
      <c r="T292" s="18">
        <v>5</v>
      </c>
    </row>
    <row r="293" spans="1:20" ht="14.4">
      <c r="A293" s="26">
        <v>339732</v>
      </c>
      <c r="B293" s="19" t="s">
        <v>85</v>
      </c>
      <c r="C293" s="19" t="s">
        <v>86</v>
      </c>
      <c r="D293" s="20">
        <v>0</v>
      </c>
      <c r="E293" s="20">
        <v>35</v>
      </c>
      <c r="F293" s="20">
        <v>0</v>
      </c>
      <c r="G293" s="21">
        <v>300</v>
      </c>
      <c r="H293" s="22">
        <v>3</v>
      </c>
      <c r="I293" s="20">
        <v>0</v>
      </c>
      <c r="J293" s="21">
        <v>0</v>
      </c>
      <c r="K293" s="20">
        <v>0</v>
      </c>
      <c r="L293" s="21">
        <v>0</v>
      </c>
      <c r="M293" s="22">
        <v>0</v>
      </c>
      <c r="N293" s="22">
        <v>0</v>
      </c>
      <c r="O293" s="20">
        <v>0</v>
      </c>
      <c r="P293" s="20">
        <v>0</v>
      </c>
      <c r="Q293" s="20">
        <v>75</v>
      </c>
      <c r="R293" s="20">
        <v>0</v>
      </c>
      <c r="S293" s="19" t="s">
        <v>87</v>
      </c>
      <c r="T293" s="23">
        <v>14</v>
      </c>
    </row>
    <row r="294" spans="1:20" ht="14.4">
      <c r="A294" s="13">
        <v>339748</v>
      </c>
      <c r="B294" s="14" t="s">
        <v>85</v>
      </c>
      <c r="C294" s="14" t="s">
        <v>60</v>
      </c>
      <c r="D294" s="15">
        <v>0</v>
      </c>
      <c r="E294" s="15">
        <v>0</v>
      </c>
      <c r="F294" s="15">
        <v>10</v>
      </c>
      <c r="G294" s="16">
        <v>115</v>
      </c>
      <c r="H294" s="17">
        <v>1</v>
      </c>
      <c r="I294" s="15">
        <v>0</v>
      </c>
      <c r="J294" s="16">
        <v>0</v>
      </c>
      <c r="K294" s="15">
        <v>0</v>
      </c>
      <c r="L294" s="16">
        <v>0</v>
      </c>
      <c r="M294" s="17">
        <v>0</v>
      </c>
      <c r="N294" s="17">
        <v>0</v>
      </c>
      <c r="O294" s="15">
        <v>0</v>
      </c>
      <c r="P294" s="15">
        <v>0</v>
      </c>
      <c r="Q294" s="15">
        <v>0</v>
      </c>
      <c r="R294" s="15">
        <v>0</v>
      </c>
      <c r="S294" s="14" t="s">
        <v>87</v>
      </c>
      <c r="T294" s="18">
        <v>5</v>
      </c>
    </row>
    <row r="295" spans="1:20" ht="14.4">
      <c r="A295" s="26">
        <v>339759</v>
      </c>
      <c r="B295" s="19" t="s">
        <v>85</v>
      </c>
      <c r="C295" s="19" t="s">
        <v>60</v>
      </c>
      <c r="D295" s="20">
        <v>0</v>
      </c>
      <c r="E295" s="20">
        <v>300</v>
      </c>
      <c r="F295" s="20">
        <v>0</v>
      </c>
      <c r="G295" s="21">
        <v>1600</v>
      </c>
      <c r="H295" s="22">
        <v>1</v>
      </c>
      <c r="I295" s="20">
        <v>0</v>
      </c>
      <c r="J295" s="21">
        <v>0</v>
      </c>
      <c r="K295" s="20">
        <v>0</v>
      </c>
      <c r="L295" s="21">
        <v>0</v>
      </c>
      <c r="M295" s="22">
        <v>0</v>
      </c>
      <c r="N295" s="22">
        <v>0</v>
      </c>
      <c r="O295" s="20">
        <v>0</v>
      </c>
      <c r="P295" s="20">
        <v>0</v>
      </c>
      <c r="Q295" s="20">
        <v>300</v>
      </c>
      <c r="R295" s="20">
        <v>0</v>
      </c>
      <c r="S295" s="19" t="s">
        <v>87</v>
      </c>
      <c r="T295" s="23">
        <v>72</v>
      </c>
    </row>
    <row r="296" spans="1:20" ht="14.4">
      <c r="A296" s="13">
        <v>339762</v>
      </c>
      <c r="B296" s="14" t="s">
        <v>85</v>
      </c>
      <c r="C296" s="14" t="s">
        <v>90</v>
      </c>
      <c r="D296" s="15">
        <v>0</v>
      </c>
      <c r="E296" s="15">
        <v>0</v>
      </c>
      <c r="F296" s="15">
        <v>0</v>
      </c>
      <c r="G296" s="16">
        <v>135</v>
      </c>
      <c r="H296" s="17">
        <v>2</v>
      </c>
      <c r="I296" s="15">
        <v>0</v>
      </c>
      <c r="J296" s="16">
        <v>0</v>
      </c>
      <c r="K296" s="15">
        <v>0</v>
      </c>
      <c r="L296" s="16">
        <v>0</v>
      </c>
      <c r="M296" s="17">
        <v>0</v>
      </c>
      <c r="N296" s="17">
        <v>0</v>
      </c>
      <c r="O296" s="15">
        <v>0</v>
      </c>
      <c r="P296" s="15">
        <v>0</v>
      </c>
      <c r="Q296" s="15">
        <v>0</v>
      </c>
      <c r="R296" s="15">
        <v>0</v>
      </c>
      <c r="S296" s="14" t="s">
        <v>91</v>
      </c>
      <c r="T296" s="18">
        <v>6</v>
      </c>
    </row>
    <row r="297" spans="1:20" ht="14.4">
      <c r="A297" s="26">
        <v>339767</v>
      </c>
      <c r="B297" s="19" t="s">
        <v>85</v>
      </c>
      <c r="C297" s="19" t="s">
        <v>51</v>
      </c>
      <c r="D297" s="20">
        <v>0</v>
      </c>
      <c r="E297" s="20">
        <v>35</v>
      </c>
      <c r="F297" s="20">
        <v>0</v>
      </c>
      <c r="G297" s="21">
        <v>95</v>
      </c>
      <c r="H297" s="22">
        <v>1</v>
      </c>
      <c r="I297" s="20">
        <v>0</v>
      </c>
      <c r="J297" s="21">
        <v>0</v>
      </c>
      <c r="K297" s="20">
        <v>0</v>
      </c>
      <c r="L297" s="21">
        <v>0</v>
      </c>
      <c r="M297" s="22">
        <v>0</v>
      </c>
      <c r="N297" s="22">
        <v>0</v>
      </c>
      <c r="O297" s="20">
        <v>0</v>
      </c>
      <c r="P297" s="20">
        <v>0</v>
      </c>
      <c r="Q297" s="20">
        <v>35</v>
      </c>
      <c r="R297" s="20">
        <v>0</v>
      </c>
      <c r="S297" s="19" t="s">
        <v>87</v>
      </c>
      <c r="T297" s="23">
        <v>4</v>
      </c>
    </row>
    <row r="298" spans="1:20" ht="14.4">
      <c r="A298" s="13">
        <v>339774</v>
      </c>
      <c r="B298" s="14" t="s">
        <v>85</v>
      </c>
      <c r="C298" s="14" t="s">
        <v>43</v>
      </c>
      <c r="D298" s="15">
        <v>0</v>
      </c>
      <c r="E298" s="15">
        <v>240</v>
      </c>
      <c r="F298" s="15">
        <v>0</v>
      </c>
      <c r="G298" s="16">
        <v>1160</v>
      </c>
      <c r="H298" s="17">
        <v>1</v>
      </c>
      <c r="I298" s="15">
        <v>0</v>
      </c>
      <c r="J298" s="16">
        <v>0</v>
      </c>
      <c r="K298" s="15">
        <v>0</v>
      </c>
      <c r="L298" s="16">
        <v>0</v>
      </c>
      <c r="M298" s="17">
        <v>0</v>
      </c>
      <c r="N298" s="17">
        <v>0</v>
      </c>
      <c r="O298" s="15">
        <v>0</v>
      </c>
      <c r="P298" s="15">
        <v>0</v>
      </c>
      <c r="Q298" s="15">
        <v>0</v>
      </c>
      <c r="R298" s="15">
        <v>40</v>
      </c>
      <c r="S298" s="14" t="s">
        <v>87</v>
      </c>
      <c r="T298" s="18">
        <v>52</v>
      </c>
    </row>
    <row r="299" spans="1:20" ht="14.4">
      <c r="A299" s="26">
        <v>339780</v>
      </c>
      <c r="B299" s="19" t="s">
        <v>85</v>
      </c>
      <c r="C299" s="19" t="s">
        <v>47</v>
      </c>
      <c r="D299" s="20">
        <v>0</v>
      </c>
      <c r="E299" s="20">
        <v>0</v>
      </c>
      <c r="F299" s="20">
        <v>53</v>
      </c>
      <c r="G299" s="21">
        <v>645</v>
      </c>
      <c r="H299" s="22">
        <v>2</v>
      </c>
      <c r="I299" s="20">
        <v>0</v>
      </c>
      <c r="J299" s="21">
        <v>0</v>
      </c>
      <c r="K299" s="20">
        <v>0</v>
      </c>
      <c r="L299" s="21">
        <v>0</v>
      </c>
      <c r="M299" s="22">
        <v>0</v>
      </c>
      <c r="N299" s="22">
        <v>0</v>
      </c>
      <c r="O299" s="20">
        <v>0</v>
      </c>
      <c r="P299" s="20">
        <v>0</v>
      </c>
      <c r="Q299" s="20">
        <v>0</v>
      </c>
      <c r="R299" s="20">
        <v>0</v>
      </c>
      <c r="S299" s="19" t="s">
        <v>91</v>
      </c>
      <c r="T299" s="23">
        <v>29</v>
      </c>
    </row>
    <row r="300" spans="1:20" ht="14.4">
      <c r="A300" s="13">
        <v>339797</v>
      </c>
      <c r="B300" s="14" t="s">
        <v>85</v>
      </c>
      <c r="C300" s="14" t="s">
        <v>51</v>
      </c>
      <c r="D300" s="15">
        <v>0</v>
      </c>
      <c r="E300" s="15">
        <v>250</v>
      </c>
      <c r="F300" s="15">
        <v>0</v>
      </c>
      <c r="G300" s="16">
        <v>1200</v>
      </c>
      <c r="H300" s="17">
        <v>4</v>
      </c>
      <c r="I300" s="15">
        <v>0</v>
      </c>
      <c r="J300" s="16">
        <v>0</v>
      </c>
      <c r="K300" s="15">
        <v>0</v>
      </c>
      <c r="L300" s="16">
        <v>0</v>
      </c>
      <c r="M300" s="17">
        <v>0</v>
      </c>
      <c r="N300" s="17">
        <v>0</v>
      </c>
      <c r="O300" s="15">
        <v>0</v>
      </c>
      <c r="P300" s="15">
        <v>0</v>
      </c>
      <c r="Q300" s="15">
        <v>0</v>
      </c>
      <c r="R300" s="15">
        <v>0</v>
      </c>
      <c r="S300" s="14" t="s">
        <v>87</v>
      </c>
      <c r="T300" s="18">
        <v>54</v>
      </c>
    </row>
    <row r="301" spans="1:20" ht="14.4">
      <c r="A301" s="26">
        <v>339805</v>
      </c>
      <c r="B301" s="19" t="s">
        <v>85</v>
      </c>
      <c r="C301" s="19" t="s">
        <v>89</v>
      </c>
      <c r="D301" s="20">
        <v>0</v>
      </c>
      <c r="E301" s="20">
        <v>241</v>
      </c>
      <c r="F301" s="20">
        <v>0</v>
      </c>
      <c r="G301" s="21">
        <v>859</v>
      </c>
      <c r="H301" s="22">
        <v>2</v>
      </c>
      <c r="I301" s="20">
        <v>0</v>
      </c>
      <c r="J301" s="21">
        <v>0</v>
      </c>
      <c r="K301" s="20">
        <v>0</v>
      </c>
      <c r="L301" s="21">
        <v>0</v>
      </c>
      <c r="M301" s="22">
        <v>0</v>
      </c>
      <c r="N301" s="22">
        <v>0</v>
      </c>
      <c r="O301" s="20">
        <v>0</v>
      </c>
      <c r="P301" s="20">
        <v>0</v>
      </c>
      <c r="Q301" s="20">
        <v>50</v>
      </c>
      <c r="R301" s="20">
        <v>16</v>
      </c>
      <c r="S301" s="19" t="s">
        <v>87</v>
      </c>
      <c r="T301" s="23">
        <v>39</v>
      </c>
    </row>
    <row r="302" spans="1:20" ht="14.4">
      <c r="A302" s="13">
        <v>339806</v>
      </c>
      <c r="B302" s="14" t="s">
        <v>85</v>
      </c>
      <c r="C302" s="14" t="s">
        <v>46</v>
      </c>
      <c r="D302" s="15">
        <v>0</v>
      </c>
      <c r="E302" s="15">
        <v>0</v>
      </c>
      <c r="F302" s="15">
        <v>0</v>
      </c>
      <c r="G302" s="16">
        <v>125</v>
      </c>
      <c r="H302" s="17">
        <v>1</v>
      </c>
      <c r="I302" s="15">
        <v>0</v>
      </c>
      <c r="J302" s="16">
        <v>0</v>
      </c>
      <c r="K302" s="15">
        <v>0</v>
      </c>
      <c r="L302" s="16">
        <v>0</v>
      </c>
      <c r="M302" s="17">
        <v>0</v>
      </c>
      <c r="N302" s="17">
        <v>0</v>
      </c>
      <c r="O302" s="15">
        <v>0</v>
      </c>
      <c r="P302" s="15">
        <v>0</v>
      </c>
      <c r="Q302" s="15">
        <v>0</v>
      </c>
      <c r="R302" s="15">
        <v>0</v>
      </c>
      <c r="S302" s="14" t="s">
        <v>87</v>
      </c>
      <c r="T302" s="18">
        <v>6</v>
      </c>
    </row>
    <row r="303" spans="1:20" ht="14.4">
      <c r="A303" s="26">
        <v>339808</v>
      </c>
      <c r="B303" s="19" t="s">
        <v>85</v>
      </c>
      <c r="C303" s="19" t="s">
        <v>86</v>
      </c>
      <c r="D303" s="20">
        <v>0</v>
      </c>
      <c r="E303" s="20">
        <v>0</v>
      </c>
      <c r="F303" s="20">
        <v>12</v>
      </c>
      <c r="G303" s="21">
        <v>130</v>
      </c>
      <c r="H303" s="22">
        <v>1</v>
      </c>
      <c r="I303" s="22">
        <v>0</v>
      </c>
      <c r="J303" s="21">
        <v>0</v>
      </c>
      <c r="K303" s="20">
        <v>0</v>
      </c>
      <c r="L303" s="22">
        <v>0</v>
      </c>
      <c r="M303" s="22">
        <v>0</v>
      </c>
      <c r="N303" s="22">
        <v>0</v>
      </c>
      <c r="O303" s="20">
        <v>0</v>
      </c>
      <c r="P303" s="20">
        <v>0</v>
      </c>
      <c r="Q303" s="20">
        <v>58</v>
      </c>
      <c r="R303" s="20">
        <v>0</v>
      </c>
      <c r="S303" s="19" t="s">
        <v>87</v>
      </c>
      <c r="T303" s="23">
        <v>6</v>
      </c>
    </row>
    <row r="304" spans="1:20" ht="14.4">
      <c r="A304" s="13">
        <v>339829</v>
      </c>
      <c r="B304" s="14" t="s">
        <v>85</v>
      </c>
      <c r="C304" s="14" t="s">
        <v>51</v>
      </c>
      <c r="D304" s="15">
        <v>0</v>
      </c>
      <c r="E304" s="15">
        <v>0</v>
      </c>
      <c r="F304" s="15">
        <v>0</v>
      </c>
      <c r="G304" s="16">
        <v>1900</v>
      </c>
      <c r="H304" s="17">
        <v>1</v>
      </c>
      <c r="I304" s="17">
        <v>0</v>
      </c>
      <c r="J304" s="16">
        <v>0</v>
      </c>
      <c r="K304" s="15">
        <v>0</v>
      </c>
      <c r="L304" s="17">
        <v>0</v>
      </c>
      <c r="M304" s="17">
        <v>0</v>
      </c>
      <c r="N304" s="17">
        <v>0</v>
      </c>
      <c r="O304" s="15">
        <v>0</v>
      </c>
      <c r="P304" s="15">
        <v>0</v>
      </c>
      <c r="Q304" s="15">
        <v>150</v>
      </c>
      <c r="R304" s="15">
        <v>0</v>
      </c>
      <c r="S304" s="14" t="s">
        <v>87</v>
      </c>
      <c r="T304" s="18">
        <v>86</v>
      </c>
    </row>
    <row r="305" spans="1:20" ht="14.4">
      <c r="A305" s="26">
        <v>339837</v>
      </c>
      <c r="B305" s="19" t="s">
        <v>85</v>
      </c>
      <c r="C305" s="19" t="s">
        <v>51</v>
      </c>
      <c r="D305" s="20">
        <v>0</v>
      </c>
      <c r="E305" s="20">
        <v>0</v>
      </c>
      <c r="F305" s="20">
        <v>0</v>
      </c>
      <c r="G305" s="21">
        <v>50</v>
      </c>
      <c r="H305" s="22">
        <v>1</v>
      </c>
      <c r="I305" s="22">
        <v>0</v>
      </c>
      <c r="J305" s="21">
        <v>0</v>
      </c>
      <c r="K305" s="20">
        <v>0</v>
      </c>
      <c r="L305" s="22">
        <v>0</v>
      </c>
      <c r="M305" s="22">
        <v>0</v>
      </c>
      <c r="N305" s="22">
        <v>0</v>
      </c>
      <c r="O305" s="20">
        <v>0</v>
      </c>
      <c r="P305" s="20">
        <v>0</v>
      </c>
      <c r="Q305" s="20">
        <v>0</v>
      </c>
      <c r="R305" s="20">
        <v>0</v>
      </c>
      <c r="S305" s="19" t="s">
        <v>87</v>
      </c>
      <c r="T305" s="23">
        <v>2</v>
      </c>
    </row>
    <row r="306" spans="1:20" ht="14.4">
      <c r="A306" s="13">
        <v>339838</v>
      </c>
      <c r="B306" s="14" t="s">
        <v>85</v>
      </c>
      <c r="C306" s="14" t="s">
        <v>43</v>
      </c>
      <c r="D306" s="15">
        <v>0</v>
      </c>
      <c r="E306" s="15">
        <v>0</v>
      </c>
      <c r="F306" s="15">
        <v>4</v>
      </c>
      <c r="G306" s="16">
        <v>50</v>
      </c>
      <c r="H306" s="17">
        <v>1</v>
      </c>
      <c r="I306" s="17">
        <v>0</v>
      </c>
      <c r="J306" s="16">
        <v>0</v>
      </c>
      <c r="K306" s="15">
        <v>0</v>
      </c>
      <c r="L306" s="17">
        <v>0</v>
      </c>
      <c r="M306" s="17">
        <v>0</v>
      </c>
      <c r="N306" s="17">
        <v>0</v>
      </c>
      <c r="O306" s="15">
        <v>0</v>
      </c>
      <c r="P306" s="15">
        <v>0</v>
      </c>
      <c r="Q306" s="15">
        <v>10</v>
      </c>
      <c r="R306" s="15">
        <v>0</v>
      </c>
      <c r="S306" s="14" t="s">
        <v>87</v>
      </c>
      <c r="T306" s="18">
        <v>2</v>
      </c>
    </row>
    <row r="307" spans="1:20" ht="14.4">
      <c r="A307" s="26">
        <v>339843</v>
      </c>
      <c r="B307" s="19" t="s">
        <v>85</v>
      </c>
      <c r="C307" s="19" t="s">
        <v>43</v>
      </c>
      <c r="D307" s="20">
        <v>0</v>
      </c>
      <c r="E307" s="20">
        <v>0</v>
      </c>
      <c r="F307" s="20">
        <v>6</v>
      </c>
      <c r="G307" s="21">
        <v>60</v>
      </c>
      <c r="H307" s="22">
        <v>1</v>
      </c>
      <c r="I307" s="22">
        <v>0</v>
      </c>
      <c r="J307" s="21">
        <v>0</v>
      </c>
      <c r="K307" s="20">
        <v>0</v>
      </c>
      <c r="L307" s="22">
        <v>0</v>
      </c>
      <c r="M307" s="22">
        <v>0</v>
      </c>
      <c r="N307" s="22">
        <v>0</v>
      </c>
      <c r="O307" s="20">
        <v>0</v>
      </c>
      <c r="P307" s="20">
        <v>0</v>
      </c>
      <c r="Q307" s="20">
        <v>5</v>
      </c>
      <c r="R307" s="20">
        <v>0</v>
      </c>
      <c r="S307" s="19" t="s">
        <v>87</v>
      </c>
      <c r="T307" s="23">
        <v>3</v>
      </c>
    </row>
    <row r="308" spans="1:20" ht="14.4">
      <c r="A308" s="13">
        <v>339851</v>
      </c>
      <c r="B308" s="14" t="s">
        <v>85</v>
      </c>
      <c r="C308" s="14" t="s">
        <v>46</v>
      </c>
      <c r="D308" s="15">
        <v>0</v>
      </c>
      <c r="E308" s="15">
        <v>100</v>
      </c>
      <c r="F308" s="15">
        <v>0</v>
      </c>
      <c r="G308" s="16">
        <v>150</v>
      </c>
      <c r="H308" s="17">
        <v>1</v>
      </c>
      <c r="I308" s="17">
        <v>0</v>
      </c>
      <c r="J308" s="16">
        <v>0</v>
      </c>
      <c r="K308" s="15">
        <v>0</v>
      </c>
      <c r="L308" s="17">
        <v>0</v>
      </c>
      <c r="M308" s="17">
        <v>0</v>
      </c>
      <c r="N308" s="17">
        <v>0</v>
      </c>
      <c r="O308" s="15">
        <v>0</v>
      </c>
      <c r="P308" s="15">
        <v>0</v>
      </c>
      <c r="Q308" s="15">
        <v>69</v>
      </c>
      <c r="R308" s="15">
        <v>0</v>
      </c>
      <c r="S308" s="14" t="s">
        <v>87</v>
      </c>
      <c r="T308" s="18">
        <v>7</v>
      </c>
    </row>
    <row r="309" spans="1:20" ht="14.4">
      <c r="A309" s="26">
        <v>339853</v>
      </c>
      <c r="B309" s="19" t="s">
        <v>85</v>
      </c>
      <c r="C309" s="19" t="s">
        <v>60</v>
      </c>
      <c r="D309" s="20">
        <v>0</v>
      </c>
      <c r="E309" s="20">
        <v>0</v>
      </c>
      <c r="F309" s="20">
        <v>0</v>
      </c>
      <c r="G309" s="21">
        <v>120</v>
      </c>
      <c r="H309" s="22">
        <v>2</v>
      </c>
      <c r="I309" s="22">
        <v>0</v>
      </c>
      <c r="J309" s="21">
        <v>0</v>
      </c>
      <c r="K309" s="20">
        <v>0</v>
      </c>
      <c r="L309" s="22">
        <v>0</v>
      </c>
      <c r="M309" s="22">
        <v>0</v>
      </c>
      <c r="N309" s="22">
        <v>0</v>
      </c>
      <c r="O309" s="20">
        <v>0</v>
      </c>
      <c r="P309" s="20">
        <v>0</v>
      </c>
      <c r="Q309" s="20">
        <v>0</v>
      </c>
      <c r="R309" s="20">
        <v>0</v>
      </c>
      <c r="S309" s="19" t="s">
        <v>87</v>
      </c>
      <c r="T309" s="23">
        <v>5</v>
      </c>
    </row>
    <row r="310" spans="1:20" ht="14.4">
      <c r="A310" s="13">
        <v>339854</v>
      </c>
      <c r="B310" s="14" t="s">
        <v>85</v>
      </c>
      <c r="C310" s="14" t="s">
        <v>37</v>
      </c>
      <c r="D310" s="15">
        <v>0</v>
      </c>
      <c r="E310" s="15">
        <v>0</v>
      </c>
      <c r="F310" s="15">
        <v>0</v>
      </c>
      <c r="G310" s="16">
        <v>90</v>
      </c>
      <c r="H310" s="17">
        <v>1</v>
      </c>
      <c r="I310" s="17">
        <v>0</v>
      </c>
      <c r="J310" s="16">
        <v>0</v>
      </c>
      <c r="K310" s="15">
        <v>0</v>
      </c>
      <c r="L310" s="17">
        <v>0</v>
      </c>
      <c r="M310" s="17">
        <v>0</v>
      </c>
      <c r="N310" s="17">
        <v>0</v>
      </c>
      <c r="O310" s="15">
        <v>0</v>
      </c>
      <c r="P310" s="15">
        <v>0</v>
      </c>
      <c r="Q310" s="15">
        <v>0</v>
      </c>
      <c r="R310" s="15">
        <v>0</v>
      </c>
      <c r="S310" s="14" t="s">
        <v>87</v>
      </c>
      <c r="T310" s="18">
        <v>4</v>
      </c>
    </row>
    <row r="311" spans="1:20" ht="14.4">
      <c r="A311" s="26">
        <v>339861</v>
      </c>
      <c r="B311" s="19" t="s">
        <v>85</v>
      </c>
      <c r="C311" s="19" t="s">
        <v>90</v>
      </c>
      <c r="D311" s="20">
        <v>0</v>
      </c>
      <c r="E311" s="20">
        <v>125</v>
      </c>
      <c r="F311" s="20">
        <v>0</v>
      </c>
      <c r="G311" s="21">
        <v>1600</v>
      </c>
      <c r="H311" s="22">
        <v>1</v>
      </c>
      <c r="I311" s="22">
        <v>0</v>
      </c>
      <c r="J311" s="21">
        <v>0</v>
      </c>
      <c r="K311" s="20">
        <v>0</v>
      </c>
      <c r="L311" s="22">
        <v>0</v>
      </c>
      <c r="M311" s="22">
        <v>0</v>
      </c>
      <c r="N311" s="22">
        <v>0</v>
      </c>
      <c r="O311" s="20">
        <v>0</v>
      </c>
      <c r="P311" s="20">
        <v>50</v>
      </c>
      <c r="Q311" s="20">
        <v>100</v>
      </c>
      <c r="R311" s="20">
        <v>0</v>
      </c>
      <c r="S311" s="19" t="s">
        <v>91</v>
      </c>
      <c r="T311" s="23">
        <v>82</v>
      </c>
    </row>
    <row r="312" spans="1:20" ht="14.4">
      <c r="A312" s="13">
        <v>339863</v>
      </c>
      <c r="B312" s="14" t="s">
        <v>85</v>
      </c>
      <c r="C312" s="14" t="s">
        <v>86</v>
      </c>
      <c r="D312" s="15">
        <v>0</v>
      </c>
      <c r="E312" s="15">
        <v>0</v>
      </c>
      <c r="F312" s="15">
        <v>0</v>
      </c>
      <c r="G312" s="16">
        <v>300</v>
      </c>
      <c r="H312" s="17">
        <v>1</v>
      </c>
      <c r="I312" s="17">
        <v>0</v>
      </c>
      <c r="J312" s="16">
        <v>0</v>
      </c>
      <c r="K312" s="15">
        <v>0</v>
      </c>
      <c r="L312" s="17">
        <v>0</v>
      </c>
      <c r="M312" s="17">
        <v>0</v>
      </c>
      <c r="N312" s="17">
        <v>0</v>
      </c>
      <c r="O312" s="15">
        <v>0</v>
      </c>
      <c r="P312" s="15">
        <v>0</v>
      </c>
      <c r="Q312" s="15">
        <v>25</v>
      </c>
      <c r="R312" s="15">
        <v>0</v>
      </c>
      <c r="S312" s="14" t="s">
        <v>87</v>
      </c>
      <c r="T312" s="18">
        <v>14</v>
      </c>
    </row>
    <row r="313" spans="1:20" ht="14.4">
      <c r="A313" s="26">
        <v>339876</v>
      </c>
      <c r="B313" s="19" t="s">
        <v>85</v>
      </c>
      <c r="C313" s="19" t="s">
        <v>60</v>
      </c>
      <c r="D313" s="20">
        <v>0</v>
      </c>
      <c r="E313" s="20">
        <v>300</v>
      </c>
      <c r="F313" s="20">
        <v>0</v>
      </c>
      <c r="G313" s="21">
        <v>800</v>
      </c>
      <c r="H313" s="22">
        <v>1</v>
      </c>
      <c r="I313" s="22">
        <v>0</v>
      </c>
      <c r="J313" s="21">
        <v>0</v>
      </c>
      <c r="K313" s="20">
        <v>0</v>
      </c>
      <c r="L313" s="22">
        <v>0</v>
      </c>
      <c r="M313" s="22">
        <v>0</v>
      </c>
      <c r="N313" s="22">
        <v>0</v>
      </c>
      <c r="O313" s="20">
        <v>0</v>
      </c>
      <c r="P313" s="20">
        <v>0</v>
      </c>
      <c r="Q313" s="20">
        <v>190</v>
      </c>
      <c r="R313" s="20">
        <v>0</v>
      </c>
      <c r="S313" s="19" t="s">
        <v>87</v>
      </c>
      <c r="T313" s="23">
        <v>36</v>
      </c>
    </row>
    <row r="314" spans="1:20" ht="14.4">
      <c r="A314" s="13">
        <v>339880</v>
      </c>
      <c r="B314" s="14" t="s">
        <v>85</v>
      </c>
      <c r="C314" s="14" t="s">
        <v>92</v>
      </c>
      <c r="D314" s="15">
        <v>0</v>
      </c>
      <c r="E314" s="15">
        <v>35</v>
      </c>
      <c r="F314" s="15">
        <v>4</v>
      </c>
      <c r="G314" s="16">
        <v>53.26</v>
      </c>
      <c r="H314" s="17">
        <v>1</v>
      </c>
      <c r="I314" s="17">
        <v>0</v>
      </c>
      <c r="J314" s="16">
        <v>0</v>
      </c>
      <c r="K314" s="15">
        <v>0</v>
      </c>
      <c r="L314" s="17">
        <v>0</v>
      </c>
      <c r="M314" s="17">
        <v>0</v>
      </c>
      <c r="N314" s="17">
        <v>0</v>
      </c>
      <c r="O314" s="15">
        <v>0</v>
      </c>
      <c r="P314" s="15">
        <v>8</v>
      </c>
      <c r="Q314" s="15">
        <v>0</v>
      </c>
      <c r="R314" s="15">
        <v>0</v>
      </c>
      <c r="S314" s="14" t="s">
        <v>93</v>
      </c>
      <c r="T314" s="18">
        <v>4</v>
      </c>
    </row>
    <row r="315" spans="1:20" ht="14.4">
      <c r="A315" s="26">
        <v>339882</v>
      </c>
      <c r="B315" s="19" t="s">
        <v>85</v>
      </c>
      <c r="C315" s="19" t="s">
        <v>46</v>
      </c>
      <c r="D315" s="20">
        <v>0</v>
      </c>
      <c r="E315" s="20">
        <v>35</v>
      </c>
      <c r="F315" s="20">
        <v>0</v>
      </c>
      <c r="G315" s="21">
        <v>90</v>
      </c>
      <c r="H315" s="22">
        <v>1</v>
      </c>
      <c r="I315" s="22">
        <v>0</v>
      </c>
      <c r="J315" s="21">
        <v>0</v>
      </c>
      <c r="K315" s="20">
        <v>0</v>
      </c>
      <c r="L315" s="22">
        <v>0</v>
      </c>
      <c r="M315" s="22">
        <v>0</v>
      </c>
      <c r="N315" s="22">
        <v>0</v>
      </c>
      <c r="O315" s="20">
        <v>0</v>
      </c>
      <c r="P315" s="20">
        <v>0</v>
      </c>
      <c r="Q315" s="20">
        <v>0</v>
      </c>
      <c r="R315" s="20">
        <v>0</v>
      </c>
      <c r="S315" s="19" t="s">
        <v>87</v>
      </c>
      <c r="T315" s="23">
        <v>4</v>
      </c>
    </row>
    <row r="316" spans="1:20" ht="14.4">
      <c r="A316" s="13">
        <v>339890</v>
      </c>
      <c r="B316" s="14" t="s">
        <v>85</v>
      </c>
      <c r="C316" s="14" t="s">
        <v>60</v>
      </c>
      <c r="D316" s="15">
        <v>0</v>
      </c>
      <c r="E316" s="15">
        <v>35</v>
      </c>
      <c r="F316" s="15">
        <v>0</v>
      </c>
      <c r="G316" s="16">
        <v>365</v>
      </c>
      <c r="H316" s="17">
        <v>1</v>
      </c>
      <c r="I316" s="17">
        <v>0</v>
      </c>
      <c r="J316" s="16">
        <v>0</v>
      </c>
      <c r="K316" s="15">
        <v>0</v>
      </c>
      <c r="L316" s="17">
        <v>0</v>
      </c>
      <c r="M316" s="17">
        <v>0</v>
      </c>
      <c r="N316" s="17">
        <v>0</v>
      </c>
      <c r="O316" s="15">
        <v>0</v>
      </c>
      <c r="P316" s="15">
        <v>0</v>
      </c>
      <c r="Q316" s="15">
        <v>20</v>
      </c>
      <c r="R316" s="15">
        <v>0</v>
      </c>
      <c r="S316" s="14" t="s">
        <v>87</v>
      </c>
      <c r="T316" s="18">
        <v>16</v>
      </c>
    </row>
    <row r="317" spans="1:20" ht="14.4">
      <c r="A317" s="26">
        <v>339903</v>
      </c>
      <c r="B317" s="19" t="s">
        <v>85</v>
      </c>
      <c r="C317" s="19" t="s">
        <v>46</v>
      </c>
      <c r="D317" s="20">
        <v>0</v>
      </c>
      <c r="E317" s="20">
        <v>25</v>
      </c>
      <c r="F317" s="20">
        <v>0</v>
      </c>
      <c r="G317" s="21">
        <v>70</v>
      </c>
      <c r="H317" s="22">
        <v>1</v>
      </c>
      <c r="I317" s="22">
        <v>0</v>
      </c>
      <c r="J317" s="21">
        <v>0</v>
      </c>
      <c r="K317" s="20">
        <v>0</v>
      </c>
      <c r="L317" s="22">
        <v>0</v>
      </c>
      <c r="M317" s="22">
        <v>0</v>
      </c>
      <c r="N317" s="22">
        <v>0</v>
      </c>
      <c r="O317" s="20">
        <v>0</v>
      </c>
      <c r="P317" s="20">
        <v>0</v>
      </c>
      <c r="Q317" s="20">
        <v>5</v>
      </c>
      <c r="R317" s="20">
        <v>0</v>
      </c>
      <c r="S317" s="19" t="s">
        <v>87</v>
      </c>
      <c r="T317" s="23">
        <v>3</v>
      </c>
    </row>
    <row r="318" spans="1:20" ht="14.4">
      <c r="A318" s="13">
        <v>339941</v>
      </c>
      <c r="B318" s="14" t="s">
        <v>85</v>
      </c>
      <c r="C318" s="14" t="s">
        <v>43</v>
      </c>
      <c r="D318" s="15">
        <v>0</v>
      </c>
      <c r="E318" s="15">
        <v>0</v>
      </c>
      <c r="F318" s="15">
        <v>0</v>
      </c>
      <c r="G318" s="16">
        <v>250</v>
      </c>
      <c r="H318" s="17">
        <v>4</v>
      </c>
      <c r="I318" s="17">
        <v>0</v>
      </c>
      <c r="J318" s="16">
        <v>0</v>
      </c>
      <c r="K318" s="15">
        <v>0</v>
      </c>
      <c r="L318" s="17">
        <v>0</v>
      </c>
      <c r="M318" s="17">
        <v>0</v>
      </c>
      <c r="N318" s="17">
        <v>0</v>
      </c>
      <c r="O318" s="15">
        <v>0</v>
      </c>
      <c r="P318" s="15">
        <v>0</v>
      </c>
      <c r="Q318" s="15">
        <v>10</v>
      </c>
      <c r="R318" s="15">
        <v>0</v>
      </c>
      <c r="S318" s="14" t="s">
        <v>87</v>
      </c>
      <c r="T318" s="18">
        <v>11</v>
      </c>
    </row>
    <row r="319" spans="1:20" ht="14.4">
      <c r="A319" s="26">
        <v>339959</v>
      </c>
      <c r="B319" s="19" t="s">
        <v>85</v>
      </c>
      <c r="C319" s="19" t="s">
        <v>47</v>
      </c>
      <c r="D319" s="20">
        <v>0</v>
      </c>
      <c r="E319" s="20">
        <v>0</v>
      </c>
      <c r="F319" s="20">
        <v>0</v>
      </c>
      <c r="G319" s="21">
        <v>110</v>
      </c>
      <c r="H319" s="22">
        <v>1</v>
      </c>
      <c r="I319" s="22">
        <v>0</v>
      </c>
      <c r="J319" s="21">
        <v>0</v>
      </c>
      <c r="K319" s="20">
        <v>0</v>
      </c>
      <c r="L319" s="22">
        <v>0</v>
      </c>
      <c r="M319" s="22">
        <v>0</v>
      </c>
      <c r="N319" s="22">
        <v>0</v>
      </c>
      <c r="O319" s="20">
        <v>0</v>
      </c>
      <c r="P319" s="20">
        <v>0</v>
      </c>
      <c r="Q319" s="20">
        <v>0</v>
      </c>
      <c r="R319" s="20">
        <v>0</v>
      </c>
      <c r="S319" s="19" t="s">
        <v>91</v>
      </c>
      <c r="T319" s="23">
        <v>5</v>
      </c>
    </row>
    <row r="320" spans="1:20" ht="14.4">
      <c r="A320" s="13">
        <v>339992</v>
      </c>
      <c r="B320" s="14" t="s">
        <v>85</v>
      </c>
      <c r="C320" s="14" t="s">
        <v>44</v>
      </c>
      <c r="D320" s="15">
        <v>0</v>
      </c>
      <c r="E320" s="15">
        <v>0</v>
      </c>
      <c r="F320" s="15">
        <v>0</v>
      </c>
      <c r="G320" s="16">
        <v>120</v>
      </c>
      <c r="H320" s="17">
        <v>2</v>
      </c>
      <c r="I320" s="17">
        <v>0</v>
      </c>
      <c r="J320" s="16">
        <v>0</v>
      </c>
      <c r="K320" s="15">
        <v>0</v>
      </c>
      <c r="L320" s="17">
        <v>0</v>
      </c>
      <c r="M320" s="17">
        <v>0</v>
      </c>
      <c r="N320" s="17">
        <v>0</v>
      </c>
      <c r="O320" s="15">
        <v>0</v>
      </c>
      <c r="P320" s="15">
        <v>0</v>
      </c>
      <c r="Q320" s="15">
        <v>0</v>
      </c>
      <c r="R320" s="15">
        <v>0</v>
      </c>
      <c r="S320" s="14" t="s">
        <v>91</v>
      </c>
      <c r="T320" s="18">
        <v>5</v>
      </c>
    </row>
    <row r="321" spans="1:20" ht="14.4">
      <c r="A321" s="26">
        <v>340012</v>
      </c>
      <c r="B321" s="19" t="s">
        <v>85</v>
      </c>
      <c r="C321" s="19" t="s">
        <v>47</v>
      </c>
      <c r="D321" s="20">
        <v>0</v>
      </c>
      <c r="E321" s="20">
        <v>0</v>
      </c>
      <c r="F321" s="20">
        <v>7</v>
      </c>
      <c r="G321" s="21">
        <v>80</v>
      </c>
      <c r="H321" s="22">
        <v>1</v>
      </c>
      <c r="I321" s="22">
        <v>0</v>
      </c>
      <c r="J321" s="21">
        <v>0</v>
      </c>
      <c r="K321" s="20">
        <v>0</v>
      </c>
      <c r="L321" s="22">
        <v>0</v>
      </c>
      <c r="M321" s="22">
        <v>0</v>
      </c>
      <c r="N321" s="22">
        <v>0</v>
      </c>
      <c r="O321" s="20">
        <v>0</v>
      </c>
      <c r="P321" s="20">
        <v>0</v>
      </c>
      <c r="Q321" s="20">
        <v>0</v>
      </c>
      <c r="R321" s="20">
        <v>0</v>
      </c>
      <c r="S321" s="19" t="s">
        <v>91</v>
      </c>
      <c r="T321" s="23">
        <v>4</v>
      </c>
    </row>
    <row r="322" spans="1:20" ht="14.4">
      <c r="A322" s="13">
        <v>340021</v>
      </c>
      <c r="B322" s="14" t="s">
        <v>85</v>
      </c>
      <c r="C322" s="14" t="s">
        <v>57</v>
      </c>
      <c r="D322" s="15">
        <v>0</v>
      </c>
      <c r="E322" s="15">
        <v>0</v>
      </c>
      <c r="F322" s="15">
        <v>0</v>
      </c>
      <c r="G322" s="16">
        <v>50</v>
      </c>
      <c r="H322" s="17">
        <v>1</v>
      </c>
      <c r="I322" s="17">
        <v>0</v>
      </c>
      <c r="J322" s="16">
        <v>0</v>
      </c>
      <c r="K322" s="15">
        <v>0</v>
      </c>
      <c r="L322" s="17">
        <v>0</v>
      </c>
      <c r="M322" s="17">
        <v>0</v>
      </c>
      <c r="N322" s="17">
        <v>0</v>
      </c>
      <c r="O322" s="15">
        <v>0</v>
      </c>
      <c r="P322" s="15">
        <v>0</v>
      </c>
      <c r="Q322" s="15">
        <v>10</v>
      </c>
      <c r="R322" s="15">
        <v>0</v>
      </c>
      <c r="S322" s="14" t="s">
        <v>87</v>
      </c>
      <c r="T322" s="18">
        <v>2</v>
      </c>
    </row>
    <row r="323" spans="1:20" ht="14.4">
      <c r="A323" s="26">
        <v>340029</v>
      </c>
      <c r="B323" s="19" t="s">
        <v>85</v>
      </c>
      <c r="C323" s="19" t="s">
        <v>46</v>
      </c>
      <c r="D323" s="20">
        <v>0</v>
      </c>
      <c r="E323" s="20">
        <v>30</v>
      </c>
      <c r="F323" s="20">
        <v>0</v>
      </c>
      <c r="G323" s="21">
        <v>125</v>
      </c>
      <c r="H323" s="22">
        <v>1</v>
      </c>
      <c r="I323" s="22">
        <v>0</v>
      </c>
      <c r="J323" s="21">
        <v>0</v>
      </c>
      <c r="K323" s="20">
        <v>0</v>
      </c>
      <c r="L323" s="22">
        <v>0</v>
      </c>
      <c r="M323" s="22">
        <v>0</v>
      </c>
      <c r="N323" s="22">
        <v>0</v>
      </c>
      <c r="O323" s="20">
        <v>0</v>
      </c>
      <c r="P323" s="20">
        <v>0</v>
      </c>
      <c r="Q323" s="20">
        <v>0</v>
      </c>
      <c r="R323" s="20">
        <v>0</v>
      </c>
      <c r="S323" s="19" t="s">
        <v>87</v>
      </c>
      <c r="T323" s="23">
        <v>6</v>
      </c>
    </row>
    <row r="324" spans="1:20" ht="14.4">
      <c r="A324" s="13">
        <v>340040</v>
      </c>
      <c r="B324" s="14" t="s">
        <v>85</v>
      </c>
      <c r="C324" s="14" t="s">
        <v>97</v>
      </c>
      <c r="D324" s="15">
        <v>0</v>
      </c>
      <c r="E324" s="15">
        <v>35</v>
      </c>
      <c r="F324" s="15">
        <v>0</v>
      </c>
      <c r="G324" s="16">
        <v>50</v>
      </c>
      <c r="H324" s="17">
        <v>1</v>
      </c>
      <c r="I324" s="17">
        <v>0</v>
      </c>
      <c r="J324" s="16">
        <v>0</v>
      </c>
      <c r="K324" s="15">
        <v>0</v>
      </c>
      <c r="L324" s="17">
        <v>0</v>
      </c>
      <c r="M324" s="17">
        <v>0</v>
      </c>
      <c r="N324" s="17">
        <v>0</v>
      </c>
      <c r="O324" s="15">
        <v>0</v>
      </c>
      <c r="P324" s="15">
        <v>0</v>
      </c>
      <c r="Q324" s="15">
        <v>0</v>
      </c>
      <c r="R324" s="15">
        <v>0</v>
      </c>
      <c r="S324" s="14" t="s">
        <v>93</v>
      </c>
      <c r="T324" s="18">
        <v>2</v>
      </c>
    </row>
    <row r="325" spans="1:20" ht="14.4">
      <c r="A325" s="26">
        <v>340089</v>
      </c>
      <c r="B325" s="19" t="s">
        <v>85</v>
      </c>
      <c r="C325" s="19" t="s">
        <v>97</v>
      </c>
      <c r="D325" s="20">
        <v>0</v>
      </c>
      <c r="E325" s="20">
        <v>35</v>
      </c>
      <c r="F325" s="20">
        <v>0</v>
      </c>
      <c r="G325" s="21">
        <v>65</v>
      </c>
      <c r="H325" s="22">
        <v>1</v>
      </c>
      <c r="I325" s="22">
        <v>0</v>
      </c>
      <c r="J325" s="21">
        <v>0</v>
      </c>
      <c r="K325" s="20">
        <v>0</v>
      </c>
      <c r="L325" s="22">
        <v>0</v>
      </c>
      <c r="M325" s="22">
        <v>0</v>
      </c>
      <c r="N325" s="22">
        <v>0</v>
      </c>
      <c r="O325" s="20">
        <v>0</v>
      </c>
      <c r="P325" s="20">
        <v>0</v>
      </c>
      <c r="Q325" s="20">
        <v>0</v>
      </c>
      <c r="R325" s="20">
        <v>0</v>
      </c>
      <c r="S325" s="19" t="s">
        <v>93</v>
      </c>
      <c r="T325" s="23">
        <v>3</v>
      </c>
    </row>
    <row r="326" spans="1:20" ht="14.4">
      <c r="A326" s="13">
        <v>340091</v>
      </c>
      <c r="B326" s="14" t="s">
        <v>85</v>
      </c>
      <c r="C326" s="14" t="s">
        <v>97</v>
      </c>
      <c r="D326" s="15">
        <v>0</v>
      </c>
      <c r="E326" s="15">
        <v>35</v>
      </c>
      <c r="F326" s="15">
        <v>0</v>
      </c>
      <c r="G326" s="16">
        <v>260</v>
      </c>
      <c r="H326" s="17">
        <v>1</v>
      </c>
      <c r="I326" s="17">
        <v>0</v>
      </c>
      <c r="J326" s="16">
        <v>0</v>
      </c>
      <c r="K326" s="15">
        <v>0</v>
      </c>
      <c r="L326" s="17">
        <v>0</v>
      </c>
      <c r="M326" s="17">
        <v>0</v>
      </c>
      <c r="N326" s="17">
        <v>0</v>
      </c>
      <c r="O326" s="15">
        <v>0</v>
      </c>
      <c r="P326" s="15">
        <v>0</v>
      </c>
      <c r="Q326" s="15">
        <v>0</v>
      </c>
      <c r="R326" s="15">
        <v>0</v>
      </c>
      <c r="S326" s="14" t="s">
        <v>93</v>
      </c>
      <c r="T326" s="18">
        <v>12</v>
      </c>
    </row>
    <row r="327" spans="1:20" ht="14.4">
      <c r="A327" s="26">
        <v>340135</v>
      </c>
      <c r="B327" s="19" t="s">
        <v>85</v>
      </c>
      <c r="C327" s="19" t="s">
        <v>47</v>
      </c>
      <c r="D327" s="20">
        <v>0</v>
      </c>
      <c r="E327" s="20">
        <v>0</v>
      </c>
      <c r="F327" s="20">
        <v>11</v>
      </c>
      <c r="G327" s="21">
        <v>140</v>
      </c>
      <c r="H327" s="22">
        <v>1</v>
      </c>
      <c r="I327" s="22">
        <v>0</v>
      </c>
      <c r="J327" s="21">
        <v>0</v>
      </c>
      <c r="K327" s="20">
        <v>0</v>
      </c>
      <c r="L327" s="22">
        <v>0</v>
      </c>
      <c r="M327" s="22">
        <v>0</v>
      </c>
      <c r="N327" s="22">
        <v>0</v>
      </c>
      <c r="O327" s="20">
        <v>0</v>
      </c>
      <c r="P327" s="20">
        <v>0</v>
      </c>
      <c r="Q327" s="20">
        <v>0</v>
      </c>
      <c r="R327" s="20">
        <v>0</v>
      </c>
      <c r="S327" s="19" t="s">
        <v>91</v>
      </c>
      <c r="T327" s="23">
        <v>6</v>
      </c>
    </row>
    <row r="328" spans="1:20" ht="14.4">
      <c r="A328" s="13">
        <v>340141</v>
      </c>
      <c r="B328" s="14" t="s">
        <v>85</v>
      </c>
      <c r="C328" s="14" t="s">
        <v>60</v>
      </c>
      <c r="D328" s="15">
        <v>0</v>
      </c>
      <c r="E328" s="15">
        <v>0</v>
      </c>
      <c r="F328" s="15">
        <v>0</v>
      </c>
      <c r="G328" s="16">
        <v>100</v>
      </c>
      <c r="H328" s="17">
        <v>1</v>
      </c>
      <c r="I328" s="17">
        <v>0</v>
      </c>
      <c r="J328" s="16">
        <v>0</v>
      </c>
      <c r="K328" s="15">
        <v>0</v>
      </c>
      <c r="L328" s="17">
        <v>0</v>
      </c>
      <c r="M328" s="17">
        <v>0</v>
      </c>
      <c r="N328" s="17">
        <v>0</v>
      </c>
      <c r="O328" s="15">
        <v>0</v>
      </c>
      <c r="P328" s="15">
        <v>0</v>
      </c>
      <c r="Q328" s="15">
        <v>0</v>
      </c>
      <c r="R328" s="15">
        <v>0</v>
      </c>
      <c r="S328" s="14" t="s">
        <v>87</v>
      </c>
      <c r="T328" s="18">
        <v>5</v>
      </c>
    </row>
    <row r="329" spans="1:20" ht="14.4">
      <c r="A329" s="26">
        <v>340156</v>
      </c>
      <c r="B329" s="19" t="s">
        <v>85</v>
      </c>
      <c r="C329" s="19" t="s">
        <v>97</v>
      </c>
      <c r="D329" s="20">
        <v>0</v>
      </c>
      <c r="E329" s="20">
        <v>35</v>
      </c>
      <c r="F329" s="20">
        <v>0</v>
      </c>
      <c r="G329" s="21">
        <v>67.5</v>
      </c>
      <c r="H329" s="22">
        <v>1</v>
      </c>
      <c r="I329" s="22">
        <v>0</v>
      </c>
      <c r="J329" s="21">
        <v>0</v>
      </c>
      <c r="K329" s="20">
        <v>0</v>
      </c>
      <c r="L329" s="22">
        <v>0</v>
      </c>
      <c r="M329" s="22">
        <v>0</v>
      </c>
      <c r="N329" s="22">
        <v>0</v>
      </c>
      <c r="O329" s="20">
        <v>0</v>
      </c>
      <c r="P329" s="20">
        <v>0</v>
      </c>
      <c r="Q329" s="20">
        <v>162</v>
      </c>
      <c r="R329" s="20">
        <v>0</v>
      </c>
      <c r="S329" s="19" t="s">
        <v>93</v>
      </c>
      <c r="T329" s="23">
        <v>3</v>
      </c>
    </row>
    <row r="330" spans="1:20" ht="14.4">
      <c r="A330" s="13">
        <v>340165</v>
      </c>
      <c r="B330" s="14" t="s">
        <v>85</v>
      </c>
      <c r="C330" s="14" t="s">
        <v>37</v>
      </c>
      <c r="D330" s="15">
        <v>0</v>
      </c>
      <c r="E330" s="15">
        <v>35</v>
      </c>
      <c r="F330" s="15">
        <v>0</v>
      </c>
      <c r="G330" s="16">
        <v>1365</v>
      </c>
      <c r="H330" s="17">
        <v>2</v>
      </c>
      <c r="I330" s="17">
        <v>0</v>
      </c>
      <c r="J330" s="16">
        <v>0</v>
      </c>
      <c r="K330" s="15">
        <v>0</v>
      </c>
      <c r="L330" s="17">
        <v>0</v>
      </c>
      <c r="M330" s="17">
        <v>0</v>
      </c>
      <c r="N330" s="17">
        <v>0</v>
      </c>
      <c r="O330" s="15">
        <v>0</v>
      </c>
      <c r="P330" s="15">
        <v>0</v>
      </c>
      <c r="Q330" s="15">
        <v>40</v>
      </c>
      <c r="R330" s="15">
        <v>0</v>
      </c>
      <c r="S330" s="14" t="s">
        <v>87</v>
      </c>
      <c r="T330" s="18">
        <v>61</v>
      </c>
    </row>
    <row r="331" spans="1:20" ht="14.4">
      <c r="A331" s="26">
        <v>340177</v>
      </c>
      <c r="B331" s="19" t="s">
        <v>85</v>
      </c>
      <c r="C331" s="19" t="s">
        <v>51</v>
      </c>
      <c r="D331" s="20">
        <v>0</v>
      </c>
      <c r="E331" s="20">
        <v>0</v>
      </c>
      <c r="F331" s="20">
        <v>0</v>
      </c>
      <c r="G331" s="21">
        <v>300</v>
      </c>
      <c r="H331" s="22">
        <v>2</v>
      </c>
      <c r="I331" s="22">
        <v>0</v>
      </c>
      <c r="J331" s="21">
        <v>0</v>
      </c>
      <c r="K331" s="20">
        <v>0</v>
      </c>
      <c r="L331" s="22">
        <v>0</v>
      </c>
      <c r="M331" s="22">
        <v>0</v>
      </c>
      <c r="N331" s="22">
        <v>0</v>
      </c>
      <c r="O331" s="20">
        <v>0</v>
      </c>
      <c r="P331" s="20">
        <v>0</v>
      </c>
      <c r="Q331" s="20">
        <v>175</v>
      </c>
      <c r="R331" s="20">
        <v>0</v>
      </c>
      <c r="S331" s="19" t="s">
        <v>87</v>
      </c>
      <c r="T331" s="23">
        <v>14</v>
      </c>
    </row>
    <row r="332" spans="1:20" ht="14.4">
      <c r="A332" s="13">
        <v>340217</v>
      </c>
      <c r="B332" s="14" t="s">
        <v>85</v>
      </c>
      <c r="C332" s="14" t="s">
        <v>86</v>
      </c>
      <c r="D332" s="15">
        <v>0</v>
      </c>
      <c r="E332" s="15">
        <v>0</v>
      </c>
      <c r="F332" s="15">
        <v>0</v>
      </c>
      <c r="G332" s="16">
        <v>90</v>
      </c>
      <c r="H332" s="17">
        <v>1</v>
      </c>
      <c r="I332" s="17">
        <v>0</v>
      </c>
      <c r="J332" s="16">
        <v>0</v>
      </c>
      <c r="K332" s="15">
        <v>0</v>
      </c>
      <c r="L332" s="17">
        <v>0</v>
      </c>
      <c r="M332" s="17">
        <v>0</v>
      </c>
      <c r="N332" s="17">
        <v>0</v>
      </c>
      <c r="O332" s="15">
        <v>0</v>
      </c>
      <c r="P332" s="15">
        <v>0</v>
      </c>
      <c r="Q332" s="15">
        <v>35</v>
      </c>
      <c r="R332" s="15">
        <v>0</v>
      </c>
      <c r="S332" s="14" t="s">
        <v>87</v>
      </c>
      <c r="T332" s="18">
        <v>4</v>
      </c>
    </row>
    <row r="333" spans="1:20" ht="14.4">
      <c r="A333" s="26">
        <v>340219</v>
      </c>
      <c r="B333" s="19" t="s">
        <v>85</v>
      </c>
      <c r="C333" s="19" t="s">
        <v>46</v>
      </c>
      <c r="D333" s="20">
        <v>0</v>
      </c>
      <c r="E333" s="20">
        <v>0</v>
      </c>
      <c r="F333" s="20">
        <v>0</v>
      </c>
      <c r="G333" s="21">
        <v>50</v>
      </c>
      <c r="H333" s="22">
        <v>1</v>
      </c>
      <c r="I333" s="22">
        <v>0</v>
      </c>
      <c r="J333" s="21">
        <v>0</v>
      </c>
      <c r="K333" s="20">
        <v>0</v>
      </c>
      <c r="L333" s="22">
        <v>0</v>
      </c>
      <c r="M333" s="22">
        <v>0</v>
      </c>
      <c r="N333" s="22">
        <v>0</v>
      </c>
      <c r="O333" s="20">
        <v>0</v>
      </c>
      <c r="P333" s="20">
        <v>0</v>
      </c>
      <c r="Q333" s="20">
        <v>50</v>
      </c>
      <c r="R333" s="20">
        <v>0</v>
      </c>
      <c r="S333" s="19" t="s">
        <v>87</v>
      </c>
      <c r="T333" s="23">
        <v>2</v>
      </c>
    </row>
    <row r="334" spans="1:20" ht="14.4">
      <c r="A334" s="13">
        <v>340234</v>
      </c>
      <c r="B334" s="14" t="s">
        <v>85</v>
      </c>
      <c r="C334" s="14" t="s">
        <v>38</v>
      </c>
      <c r="D334" s="15">
        <v>0</v>
      </c>
      <c r="E334" s="15">
        <v>0</v>
      </c>
      <c r="F334" s="15">
        <v>32</v>
      </c>
      <c r="G334" s="16">
        <v>385</v>
      </c>
      <c r="H334" s="17">
        <v>1</v>
      </c>
      <c r="I334" s="17">
        <v>0</v>
      </c>
      <c r="J334" s="16">
        <v>0</v>
      </c>
      <c r="K334" s="15">
        <v>0</v>
      </c>
      <c r="L334" s="17">
        <v>0</v>
      </c>
      <c r="M334" s="17">
        <v>0</v>
      </c>
      <c r="N334" s="17">
        <v>0</v>
      </c>
      <c r="O334" s="15">
        <v>0</v>
      </c>
      <c r="P334" s="15">
        <v>0</v>
      </c>
      <c r="Q334" s="15">
        <v>0</v>
      </c>
      <c r="R334" s="15">
        <v>0</v>
      </c>
      <c r="S334" s="14" t="s">
        <v>91</v>
      </c>
      <c r="T334" s="18">
        <v>17</v>
      </c>
    </row>
    <row r="335" spans="1:20" ht="14.4">
      <c r="A335" s="26">
        <v>340238</v>
      </c>
      <c r="B335" s="19" t="s">
        <v>85</v>
      </c>
      <c r="C335" s="19" t="s">
        <v>51</v>
      </c>
      <c r="D335" s="20">
        <v>0</v>
      </c>
      <c r="E335" s="20">
        <v>200</v>
      </c>
      <c r="F335" s="20">
        <v>50</v>
      </c>
      <c r="G335" s="21">
        <v>650</v>
      </c>
      <c r="H335" s="22">
        <v>1</v>
      </c>
      <c r="I335" s="22">
        <v>0</v>
      </c>
      <c r="J335" s="21">
        <v>0</v>
      </c>
      <c r="K335" s="20">
        <v>0</v>
      </c>
      <c r="L335" s="22">
        <v>0</v>
      </c>
      <c r="M335" s="22">
        <v>0</v>
      </c>
      <c r="N335" s="22">
        <v>0</v>
      </c>
      <c r="O335" s="20">
        <v>0</v>
      </c>
      <c r="P335" s="20">
        <v>0</v>
      </c>
      <c r="Q335" s="20">
        <v>0</v>
      </c>
      <c r="R335" s="20">
        <v>0</v>
      </c>
      <c r="S335" s="19" t="s">
        <v>87</v>
      </c>
      <c r="T335" s="23">
        <v>29</v>
      </c>
    </row>
    <row r="336" spans="1:20" ht="14.4">
      <c r="A336" s="13">
        <v>340278</v>
      </c>
      <c r="B336" s="14" t="s">
        <v>85</v>
      </c>
      <c r="C336" s="14" t="s">
        <v>60</v>
      </c>
      <c r="D336" s="15">
        <v>0</v>
      </c>
      <c r="E336" s="15">
        <v>35</v>
      </c>
      <c r="F336" s="15">
        <v>0</v>
      </c>
      <c r="G336" s="16">
        <v>50</v>
      </c>
      <c r="H336" s="17">
        <v>1</v>
      </c>
      <c r="I336" s="17">
        <v>0</v>
      </c>
      <c r="J336" s="16">
        <v>0</v>
      </c>
      <c r="K336" s="15">
        <v>0</v>
      </c>
      <c r="L336" s="17">
        <v>0</v>
      </c>
      <c r="M336" s="17">
        <v>0</v>
      </c>
      <c r="N336" s="17">
        <v>0</v>
      </c>
      <c r="O336" s="15">
        <v>0</v>
      </c>
      <c r="P336" s="15">
        <v>0</v>
      </c>
      <c r="Q336" s="15">
        <v>0</v>
      </c>
      <c r="R336" s="15">
        <v>0</v>
      </c>
      <c r="S336" s="14" t="s">
        <v>87</v>
      </c>
      <c r="T336" s="18">
        <v>2</v>
      </c>
    </row>
    <row r="337" spans="1:20" ht="14.4">
      <c r="A337" s="26">
        <v>340289</v>
      </c>
      <c r="B337" s="19" t="s">
        <v>85</v>
      </c>
      <c r="C337" s="19" t="s">
        <v>86</v>
      </c>
      <c r="D337" s="20">
        <v>0</v>
      </c>
      <c r="E337" s="20">
        <v>0</v>
      </c>
      <c r="F337" s="20">
        <v>4</v>
      </c>
      <c r="G337" s="21">
        <v>50</v>
      </c>
      <c r="H337" s="22">
        <v>1</v>
      </c>
      <c r="I337" s="22">
        <v>0</v>
      </c>
      <c r="J337" s="21">
        <v>0</v>
      </c>
      <c r="K337" s="20">
        <v>0</v>
      </c>
      <c r="L337" s="22">
        <v>0</v>
      </c>
      <c r="M337" s="22">
        <v>0</v>
      </c>
      <c r="N337" s="22">
        <v>0</v>
      </c>
      <c r="O337" s="20">
        <v>0</v>
      </c>
      <c r="P337" s="20">
        <v>0</v>
      </c>
      <c r="Q337" s="20">
        <v>0</v>
      </c>
      <c r="R337" s="20">
        <v>0</v>
      </c>
      <c r="S337" s="19" t="s">
        <v>87</v>
      </c>
      <c r="T337" s="23">
        <v>2</v>
      </c>
    </row>
    <row r="338" spans="1:20" ht="14.4">
      <c r="A338" s="13">
        <v>340290</v>
      </c>
      <c r="B338" s="14" t="s">
        <v>85</v>
      </c>
      <c r="C338" s="14" t="s">
        <v>98</v>
      </c>
      <c r="D338" s="15">
        <v>0</v>
      </c>
      <c r="E338" s="15">
        <v>0</v>
      </c>
      <c r="F338" s="15">
        <v>0</v>
      </c>
      <c r="G338" s="16">
        <v>60</v>
      </c>
      <c r="H338" s="17">
        <v>1</v>
      </c>
      <c r="I338" s="17">
        <v>0</v>
      </c>
      <c r="J338" s="16">
        <v>0</v>
      </c>
      <c r="K338" s="15">
        <v>0</v>
      </c>
      <c r="L338" s="17">
        <v>0</v>
      </c>
      <c r="M338" s="17">
        <v>0</v>
      </c>
      <c r="N338" s="17">
        <v>0</v>
      </c>
      <c r="O338" s="15">
        <v>0</v>
      </c>
      <c r="P338" s="15">
        <v>0</v>
      </c>
      <c r="Q338" s="15">
        <v>0</v>
      </c>
      <c r="R338" s="15">
        <v>0</v>
      </c>
      <c r="S338" s="14" t="s">
        <v>87</v>
      </c>
      <c r="T338" s="18">
        <v>3</v>
      </c>
    </row>
    <row r="339" spans="1:20" ht="14.4">
      <c r="A339" s="26">
        <v>340312</v>
      </c>
      <c r="B339" s="19" t="s">
        <v>85</v>
      </c>
      <c r="C339" s="19" t="s">
        <v>97</v>
      </c>
      <c r="D339" s="20">
        <v>0</v>
      </c>
      <c r="E339" s="20">
        <v>35</v>
      </c>
      <c r="F339" s="20">
        <v>0</v>
      </c>
      <c r="G339" s="21">
        <v>75</v>
      </c>
      <c r="H339" s="22">
        <v>1</v>
      </c>
      <c r="I339" s="22">
        <v>0</v>
      </c>
      <c r="J339" s="21">
        <v>0</v>
      </c>
      <c r="K339" s="20">
        <v>0</v>
      </c>
      <c r="L339" s="22">
        <v>0</v>
      </c>
      <c r="M339" s="22">
        <v>0</v>
      </c>
      <c r="N339" s="22">
        <v>0</v>
      </c>
      <c r="O339" s="20">
        <v>0</v>
      </c>
      <c r="P339" s="20">
        <v>0</v>
      </c>
      <c r="Q339" s="20">
        <v>0</v>
      </c>
      <c r="R339" s="20">
        <v>0</v>
      </c>
      <c r="S339" s="19" t="s">
        <v>93</v>
      </c>
      <c r="T339" s="23">
        <v>3</v>
      </c>
    </row>
    <row r="340" spans="1:20" ht="14.4">
      <c r="A340" s="13">
        <v>340313</v>
      </c>
      <c r="B340" s="14" t="s">
        <v>85</v>
      </c>
      <c r="C340" s="14" t="s">
        <v>97</v>
      </c>
      <c r="D340" s="15">
        <v>0</v>
      </c>
      <c r="E340" s="15">
        <v>35</v>
      </c>
      <c r="F340" s="15">
        <v>0</v>
      </c>
      <c r="G340" s="16">
        <v>50</v>
      </c>
      <c r="H340" s="17">
        <v>1</v>
      </c>
      <c r="I340" s="17">
        <v>0</v>
      </c>
      <c r="J340" s="16">
        <v>0</v>
      </c>
      <c r="K340" s="15">
        <v>0</v>
      </c>
      <c r="L340" s="17">
        <v>0</v>
      </c>
      <c r="M340" s="17">
        <v>0</v>
      </c>
      <c r="N340" s="17">
        <v>0</v>
      </c>
      <c r="O340" s="15">
        <v>0</v>
      </c>
      <c r="P340" s="15">
        <v>0</v>
      </c>
      <c r="Q340" s="15">
        <v>0</v>
      </c>
      <c r="R340" s="15">
        <v>0</v>
      </c>
      <c r="S340" s="14" t="s">
        <v>93</v>
      </c>
      <c r="T340" s="18">
        <v>2</v>
      </c>
    </row>
    <row r="341" spans="1:20" ht="14.4">
      <c r="A341" s="26">
        <v>340316</v>
      </c>
      <c r="B341" s="19" t="s">
        <v>85</v>
      </c>
      <c r="C341" s="19" t="s">
        <v>86</v>
      </c>
      <c r="D341" s="20">
        <v>0</v>
      </c>
      <c r="E341" s="20">
        <v>35</v>
      </c>
      <c r="F341" s="20">
        <v>8</v>
      </c>
      <c r="G341" s="21">
        <v>95</v>
      </c>
      <c r="H341" s="22">
        <v>1</v>
      </c>
      <c r="I341" s="22">
        <v>0</v>
      </c>
      <c r="J341" s="21">
        <v>0</v>
      </c>
      <c r="K341" s="20">
        <v>0</v>
      </c>
      <c r="L341" s="22">
        <v>0</v>
      </c>
      <c r="M341" s="22">
        <v>0</v>
      </c>
      <c r="N341" s="22">
        <v>0</v>
      </c>
      <c r="O341" s="20">
        <v>0</v>
      </c>
      <c r="P341" s="20">
        <v>0</v>
      </c>
      <c r="Q341" s="20">
        <v>5</v>
      </c>
      <c r="R341" s="20">
        <v>0</v>
      </c>
      <c r="S341" s="19" t="s">
        <v>87</v>
      </c>
      <c r="T341" s="23">
        <v>4</v>
      </c>
    </row>
    <row r="342" spans="1:20" ht="14.4">
      <c r="A342" s="13">
        <v>340327</v>
      </c>
      <c r="B342" s="14" t="s">
        <v>85</v>
      </c>
      <c r="C342" s="14" t="s">
        <v>90</v>
      </c>
      <c r="D342" s="15">
        <v>0</v>
      </c>
      <c r="E342" s="15">
        <v>300</v>
      </c>
      <c r="F342" s="15">
        <v>0</v>
      </c>
      <c r="G342" s="16">
        <v>2280</v>
      </c>
      <c r="H342" s="17">
        <v>1</v>
      </c>
      <c r="I342" s="17">
        <v>0</v>
      </c>
      <c r="J342" s="16">
        <v>0</v>
      </c>
      <c r="K342" s="15">
        <v>0</v>
      </c>
      <c r="L342" s="17">
        <v>0</v>
      </c>
      <c r="M342" s="17">
        <v>0</v>
      </c>
      <c r="N342" s="17">
        <v>0</v>
      </c>
      <c r="O342" s="15">
        <v>300</v>
      </c>
      <c r="P342" s="15">
        <v>0</v>
      </c>
      <c r="Q342" s="15">
        <v>0</v>
      </c>
      <c r="R342" s="15">
        <v>0</v>
      </c>
      <c r="S342" s="14" t="s">
        <v>91</v>
      </c>
      <c r="T342" s="18">
        <v>163</v>
      </c>
    </row>
    <row r="343" spans="1:20" ht="14.4">
      <c r="A343" s="26">
        <v>340333</v>
      </c>
      <c r="B343" s="19" t="s">
        <v>85</v>
      </c>
      <c r="C343" s="19" t="s">
        <v>97</v>
      </c>
      <c r="D343" s="20">
        <v>0</v>
      </c>
      <c r="E343" s="20">
        <v>35</v>
      </c>
      <c r="F343" s="20">
        <v>0</v>
      </c>
      <c r="G343" s="21">
        <v>60</v>
      </c>
      <c r="H343" s="22">
        <v>1</v>
      </c>
      <c r="I343" s="22">
        <v>0</v>
      </c>
      <c r="J343" s="21">
        <v>0</v>
      </c>
      <c r="K343" s="20">
        <v>0</v>
      </c>
      <c r="L343" s="22">
        <v>0</v>
      </c>
      <c r="M343" s="22">
        <v>0</v>
      </c>
      <c r="N343" s="22">
        <v>0</v>
      </c>
      <c r="O343" s="20">
        <v>0</v>
      </c>
      <c r="P343" s="20">
        <v>0</v>
      </c>
      <c r="Q343" s="20">
        <v>0</v>
      </c>
      <c r="R343" s="20">
        <v>0</v>
      </c>
      <c r="S343" s="19" t="s">
        <v>93</v>
      </c>
      <c r="T343" s="23">
        <v>3</v>
      </c>
    </row>
    <row r="344" spans="1:20" ht="14.4">
      <c r="A344" s="13">
        <v>340337</v>
      </c>
      <c r="B344" s="14" t="s">
        <v>85</v>
      </c>
      <c r="C344" s="14" t="s">
        <v>57</v>
      </c>
      <c r="D344" s="15">
        <v>0</v>
      </c>
      <c r="E344" s="15">
        <v>35</v>
      </c>
      <c r="F344" s="15">
        <v>21</v>
      </c>
      <c r="G344" s="16">
        <v>225</v>
      </c>
      <c r="H344" s="17">
        <v>2</v>
      </c>
      <c r="I344" s="17">
        <v>0</v>
      </c>
      <c r="J344" s="16">
        <v>0</v>
      </c>
      <c r="K344" s="15">
        <v>0</v>
      </c>
      <c r="L344" s="17">
        <v>0</v>
      </c>
      <c r="M344" s="17">
        <v>0</v>
      </c>
      <c r="N344" s="17">
        <v>0</v>
      </c>
      <c r="O344" s="15">
        <v>0</v>
      </c>
      <c r="P344" s="15">
        <v>0</v>
      </c>
      <c r="Q344" s="15">
        <v>0</v>
      </c>
      <c r="R344" s="15">
        <v>0</v>
      </c>
      <c r="S344" s="14" t="s">
        <v>87</v>
      </c>
      <c r="T344" s="18">
        <v>10</v>
      </c>
    </row>
    <row r="345" spans="1:20" ht="14.4">
      <c r="A345" s="26">
        <v>340360</v>
      </c>
      <c r="B345" s="19" t="s">
        <v>85</v>
      </c>
      <c r="C345" s="19" t="s">
        <v>97</v>
      </c>
      <c r="D345" s="20">
        <v>0</v>
      </c>
      <c r="E345" s="20">
        <v>75</v>
      </c>
      <c r="F345" s="20">
        <v>0</v>
      </c>
      <c r="G345" s="21">
        <v>125</v>
      </c>
      <c r="H345" s="22">
        <v>1</v>
      </c>
      <c r="I345" s="22">
        <v>0</v>
      </c>
      <c r="J345" s="21">
        <v>0</v>
      </c>
      <c r="K345" s="20">
        <v>0</v>
      </c>
      <c r="L345" s="22">
        <v>0</v>
      </c>
      <c r="M345" s="22">
        <v>0</v>
      </c>
      <c r="N345" s="22">
        <v>0</v>
      </c>
      <c r="O345" s="20">
        <v>0</v>
      </c>
      <c r="P345" s="20">
        <v>0</v>
      </c>
      <c r="Q345" s="20">
        <v>0</v>
      </c>
      <c r="R345" s="20">
        <v>0</v>
      </c>
      <c r="S345" s="19" t="s">
        <v>93</v>
      </c>
      <c r="T345" s="23">
        <v>6</v>
      </c>
    </row>
    <row r="346" spans="1:20" ht="14.4">
      <c r="A346" s="13">
        <v>340367</v>
      </c>
      <c r="B346" s="14" t="s">
        <v>85</v>
      </c>
      <c r="C346" s="14" t="s">
        <v>97</v>
      </c>
      <c r="D346" s="15">
        <v>0</v>
      </c>
      <c r="E346" s="15">
        <v>35</v>
      </c>
      <c r="F346" s="15">
        <v>0</v>
      </c>
      <c r="G346" s="16">
        <v>142</v>
      </c>
      <c r="H346" s="17">
        <v>1</v>
      </c>
      <c r="I346" s="17">
        <v>0</v>
      </c>
      <c r="J346" s="16">
        <v>0</v>
      </c>
      <c r="K346" s="15">
        <v>0</v>
      </c>
      <c r="L346" s="17">
        <v>0</v>
      </c>
      <c r="M346" s="17">
        <v>0</v>
      </c>
      <c r="N346" s="17">
        <v>0</v>
      </c>
      <c r="O346" s="15">
        <v>0</v>
      </c>
      <c r="P346" s="15">
        <v>0</v>
      </c>
      <c r="Q346" s="15">
        <v>0</v>
      </c>
      <c r="R346" s="15">
        <v>0</v>
      </c>
      <c r="S346" s="14" t="s">
        <v>93</v>
      </c>
      <c r="T346" s="18">
        <v>6</v>
      </c>
    </row>
    <row r="347" spans="1:20" ht="14.4">
      <c r="A347" s="26">
        <v>340371</v>
      </c>
      <c r="B347" s="19" t="s">
        <v>85</v>
      </c>
      <c r="C347" s="19" t="s">
        <v>97</v>
      </c>
      <c r="D347" s="20">
        <v>0</v>
      </c>
      <c r="E347" s="20">
        <v>35</v>
      </c>
      <c r="F347" s="20">
        <v>0</v>
      </c>
      <c r="G347" s="21">
        <v>65</v>
      </c>
      <c r="H347" s="22">
        <v>1</v>
      </c>
      <c r="I347" s="22">
        <v>0</v>
      </c>
      <c r="J347" s="21">
        <v>0</v>
      </c>
      <c r="K347" s="20">
        <v>0</v>
      </c>
      <c r="L347" s="22">
        <v>0</v>
      </c>
      <c r="M347" s="22">
        <v>0</v>
      </c>
      <c r="N347" s="22">
        <v>0</v>
      </c>
      <c r="O347" s="20">
        <v>0</v>
      </c>
      <c r="P347" s="20">
        <v>0</v>
      </c>
      <c r="Q347" s="20">
        <v>0</v>
      </c>
      <c r="R347" s="20">
        <v>0</v>
      </c>
      <c r="S347" s="19" t="s">
        <v>93</v>
      </c>
      <c r="T347" s="23">
        <v>3</v>
      </c>
    </row>
    <row r="348" spans="1:20" ht="14.4">
      <c r="A348" s="13">
        <v>340372</v>
      </c>
      <c r="B348" s="14" t="s">
        <v>85</v>
      </c>
      <c r="C348" s="14" t="s">
        <v>97</v>
      </c>
      <c r="D348" s="15">
        <v>0</v>
      </c>
      <c r="E348" s="15">
        <v>0</v>
      </c>
      <c r="F348" s="15">
        <v>0</v>
      </c>
      <c r="G348" s="16">
        <v>40</v>
      </c>
      <c r="H348" s="17">
        <v>1</v>
      </c>
      <c r="I348" s="17">
        <v>0</v>
      </c>
      <c r="J348" s="16">
        <v>0</v>
      </c>
      <c r="K348" s="15">
        <v>0</v>
      </c>
      <c r="L348" s="17">
        <v>0</v>
      </c>
      <c r="M348" s="17">
        <v>0</v>
      </c>
      <c r="N348" s="17">
        <v>0</v>
      </c>
      <c r="O348" s="15">
        <v>0</v>
      </c>
      <c r="P348" s="15">
        <v>0</v>
      </c>
      <c r="Q348" s="15">
        <v>10</v>
      </c>
      <c r="R348" s="15">
        <v>0</v>
      </c>
      <c r="S348" s="14" t="s">
        <v>93</v>
      </c>
      <c r="T348" s="18">
        <v>2</v>
      </c>
    </row>
    <row r="349" spans="1:20" ht="14.4">
      <c r="A349" s="26">
        <v>340375</v>
      </c>
      <c r="B349" s="19" t="s">
        <v>85</v>
      </c>
      <c r="C349" s="19" t="s">
        <v>97</v>
      </c>
      <c r="D349" s="20">
        <v>0</v>
      </c>
      <c r="E349" s="20">
        <v>0</v>
      </c>
      <c r="F349" s="20">
        <v>0</v>
      </c>
      <c r="G349" s="21">
        <v>40</v>
      </c>
      <c r="H349" s="22">
        <v>1</v>
      </c>
      <c r="I349" s="22">
        <v>0</v>
      </c>
      <c r="J349" s="21">
        <v>0</v>
      </c>
      <c r="K349" s="20">
        <v>0</v>
      </c>
      <c r="L349" s="22">
        <v>0</v>
      </c>
      <c r="M349" s="22">
        <v>0</v>
      </c>
      <c r="N349" s="22">
        <v>0</v>
      </c>
      <c r="O349" s="20">
        <v>0</v>
      </c>
      <c r="P349" s="20">
        <v>0</v>
      </c>
      <c r="Q349" s="20">
        <v>10</v>
      </c>
      <c r="R349" s="20">
        <v>0</v>
      </c>
      <c r="S349" s="19" t="s">
        <v>93</v>
      </c>
      <c r="T349" s="23">
        <v>2</v>
      </c>
    </row>
    <row r="350" spans="1:20" ht="14.4">
      <c r="A350" s="13">
        <v>340376</v>
      </c>
      <c r="B350" s="14" t="s">
        <v>85</v>
      </c>
      <c r="C350" s="14" t="s">
        <v>97</v>
      </c>
      <c r="D350" s="15">
        <v>0</v>
      </c>
      <c r="E350" s="15">
        <v>0</v>
      </c>
      <c r="F350" s="15">
        <v>0</v>
      </c>
      <c r="G350" s="16">
        <v>40</v>
      </c>
      <c r="H350" s="17">
        <v>1</v>
      </c>
      <c r="I350" s="17">
        <v>0</v>
      </c>
      <c r="J350" s="16">
        <v>0</v>
      </c>
      <c r="K350" s="15">
        <v>0</v>
      </c>
      <c r="L350" s="17">
        <v>0</v>
      </c>
      <c r="M350" s="17">
        <v>0</v>
      </c>
      <c r="N350" s="17">
        <v>0</v>
      </c>
      <c r="O350" s="15">
        <v>0</v>
      </c>
      <c r="P350" s="15">
        <v>0</v>
      </c>
      <c r="Q350" s="15">
        <v>10</v>
      </c>
      <c r="R350" s="15">
        <v>0</v>
      </c>
      <c r="S350" s="14" t="s">
        <v>93</v>
      </c>
      <c r="T350" s="18">
        <v>2</v>
      </c>
    </row>
    <row r="351" spans="1:20" ht="14.4">
      <c r="A351" s="26">
        <v>340377</v>
      </c>
      <c r="B351" s="19" t="s">
        <v>85</v>
      </c>
      <c r="C351" s="19" t="s">
        <v>97</v>
      </c>
      <c r="D351" s="20">
        <v>0</v>
      </c>
      <c r="E351" s="20">
        <v>0</v>
      </c>
      <c r="F351" s="20">
        <v>0</v>
      </c>
      <c r="G351" s="21">
        <v>40</v>
      </c>
      <c r="H351" s="22">
        <v>1</v>
      </c>
      <c r="I351" s="22">
        <v>0</v>
      </c>
      <c r="J351" s="21">
        <v>0</v>
      </c>
      <c r="K351" s="20">
        <v>0</v>
      </c>
      <c r="L351" s="22">
        <v>0</v>
      </c>
      <c r="M351" s="22">
        <v>0</v>
      </c>
      <c r="N351" s="22">
        <v>0</v>
      </c>
      <c r="O351" s="20">
        <v>0</v>
      </c>
      <c r="P351" s="20">
        <v>0</v>
      </c>
      <c r="Q351" s="20">
        <v>10</v>
      </c>
      <c r="R351" s="20">
        <v>0</v>
      </c>
      <c r="S351" s="19" t="s">
        <v>93</v>
      </c>
      <c r="T351" s="23">
        <v>2</v>
      </c>
    </row>
    <row r="352" spans="1:20" ht="14.4">
      <c r="A352" s="13">
        <v>340378</v>
      </c>
      <c r="B352" s="14" t="s">
        <v>85</v>
      </c>
      <c r="C352" s="14" t="s">
        <v>97</v>
      </c>
      <c r="D352" s="15">
        <v>0</v>
      </c>
      <c r="E352" s="15">
        <v>0</v>
      </c>
      <c r="F352" s="15">
        <v>0</v>
      </c>
      <c r="G352" s="16">
        <v>40</v>
      </c>
      <c r="H352" s="17">
        <v>1</v>
      </c>
      <c r="I352" s="17">
        <v>0</v>
      </c>
      <c r="J352" s="16">
        <v>0</v>
      </c>
      <c r="K352" s="15">
        <v>0</v>
      </c>
      <c r="L352" s="17">
        <v>0</v>
      </c>
      <c r="M352" s="17">
        <v>0</v>
      </c>
      <c r="N352" s="17">
        <v>0</v>
      </c>
      <c r="O352" s="15">
        <v>0</v>
      </c>
      <c r="P352" s="15">
        <v>0</v>
      </c>
      <c r="Q352" s="15">
        <v>10</v>
      </c>
      <c r="R352" s="15">
        <v>0</v>
      </c>
      <c r="S352" s="14" t="s">
        <v>93</v>
      </c>
      <c r="T352" s="18">
        <v>2</v>
      </c>
    </row>
    <row r="353" spans="1:20" ht="14.4">
      <c r="A353" s="26">
        <v>340379</v>
      </c>
      <c r="B353" s="19" t="s">
        <v>85</v>
      </c>
      <c r="C353" s="19" t="s">
        <v>97</v>
      </c>
      <c r="D353" s="20">
        <v>0</v>
      </c>
      <c r="E353" s="20">
        <v>0</v>
      </c>
      <c r="F353" s="20">
        <v>0</v>
      </c>
      <c r="G353" s="21">
        <v>40</v>
      </c>
      <c r="H353" s="22">
        <v>1</v>
      </c>
      <c r="I353" s="22">
        <v>0</v>
      </c>
      <c r="J353" s="21">
        <v>0</v>
      </c>
      <c r="K353" s="20">
        <v>0</v>
      </c>
      <c r="L353" s="22">
        <v>0</v>
      </c>
      <c r="M353" s="22">
        <v>0</v>
      </c>
      <c r="N353" s="22">
        <v>0</v>
      </c>
      <c r="O353" s="20">
        <v>0</v>
      </c>
      <c r="P353" s="20">
        <v>0</v>
      </c>
      <c r="Q353" s="20">
        <v>10</v>
      </c>
      <c r="R353" s="20">
        <v>0</v>
      </c>
      <c r="S353" s="19" t="s">
        <v>93</v>
      </c>
      <c r="T353" s="23">
        <v>2</v>
      </c>
    </row>
    <row r="354" spans="1:20" ht="14.4">
      <c r="A354" s="13">
        <v>340380</v>
      </c>
      <c r="B354" s="14" t="s">
        <v>85</v>
      </c>
      <c r="C354" s="14" t="s">
        <v>97</v>
      </c>
      <c r="D354" s="15">
        <v>0</v>
      </c>
      <c r="E354" s="15">
        <v>0</v>
      </c>
      <c r="F354" s="15">
        <v>0</v>
      </c>
      <c r="G354" s="16">
        <v>40</v>
      </c>
      <c r="H354" s="17">
        <v>1</v>
      </c>
      <c r="I354" s="17">
        <v>0</v>
      </c>
      <c r="J354" s="16">
        <v>0</v>
      </c>
      <c r="K354" s="15">
        <v>0</v>
      </c>
      <c r="L354" s="17">
        <v>0</v>
      </c>
      <c r="M354" s="17">
        <v>0</v>
      </c>
      <c r="N354" s="17">
        <v>0</v>
      </c>
      <c r="O354" s="15">
        <v>0</v>
      </c>
      <c r="P354" s="15">
        <v>0</v>
      </c>
      <c r="Q354" s="15">
        <v>10</v>
      </c>
      <c r="R354" s="15">
        <v>0</v>
      </c>
      <c r="S354" s="14" t="s">
        <v>93</v>
      </c>
      <c r="T354" s="18">
        <v>2</v>
      </c>
    </row>
    <row r="355" spans="1:20" ht="14.4">
      <c r="A355" s="26">
        <v>340382</v>
      </c>
      <c r="B355" s="19" t="s">
        <v>85</v>
      </c>
      <c r="C355" s="19" t="s">
        <v>97</v>
      </c>
      <c r="D355" s="20">
        <v>0</v>
      </c>
      <c r="E355" s="20">
        <v>0</v>
      </c>
      <c r="F355" s="20">
        <v>0</v>
      </c>
      <c r="G355" s="21">
        <v>75</v>
      </c>
      <c r="H355" s="22">
        <v>1</v>
      </c>
      <c r="I355" s="22">
        <v>0</v>
      </c>
      <c r="J355" s="21">
        <v>0</v>
      </c>
      <c r="K355" s="20">
        <v>0</v>
      </c>
      <c r="L355" s="22">
        <v>0</v>
      </c>
      <c r="M355" s="22">
        <v>0</v>
      </c>
      <c r="N355" s="22">
        <v>0</v>
      </c>
      <c r="O355" s="20">
        <v>0</v>
      </c>
      <c r="P355" s="20">
        <v>0</v>
      </c>
      <c r="Q355" s="20">
        <v>5</v>
      </c>
      <c r="R355" s="20">
        <v>0</v>
      </c>
      <c r="S355" s="19" t="s">
        <v>93</v>
      </c>
      <c r="T355" s="23">
        <v>3</v>
      </c>
    </row>
    <row r="356" spans="1:20" ht="14.4">
      <c r="A356" s="13">
        <v>340383</v>
      </c>
      <c r="B356" s="14" t="s">
        <v>85</v>
      </c>
      <c r="C356" s="14" t="s">
        <v>97</v>
      </c>
      <c r="D356" s="15">
        <v>0</v>
      </c>
      <c r="E356" s="15">
        <v>0</v>
      </c>
      <c r="F356" s="15">
        <v>0</v>
      </c>
      <c r="G356" s="16">
        <v>70</v>
      </c>
      <c r="H356" s="17">
        <v>1</v>
      </c>
      <c r="I356" s="17">
        <v>0</v>
      </c>
      <c r="J356" s="16">
        <v>0</v>
      </c>
      <c r="K356" s="15">
        <v>0</v>
      </c>
      <c r="L356" s="17">
        <v>0</v>
      </c>
      <c r="M356" s="17">
        <v>0</v>
      </c>
      <c r="N356" s="17">
        <v>0</v>
      </c>
      <c r="O356" s="15">
        <v>0</v>
      </c>
      <c r="P356" s="15">
        <v>0</v>
      </c>
      <c r="Q356" s="15">
        <v>20</v>
      </c>
      <c r="R356" s="15">
        <v>0</v>
      </c>
      <c r="S356" s="14" t="s">
        <v>93</v>
      </c>
      <c r="T356" s="18">
        <v>3</v>
      </c>
    </row>
    <row r="357" spans="1:20" ht="14.4">
      <c r="A357" s="26">
        <v>340384</v>
      </c>
      <c r="B357" s="19" t="s">
        <v>85</v>
      </c>
      <c r="C357" s="19" t="s">
        <v>97</v>
      </c>
      <c r="D357" s="20">
        <v>0</v>
      </c>
      <c r="E357" s="20">
        <v>0</v>
      </c>
      <c r="F357" s="20">
        <v>0</v>
      </c>
      <c r="G357" s="21">
        <v>95</v>
      </c>
      <c r="H357" s="22">
        <v>1</v>
      </c>
      <c r="I357" s="22">
        <v>0</v>
      </c>
      <c r="J357" s="21">
        <v>0</v>
      </c>
      <c r="K357" s="20">
        <v>0</v>
      </c>
      <c r="L357" s="22">
        <v>0</v>
      </c>
      <c r="M357" s="22">
        <v>0</v>
      </c>
      <c r="N357" s="22">
        <v>0</v>
      </c>
      <c r="O357" s="20">
        <v>0</v>
      </c>
      <c r="P357" s="20">
        <v>0</v>
      </c>
      <c r="Q357" s="20">
        <v>0</v>
      </c>
      <c r="R357" s="20">
        <v>0</v>
      </c>
      <c r="S357" s="19" t="s">
        <v>93</v>
      </c>
      <c r="T357" s="23">
        <v>4</v>
      </c>
    </row>
    <row r="358" spans="1:20" ht="14.4">
      <c r="A358" s="13">
        <v>340385</v>
      </c>
      <c r="B358" s="14" t="s">
        <v>85</v>
      </c>
      <c r="C358" s="14" t="s">
        <v>97</v>
      </c>
      <c r="D358" s="15">
        <v>0</v>
      </c>
      <c r="E358" s="15">
        <v>0</v>
      </c>
      <c r="F358" s="15">
        <v>0</v>
      </c>
      <c r="G358" s="16">
        <v>60</v>
      </c>
      <c r="H358" s="17">
        <v>1</v>
      </c>
      <c r="I358" s="17">
        <v>0</v>
      </c>
      <c r="J358" s="16">
        <v>0</v>
      </c>
      <c r="K358" s="15">
        <v>0</v>
      </c>
      <c r="L358" s="17">
        <v>0</v>
      </c>
      <c r="M358" s="17">
        <v>0</v>
      </c>
      <c r="N358" s="17">
        <v>0</v>
      </c>
      <c r="O358" s="15">
        <v>0</v>
      </c>
      <c r="P358" s="15">
        <v>0</v>
      </c>
      <c r="Q358" s="15">
        <v>5</v>
      </c>
      <c r="R358" s="15">
        <v>0</v>
      </c>
      <c r="S358" s="14" t="s">
        <v>93</v>
      </c>
      <c r="T358" s="18">
        <v>3</v>
      </c>
    </row>
    <row r="359" spans="1:20" ht="14.4">
      <c r="A359" s="26">
        <v>340391</v>
      </c>
      <c r="B359" s="19" t="s">
        <v>85</v>
      </c>
      <c r="C359" s="19" t="s">
        <v>97</v>
      </c>
      <c r="D359" s="20">
        <v>0</v>
      </c>
      <c r="E359" s="20">
        <v>0</v>
      </c>
      <c r="F359" s="20">
        <v>0</v>
      </c>
      <c r="G359" s="21">
        <v>40</v>
      </c>
      <c r="H359" s="22">
        <v>1</v>
      </c>
      <c r="I359" s="22">
        <v>0</v>
      </c>
      <c r="J359" s="21">
        <v>0</v>
      </c>
      <c r="K359" s="20">
        <v>0</v>
      </c>
      <c r="L359" s="22">
        <v>0</v>
      </c>
      <c r="M359" s="22">
        <v>0</v>
      </c>
      <c r="N359" s="22">
        <v>0</v>
      </c>
      <c r="O359" s="20">
        <v>0</v>
      </c>
      <c r="P359" s="20">
        <v>0</v>
      </c>
      <c r="Q359" s="20">
        <v>10</v>
      </c>
      <c r="R359" s="20">
        <v>0</v>
      </c>
      <c r="S359" s="19" t="s">
        <v>93</v>
      </c>
      <c r="T359" s="23">
        <v>2</v>
      </c>
    </row>
    <row r="360" spans="1:20" ht="14.4">
      <c r="A360" s="13">
        <v>340392</v>
      </c>
      <c r="B360" s="14" t="s">
        <v>85</v>
      </c>
      <c r="C360" s="14" t="s">
        <v>97</v>
      </c>
      <c r="D360" s="15">
        <v>0</v>
      </c>
      <c r="E360" s="15">
        <v>0</v>
      </c>
      <c r="F360" s="15">
        <v>0</v>
      </c>
      <c r="G360" s="16">
        <v>55</v>
      </c>
      <c r="H360" s="17">
        <v>1</v>
      </c>
      <c r="I360" s="17">
        <v>0</v>
      </c>
      <c r="J360" s="16">
        <v>0</v>
      </c>
      <c r="K360" s="15">
        <v>0</v>
      </c>
      <c r="L360" s="17">
        <v>0</v>
      </c>
      <c r="M360" s="17">
        <v>0</v>
      </c>
      <c r="N360" s="17">
        <v>0</v>
      </c>
      <c r="O360" s="15">
        <v>0</v>
      </c>
      <c r="P360" s="15">
        <v>0</v>
      </c>
      <c r="Q360" s="15">
        <v>5</v>
      </c>
      <c r="R360" s="15">
        <v>0</v>
      </c>
      <c r="S360" s="14" t="s">
        <v>93</v>
      </c>
      <c r="T360" s="18">
        <v>2</v>
      </c>
    </row>
    <row r="361" spans="1:20" ht="14.4">
      <c r="A361" s="26">
        <v>340394</v>
      </c>
      <c r="B361" s="19" t="s">
        <v>85</v>
      </c>
      <c r="C361" s="19" t="s">
        <v>97</v>
      </c>
      <c r="D361" s="20">
        <v>0</v>
      </c>
      <c r="E361" s="20">
        <v>0</v>
      </c>
      <c r="F361" s="20">
        <v>0</v>
      </c>
      <c r="G361" s="21">
        <v>55</v>
      </c>
      <c r="H361" s="22">
        <v>1</v>
      </c>
      <c r="I361" s="22">
        <v>0</v>
      </c>
      <c r="J361" s="21">
        <v>0</v>
      </c>
      <c r="K361" s="20">
        <v>0</v>
      </c>
      <c r="L361" s="22">
        <v>0</v>
      </c>
      <c r="M361" s="22">
        <v>0</v>
      </c>
      <c r="N361" s="22">
        <v>0</v>
      </c>
      <c r="O361" s="20">
        <v>0</v>
      </c>
      <c r="P361" s="20">
        <v>0</v>
      </c>
      <c r="Q361" s="20">
        <v>5</v>
      </c>
      <c r="R361" s="20">
        <v>0</v>
      </c>
      <c r="S361" s="19" t="s">
        <v>93</v>
      </c>
      <c r="T361" s="23">
        <v>2</v>
      </c>
    </row>
    <row r="362" spans="1:20" ht="14.4">
      <c r="A362" s="13">
        <v>340395</v>
      </c>
      <c r="B362" s="14" t="s">
        <v>85</v>
      </c>
      <c r="C362" s="14" t="s">
        <v>97</v>
      </c>
      <c r="D362" s="15">
        <v>0</v>
      </c>
      <c r="E362" s="15">
        <v>0</v>
      </c>
      <c r="F362" s="15">
        <v>0</v>
      </c>
      <c r="G362" s="16">
        <v>40</v>
      </c>
      <c r="H362" s="17">
        <v>1</v>
      </c>
      <c r="I362" s="17">
        <v>0</v>
      </c>
      <c r="J362" s="16">
        <v>0</v>
      </c>
      <c r="K362" s="15">
        <v>0</v>
      </c>
      <c r="L362" s="17">
        <v>0</v>
      </c>
      <c r="M362" s="17">
        <v>0</v>
      </c>
      <c r="N362" s="17">
        <v>0</v>
      </c>
      <c r="O362" s="15">
        <v>0</v>
      </c>
      <c r="P362" s="15">
        <v>0</v>
      </c>
      <c r="Q362" s="15">
        <v>10</v>
      </c>
      <c r="R362" s="15">
        <v>0</v>
      </c>
      <c r="S362" s="14" t="s">
        <v>93</v>
      </c>
      <c r="T362" s="18">
        <v>2</v>
      </c>
    </row>
    <row r="363" spans="1:20" ht="14.4">
      <c r="A363" s="26">
        <v>340397</v>
      </c>
      <c r="B363" s="19" t="s">
        <v>85</v>
      </c>
      <c r="C363" s="19" t="s">
        <v>97</v>
      </c>
      <c r="D363" s="20">
        <v>0</v>
      </c>
      <c r="E363" s="20">
        <v>0</v>
      </c>
      <c r="F363" s="20">
        <v>0</v>
      </c>
      <c r="G363" s="21">
        <v>40</v>
      </c>
      <c r="H363" s="22">
        <v>1</v>
      </c>
      <c r="I363" s="22">
        <v>0</v>
      </c>
      <c r="J363" s="21">
        <v>0</v>
      </c>
      <c r="K363" s="20">
        <v>0</v>
      </c>
      <c r="L363" s="22">
        <v>0</v>
      </c>
      <c r="M363" s="22">
        <v>0</v>
      </c>
      <c r="N363" s="22">
        <v>0</v>
      </c>
      <c r="O363" s="20">
        <v>0</v>
      </c>
      <c r="P363" s="20">
        <v>0</v>
      </c>
      <c r="Q363" s="20">
        <v>10</v>
      </c>
      <c r="R363" s="20">
        <v>0</v>
      </c>
      <c r="S363" s="19" t="s">
        <v>93</v>
      </c>
      <c r="T363" s="23">
        <v>2</v>
      </c>
    </row>
    <row r="364" spans="1:20" ht="14.4">
      <c r="A364" s="13">
        <v>340398</v>
      </c>
      <c r="B364" s="14" t="s">
        <v>85</v>
      </c>
      <c r="C364" s="14" t="s">
        <v>97</v>
      </c>
      <c r="D364" s="15">
        <v>0</v>
      </c>
      <c r="E364" s="15">
        <v>0</v>
      </c>
      <c r="F364" s="15">
        <v>0</v>
      </c>
      <c r="G364" s="16">
        <v>40</v>
      </c>
      <c r="H364" s="17">
        <v>1</v>
      </c>
      <c r="I364" s="17">
        <v>0</v>
      </c>
      <c r="J364" s="16">
        <v>0</v>
      </c>
      <c r="K364" s="15">
        <v>0</v>
      </c>
      <c r="L364" s="17">
        <v>0</v>
      </c>
      <c r="M364" s="17">
        <v>0</v>
      </c>
      <c r="N364" s="17">
        <v>0</v>
      </c>
      <c r="O364" s="15">
        <v>0</v>
      </c>
      <c r="P364" s="15">
        <v>0</v>
      </c>
      <c r="Q364" s="15">
        <v>10</v>
      </c>
      <c r="R364" s="15">
        <v>0</v>
      </c>
      <c r="S364" s="14" t="s">
        <v>93</v>
      </c>
      <c r="T364" s="18">
        <v>2</v>
      </c>
    </row>
    <row r="365" spans="1:20" ht="14.4">
      <c r="A365" s="26">
        <v>340399</v>
      </c>
      <c r="B365" s="19" t="s">
        <v>85</v>
      </c>
      <c r="C365" s="19" t="s">
        <v>97</v>
      </c>
      <c r="D365" s="20">
        <v>0</v>
      </c>
      <c r="E365" s="20">
        <v>0</v>
      </c>
      <c r="F365" s="20">
        <v>0</v>
      </c>
      <c r="G365" s="21">
        <v>40</v>
      </c>
      <c r="H365" s="22">
        <v>1</v>
      </c>
      <c r="I365" s="22">
        <v>0</v>
      </c>
      <c r="J365" s="21">
        <v>0</v>
      </c>
      <c r="K365" s="20">
        <v>0</v>
      </c>
      <c r="L365" s="22">
        <v>0</v>
      </c>
      <c r="M365" s="22">
        <v>0</v>
      </c>
      <c r="N365" s="22">
        <v>0</v>
      </c>
      <c r="O365" s="20">
        <v>0</v>
      </c>
      <c r="P365" s="20">
        <v>0</v>
      </c>
      <c r="Q365" s="20">
        <v>10</v>
      </c>
      <c r="R365" s="20">
        <v>0</v>
      </c>
      <c r="S365" s="19" t="s">
        <v>93</v>
      </c>
      <c r="T365" s="23">
        <v>2</v>
      </c>
    </row>
    <row r="366" spans="1:20" ht="14.4">
      <c r="A366" s="13">
        <v>340403</v>
      </c>
      <c r="B366" s="14" t="s">
        <v>85</v>
      </c>
      <c r="C366" s="14" t="s">
        <v>97</v>
      </c>
      <c r="D366" s="15">
        <v>0</v>
      </c>
      <c r="E366" s="15">
        <v>35</v>
      </c>
      <c r="F366" s="15">
        <v>0</v>
      </c>
      <c r="G366" s="16">
        <v>60</v>
      </c>
      <c r="H366" s="17">
        <v>1</v>
      </c>
      <c r="I366" s="17">
        <v>0</v>
      </c>
      <c r="J366" s="16">
        <v>0</v>
      </c>
      <c r="K366" s="15">
        <v>0</v>
      </c>
      <c r="L366" s="17">
        <v>0</v>
      </c>
      <c r="M366" s="17">
        <v>0</v>
      </c>
      <c r="N366" s="17">
        <v>0</v>
      </c>
      <c r="O366" s="15">
        <v>0</v>
      </c>
      <c r="P366" s="15">
        <v>0</v>
      </c>
      <c r="Q366" s="15">
        <v>0</v>
      </c>
      <c r="R366" s="15">
        <v>0</v>
      </c>
      <c r="S366" s="14" t="s">
        <v>93</v>
      </c>
      <c r="T366" s="18">
        <v>3</v>
      </c>
    </row>
    <row r="367" spans="1:20" ht="14.4">
      <c r="A367" s="26">
        <v>340405</v>
      </c>
      <c r="B367" s="19" t="s">
        <v>85</v>
      </c>
      <c r="C367" s="19" t="s">
        <v>97</v>
      </c>
      <c r="D367" s="20">
        <v>0</v>
      </c>
      <c r="E367" s="20">
        <v>35</v>
      </c>
      <c r="F367" s="20">
        <v>0</v>
      </c>
      <c r="G367" s="21">
        <v>90</v>
      </c>
      <c r="H367" s="22">
        <v>1</v>
      </c>
      <c r="I367" s="22">
        <v>0</v>
      </c>
      <c r="J367" s="21">
        <v>0</v>
      </c>
      <c r="K367" s="20">
        <v>0</v>
      </c>
      <c r="L367" s="22">
        <v>0</v>
      </c>
      <c r="M367" s="22">
        <v>0</v>
      </c>
      <c r="N367" s="22">
        <v>0</v>
      </c>
      <c r="O367" s="20">
        <v>0</v>
      </c>
      <c r="P367" s="20">
        <v>0</v>
      </c>
      <c r="Q367" s="20">
        <v>0</v>
      </c>
      <c r="R367" s="20">
        <v>0</v>
      </c>
      <c r="S367" s="19" t="s">
        <v>93</v>
      </c>
      <c r="T367" s="23">
        <v>4</v>
      </c>
    </row>
    <row r="368" spans="1:20" ht="14.4">
      <c r="A368" s="13">
        <v>340411</v>
      </c>
      <c r="B368" s="14" t="s">
        <v>85</v>
      </c>
      <c r="C368" s="14" t="s">
        <v>97</v>
      </c>
      <c r="D368" s="15">
        <v>0</v>
      </c>
      <c r="E368" s="15">
        <v>35</v>
      </c>
      <c r="F368" s="15">
        <v>0</v>
      </c>
      <c r="G368" s="16">
        <v>50</v>
      </c>
      <c r="H368" s="17">
        <v>1</v>
      </c>
      <c r="I368" s="17">
        <v>0</v>
      </c>
      <c r="J368" s="16">
        <v>0</v>
      </c>
      <c r="K368" s="15">
        <v>0</v>
      </c>
      <c r="L368" s="17">
        <v>0</v>
      </c>
      <c r="M368" s="17">
        <v>0</v>
      </c>
      <c r="N368" s="17">
        <v>0</v>
      </c>
      <c r="O368" s="15">
        <v>0</v>
      </c>
      <c r="P368" s="15">
        <v>0</v>
      </c>
      <c r="Q368" s="15">
        <v>0</v>
      </c>
      <c r="R368" s="15">
        <v>0</v>
      </c>
      <c r="S368" s="14" t="s">
        <v>93</v>
      </c>
      <c r="T368" s="18">
        <v>2</v>
      </c>
    </row>
    <row r="369" spans="1:20" ht="14.4">
      <c r="A369" s="26">
        <v>340412</v>
      </c>
      <c r="B369" s="19" t="s">
        <v>85</v>
      </c>
      <c r="C369" s="19" t="s">
        <v>97</v>
      </c>
      <c r="D369" s="20">
        <v>0</v>
      </c>
      <c r="E369" s="20">
        <v>35</v>
      </c>
      <c r="F369" s="20">
        <v>0</v>
      </c>
      <c r="G369" s="21">
        <v>60</v>
      </c>
      <c r="H369" s="22">
        <v>1</v>
      </c>
      <c r="I369" s="22">
        <v>0</v>
      </c>
      <c r="J369" s="21">
        <v>0</v>
      </c>
      <c r="K369" s="20">
        <v>0</v>
      </c>
      <c r="L369" s="22">
        <v>0</v>
      </c>
      <c r="M369" s="22">
        <v>0</v>
      </c>
      <c r="N369" s="22">
        <v>0</v>
      </c>
      <c r="O369" s="20">
        <v>0</v>
      </c>
      <c r="P369" s="20">
        <v>0</v>
      </c>
      <c r="Q369" s="20">
        <v>0</v>
      </c>
      <c r="R369" s="20">
        <v>0</v>
      </c>
      <c r="S369" s="19" t="s">
        <v>93</v>
      </c>
      <c r="T369" s="23">
        <v>3</v>
      </c>
    </row>
    <row r="370" spans="1:20" ht="14.4">
      <c r="A370" s="13">
        <v>340414</v>
      </c>
      <c r="B370" s="14" t="s">
        <v>85</v>
      </c>
      <c r="C370" s="14" t="s">
        <v>97</v>
      </c>
      <c r="D370" s="15">
        <v>0</v>
      </c>
      <c r="E370" s="15">
        <v>35</v>
      </c>
      <c r="F370" s="15">
        <v>0</v>
      </c>
      <c r="G370" s="16">
        <v>70</v>
      </c>
      <c r="H370" s="17">
        <v>1</v>
      </c>
      <c r="I370" s="17">
        <v>0</v>
      </c>
      <c r="J370" s="16">
        <v>0</v>
      </c>
      <c r="K370" s="15">
        <v>0</v>
      </c>
      <c r="L370" s="17">
        <v>0</v>
      </c>
      <c r="M370" s="17">
        <v>0</v>
      </c>
      <c r="N370" s="17">
        <v>0</v>
      </c>
      <c r="O370" s="15">
        <v>0</v>
      </c>
      <c r="P370" s="15">
        <v>0</v>
      </c>
      <c r="Q370" s="15">
        <v>0</v>
      </c>
      <c r="R370" s="15">
        <v>0</v>
      </c>
      <c r="S370" s="14" t="s">
        <v>93</v>
      </c>
      <c r="T370" s="18">
        <v>3</v>
      </c>
    </row>
    <row r="371" spans="1:20" ht="14.4">
      <c r="A371" s="26">
        <v>340417</v>
      </c>
      <c r="B371" s="19" t="s">
        <v>85</v>
      </c>
      <c r="C371" s="19" t="s">
        <v>97</v>
      </c>
      <c r="D371" s="20">
        <v>0</v>
      </c>
      <c r="E371" s="20">
        <v>35</v>
      </c>
      <c r="F371" s="20">
        <v>0</v>
      </c>
      <c r="G371" s="21">
        <v>50</v>
      </c>
      <c r="H371" s="22">
        <v>1</v>
      </c>
      <c r="I371" s="22">
        <v>0</v>
      </c>
      <c r="J371" s="21">
        <v>0</v>
      </c>
      <c r="K371" s="20">
        <v>0</v>
      </c>
      <c r="L371" s="22">
        <v>0</v>
      </c>
      <c r="M371" s="22">
        <v>0</v>
      </c>
      <c r="N371" s="22">
        <v>0</v>
      </c>
      <c r="O371" s="20">
        <v>0</v>
      </c>
      <c r="P371" s="20">
        <v>0</v>
      </c>
      <c r="Q371" s="20">
        <v>0</v>
      </c>
      <c r="R371" s="20">
        <v>0</v>
      </c>
      <c r="S371" s="19" t="s">
        <v>93</v>
      </c>
      <c r="T371" s="23">
        <v>2</v>
      </c>
    </row>
    <row r="372" spans="1:20" ht="14.4">
      <c r="A372" s="13">
        <v>340427</v>
      </c>
      <c r="B372" s="14" t="s">
        <v>85</v>
      </c>
      <c r="C372" s="14" t="s">
        <v>97</v>
      </c>
      <c r="D372" s="15">
        <v>0</v>
      </c>
      <c r="E372" s="15">
        <v>35</v>
      </c>
      <c r="F372" s="15">
        <v>0</v>
      </c>
      <c r="G372" s="16">
        <v>60</v>
      </c>
      <c r="H372" s="17">
        <v>1</v>
      </c>
      <c r="I372" s="17">
        <v>0</v>
      </c>
      <c r="J372" s="16">
        <v>0</v>
      </c>
      <c r="K372" s="15">
        <v>0</v>
      </c>
      <c r="L372" s="17">
        <v>0</v>
      </c>
      <c r="M372" s="17">
        <v>0</v>
      </c>
      <c r="N372" s="17">
        <v>0</v>
      </c>
      <c r="O372" s="15">
        <v>0</v>
      </c>
      <c r="P372" s="15">
        <v>0</v>
      </c>
      <c r="Q372" s="15">
        <v>0</v>
      </c>
      <c r="R372" s="15">
        <v>0</v>
      </c>
      <c r="S372" s="14" t="s">
        <v>93</v>
      </c>
      <c r="T372" s="18">
        <v>3</v>
      </c>
    </row>
    <row r="373" spans="1:20" ht="14.4">
      <c r="A373" s="26">
        <v>340437</v>
      </c>
      <c r="B373" s="19" t="s">
        <v>85</v>
      </c>
      <c r="C373" s="19" t="s">
        <v>97</v>
      </c>
      <c r="D373" s="20">
        <v>0</v>
      </c>
      <c r="E373" s="20">
        <v>35</v>
      </c>
      <c r="F373" s="20">
        <v>0</v>
      </c>
      <c r="G373" s="21">
        <v>50</v>
      </c>
      <c r="H373" s="22">
        <v>1</v>
      </c>
      <c r="I373" s="22">
        <v>0</v>
      </c>
      <c r="J373" s="21">
        <v>0</v>
      </c>
      <c r="K373" s="20">
        <v>0</v>
      </c>
      <c r="L373" s="22">
        <v>0</v>
      </c>
      <c r="M373" s="22">
        <v>0</v>
      </c>
      <c r="N373" s="22">
        <v>0</v>
      </c>
      <c r="O373" s="20">
        <v>0</v>
      </c>
      <c r="P373" s="20">
        <v>0</v>
      </c>
      <c r="Q373" s="20">
        <v>25</v>
      </c>
      <c r="R373" s="20">
        <v>0</v>
      </c>
      <c r="S373" s="19" t="s">
        <v>93</v>
      </c>
      <c r="T373" s="23">
        <v>2</v>
      </c>
    </row>
    <row r="374" spans="1:20" ht="14.4">
      <c r="A374" s="13">
        <v>340439</v>
      </c>
      <c r="B374" s="14" t="s">
        <v>85</v>
      </c>
      <c r="C374" s="14" t="s">
        <v>97</v>
      </c>
      <c r="D374" s="15">
        <v>0</v>
      </c>
      <c r="E374" s="15">
        <v>35</v>
      </c>
      <c r="F374" s="15">
        <v>0</v>
      </c>
      <c r="G374" s="16">
        <v>70</v>
      </c>
      <c r="H374" s="17">
        <v>1</v>
      </c>
      <c r="I374" s="17">
        <v>0</v>
      </c>
      <c r="J374" s="16">
        <v>0</v>
      </c>
      <c r="K374" s="15">
        <v>0</v>
      </c>
      <c r="L374" s="17">
        <v>0</v>
      </c>
      <c r="M374" s="17">
        <v>0</v>
      </c>
      <c r="N374" s="17">
        <v>0</v>
      </c>
      <c r="O374" s="15">
        <v>0</v>
      </c>
      <c r="P374" s="15">
        <v>0</v>
      </c>
      <c r="Q374" s="15">
        <v>0</v>
      </c>
      <c r="R374" s="15">
        <v>0</v>
      </c>
      <c r="S374" s="14" t="s">
        <v>93</v>
      </c>
      <c r="T374" s="18">
        <v>3</v>
      </c>
    </row>
    <row r="375" spans="1:20" ht="14.4">
      <c r="A375" s="26">
        <v>340452</v>
      </c>
      <c r="B375" s="19" t="s">
        <v>85</v>
      </c>
      <c r="C375" s="19" t="s">
        <v>97</v>
      </c>
      <c r="D375" s="20">
        <v>0</v>
      </c>
      <c r="E375" s="20">
        <v>35</v>
      </c>
      <c r="F375" s="20">
        <v>0</v>
      </c>
      <c r="G375" s="21">
        <v>55</v>
      </c>
      <c r="H375" s="22">
        <v>1</v>
      </c>
      <c r="I375" s="22">
        <v>0</v>
      </c>
      <c r="J375" s="21">
        <v>0</v>
      </c>
      <c r="K375" s="20">
        <v>0</v>
      </c>
      <c r="L375" s="22">
        <v>0</v>
      </c>
      <c r="M375" s="22">
        <v>0</v>
      </c>
      <c r="N375" s="22">
        <v>0</v>
      </c>
      <c r="O375" s="20">
        <v>0</v>
      </c>
      <c r="P375" s="20">
        <v>0</v>
      </c>
      <c r="Q375" s="20">
        <v>20</v>
      </c>
      <c r="R375" s="20">
        <v>0</v>
      </c>
      <c r="S375" s="19" t="s">
        <v>93</v>
      </c>
      <c r="T375" s="23">
        <v>2</v>
      </c>
    </row>
    <row r="376" spans="1:20" ht="14.4">
      <c r="A376" s="13">
        <v>340459</v>
      </c>
      <c r="B376" s="14" t="s">
        <v>85</v>
      </c>
      <c r="C376" s="14" t="s">
        <v>97</v>
      </c>
      <c r="D376" s="15">
        <v>0</v>
      </c>
      <c r="E376" s="15">
        <v>35</v>
      </c>
      <c r="F376" s="15">
        <v>0</v>
      </c>
      <c r="G376" s="16">
        <v>60</v>
      </c>
      <c r="H376" s="17">
        <v>1</v>
      </c>
      <c r="I376" s="17">
        <v>0</v>
      </c>
      <c r="J376" s="16">
        <v>0</v>
      </c>
      <c r="K376" s="15">
        <v>0</v>
      </c>
      <c r="L376" s="17">
        <v>0</v>
      </c>
      <c r="M376" s="17">
        <v>0</v>
      </c>
      <c r="N376" s="17">
        <v>0</v>
      </c>
      <c r="O376" s="15">
        <v>0</v>
      </c>
      <c r="P376" s="15">
        <v>0</v>
      </c>
      <c r="Q376" s="15">
        <v>0</v>
      </c>
      <c r="R376" s="15">
        <v>0</v>
      </c>
      <c r="S376" s="14" t="s">
        <v>93</v>
      </c>
      <c r="T376" s="18">
        <v>3</v>
      </c>
    </row>
    <row r="377" spans="1:20" ht="14.4">
      <c r="A377" s="26">
        <v>340461</v>
      </c>
      <c r="B377" s="19" t="s">
        <v>85</v>
      </c>
      <c r="C377" s="19" t="s">
        <v>97</v>
      </c>
      <c r="D377" s="20">
        <v>0</v>
      </c>
      <c r="E377" s="20">
        <v>35</v>
      </c>
      <c r="F377" s="20">
        <v>0</v>
      </c>
      <c r="G377" s="21">
        <v>65</v>
      </c>
      <c r="H377" s="22">
        <v>1</v>
      </c>
      <c r="I377" s="22">
        <v>0</v>
      </c>
      <c r="J377" s="21">
        <v>0</v>
      </c>
      <c r="K377" s="20">
        <v>0</v>
      </c>
      <c r="L377" s="22">
        <v>0</v>
      </c>
      <c r="M377" s="22">
        <v>0</v>
      </c>
      <c r="N377" s="22">
        <v>0</v>
      </c>
      <c r="O377" s="20">
        <v>0</v>
      </c>
      <c r="P377" s="20">
        <v>0</v>
      </c>
      <c r="Q377" s="20">
        <v>0</v>
      </c>
      <c r="R377" s="20">
        <v>0</v>
      </c>
      <c r="S377" s="19" t="s">
        <v>93</v>
      </c>
      <c r="T377" s="23">
        <v>3</v>
      </c>
    </row>
    <row r="378" spans="1:20" ht="14.4">
      <c r="A378" s="13">
        <v>340462</v>
      </c>
      <c r="B378" s="14" t="s">
        <v>85</v>
      </c>
      <c r="C378" s="14" t="s">
        <v>97</v>
      </c>
      <c r="D378" s="15">
        <v>0</v>
      </c>
      <c r="E378" s="15">
        <v>35</v>
      </c>
      <c r="F378" s="15">
        <v>0</v>
      </c>
      <c r="G378" s="16">
        <v>75</v>
      </c>
      <c r="H378" s="17">
        <v>1</v>
      </c>
      <c r="I378" s="17">
        <v>0</v>
      </c>
      <c r="J378" s="16">
        <v>0</v>
      </c>
      <c r="K378" s="15">
        <v>0</v>
      </c>
      <c r="L378" s="17">
        <v>0</v>
      </c>
      <c r="M378" s="17">
        <v>0</v>
      </c>
      <c r="N378" s="17">
        <v>0</v>
      </c>
      <c r="O378" s="15">
        <v>0</v>
      </c>
      <c r="P378" s="15">
        <v>0</v>
      </c>
      <c r="Q378" s="15">
        <v>0</v>
      </c>
      <c r="R378" s="15">
        <v>0</v>
      </c>
      <c r="S378" s="14" t="s">
        <v>93</v>
      </c>
      <c r="T378" s="18">
        <v>3</v>
      </c>
    </row>
    <row r="379" spans="1:20" ht="14.4">
      <c r="A379" s="26">
        <v>340466</v>
      </c>
      <c r="B379" s="19" t="s">
        <v>85</v>
      </c>
      <c r="C379" s="19" t="s">
        <v>97</v>
      </c>
      <c r="D379" s="20">
        <v>0</v>
      </c>
      <c r="E379" s="20">
        <v>35</v>
      </c>
      <c r="F379" s="20">
        <v>0</v>
      </c>
      <c r="G379" s="21">
        <v>70</v>
      </c>
      <c r="H379" s="22">
        <v>1</v>
      </c>
      <c r="I379" s="22">
        <v>0</v>
      </c>
      <c r="J379" s="21">
        <v>0</v>
      </c>
      <c r="K379" s="20">
        <v>0</v>
      </c>
      <c r="L379" s="22">
        <v>0</v>
      </c>
      <c r="M379" s="22">
        <v>0</v>
      </c>
      <c r="N379" s="22">
        <v>0</v>
      </c>
      <c r="O379" s="20">
        <v>0</v>
      </c>
      <c r="P379" s="20">
        <v>0</v>
      </c>
      <c r="Q379" s="20">
        <v>25</v>
      </c>
      <c r="R379" s="20">
        <v>0</v>
      </c>
      <c r="S379" s="19" t="s">
        <v>93</v>
      </c>
      <c r="T379" s="23">
        <v>3</v>
      </c>
    </row>
    <row r="380" spans="1:20" ht="14.4">
      <c r="A380" s="13">
        <v>340468</v>
      </c>
      <c r="B380" s="14" t="s">
        <v>85</v>
      </c>
      <c r="C380" s="14" t="s">
        <v>97</v>
      </c>
      <c r="D380" s="15">
        <v>0</v>
      </c>
      <c r="E380" s="15">
        <v>35</v>
      </c>
      <c r="F380" s="15">
        <v>0</v>
      </c>
      <c r="G380" s="16">
        <v>50</v>
      </c>
      <c r="H380" s="17">
        <v>1</v>
      </c>
      <c r="I380" s="17">
        <v>0</v>
      </c>
      <c r="J380" s="16">
        <v>0</v>
      </c>
      <c r="K380" s="15">
        <v>0</v>
      </c>
      <c r="L380" s="17">
        <v>0</v>
      </c>
      <c r="M380" s="17">
        <v>0</v>
      </c>
      <c r="N380" s="17">
        <v>0</v>
      </c>
      <c r="O380" s="15">
        <v>0</v>
      </c>
      <c r="P380" s="15">
        <v>0</v>
      </c>
      <c r="Q380" s="15">
        <v>0</v>
      </c>
      <c r="R380" s="15">
        <v>0</v>
      </c>
      <c r="S380" s="14" t="s">
        <v>93</v>
      </c>
      <c r="T380" s="18">
        <v>2</v>
      </c>
    </row>
    <row r="381" spans="1:20" ht="14.4">
      <c r="A381" s="26">
        <v>340485</v>
      </c>
      <c r="B381" s="19" t="s">
        <v>85</v>
      </c>
      <c r="C381" s="19" t="s">
        <v>97</v>
      </c>
      <c r="D381" s="20">
        <v>0</v>
      </c>
      <c r="E381" s="20">
        <v>35</v>
      </c>
      <c r="F381" s="20">
        <v>0</v>
      </c>
      <c r="G381" s="21">
        <v>90</v>
      </c>
      <c r="H381" s="22">
        <v>1</v>
      </c>
      <c r="I381" s="22">
        <v>0</v>
      </c>
      <c r="J381" s="21">
        <v>0</v>
      </c>
      <c r="K381" s="20">
        <v>0</v>
      </c>
      <c r="L381" s="22">
        <v>0</v>
      </c>
      <c r="M381" s="22">
        <v>0</v>
      </c>
      <c r="N381" s="22">
        <v>0</v>
      </c>
      <c r="O381" s="20">
        <v>0</v>
      </c>
      <c r="P381" s="20">
        <v>0</v>
      </c>
      <c r="Q381" s="20">
        <v>0</v>
      </c>
      <c r="R381" s="20">
        <v>0</v>
      </c>
      <c r="S381" s="19" t="s">
        <v>93</v>
      </c>
      <c r="T381" s="23">
        <v>4</v>
      </c>
    </row>
    <row r="382" spans="1:20" ht="14.4">
      <c r="A382" s="13">
        <v>340487</v>
      </c>
      <c r="B382" s="14" t="s">
        <v>85</v>
      </c>
      <c r="C382" s="14" t="s">
        <v>97</v>
      </c>
      <c r="D382" s="15">
        <v>0</v>
      </c>
      <c r="E382" s="15">
        <v>35</v>
      </c>
      <c r="F382" s="15">
        <v>0</v>
      </c>
      <c r="G382" s="16">
        <v>190</v>
      </c>
      <c r="H382" s="17">
        <v>1</v>
      </c>
      <c r="I382" s="17">
        <v>0</v>
      </c>
      <c r="J382" s="16">
        <v>0</v>
      </c>
      <c r="K382" s="15">
        <v>0</v>
      </c>
      <c r="L382" s="17">
        <v>0</v>
      </c>
      <c r="M382" s="17">
        <v>0</v>
      </c>
      <c r="N382" s="17">
        <v>0</v>
      </c>
      <c r="O382" s="15">
        <v>0</v>
      </c>
      <c r="P382" s="15">
        <v>0</v>
      </c>
      <c r="Q382" s="15">
        <v>40</v>
      </c>
      <c r="R382" s="15">
        <v>0</v>
      </c>
      <c r="S382" s="14" t="s">
        <v>93</v>
      </c>
      <c r="T382" s="18">
        <v>9</v>
      </c>
    </row>
    <row r="383" spans="1:20" ht="14.4">
      <c r="A383" s="26">
        <v>340490</v>
      </c>
      <c r="B383" s="19" t="s">
        <v>85</v>
      </c>
      <c r="C383" s="19" t="s">
        <v>97</v>
      </c>
      <c r="D383" s="20">
        <v>0</v>
      </c>
      <c r="E383" s="20">
        <v>35</v>
      </c>
      <c r="F383" s="20">
        <v>0</v>
      </c>
      <c r="G383" s="21">
        <v>90</v>
      </c>
      <c r="H383" s="22">
        <v>1</v>
      </c>
      <c r="I383" s="22">
        <v>0</v>
      </c>
      <c r="J383" s="21">
        <v>0</v>
      </c>
      <c r="K383" s="20">
        <v>0</v>
      </c>
      <c r="L383" s="22">
        <v>0</v>
      </c>
      <c r="M383" s="22">
        <v>0</v>
      </c>
      <c r="N383" s="22">
        <v>0</v>
      </c>
      <c r="O383" s="20">
        <v>0</v>
      </c>
      <c r="P383" s="20">
        <v>0</v>
      </c>
      <c r="Q383" s="20">
        <v>0</v>
      </c>
      <c r="R383" s="20">
        <v>0</v>
      </c>
      <c r="S383" s="19" t="s">
        <v>93</v>
      </c>
      <c r="T383" s="23">
        <v>4</v>
      </c>
    </row>
    <row r="384" spans="1:20" ht="14.4">
      <c r="A384" s="13">
        <v>340494</v>
      </c>
      <c r="B384" s="14" t="s">
        <v>85</v>
      </c>
      <c r="C384" s="14" t="s">
        <v>97</v>
      </c>
      <c r="D384" s="15">
        <v>0</v>
      </c>
      <c r="E384" s="15">
        <v>35</v>
      </c>
      <c r="F384" s="15">
        <v>0</v>
      </c>
      <c r="G384" s="16">
        <v>60</v>
      </c>
      <c r="H384" s="17">
        <v>1</v>
      </c>
      <c r="I384" s="17">
        <v>0</v>
      </c>
      <c r="J384" s="16">
        <v>0</v>
      </c>
      <c r="K384" s="15">
        <v>0</v>
      </c>
      <c r="L384" s="17">
        <v>0</v>
      </c>
      <c r="M384" s="17">
        <v>0</v>
      </c>
      <c r="N384" s="17">
        <v>0</v>
      </c>
      <c r="O384" s="15">
        <v>0</v>
      </c>
      <c r="P384" s="15">
        <v>0</v>
      </c>
      <c r="Q384" s="15">
        <v>0</v>
      </c>
      <c r="R384" s="15">
        <v>0</v>
      </c>
      <c r="S384" s="14" t="s">
        <v>93</v>
      </c>
      <c r="T384" s="18">
        <v>3</v>
      </c>
    </row>
    <row r="385" spans="1:20" ht="14.4">
      <c r="A385" s="26">
        <v>340499</v>
      </c>
      <c r="B385" s="19" t="s">
        <v>85</v>
      </c>
      <c r="C385" s="19" t="s">
        <v>97</v>
      </c>
      <c r="D385" s="20">
        <v>0</v>
      </c>
      <c r="E385" s="20">
        <v>35</v>
      </c>
      <c r="F385" s="20">
        <v>0</v>
      </c>
      <c r="G385" s="21">
        <v>50</v>
      </c>
      <c r="H385" s="22">
        <v>1</v>
      </c>
      <c r="I385" s="22">
        <v>0</v>
      </c>
      <c r="J385" s="21">
        <v>0</v>
      </c>
      <c r="K385" s="20">
        <v>0</v>
      </c>
      <c r="L385" s="22">
        <v>0</v>
      </c>
      <c r="M385" s="22">
        <v>0</v>
      </c>
      <c r="N385" s="22">
        <v>0</v>
      </c>
      <c r="O385" s="20">
        <v>0</v>
      </c>
      <c r="P385" s="20">
        <v>0</v>
      </c>
      <c r="Q385" s="20">
        <v>0</v>
      </c>
      <c r="R385" s="20">
        <v>0</v>
      </c>
      <c r="S385" s="19" t="s">
        <v>93</v>
      </c>
      <c r="T385" s="23">
        <v>2</v>
      </c>
    </row>
    <row r="386" spans="1:20" ht="14.4">
      <c r="A386" s="13">
        <v>340510</v>
      </c>
      <c r="B386" s="14" t="s">
        <v>85</v>
      </c>
      <c r="C386" s="14" t="s">
        <v>97</v>
      </c>
      <c r="D386" s="15">
        <v>0</v>
      </c>
      <c r="E386" s="15">
        <v>35</v>
      </c>
      <c r="F386" s="15">
        <v>0</v>
      </c>
      <c r="G386" s="16">
        <v>50</v>
      </c>
      <c r="H386" s="17">
        <v>1</v>
      </c>
      <c r="I386" s="17">
        <v>0</v>
      </c>
      <c r="J386" s="16">
        <v>0</v>
      </c>
      <c r="K386" s="15">
        <v>0</v>
      </c>
      <c r="L386" s="17">
        <v>0</v>
      </c>
      <c r="M386" s="17">
        <v>0</v>
      </c>
      <c r="N386" s="17">
        <v>0</v>
      </c>
      <c r="O386" s="15">
        <v>0</v>
      </c>
      <c r="P386" s="15">
        <v>0</v>
      </c>
      <c r="Q386" s="15">
        <v>0</v>
      </c>
      <c r="R386" s="15">
        <v>0</v>
      </c>
      <c r="S386" s="14" t="s">
        <v>93</v>
      </c>
      <c r="T386" s="18">
        <v>2</v>
      </c>
    </row>
    <row r="387" spans="1:20" ht="14.4">
      <c r="A387" s="26">
        <v>340512</v>
      </c>
      <c r="B387" s="19" t="s">
        <v>85</v>
      </c>
      <c r="C387" s="19" t="s">
        <v>97</v>
      </c>
      <c r="D387" s="20">
        <v>0</v>
      </c>
      <c r="E387" s="20">
        <v>35</v>
      </c>
      <c r="F387" s="20">
        <v>0</v>
      </c>
      <c r="G387" s="21">
        <v>50</v>
      </c>
      <c r="H387" s="22">
        <v>1</v>
      </c>
      <c r="I387" s="22">
        <v>0</v>
      </c>
      <c r="J387" s="21">
        <v>0</v>
      </c>
      <c r="K387" s="20">
        <v>0</v>
      </c>
      <c r="L387" s="22">
        <v>0</v>
      </c>
      <c r="M387" s="22">
        <v>0</v>
      </c>
      <c r="N387" s="22">
        <v>0</v>
      </c>
      <c r="O387" s="20">
        <v>0</v>
      </c>
      <c r="P387" s="20">
        <v>0</v>
      </c>
      <c r="Q387" s="20">
        <v>0</v>
      </c>
      <c r="R387" s="20">
        <v>0</v>
      </c>
      <c r="S387" s="19" t="s">
        <v>93</v>
      </c>
      <c r="T387" s="23">
        <v>2</v>
      </c>
    </row>
    <row r="388" spans="1:20" ht="14.4">
      <c r="A388" s="13">
        <v>340515</v>
      </c>
      <c r="B388" s="14" t="s">
        <v>85</v>
      </c>
      <c r="C388" s="14" t="s">
        <v>97</v>
      </c>
      <c r="D388" s="15">
        <v>0</v>
      </c>
      <c r="E388" s="15">
        <v>35</v>
      </c>
      <c r="F388" s="15">
        <v>0</v>
      </c>
      <c r="G388" s="16">
        <v>50</v>
      </c>
      <c r="H388" s="17">
        <v>1</v>
      </c>
      <c r="I388" s="17">
        <v>0</v>
      </c>
      <c r="J388" s="16">
        <v>0</v>
      </c>
      <c r="K388" s="15">
        <v>0</v>
      </c>
      <c r="L388" s="17">
        <v>0</v>
      </c>
      <c r="M388" s="17">
        <v>0</v>
      </c>
      <c r="N388" s="17">
        <v>0</v>
      </c>
      <c r="O388" s="15">
        <v>0</v>
      </c>
      <c r="P388" s="15">
        <v>0</v>
      </c>
      <c r="Q388" s="15">
        <v>0</v>
      </c>
      <c r="R388" s="15">
        <v>0</v>
      </c>
      <c r="S388" s="14" t="s">
        <v>93</v>
      </c>
      <c r="T388" s="18">
        <v>2</v>
      </c>
    </row>
    <row r="389" spans="1:20" ht="14.4">
      <c r="A389" s="26">
        <v>340516</v>
      </c>
      <c r="B389" s="19" t="s">
        <v>85</v>
      </c>
      <c r="C389" s="19" t="s">
        <v>97</v>
      </c>
      <c r="D389" s="20">
        <v>0</v>
      </c>
      <c r="E389" s="20">
        <v>35</v>
      </c>
      <c r="F389" s="20">
        <v>0</v>
      </c>
      <c r="G389" s="21">
        <v>60</v>
      </c>
      <c r="H389" s="22">
        <v>1</v>
      </c>
      <c r="I389" s="22">
        <v>0</v>
      </c>
      <c r="J389" s="21">
        <v>0</v>
      </c>
      <c r="K389" s="20">
        <v>0</v>
      </c>
      <c r="L389" s="22">
        <v>0</v>
      </c>
      <c r="M389" s="22">
        <v>0</v>
      </c>
      <c r="N389" s="22">
        <v>0</v>
      </c>
      <c r="O389" s="20">
        <v>0</v>
      </c>
      <c r="P389" s="20">
        <v>0</v>
      </c>
      <c r="Q389" s="20">
        <v>0</v>
      </c>
      <c r="R389" s="20">
        <v>0</v>
      </c>
      <c r="S389" s="19" t="s">
        <v>93</v>
      </c>
      <c r="T389" s="23">
        <v>3</v>
      </c>
    </row>
    <row r="390" spans="1:20" ht="14.4">
      <c r="A390" s="13">
        <v>340524</v>
      </c>
      <c r="B390" s="14" t="s">
        <v>85</v>
      </c>
      <c r="C390" s="14" t="s">
        <v>97</v>
      </c>
      <c r="D390" s="15">
        <v>0</v>
      </c>
      <c r="E390" s="15">
        <v>35</v>
      </c>
      <c r="F390" s="15">
        <v>0</v>
      </c>
      <c r="G390" s="16">
        <v>50</v>
      </c>
      <c r="H390" s="17">
        <v>1</v>
      </c>
      <c r="I390" s="17">
        <v>0</v>
      </c>
      <c r="J390" s="16">
        <v>0</v>
      </c>
      <c r="K390" s="15">
        <v>0</v>
      </c>
      <c r="L390" s="17">
        <v>0</v>
      </c>
      <c r="M390" s="17">
        <v>0</v>
      </c>
      <c r="N390" s="17">
        <v>0</v>
      </c>
      <c r="O390" s="15">
        <v>0</v>
      </c>
      <c r="P390" s="15">
        <v>0</v>
      </c>
      <c r="Q390" s="15">
        <v>0</v>
      </c>
      <c r="R390" s="15">
        <v>0</v>
      </c>
      <c r="S390" s="14" t="s">
        <v>93</v>
      </c>
      <c r="T390" s="18">
        <v>2</v>
      </c>
    </row>
    <row r="391" spans="1:20" ht="14.4">
      <c r="A391" s="26">
        <v>340532</v>
      </c>
      <c r="B391" s="19" t="s">
        <v>85</v>
      </c>
      <c r="C391" s="19" t="s">
        <v>97</v>
      </c>
      <c r="D391" s="20">
        <v>0</v>
      </c>
      <c r="E391" s="20">
        <v>35</v>
      </c>
      <c r="F391" s="20">
        <v>0</v>
      </c>
      <c r="G391" s="21">
        <v>50</v>
      </c>
      <c r="H391" s="22">
        <v>1</v>
      </c>
      <c r="I391" s="22">
        <v>0</v>
      </c>
      <c r="J391" s="21">
        <v>0</v>
      </c>
      <c r="K391" s="20">
        <v>0</v>
      </c>
      <c r="L391" s="22">
        <v>0</v>
      </c>
      <c r="M391" s="22">
        <v>0</v>
      </c>
      <c r="N391" s="22">
        <v>0</v>
      </c>
      <c r="O391" s="20">
        <v>0</v>
      </c>
      <c r="P391" s="20">
        <v>0</v>
      </c>
      <c r="Q391" s="20">
        <v>0</v>
      </c>
      <c r="R391" s="20">
        <v>0</v>
      </c>
      <c r="S391" s="19" t="s">
        <v>93</v>
      </c>
      <c r="T391" s="23">
        <v>2</v>
      </c>
    </row>
    <row r="392" spans="1:20" ht="14.4">
      <c r="A392" s="13">
        <v>340533</v>
      </c>
      <c r="B392" s="14" t="s">
        <v>85</v>
      </c>
      <c r="C392" s="14" t="s">
        <v>97</v>
      </c>
      <c r="D392" s="15">
        <v>0</v>
      </c>
      <c r="E392" s="15">
        <v>35</v>
      </c>
      <c r="F392" s="15">
        <v>0</v>
      </c>
      <c r="G392" s="16">
        <v>75</v>
      </c>
      <c r="H392" s="17">
        <v>1</v>
      </c>
      <c r="I392" s="17">
        <v>0</v>
      </c>
      <c r="J392" s="16">
        <v>0</v>
      </c>
      <c r="K392" s="15">
        <v>0</v>
      </c>
      <c r="L392" s="17">
        <v>0</v>
      </c>
      <c r="M392" s="17">
        <v>0</v>
      </c>
      <c r="N392" s="17">
        <v>0</v>
      </c>
      <c r="O392" s="15">
        <v>0</v>
      </c>
      <c r="P392" s="15">
        <v>0</v>
      </c>
      <c r="Q392" s="15">
        <v>0</v>
      </c>
      <c r="R392" s="15">
        <v>0</v>
      </c>
      <c r="S392" s="14" t="s">
        <v>93</v>
      </c>
      <c r="T392" s="18">
        <v>3</v>
      </c>
    </row>
    <row r="393" spans="1:20" ht="14.4">
      <c r="A393" s="26">
        <v>340535</v>
      </c>
      <c r="B393" s="19" t="s">
        <v>85</v>
      </c>
      <c r="C393" s="19" t="s">
        <v>97</v>
      </c>
      <c r="D393" s="20">
        <v>0</v>
      </c>
      <c r="E393" s="20">
        <v>35</v>
      </c>
      <c r="F393" s="20">
        <v>0</v>
      </c>
      <c r="G393" s="21">
        <v>80</v>
      </c>
      <c r="H393" s="22">
        <v>1</v>
      </c>
      <c r="I393" s="22">
        <v>0</v>
      </c>
      <c r="J393" s="21">
        <v>0</v>
      </c>
      <c r="K393" s="20">
        <v>0</v>
      </c>
      <c r="L393" s="22">
        <v>0</v>
      </c>
      <c r="M393" s="22">
        <v>0</v>
      </c>
      <c r="N393" s="22">
        <v>0</v>
      </c>
      <c r="O393" s="20">
        <v>0</v>
      </c>
      <c r="P393" s="20">
        <v>0</v>
      </c>
      <c r="Q393" s="20">
        <v>0</v>
      </c>
      <c r="R393" s="20">
        <v>0</v>
      </c>
      <c r="S393" s="19" t="s">
        <v>93</v>
      </c>
      <c r="T393" s="23">
        <v>4</v>
      </c>
    </row>
    <row r="394" spans="1:20" ht="14.4">
      <c r="A394" s="13">
        <v>340539</v>
      </c>
      <c r="B394" s="14" t="s">
        <v>85</v>
      </c>
      <c r="C394" s="14" t="s">
        <v>97</v>
      </c>
      <c r="D394" s="15">
        <v>0</v>
      </c>
      <c r="E394" s="15">
        <v>35</v>
      </c>
      <c r="F394" s="15">
        <v>0</v>
      </c>
      <c r="G394" s="16">
        <v>50</v>
      </c>
      <c r="H394" s="17">
        <v>1</v>
      </c>
      <c r="I394" s="17">
        <v>0</v>
      </c>
      <c r="J394" s="16">
        <v>0</v>
      </c>
      <c r="K394" s="15">
        <v>0</v>
      </c>
      <c r="L394" s="17">
        <v>0</v>
      </c>
      <c r="M394" s="17">
        <v>0</v>
      </c>
      <c r="N394" s="17">
        <v>0</v>
      </c>
      <c r="O394" s="15">
        <v>0</v>
      </c>
      <c r="P394" s="15">
        <v>0</v>
      </c>
      <c r="Q394" s="15">
        <v>0</v>
      </c>
      <c r="R394" s="15">
        <v>0</v>
      </c>
      <c r="S394" s="14" t="s">
        <v>93</v>
      </c>
      <c r="T394" s="18">
        <v>2</v>
      </c>
    </row>
    <row r="395" spans="1:20" ht="14.4">
      <c r="A395" s="26">
        <v>340544</v>
      </c>
      <c r="B395" s="19" t="s">
        <v>85</v>
      </c>
      <c r="C395" s="19" t="s">
        <v>97</v>
      </c>
      <c r="D395" s="20">
        <v>0</v>
      </c>
      <c r="E395" s="20">
        <v>35</v>
      </c>
      <c r="F395" s="20">
        <v>0</v>
      </c>
      <c r="G395" s="21">
        <v>65</v>
      </c>
      <c r="H395" s="22">
        <v>1</v>
      </c>
      <c r="I395" s="22">
        <v>0</v>
      </c>
      <c r="J395" s="21">
        <v>0</v>
      </c>
      <c r="K395" s="20">
        <v>0</v>
      </c>
      <c r="L395" s="22">
        <v>0</v>
      </c>
      <c r="M395" s="22">
        <v>0</v>
      </c>
      <c r="N395" s="22">
        <v>0</v>
      </c>
      <c r="O395" s="20">
        <v>0</v>
      </c>
      <c r="P395" s="20">
        <v>0</v>
      </c>
      <c r="Q395" s="20">
        <v>0</v>
      </c>
      <c r="R395" s="20">
        <v>0</v>
      </c>
      <c r="S395" s="19" t="s">
        <v>93</v>
      </c>
      <c r="T395" s="23">
        <v>3</v>
      </c>
    </row>
    <row r="396" spans="1:20" ht="14.4">
      <c r="A396" s="13">
        <v>340545</v>
      </c>
      <c r="B396" s="14" t="s">
        <v>85</v>
      </c>
      <c r="C396" s="14" t="s">
        <v>97</v>
      </c>
      <c r="D396" s="15">
        <v>0</v>
      </c>
      <c r="E396" s="15">
        <v>35</v>
      </c>
      <c r="F396" s="15">
        <v>0</v>
      </c>
      <c r="G396" s="16">
        <v>50</v>
      </c>
      <c r="H396" s="17">
        <v>1</v>
      </c>
      <c r="I396" s="17">
        <v>0</v>
      </c>
      <c r="J396" s="16">
        <v>0</v>
      </c>
      <c r="K396" s="15">
        <v>0</v>
      </c>
      <c r="L396" s="17">
        <v>0</v>
      </c>
      <c r="M396" s="17">
        <v>0</v>
      </c>
      <c r="N396" s="17">
        <v>0</v>
      </c>
      <c r="O396" s="15">
        <v>0</v>
      </c>
      <c r="P396" s="15">
        <v>0</v>
      </c>
      <c r="Q396" s="15">
        <v>10</v>
      </c>
      <c r="R396" s="15">
        <v>0</v>
      </c>
      <c r="S396" s="14" t="s">
        <v>93</v>
      </c>
      <c r="T396" s="18">
        <v>2</v>
      </c>
    </row>
    <row r="397" spans="1:20" ht="14.4">
      <c r="A397" s="26">
        <v>340552</v>
      </c>
      <c r="B397" s="19" t="s">
        <v>85</v>
      </c>
      <c r="C397" s="19" t="s">
        <v>97</v>
      </c>
      <c r="D397" s="20">
        <v>0</v>
      </c>
      <c r="E397" s="20">
        <v>35</v>
      </c>
      <c r="F397" s="20">
        <v>0</v>
      </c>
      <c r="G397" s="21">
        <v>60</v>
      </c>
      <c r="H397" s="22">
        <v>1</v>
      </c>
      <c r="I397" s="22">
        <v>0</v>
      </c>
      <c r="J397" s="21">
        <v>0</v>
      </c>
      <c r="K397" s="20">
        <v>0</v>
      </c>
      <c r="L397" s="22">
        <v>0</v>
      </c>
      <c r="M397" s="22">
        <v>0</v>
      </c>
      <c r="N397" s="22">
        <v>0</v>
      </c>
      <c r="O397" s="20">
        <v>0</v>
      </c>
      <c r="P397" s="20">
        <v>0</v>
      </c>
      <c r="Q397" s="20">
        <v>15</v>
      </c>
      <c r="R397" s="20">
        <v>0</v>
      </c>
      <c r="S397" s="19" t="s">
        <v>93</v>
      </c>
      <c r="T397" s="23">
        <v>3</v>
      </c>
    </row>
    <row r="398" spans="1:20" ht="14.4">
      <c r="A398" s="13">
        <v>340554</v>
      </c>
      <c r="B398" s="14" t="s">
        <v>85</v>
      </c>
      <c r="C398" s="14" t="s">
        <v>97</v>
      </c>
      <c r="D398" s="15">
        <v>0</v>
      </c>
      <c r="E398" s="15">
        <v>35</v>
      </c>
      <c r="F398" s="15">
        <v>0</v>
      </c>
      <c r="G398" s="16">
        <v>50</v>
      </c>
      <c r="H398" s="17">
        <v>1</v>
      </c>
      <c r="I398" s="17">
        <v>0</v>
      </c>
      <c r="J398" s="16">
        <v>0</v>
      </c>
      <c r="K398" s="15">
        <v>0</v>
      </c>
      <c r="L398" s="17">
        <v>0</v>
      </c>
      <c r="M398" s="17">
        <v>0</v>
      </c>
      <c r="N398" s="17">
        <v>0</v>
      </c>
      <c r="O398" s="15">
        <v>0</v>
      </c>
      <c r="P398" s="15">
        <v>0</v>
      </c>
      <c r="Q398" s="15">
        <v>0</v>
      </c>
      <c r="R398" s="15">
        <v>0</v>
      </c>
      <c r="S398" s="14" t="s">
        <v>93</v>
      </c>
      <c r="T398" s="18">
        <v>2</v>
      </c>
    </row>
    <row r="399" spans="1:20" ht="14.4">
      <c r="A399" s="26">
        <v>340556</v>
      </c>
      <c r="B399" s="19" t="s">
        <v>85</v>
      </c>
      <c r="C399" s="19" t="s">
        <v>97</v>
      </c>
      <c r="D399" s="20">
        <v>0</v>
      </c>
      <c r="E399" s="20">
        <v>35</v>
      </c>
      <c r="F399" s="20">
        <v>0</v>
      </c>
      <c r="G399" s="21">
        <v>45</v>
      </c>
      <c r="H399" s="22">
        <v>1</v>
      </c>
      <c r="I399" s="22">
        <v>0</v>
      </c>
      <c r="J399" s="21">
        <v>0</v>
      </c>
      <c r="K399" s="20">
        <v>0</v>
      </c>
      <c r="L399" s="22">
        <v>0</v>
      </c>
      <c r="M399" s="22">
        <v>0</v>
      </c>
      <c r="N399" s="22">
        <v>0</v>
      </c>
      <c r="O399" s="20">
        <v>0</v>
      </c>
      <c r="P399" s="20">
        <v>0</v>
      </c>
      <c r="Q399" s="20">
        <v>5</v>
      </c>
      <c r="R399" s="20">
        <v>0</v>
      </c>
      <c r="S399" s="19" t="s">
        <v>93</v>
      </c>
      <c r="T399" s="23">
        <v>2</v>
      </c>
    </row>
    <row r="400" spans="1:20" ht="14.4">
      <c r="A400" s="13">
        <v>340559</v>
      </c>
      <c r="B400" s="14" t="s">
        <v>85</v>
      </c>
      <c r="C400" s="14" t="s">
        <v>97</v>
      </c>
      <c r="D400" s="15">
        <v>0</v>
      </c>
      <c r="E400" s="15">
        <v>35</v>
      </c>
      <c r="F400" s="15">
        <v>0</v>
      </c>
      <c r="G400" s="16">
        <v>45</v>
      </c>
      <c r="H400" s="17">
        <v>1</v>
      </c>
      <c r="I400" s="17">
        <v>0</v>
      </c>
      <c r="J400" s="16">
        <v>0</v>
      </c>
      <c r="K400" s="15">
        <v>0</v>
      </c>
      <c r="L400" s="17">
        <v>0</v>
      </c>
      <c r="M400" s="17">
        <v>0</v>
      </c>
      <c r="N400" s="17">
        <v>0</v>
      </c>
      <c r="O400" s="15">
        <v>0</v>
      </c>
      <c r="P400" s="15">
        <v>0</v>
      </c>
      <c r="Q400" s="15">
        <v>5</v>
      </c>
      <c r="R400" s="15">
        <v>0</v>
      </c>
      <c r="S400" s="14" t="s">
        <v>93</v>
      </c>
      <c r="T400" s="18">
        <v>2</v>
      </c>
    </row>
    <row r="401" spans="1:20" ht="14.4">
      <c r="A401" s="26">
        <v>340561</v>
      </c>
      <c r="B401" s="19" t="s">
        <v>85</v>
      </c>
      <c r="C401" s="19" t="s">
        <v>97</v>
      </c>
      <c r="D401" s="20">
        <v>0</v>
      </c>
      <c r="E401" s="20">
        <v>35</v>
      </c>
      <c r="F401" s="20">
        <v>0</v>
      </c>
      <c r="G401" s="21">
        <v>100</v>
      </c>
      <c r="H401" s="22">
        <v>1</v>
      </c>
      <c r="I401" s="22">
        <v>0</v>
      </c>
      <c r="J401" s="21">
        <v>0</v>
      </c>
      <c r="K401" s="20">
        <v>0</v>
      </c>
      <c r="L401" s="22">
        <v>0</v>
      </c>
      <c r="M401" s="22">
        <v>0</v>
      </c>
      <c r="N401" s="22">
        <v>0</v>
      </c>
      <c r="O401" s="20">
        <v>0</v>
      </c>
      <c r="P401" s="20">
        <v>0</v>
      </c>
      <c r="Q401" s="20">
        <v>0</v>
      </c>
      <c r="R401" s="20">
        <v>0</v>
      </c>
      <c r="S401" s="19" t="s">
        <v>93</v>
      </c>
      <c r="T401" s="23">
        <v>5</v>
      </c>
    </row>
    <row r="402" spans="1:20" ht="14.4">
      <c r="A402" s="13">
        <v>340573</v>
      </c>
      <c r="B402" s="14" t="s">
        <v>85</v>
      </c>
      <c r="C402" s="14" t="s">
        <v>97</v>
      </c>
      <c r="D402" s="15">
        <v>0</v>
      </c>
      <c r="E402" s="15">
        <v>35</v>
      </c>
      <c r="F402" s="15">
        <v>0</v>
      </c>
      <c r="G402" s="16">
        <v>50</v>
      </c>
      <c r="H402" s="17">
        <v>1</v>
      </c>
      <c r="I402" s="17">
        <v>0</v>
      </c>
      <c r="J402" s="16">
        <v>0</v>
      </c>
      <c r="K402" s="15">
        <v>0</v>
      </c>
      <c r="L402" s="17">
        <v>0</v>
      </c>
      <c r="M402" s="17">
        <v>0</v>
      </c>
      <c r="N402" s="17">
        <v>0</v>
      </c>
      <c r="O402" s="15">
        <v>0</v>
      </c>
      <c r="P402" s="15">
        <v>0</v>
      </c>
      <c r="Q402" s="15">
        <v>10</v>
      </c>
      <c r="R402" s="15">
        <v>0</v>
      </c>
      <c r="S402" s="14" t="s">
        <v>93</v>
      </c>
      <c r="T402" s="18">
        <v>2</v>
      </c>
    </row>
    <row r="403" spans="1:20" ht="14.4">
      <c r="A403" s="26">
        <v>340575</v>
      </c>
      <c r="B403" s="19" t="s">
        <v>85</v>
      </c>
      <c r="C403" s="19" t="s">
        <v>97</v>
      </c>
      <c r="D403" s="20">
        <v>0</v>
      </c>
      <c r="E403" s="20">
        <v>35</v>
      </c>
      <c r="F403" s="20">
        <v>0</v>
      </c>
      <c r="G403" s="21">
        <v>50</v>
      </c>
      <c r="H403" s="22">
        <v>1</v>
      </c>
      <c r="I403" s="22">
        <v>0</v>
      </c>
      <c r="J403" s="21">
        <v>0</v>
      </c>
      <c r="K403" s="20">
        <v>0</v>
      </c>
      <c r="L403" s="22">
        <v>0</v>
      </c>
      <c r="M403" s="22">
        <v>0</v>
      </c>
      <c r="N403" s="22">
        <v>0</v>
      </c>
      <c r="O403" s="20">
        <v>0</v>
      </c>
      <c r="P403" s="20">
        <v>0</v>
      </c>
      <c r="Q403" s="20">
        <v>0</v>
      </c>
      <c r="R403" s="20">
        <v>0</v>
      </c>
      <c r="S403" s="19" t="s">
        <v>93</v>
      </c>
      <c r="T403" s="23">
        <v>2</v>
      </c>
    </row>
    <row r="404" spans="1:20" ht="14.4">
      <c r="A404" s="13">
        <v>340577</v>
      </c>
      <c r="B404" s="14" t="s">
        <v>85</v>
      </c>
      <c r="C404" s="14" t="s">
        <v>97</v>
      </c>
      <c r="D404" s="15">
        <v>0</v>
      </c>
      <c r="E404" s="15">
        <v>35</v>
      </c>
      <c r="F404" s="15">
        <v>0</v>
      </c>
      <c r="G404" s="16">
        <v>74</v>
      </c>
      <c r="H404" s="17">
        <v>1</v>
      </c>
      <c r="I404" s="17">
        <v>0</v>
      </c>
      <c r="J404" s="16">
        <v>0</v>
      </c>
      <c r="K404" s="15">
        <v>0</v>
      </c>
      <c r="L404" s="17">
        <v>0</v>
      </c>
      <c r="M404" s="17">
        <v>0</v>
      </c>
      <c r="N404" s="17">
        <v>0</v>
      </c>
      <c r="O404" s="15">
        <v>0</v>
      </c>
      <c r="P404" s="15">
        <v>0</v>
      </c>
      <c r="Q404" s="15">
        <v>0</v>
      </c>
      <c r="R404" s="15">
        <v>0</v>
      </c>
      <c r="S404" s="14" t="s">
        <v>93</v>
      </c>
      <c r="T404" s="18">
        <v>3</v>
      </c>
    </row>
    <row r="405" spans="1:20" ht="14.4">
      <c r="A405" s="26">
        <v>340578</v>
      </c>
      <c r="B405" s="19" t="s">
        <v>85</v>
      </c>
      <c r="C405" s="19" t="s">
        <v>97</v>
      </c>
      <c r="D405" s="20">
        <v>0</v>
      </c>
      <c r="E405" s="20">
        <v>35</v>
      </c>
      <c r="F405" s="20">
        <v>0</v>
      </c>
      <c r="G405" s="21">
        <v>60</v>
      </c>
      <c r="H405" s="22">
        <v>1</v>
      </c>
      <c r="I405" s="22">
        <v>0</v>
      </c>
      <c r="J405" s="21">
        <v>0</v>
      </c>
      <c r="K405" s="20">
        <v>0</v>
      </c>
      <c r="L405" s="22">
        <v>0</v>
      </c>
      <c r="M405" s="22">
        <v>0</v>
      </c>
      <c r="N405" s="22">
        <v>0</v>
      </c>
      <c r="O405" s="20">
        <v>0</v>
      </c>
      <c r="P405" s="20">
        <v>0</v>
      </c>
      <c r="Q405" s="20">
        <v>25</v>
      </c>
      <c r="R405" s="20">
        <v>0</v>
      </c>
      <c r="S405" s="19" t="s">
        <v>93</v>
      </c>
      <c r="T405" s="23">
        <v>3</v>
      </c>
    </row>
    <row r="406" spans="1:20" ht="14.4">
      <c r="A406" s="13">
        <v>340585</v>
      </c>
      <c r="B406" s="14" t="s">
        <v>85</v>
      </c>
      <c r="C406" s="14" t="s">
        <v>97</v>
      </c>
      <c r="D406" s="15">
        <v>0</v>
      </c>
      <c r="E406" s="15">
        <v>35</v>
      </c>
      <c r="F406" s="15">
        <v>0</v>
      </c>
      <c r="G406" s="16">
        <v>138</v>
      </c>
      <c r="H406" s="17">
        <v>1</v>
      </c>
      <c r="I406" s="17">
        <v>0</v>
      </c>
      <c r="J406" s="16">
        <v>0</v>
      </c>
      <c r="K406" s="15">
        <v>0</v>
      </c>
      <c r="L406" s="17">
        <v>0</v>
      </c>
      <c r="M406" s="17">
        <v>0</v>
      </c>
      <c r="N406" s="17">
        <v>0</v>
      </c>
      <c r="O406" s="15">
        <v>0</v>
      </c>
      <c r="P406" s="15">
        <v>0</v>
      </c>
      <c r="Q406" s="15">
        <v>0</v>
      </c>
      <c r="R406" s="15">
        <v>0</v>
      </c>
      <c r="S406" s="14" t="s">
        <v>93</v>
      </c>
      <c r="T406" s="18">
        <v>6</v>
      </c>
    </row>
    <row r="407" spans="1:20" ht="14.4">
      <c r="A407" s="26">
        <v>340586</v>
      </c>
      <c r="B407" s="19" t="s">
        <v>85</v>
      </c>
      <c r="C407" s="19" t="s">
        <v>97</v>
      </c>
      <c r="D407" s="20">
        <v>0</v>
      </c>
      <c r="E407" s="20">
        <v>35</v>
      </c>
      <c r="F407" s="20">
        <v>0</v>
      </c>
      <c r="G407" s="21">
        <v>75</v>
      </c>
      <c r="H407" s="22">
        <v>1</v>
      </c>
      <c r="I407" s="22">
        <v>0</v>
      </c>
      <c r="J407" s="21">
        <v>0</v>
      </c>
      <c r="K407" s="20">
        <v>0</v>
      </c>
      <c r="L407" s="22">
        <v>0</v>
      </c>
      <c r="M407" s="22">
        <v>0</v>
      </c>
      <c r="N407" s="22">
        <v>0</v>
      </c>
      <c r="O407" s="20">
        <v>0</v>
      </c>
      <c r="P407" s="20">
        <v>0</v>
      </c>
      <c r="Q407" s="20">
        <v>0</v>
      </c>
      <c r="R407" s="20">
        <v>0</v>
      </c>
      <c r="S407" s="19" t="s">
        <v>93</v>
      </c>
      <c r="T407" s="23">
        <v>3</v>
      </c>
    </row>
    <row r="408" spans="1:20" ht="14.4">
      <c r="A408" s="13">
        <v>340591</v>
      </c>
      <c r="B408" s="14" t="s">
        <v>85</v>
      </c>
      <c r="C408" s="14" t="s">
        <v>97</v>
      </c>
      <c r="D408" s="15">
        <v>0</v>
      </c>
      <c r="E408" s="15">
        <v>35</v>
      </c>
      <c r="F408" s="15">
        <v>0</v>
      </c>
      <c r="G408" s="16">
        <v>71.25</v>
      </c>
      <c r="H408" s="17">
        <v>1</v>
      </c>
      <c r="I408" s="17">
        <v>0</v>
      </c>
      <c r="J408" s="16">
        <v>0</v>
      </c>
      <c r="K408" s="15">
        <v>0</v>
      </c>
      <c r="L408" s="17">
        <v>0</v>
      </c>
      <c r="M408" s="17">
        <v>0</v>
      </c>
      <c r="N408" s="17">
        <v>0</v>
      </c>
      <c r="O408" s="15">
        <v>0</v>
      </c>
      <c r="P408" s="15">
        <v>0</v>
      </c>
      <c r="Q408" s="15">
        <v>4</v>
      </c>
      <c r="R408" s="15">
        <v>0</v>
      </c>
      <c r="S408" s="14" t="s">
        <v>93</v>
      </c>
      <c r="T408" s="18">
        <v>3</v>
      </c>
    </row>
    <row r="409" spans="1:20" ht="14.4">
      <c r="A409" s="26">
        <v>340594</v>
      </c>
      <c r="B409" s="19" t="s">
        <v>85</v>
      </c>
      <c r="C409" s="19" t="s">
        <v>97</v>
      </c>
      <c r="D409" s="20">
        <v>0</v>
      </c>
      <c r="E409" s="20">
        <v>35</v>
      </c>
      <c r="F409" s="20">
        <v>0</v>
      </c>
      <c r="G409" s="21">
        <v>189</v>
      </c>
      <c r="H409" s="22">
        <v>1</v>
      </c>
      <c r="I409" s="22">
        <v>0</v>
      </c>
      <c r="J409" s="21">
        <v>0</v>
      </c>
      <c r="K409" s="20">
        <v>0</v>
      </c>
      <c r="L409" s="22">
        <v>0</v>
      </c>
      <c r="M409" s="22">
        <v>0</v>
      </c>
      <c r="N409" s="22">
        <v>0</v>
      </c>
      <c r="O409" s="20">
        <v>0</v>
      </c>
      <c r="P409" s="20">
        <v>0</v>
      </c>
      <c r="Q409" s="20">
        <v>0</v>
      </c>
      <c r="R409" s="20">
        <v>0</v>
      </c>
      <c r="S409" s="19" t="s">
        <v>93</v>
      </c>
      <c r="T409" s="23">
        <v>9</v>
      </c>
    </row>
    <row r="410" spans="1:20" ht="14.4">
      <c r="A410" s="13">
        <v>340597</v>
      </c>
      <c r="B410" s="14" t="s">
        <v>85</v>
      </c>
      <c r="C410" s="14" t="s">
        <v>97</v>
      </c>
      <c r="D410" s="15">
        <v>0</v>
      </c>
      <c r="E410" s="15">
        <v>35</v>
      </c>
      <c r="F410" s="15">
        <v>0</v>
      </c>
      <c r="G410" s="16">
        <v>50</v>
      </c>
      <c r="H410" s="17">
        <v>1</v>
      </c>
      <c r="I410" s="17">
        <v>0</v>
      </c>
      <c r="J410" s="16">
        <v>0</v>
      </c>
      <c r="K410" s="15">
        <v>0</v>
      </c>
      <c r="L410" s="17">
        <v>0</v>
      </c>
      <c r="M410" s="17">
        <v>0</v>
      </c>
      <c r="N410" s="17">
        <v>0</v>
      </c>
      <c r="O410" s="15">
        <v>0</v>
      </c>
      <c r="P410" s="15">
        <v>0</v>
      </c>
      <c r="Q410" s="15">
        <v>0</v>
      </c>
      <c r="R410" s="15">
        <v>0</v>
      </c>
      <c r="S410" s="14" t="s">
        <v>93</v>
      </c>
      <c r="T410" s="18">
        <v>2</v>
      </c>
    </row>
    <row r="411" spans="1:20" ht="14.4">
      <c r="A411" s="26">
        <v>340600</v>
      </c>
      <c r="B411" s="19" t="s">
        <v>85</v>
      </c>
      <c r="C411" s="19" t="s">
        <v>97</v>
      </c>
      <c r="D411" s="20">
        <v>0</v>
      </c>
      <c r="E411" s="20">
        <v>75</v>
      </c>
      <c r="F411" s="20">
        <v>0</v>
      </c>
      <c r="G411" s="21">
        <v>125</v>
      </c>
      <c r="H411" s="22">
        <v>1</v>
      </c>
      <c r="I411" s="22">
        <v>0</v>
      </c>
      <c r="J411" s="21">
        <v>0</v>
      </c>
      <c r="K411" s="20">
        <v>0</v>
      </c>
      <c r="L411" s="22">
        <v>0</v>
      </c>
      <c r="M411" s="22">
        <v>0</v>
      </c>
      <c r="N411" s="22">
        <v>0</v>
      </c>
      <c r="O411" s="20">
        <v>0</v>
      </c>
      <c r="P411" s="20">
        <v>0</v>
      </c>
      <c r="Q411" s="20">
        <v>0</v>
      </c>
      <c r="R411" s="20">
        <v>0</v>
      </c>
      <c r="S411" s="19" t="s">
        <v>93</v>
      </c>
      <c r="T411" s="23">
        <v>6</v>
      </c>
    </row>
    <row r="412" spans="1:20" ht="14.4">
      <c r="A412" s="13">
        <v>340601</v>
      </c>
      <c r="B412" s="14" t="s">
        <v>85</v>
      </c>
      <c r="C412" s="14" t="s">
        <v>97</v>
      </c>
      <c r="D412" s="15">
        <v>0</v>
      </c>
      <c r="E412" s="15">
        <v>35</v>
      </c>
      <c r="F412" s="15">
        <v>0</v>
      </c>
      <c r="G412" s="16">
        <v>55</v>
      </c>
      <c r="H412" s="17">
        <v>1</v>
      </c>
      <c r="I412" s="17">
        <v>0</v>
      </c>
      <c r="J412" s="16">
        <v>0</v>
      </c>
      <c r="K412" s="15">
        <v>0</v>
      </c>
      <c r="L412" s="17">
        <v>0</v>
      </c>
      <c r="M412" s="17">
        <v>0</v>
      </c>
      <c r="N412" s="17">
        <v>0</v>
      </c>
      <c r="O412" s="15">
        <v>0</v>
      </c>
      <c r="P412" s="15">
        <v>0</v>
      </c>
      <c r="Q412" s="15">
        <v>20</v>
      </c>
      <c r="R412" s="15">
        <v>0</v>
      </c>
      <c r="S412" s="14" t="s">
        <v>93</v>
      </c>
      <c r="T412" s="18">
        <v>2</v>
      </c>
    </row>
    <row r="413" spans="1:20" ht="14.4">
      <c r="A413" s="26">
        <v>340602</v>
      </c>
      <c r="B413" s="19" t="s">
        <v>85</v>
      </c>
      <c r="C413" s="19" t="s">
        <v>97</v>
      </c>
      <c r="D413" s="20">
        <v>0</v>
      </c>
      <c r="E413" s="20">
        <v>35</v>
      </c>
      <c r="F413" s="20">
        <v>0</v>
      </c>
      <c r="G413" s="21">
        <v>75</v>
      </c>
      <c r="H413" s="22">
        <v>1</v>
      </c>
      <c r="I413" s="22">
        <v>0</v>
      </c>
      <c r="J413" s="21">
        <v>0</v>
      </c>
      <c r="K413" s="20">
        <v>0</v>
      </c>
      <c r="L413" s="22">
        <v>0</v>
      </c>
      <c r="M413" s="22">
        <v>0</v>
      </c>
      <c r="N413" s="22">
        <v>0</v>
      </c>
      <c r="O413" s="20">
        <v>0</v>
      </c>
      <c r="P413" s="20">
        <v>0</v>
      </c>
      <c r="Q413" s="20">
        <v>0</v>
      </c>
      <c r="R413" s="20">
        <v>0</v>
      </c>
      <c r="S413" s="19" t="s">
        <v>93</v>
      </c>
      <c r="T413" s="23">
        <v>3</v>
      </c>
    </row>
    <row r="414" spans="1:20" ht="14.4">
      <c r="A414" s="13">
        <v>340608</v>
      </c>
      <c r="B414" s="14" t="s">
        <v>85</v>
      </c>
      <c r="C414" s="14" t="s">
        <v>97</v>
      </c>
      <c r="D414" s="15">
        <v>0</v>
      </c>
      <c r="E414" s="15">
        <v>35</v>
      </c>
      <c r="F414" s="15">
        <v>0</v>
      </c>
      <c r="G414" s="16">
        <v>60</v>
      </c>
      <c r="H414" s="17">
        <v>1</v>
      </c>
      <c r="I414" s="17">
        <v>0</v>
      </c>
      <c r="J414" s="16">
        <v>0</v>
      </c>
      <c r="K414" s="15">
        <v>0</v>
      </c>
      <c r="L414" s="17">
        <v>0</v>
      </c>
      <c r="M414" s="17">
        <v>0</v>
      </c>
      <c r="N414" s="17">
        <v>0</v>
      </c>
      <c r="O414" s="15">
        <v>0</v>
      </c>
      <c r="P414" s="15">
        <v>0</v>
      </c>
      <c r="Q414" s="15">
        <v>0</v>
      </c>
      <c r="R414" s="15">
        <v>0</v>
      </c>
      <c r="S414" s="14" t="s">
        <v>93</v>
      </c>
      <c r="T414" s="18">
        <v>3</v>
      </c>
    </row>
    <row r="415" spans="1:20" ht="14.4">
      <c r="A415" s="26">
        <v>340610</v>
      </c>
      <c r="B415" s="19" t="s">
        <v>85</v>
      </c>
      <c r="C415" s="19" t="s">
        <v>97</v>
      </c>
      <c r="D415" s="20">
        <v>0</v>
      </c>
      <c r="E415" s="20">
        <v>35</v>
      </c>
      <c r="F415" s="20">
        <v>0</v>
      </c>
      <c r="G415" s="21">
        <v>50</v>
      </c>
      <c r="H415" s="22">
        <v>1</v>
      </c>
      <c r="I415" s="22">
        <v>0</v>
      </c>
      <c r="J415" s="21">
        <v>0</v>
      </c>
      <c r="K415" s="20">
        <v>0</v>
      </c>
      <c r="L415" s="22">
        <v>0</v>
      </c>
      <c r="M415" s="22">
        <v>0</v>
      </c>
      <c r="N415" s="22">
        <v>0</v>
      </c>
      <c r="O415" s="20">
        <v>0</v>
      </c>
      <c r="P415" s="20">
        <v>0</v>
      </c>
      <c r="Q415" s="20">
        <v>0</v>
      </c>
      <c r="R415" s="20">
        <v>0</v>
      </c>
      <c r="S415" s="19" t="s">
        <v>93</v>
      </c>
      <c r="T415" s="23">
        <v>2</v>
      </c>
    </row>
    <row r="416" spans="1:20" ht="14.4">
      <c r="A416" s="13">
        <v>340613</v>
      </c>
      <c r="B416" s="14" t="s">
        <v>85</v>
      </c>
      <c r="C416" s="14" t="s">
        <v>97</v>
      </c>
      <c r="D416" s="15">
        <v>0</v>
      </c>
      <c r="E416" s="15">
        <v>35</v>
      </c>
      <c r="F416" s="15">
        <v>0</v>
      </c>
      <c r="G416" s="16">
        <v>50</v>
      </c>
      <c r="H416" s="17">
        <v>1</v>
      </c>
      <c r="I416" s="17">
        <v>0</v>
      </c>
      <c r="J416" s="16">
        <v>0</v>
      </c>
      <c r="K416" s="15">
        <v>0</v>
      </c>
      <c r="L416" s="17">
        <v>0</v>
      </c>
      <c r="M416" s="17">
        <v>0</v>
      </c>
      <c r="N416" s="17">
        <v>0</v>
      </c>
      <c r="O416" s="15">
        <v>0</v>
      </c>
      <c r="P416" s="15">
        <v>0</v>
      </c>
      <c r="Q416" s="15">
        <v>25</v>
      </c>
      <c r="R416" s="15">
        <v>0</v>
      </c>
      <c r="S416" s="14" t="s">
        <v>93</v>
      </c>
      <c r="T416" s="18">
        <v>2</v>
      </c>
    </row>
    <row r="417" spans="1:20" ht="14.4">
      <c r="A417" s="26">
        <v>340614</v>
      </c>
      <c r="B417" s="19" t="s">
        <v>85</v>
      </c>
      <c r="C417" s="19" t="s">
        <v>97</v>
      </c>
      <c r="D417" s="20">
        <v>0</v>
      </c>
      <c r="E417" s="20">
        <v>35</v>
      </c>
      <c r="F417" s="20">
        <v>0</v>
      </c>
      <c r="G417" s="21">
        <v>60</v>
      </c>
      <c r="H417" s="22">
        <v>1</v>
      </c>
      <c r="I417" s="22">
        <v>0</v>
      </c>
      <c r="J417" s="21">
        <v>0</v>
      </c>
      <c r="K417" s="20">
        <v>0</v>
      </c>
      <c r="L417" s="22">
        <v>0</v>
      </c>
      <c r="M417" s="22">
        <v>0</v>
      </c>
      <c r="N417" s="22">
        <v>0</v>
      </c>
      <c r="O417" s="20">
        <v>0</v>
      </c>
      <c r="P417" s="20">
        <v>0</v>
      </c>
      <c r="Q417" s="20">
        <v>0</v>
      </c>
      <c r="R417" s="20">
        <v>0</v>
      </c>
      <c r="S417" s="19" t="s">
        <v>93</v>
      </c>
      <c r="T417" s="23">
        <v>3</v>
      </c>
    </row>
    <row r="418" spans="1:20" ht="14.4">
      <c r="A418" s="13">
        <v>340622</v>
      </c>
      <c r="B418" s="14" t="s">
        <v>85</v>
      </c>
      <c r="C418" s="14" t="s">
        <v>97</v>
      </c>
      <c r="D418" s="15">
        <v>0</v>
      </c>
      <c r="E418" s="15">
        <v>35</v>
      </c>
      <c r="F418" s="15">
        <v>0</v>
      </c>
      <c r="G418" s="16">
        <v>60</v>
      </c>
      <c r="H418" s="17">
        <v>1</v>
      </c>
      <c r="I418" s="17">
        <v>0</v>
      </c>
      <c r="J418" s="16">
        <v>0</v>
      </c>
      <c r="K418" s="15">
        <v>0</v>
      </c>
      <c r="L418" s="17">
        <v>0</v>
      </c>
      <c r="M418" s="17">
        <v>0</v>
      </c>
      <c r="N418" s="17">
        <v>0</v>
      </c>
      <c r="O418" s="15">
        <v>0</v>
      </c>
      <c r="P418" s="15">
        <v>0</v>
      </c>
      <c r="Q418" s="15">
        <v>0</v>
      </c>
      <c r="R418" s="15">
        <v>0</v>
      </c>
      <c r="S418" s="14" t="s">
        <v>93</v>
      </c>
      <c r="T418" s="18">
        <v>3</v>
      </c>
    </row>
    <row r="419" spans="1:20" ht="14.4">
      <c r="A419" s="26">
        <v>340625</v>
      </c>
      <c r="B419" s="19" t="s">
        <v>85</v>
      </c>
      <c r="C419" s="19" t="s">
        <v>97</v>
      </c>
      <c r="D419" s="20">
        <v>0</v>
      </c>
      <c r="E419" s="20">
        <v>35</v>
      </c>
      <c r="F419" s="20">
        <v>0</v>
      </c>
      <c r="G419" s="21">
        <v>100</v>
      </c>
      <c r="H419" s="22">
        <v>1</v>
      </c>
      <c r="I419" s="22">
        <v>0</v>
      </c>
      <c r="J419" s="21">
        <v>0</v>
      </c>
      <c r="K419" s="20">
        <v>0</v>
      </c>
      <c r="L419" s="22">
        <v>0</v>
      </c>
      <c r="M419" s="22">
        <v>0</v>
      </c>
      <c r="N419" s="22">
        <v>0</v>
      </c>
      <c r="O419" s="20">
        <v>0</v>
      </c>
      <c r="P419" s="20">
        <v>0</v>
      </c>
      <c r="Q419" s="20">
        <v>0</v>
      </c>
      <c r="R419" s="20">
        <v>0</v>
      </c>
      <c r="S419" s="19" t="s">
        <v>93</v>
      </c>
      <c r="T419" s="23">
        <v>5</v>
      </c>
    </row>
    <row r="420" spans="1:20" ht="14.4">
      <c r="A420" s="13">
        <v>340626</v>
      </c>
      <c r="B420" s="14" t="s">
        <v>85</v>
      </c>
      <c r="C420" s="14" t="s">
        <v>97</v>
      </c>
      <c r="D420" s="15">
        <v>0</v>
      </c>
      <c r="E420" s="15">
        <v>35</v>
      </c>
      <c r="F420" s="15">
        <v>0</v>
      </c>
      <c r="G420" s="16">
        <v>60</v>
      </c>
      <c r="H420" s="17">
        <v>1</v>
      </c>
      <c r="I420" s="17">
        <v>0</v>
      </c>
      <c r="J420" s="16">
        <v>0</v>
      </c>
      <c r="K420" s="15">
        <v>0</v>
      </c>
      <c r="L420" s="17">
        <v>0</v>
      </c>
      <c r="M420" s="17">
        <v>0</v>
      </c>
      <c r="N420" s="17">
        <v>0</v>
      </c>
      <c r="O420" s="15">
        <v>0</v>
      </c>
      <c r="P420" s="15">
        <v>0</v>
      </c>
      <c r="Q420" s="15">
        <v>0</v>
      </c>
      <c r="R420" s="15">
        <v>0</v>
      </c>
      <c r="S420" s="14" t="s">
        <v>93</v>
      </c>
      <c r="T420" s="18">
        <v>3</v>
      </c>
    </row>
    <row r="421" spans="1:20" ht="14.4">
      <c r="A421" s="26">
        <v>340628</v>
      </c>
      <c r="B421" s="19" t="s">
        <v>85</v>
      </c>
      <c r="C421" s="19" t="s">
        <v>97</v>
      </c>
      <c r="D421" s="20">
        <v>0</v>
      </c>
      <c r="E421" s="20">
        <v>35</v>
      </c>
      <c r="F421" s="20">
        <v>0</v>
      </c>
      <c r="G421" s="21">
        <v>300</v>
      </c>
      <c r="H421" s="22">
        <v>1</v>
      </c>
      <c r="I421" s="22">
        <v>0</v>
      </c>
      <c r="J421" s="21">
        <v>0</v>
      </c>
      <c r="K421" s="20">
        <v>0</v>
      </c>
      <c r="L421" s="22">
        <v>0</v>
      </c>
      <c r="M421" s="22">
        <v>0</v>
      </c>
      <c r="N421" s="22">
        <v>0</v>
      </c>
      <c r="O421" s="20">
        <v>0</v>
      </c>
      <c r="P421" s="20">
        <v>0</v>
      </c>
      <c r="Q421" s="20">
        <v>40</v>
      </c>
      <c r="R421" s="20">
        <v>0</v>
      </c>
      <c r="S421" s="19" t="s">
        <v>93</v>
      </c>
      <c r="T421" s="23">
        <v>14</v>
      </c>
    </row>
    <row r="422" spans="1:20" ht="14.4">
      <c r="A422" s="13">
        <v>340630</v>
      </c>
      <c r="B422" s="14" t="s">
        <v>85</v>
      </c>
      <c r="C422" s="14" t="s">
        <v>97</v>
      </c>
      <c r="D422" s="15">
        <v>0</v>
      </c>
      <c r="E422" s="15">
        <v>35</v>
      </c>
      <c r="F422" s="15">
        <v>0</v>
      </c>
      <c r="G422" s="16">
        <v>140</v>
      </c>
      <c r="H422" s="17">
        <v>1</v>
      </c>
      <c r="I422" s="17">
        <v>0</v>
      </c>
      <c r="J422" s="16">
        <v>0</v>
      </c>
      <c r="K422" s="15">
        <v>0</v>
      </c>
      <c r="L422" s="17">
        <v>0</v>
      </c>
      <c r="M422" s="17">
        <v>0</v>
      </c>
      <c r="N422" s="17">
        <v>0</v>
      </c>
      <c r="O422" s="15">
        <v>0</v>
      </c>
      <c r="P422" s="15">
        <v>0</v>
      </c>
      <c r="Q422" s="15">
        <v>0</v>
      </c>
      <c r="R422" s="15">
        <v>0</v>
      </c>
      <c r="S422" s="14" t="s">
        <v>93</v>
      </c>
      <c r="T422" s="18">
        <v>6</v>
      </c>
    </row>
    <row r="423" spans="1:20" ht="14.4">
      <c r="A423" s="26">
        <v>340631</v>
      </c>
      <c r="B423" s="19" t="s">
        <v>85</v>
      </c>
      <c r="C423" s="19" t="s">
        <v>97</v>
      </c>
      <c r="D423" s="20">
        <v>0</v>
      </c>
      <c r="E423" s="20">
        <v>35</v>
      </c>
      <c r="F423" s="20">
        <v>0</v>
      </c>
      <c r="G423" s="21">
        <v>133</v>
      </c>
      <c r="H423" s="22">
        <v>1</v>
      </c>
      <c r="I423" s="22">
        <v>0</v>
      </c>
      <c r="J423" s="21">
        <v>0</v>
      </c>
      <c r="K423" s="20">
        <v>0</v>
      </c>
      <c r="L423" s="22">
        <v>0</v>
      </c>
      <c r="M423" s="22">
        <v>0</v>
      </c>
      <c r="N423" s="22">
        <v>0</v>
      </c>
      <c r="O423" s="20">
        <v>0</v>
      </c>
      <c r="P423" s="20">
        <v>0</v>
      </c>
      <c r="Q423" s="20">
        <v>0</v>
      </c>
      <c r="R423" s="20">
        <v>0</v>
      </c>
      <c r="S423" s="19" t="s">
        <v>93</v>
      </c>
      <c r="T423" s="23">
        <v>6</v>
      </c>
    </row>
    <row r="424" spans="1:20" ht="14.4">
      <c r="A424" s="13">
        <v>340637</v>
      </c>
      <c r="B424" s="14" t="s">
        <v>85</v>
      </c>
      <c r="C424" s="14" t="s">
        <v>97</v>
      </c>
      <c r="D424" s="15">
        <v>0</v>
      </c>
      <c r="E424" s="15">
        <v>35</v>
      </c>
      <c r="F424" s="15">
        <v>0</v>
      </c>
      <c r="G424" s="16">
        <v>43</v>
      </c>
      <c r="H424" s="17">
        <v>1</v>
      </c>
      <c r="I424" s="17">
        <v>0</v>
      </c>
      <c r="J424" s="16">
        <v>0</v>
      </c>
      <c r="K424" s="15">
        <v>0</v>
      </c>
      <c r="L424" s="17">
        <v>0</v>
      </c>
      <c r="M424" s="17">
        <v>0</v>
      </c>
      <c r="N424" s="17">
        <v>0</v>
      </c>
      <c r="O424" s="15">
        <v>0</v>
      </c>
      <c r="P424" s="15">
        <v>0</v>
      </c>
      <c r="Q424" s="15">
        <v>7</v>
      </c>
      <c r="R424" s="15">
        <v>0</v>
      </c>
      <c r="S424" s="14" t="s">
        <v>93</v>
      </c>
      <c r="T424" s="18">
        <v>2</v>
      </c>
    </row>
    <row r="425" spans="1:20" ht="14.4">
      <c r="A425" s="26">
        <v>340638</v>
      </c>
      <c r="B425" s="19" t="s">
        <v>85</v>
      </c>
      <c r="C425" s="19" t="s">
        <v>97</v>
      </c>
      <c r="D425" s="20">
        <v>0</v>
      </c>
      <c r="E425" s="20">
        <v>35</v>
      </c>
      <c r="F425" s="20">
        <v>0</v>
      </c>
      <c r="G425" s="21">
        <v>50</v>
      </c>
      <c r="H425" s="22">
        <v>1</v>
      </c>
      <c r="I425" s="22">
        <v>0</v>
      </c>
      <c r="J425" s="21">
        <v>0</v>
      </c>
      <c r="K425" s="20">
        <v>0</v>
      </c>
      <c r="L425" s="22">
        <v>0</v>
      </c>
      <c r="M425" s="22">
        <v>0</v>
      </c>
      <c r="N425" s="22">
        <v>0</v>
      </c>
      <c r="O425" s="20">
        <v>0</v>
      </c>
      <c r="P425" s="20">
        <v>0</v>
      </c>
      <c r="Q425" s="20">
        <v>10</v>
      </c>
      <c r="R425" s="20">
        <v>0</v>
      </c>
      <c r="S425" s="19" t="s">
        <v>93</v>
      </c>
      <c r="T425" s="23">
        <v>2</v>
      </c>
    </row>
    <row r="426" spans="1:20" ht="14.4">
      <c r="A426" s="13">
        <v>340647</v>
      </c>
      <c r="B426" s="14" t="s">
        <v>85</v>
      </c>
      <c r="C426" s="14" t="s">
        <v>86</v>
      </c>
      <c r="D426" s="15">
        <v>0</v>
      </c>
      <c r="E426" s="15">
        <v>35</v>
      </c>
      <c r="F426" s="15">
        <v>0</v>
      </c>
      <c r="G426" s="16">
        <v>1530</v>
      </c>
      <c r="H426" s="17">
        <v>1</v>
      </c>
      <c r="I426" s="17">
        <v>0</v>
      </c>
      <c r="J426" s="16">
        <v>0</v>
      </c>
      <c r="K426" s="15">
        <v>0</v>
      </c>
      <c r="L426" s="17">
        <v>0</v>
      </c>
      <c r="M426" s="17">
        <v>0</v>
      </c>
      <c r="N426" s="17">
        <v>0</v>
      </c>
      <c r="O426" s="15">
        <v>0</v>
      </c>
      <c r="P426" s="15">
        <v>0</v>
      </c>
      <c r="Q426" s="15">
        <v>0</v>
      </c>
      <c r="R426" s="15">
        <v>170</v>
      </c>
      <c r="S426" s="14" t="s">
        <v>87</v>
      </c>
      <c r="T426" s="18">
        <v>69</v>
      </c>
    </row>
    <row r="427" spans="1:20" ht="14.4">
      <c r="A427" s="26">
        <v>340648</v>
      </c>
      <c r="B427" s="19" t="s">
        <v>85</v>
      </c>
      <c r="C427" s="19" t="s">
        <v>97</v>
      </c>
      <c r="D427" s="20">
        <v>0</v>
      </c>
      <c r="E427" s="20">
        <v>35</v>
      </c>
      <c r="F427" s="20">
        <v>0</v>
      </c>
      <c r="G427" s="21">
        <v>70</v>
      </c>
      <c r="H427" s="22">
        <v>1</v>
      </c>
      <c r="I427" s="22">
        <v>0</v>
      </c>
      <c r="J427" s="21">
        <v>0</v>
      </c>
      <c r="K427" s="20">
        <v>0</v>
      </c>
      <c r="L427" s="22">
        <v>0</v>
      </c>
      <c r="M427" s="22">
        <v>0</v>
      </c>
      <c r="N427" s="22">
        <v>0</v>
      </c>
      <c r="O427" s="20">
        <v>0</v>
      </c>
      <c r="P427" s="20">
        <v>0</v>
      </c>
      <c r="Q427" s="20">
        <v>10</v>
      </c>
      <c r="R427" s="20">
        <v>0</v>
      </c>
      <c r="S427" s="19" t="s">
        <v>93</v>
      </c>
      <c r="T427" s="23">
        <v>3</v>
      </c>
    </row>
    <row r="428" spans="1:20" ht="14.4">
      <c r="A428" s="13">
        <v>340658</v>
      </c>
      <c r="B428" s="14" t="s">
        <v>85</v>
      </c>
      <c r="C428" s="14" t="s">
        <v>57</v>
      </c>
      <c r="D428" s="15">
        <v>0</v>
      </c>
      <c r="E428" s="15">
        <v>35</v>
      </c>
      <c r="F428" s="15">
        <v>69</v>
      </c>
      <c r="G428" s="16">
        <v>831.41</v>
      </c>
      <c r="H428" s="17">
        <v>1</v>
      </c>
      <c r="I428" s="17">
        <v>0</v>
      </c>
      <c r="J428" s="16">
        <v>0</v>
      </c>
      <c r="K428" s="15">
        <v>0</v>
      </c>
      <c r="L428" s="17">
        <v>0</v>
      </c>
      <c r="M428" s="17">
        <v>0</v>
      </c>
      <c r="N428" s="17">
        <v>0</v>
      </c>
      <c r="O428" s="15">
        <v>0</v>
      </c>
      <c r="P428" s="15">
        <v>0</v>
      </c>
      <c r="Q428" s="15">
        <v>0</v>
      </c>
      <c r="R428" s="15">
        <v>0</v>
      </c>
      <c r="S428" s="14" t="s">
        <v>87</v>
      </c>
      <c r="T428" s="18">
        <v>37</v>
      </c>
    </row>
    <row r="429" spans="1:20" ht="14.4">
      <c r="A429" s="26">
        <v>340662</v>
      </c>
      <c r="B429" s="19" t="s">
        <v>85</v>
      </c>
      <c r="C429" s="19" t="s">
        <v>60</v>
      </c>
      <c r="D429" s="20">
        <v>0</v>
      </c>
      <c r="E429" s="20">
        <v>35</v>
      </c>
      <c r="F429" s="20">
        <v>0</v>
      </c>
      <c r="G429" s="21">
        <v>125</v>
      </c>
      <c r="H429" s="22">
        <v>1</v>
      </c>
      <c r="I429" s="22">
        <v>0</v>
      </c>
      <c r="J429" s="21">
        <v>0</v>
      </c>
      <c r="K429" s="20">
        <v>0</v>
      </c>
      <c r="L429" s="22">
        <v>0</v>
      </c>
      <c r="M429" s="22">
        <v>0</v>
      </c>
      <c r="N429" s="22">
        <v>0</v>
      </c>
      <c r="O429" s="20">
        <v>0</v>
      </c>
      <c r="P429" s="20">
        <v>0</v>
      </c>
      <c r="Q429" s="20">
        <v>0</v>
      </c>
      <c r="R429" s="20">
        <v>0</v>
      </c>
      <c r="S429" s="19" t="s">
        <v>87</v>
      </c>
      <c r="T429" s="23">
        <v>6</v>
      </c>
    </row>
    <row r="430" spans="1:20" ht="14.4">
      <c r="A430" s="13">
        <v>340678</v>
      </c>
      <c r="B430" s="14" t="s">
        <v>85</v>
      </c>
      <c r="C430" s="14" t="s">
        <v>89</v>
      </c>
      <c r="D430" s="15">
        <v>0</v>
      </c>
      <c r="E430" s="15">
        <v>35</v>
      </c>
      <c r="F430" s="15">
        <v>0</v>
      </c>
      <c r="G430" s="16">
        <v>150</v>
      </c>
      <c r="H430" s="17">
        <v>2</v>
      </c>
      <c r="I430" s="17">
        <v>0</v>
      </c>
      <c r="J430" s="16">
        <v>0</v>
      </c>
      <c r="K430" s="15">
        <v>0</v>
      </c>
      <c r="L430" s="17">
        <v>0</v>
      </c>
      <c r="M430" s="17">
        <v>0</v>
      </c>
      <c r="N430" s="17">
        <v>0</v>
      </c>
      <c r="O430" s="15">
        <v>0</v>
      </c>
      <c r="P430" s="15">
        <v>0</v>
      </c>
      <c r="Q430" s="15">
        <v>0</v>
      </c>
      <c r="R430" s="15">
        <v>0</v>
      </c>
      <c r="S430" s="14" t="s">
        <v>87</v>
      </c>
      <c r="T430" s="18">
        <v>7</v>
      </c>
    </row>
    <row r="431" spans="1:20" ht="14.4">
      <c r="A431" s="26">
        <v>340684</v>
      </c>
      <c r="B431" s="19" t="s">
        <v>85</v>
      </c>
      <c r="C431" s="19" t="s">
        <v>46</v>
      </c>
      <c r="D431" s="20">
        <v>0</v>
      </c>
      <c r="E431" s="20">
        <v>35</v>
      </c>
      <c r="F431" s="20">
        <v>539</v>
      </c>
      <c r="G431" s="21">
        <v>6165</v>
      </c>
      <c r="H431" s="22">
        <v>1</v>
      </c>
      <c r="I431" s="22">
        <v>0</v>
      </c>
      <c r="J431" s="21">
        <v>0</v>
      </c>
      <c r="K431" s="20">
        <v>0</v>
      </c>
      <c r="L431" s="22">
        <v>0</v>
      </c>
      <c r="M431" s="22">
        <v>0</v>
      </c>
      <c r="N431" s="22">
        <v>0</v>
      </c>
      <c r="O431" s="20">
        <v>0</v>
      </c>
      <c r="P431" s="20">
        <v>0</v>
      </c>
      <c r="Q431" s="20">
        <v>335</v>
      </c>
      <c r="R431" s="20">
        <v>0</v>
      </c>
      <c r="S431" s="19" t="s">
        <v>87</v>
      </c>
      <c r="T431" s="23">
        <v>277</v>
      </c>
    </row>
    <row r="432" spans="1:20" ht="14.4">
      <c r="A432" s="13">
        <v>340688</v>
      </c>
      <c r="B432" s="14" t="s">
        <v>85</v>
      </c>
      <c r="C432" s="14" t="s">
        <v>97</v>
      </c>
      <c r="D432" s="15">
        <v>0</v>
      </c>
      <c r="E432" s="15">
        <v>35</v>
      </c>
      <c r="F432" s="15">
        <v>0</v>
      </c>
      <c r="G432" s="16">
        <v>50</v>
      </c>
      <c r="H432" s="17">
        <v>1</v>
      </c>
      <c r="I432" s="17">
        <v>0</v>
      </c>
      <c r="J432" s="16">
        <v>0</v>
      </c>
      <c r="K432" s="15">
        <v>0</v>
      </c>
      <c r="L432" s="17">
        <v>0</v>
      </c>
      <c r="M432" s="17">
        <v>0</v>
      </c>
      <c r="N432" s="17">
        <v>0</v>
      </c>
      <c r="O432" s="15">
        <v>0</v>
      </c>
      <c r="P432" s="15">
        <v>0</v>
      </c>
      <c r="Q432" s="15">
        <v>0</v>
      </c>
      <c r="R432" s="15">
        <v>0</v>
      </c>
      <c r="S432" s="14" t="s">
        <v>93</v>
      </c>
      <c r="T432" s="18">
        <v>2</v>
      </c>
    </row>
    <row r="433" spans="1:20" ht="14.4">
      <c r="A433" s="26">
        <v>340689</v>
      </c>
      <c r="B433" s="19" t="s">
        <v>85</v>
      </c>
      <c r="C433" s="19" t="s">
        <v>97</v>
      </c>
      <c r="D433" s="20">
        <v>0</v>
      </c>
      <c r="E433" s="20">
        <v>35</v>
      </c>
      <c r="F433" s="20">
        <v>0</v>
      </c>
      <c r="G433" s="21">
        <v>50</v>
      </c>
      <c r="H433" s="22">
        <v>1</v>
      </c>
      <c r="I433" s="22">
        <v>0</v>
      </c>
      <c r="J433" s="21">
        <v>0</v>
      </c>
      <c r="K433" s="20">
        <v>0</v>
      </c>
      <c r="L433" s="22">
        <v>0</v>
      </c>
      <c r="M433" s="22">
        <v>0</v>
      </c>
      <c r="N433" s="22">
        <v>0</v>
      </c>
      <c r="O433" s="20">
        <v>0</v>
      </c>
      <c r="P433" s="20">
        <v>0</v>
      </c>
      <c r="Q433" s="20">
        <v>0</v>
      </c>
      <c r="R433" s="20">
        <v>0</v>
      </c>
      <c r="S433" s="19" t="s">
        <v>93</v>
      </c>
      <c r="T433" s="23">
        <v>2</v>
      </c>
    </row>
    <row r="434" spans="1:20" ht="14.4">
      <c r="A434" s="13">
        <v>340690</v>
      </c>
      <c r="B434" s="14" t="s">
        <v>85</v>
      </c>
      <c r="C434" s="14" t="s">
        <v>97</v>
      </c>
      <c r="D434" s="15">
        <v>0</v>
      </c>
      <c r="E434" s="15">
        <v>35</v>
      </c>
      <c r="F434" s="15">
        <v>0</v>
      </c>
      <c r="G434" s="16">
        <v>50</v>
      </c>
      <c r="H434" s="17">
        <v>1</v>
      </c>
      <c r="I434" s="17">
        <v>0</v>
      </c>
      <c r="J434" s="16">
        <v>0</v>
      </c>
      <c r="K434" s="15">
        <v>0</v>
      </c>
      <c r="L434" s="17">
        <v>0</v>
      </c>
      <c r="M434" s="17">
        <v>0</v>
      </c>
      <c r="N434" s="17">
        <v>0</v>
      </c>
      <c r="O434" s="15">
        <v>0</v>
      </c>
      <c r="P434" s="15">
        <v>0</v>
      </c>
      <c r="Q434" s="15">
        <v>0</v>
      </c>
      <c r="R434" s="15">
        <v>0</v>
      </c>
      <c r="S434" s="14" t="s">
        <v>93</v>
      </c>
      <c r="T434" s="18">
        <v>2</v>
      </c>
    </row>
    <row r="435" spans="1:20" ht="14.4">
      <c r="A435" s="26">
        <v>340697</v>
      </c>
      <c r="B435" s="19" t="s">
        <v>85</v>
      </c>
      <c r="C435" s="19" t="s">
        <v>97</v>
      </c>
      <c r="D435" s="20">
        <v>0</v>
      </c>
      <c r="E435" s="20">
        <v>35</v>
      </c>
      <c r="F435" s="20">
        <v>0</v>
      </c>
      <c r="G435" s="21">
        <v>65</v>
      </c>
      <c r="H435" s="22">
        <v>1</v>
      </c>
      <c r="I435" s="22">
        <v>0</v>
      </c>
      <c r="J435" s="21">
        <v>0</v>
      </c>
      <c r="K435" s="20">
        <v>0</v>
      </c>
      <c r="L435" s="22">
        <v>0</v>
      </c>
      <c r="M435" s="22">
        <v>0</v>
      </c>
      <c r="N435" s="22">
        <v>0</v>
      </c>
      <c r="O435" s="20">
        <v>0</v>
      </c>
      <c r="P435" s="20">
        <v>0</v>
      </c>
      <c r="Q435" s="20">
        <v>0</v>
      </c>
      <c r="R435" s="20">
        <v>0</v>
      </c>
      <c r="S435" s="19" t="s">
        <v>93</v>
      </c>
      <c r="T435" s="23">
        <v>3</v>
      </c>
    </row>
    <row r="436" spans="1:20" ht="14.4">
      <c r="A436" s="13">
        <v>340701</v>
      </c>
      <c r="B436" s="14" t="s">
        <v>85</v>
      </c>
      <c r="C436" s="14" t="s">
        <v>97</v>
      </c>
      <c r="D436" s="15">
        <v>0</v>
      </c>
      <c r="E436" s="15">
        <v>35</v>
      </c>
      <c r="F436" s="15">
        <v>0</v>
      </c>
      <c r="G436" s="16">
        <v>50</v>
      </c>
      <c r="H436" s="17">
        <v>1</v>
      </c>
      <c r="I436" s="17">
        <v>0</v>
      </c>
      <c r="J436" s="16">
        <v>0</v>
      </c>
      <c r="K436" s="15">
        <v>0</v>
      </c>
      <c r="L436" s="17">
        <v>0</v>
      </c>
      <c r="M436" s="17">
        <v>0</v>
      </c>
      <c r="N436" s="17">
        <v>0</v>
      </c>
      <c r="O436" s="15">
        <v>0</v>
      </c>
      <c r="P436" s="15">
        <v>0</v>
      </c>
      <c r="Q436" s="15">
        <v>0</v>
      </c>
      <c r="R436" s="15">
        <v>0</v>
      </c>
      <c r="S436" s="14" t="s">
        <v>93</v>
      </c>
      <c r="T436" s="18">
        <v>2</v>
      </c>
    </row>
    <row r="437" spans="1:20" ht="14.4">
      <c r="A437" s="26">
        <v>340702</v>
      </c>
      <c r="B437" s="19" t="s">
        <v>85</v>
      </c>
      <c r="C437" s="19" t="s">
        <v>97</v>
      </c>
      <c r="D437" s="20">
        <v>0</v>
      </c>
      <c r="E437" s="20">
        <v>35</v>
      </c>
      <c r="F437" s="20">
        <v>0</v>
      </c>
      <c r="G437" s="21">
        <v>50</v>
      </c>
      <c r="H437" s="22">
        <v>1</v>
      </c>
      <c r="I437" s="22">
        <v>0</v>
      </c>
      <c r="J437" s="21">
        <v>0</v>
      </c>
      <c r="K437" s="20">
        <v>0</v>
      </c>
      <c r="L437" s="22">
        <v>0</v>
      </c>
      <c r="M437" s="22">
        <v>0</v>
      </c>
      <c r="N437" s="22">
        <v>0</v>
      </c>
      <c r="O437" s="20">
        <v>0</v>
      </c>
      <c r="P437" s="20">
        <v>0</v>
      </c>
      <c r="Q437" s="20">
        <v>0</v>
      </c>
      <c r="R437" s="20">
        <v>0</v>
      </c>
      <c r="S437" s="19" t="s">
        <v>93</v>
      </c>
      <c r="T437" s="23">
        <v>2</v>
      </c>
    </row>
    <row r="438" spans="1:20" ht="14.4">
      <c r="A438" s="13">
        <v>340703</v>
      </c>
      <c r="B438" s="14" t="s">
        <v>85</v>
      </c>
      <c r="C438" s="14" t="s">
        <v>37</v>
      </c>
      <c r="D438" s="15">
        <v>0</v>
      </c>
      <c r="E438" s="15">
        <v>35</v>
      </c>
      <c r="F438" s="15">
        <v>0</v>
      </c>
      <c r="G438" s="16">
        <v>200</v>
      </c>
      <c r="H438" s="17">
        <v>1</v>
      </c>
      <c r="I438" s="17">
        <v>0</v>
      </c>
      <c r="J438" s="16">
        <v>0</v>
      </c>
      <c r="K438" s="15">
        <v>0</v>
      </c>
      <c r="L438" s="17">
        <v>0</v>
      </c>
      <c r="M438" s="17">
        <v>0</v>
      </c>
      <c r="N438" s="17">
        <v>0</v>
      </c>
      <c r="O438" s="15">
        <v>0</v>
      </c>
      <c r="P438" s="15">
        <v>0</v>
      </c>
      <c r="Q438" s="15">
        <v>10</v>
      </c>
      <c r="R438" s="15">
        <v>0</v>
      </c>
      <c r="S438" s="14" t="s">
        <v>87</v>
      </c>
      <c r="T438" s="18">
        <v>9</v>
      </c>
    </row>
    <row r="439" spans="1:20" ht="14.4">
      <c r="A439" s="26">
        <v>340707</v>
      </c>
      <c r="B439" s="19" t="s">
        <v>85</v>
      </c>
      <c r="C439" s="19" t="s">
        <v>59</v>
      </c>
      <c r="D439" s="20">
        <v>0</v>
      </c>
      <c r="E439" s="20">
        <v>0</v>
      </c>
      <c r="F439" s="20">
        <v>0</v>
      </c>
      <c r="G439" s="21">
        <v>60</v>
      </c>
      <c r="H439" s="22">
        <v>1</v>
      </c>
      <c r="I439" s="22">
        <v>0</v>
      </c>
      <c r="J439" s="21">
        <v>0</v>
      </c>
      <c r="K439" s="20">
        <v>0</v>
      </c>
      <c r="L439" s="22">
        <v>0</v>
      </c>
      <c r="M439" s="22">
        <v>0</v>
      </c>
      <c r="N439" s="22">
        <v>0</v>
      </c>
      <c r="O439" s="20">
        <v>0</v>
      </c>
      <c r="P439" s="20">
        <v>0</v>
      </c>
      <c r="Q439" s="20">
        <v>0</v>
      </c>
      <c r="R439" s="20">
        <v>0</v>
      </c>
      <c r="S439" s="19" t="s">
        <v>87</v>
      </c>
      <c r="T439" s="23">
        <v>3</v>
      </c>
    </row>
    <row r="440" spans="1:20" ht="14.4">
      <c r="A440" s="13">
        <v>340717</v>
      </c>
      <c r="B440" s="14" t="s">
        <v>85</v>
      </c>
      <c r="C440" s="14" t="s">
        <v>47</v>
      </c>
      <c r="D440" s="15">
        <v>0</v>
      </c>
      <c r="E440" s="15">
        <v>35</v>
      </c>
      <c r="F440" s="15">
        <v>0</v>
      </c>
      <c r="G440" s="16">
        <v>90</v>
      </c>
      <c r="H440" s="17">
        <v>1</v>
      </c>
      <c r="I440" s="17">
        <v>0</v>
      </c>
      <c r="J440" s="16">
        <v>0</v>
      </c>
      <c r="K440" s="15">
        <v>0</v>
      </c>
      <c r="L440" s="17">
        <v>0</v>
      </c>
      <c r="M440" s="17">
        <v>0</v>
      </c>
      <c r="N440" s="17">
        <v>0</v>
      </c>
      <c r="O440" s="15">
        <v>0</v>
      </c>
      <c r="P440" s="15">
        <v>0</v>
      </c>
      <c r="Q440" s="15">
        <v>30</v>
      </c>
      <c r="R440" s="15">
        <v>0</v>
      </c>
      <c r="S440" s="14" t="s">
        <v>91</v>
      </c>
      <c r="T440" s="18">
        <v>4</v>
      </c>
    </row>
    <row r="441" spans="1:20" ht="14.4">
      <c r="A441" s="26">
        <v>340733</v>
      </c>
      <c r="B441" s="19" t="s">
        <v>85</v>
      </c>
      <c r="C441" s="19" t="s">
        <v>97</v>
      </c>
      <c r="D441" s="20">
        <v>0</v>
      </c>
      <c r="E441" s="20">
        <v>35</v>
      </c>
      <c r="F441" s="20">
        <v>0</v>
      </c>
      <c r="G441" s="21">
        <v>50</v>
      </c>
      <c r="H441" s="22">
        <v>1</v>
      </c>
      <c r="I441" s="22">
        <v>0</v>
      </c>
      <c r="J441" s="21">
        <v>0</v>
      </c>
      <c r="K441" s="20">
        <v>0</v>
      </c>
      <c r="L441" s="22">
        <v>0</v>
      </c>
      <c r="M441" s="22">
        <v>0</v>
      </c>
      <c r="N441" s="22">
        <v>0</v>
      </c>
      <c r="O441" s="20">
        <v>0</v>
      </c>
      <c r="P441" s="20">
        <v>0</v>
      </c>
      <c r="Q441" s="20">
        <v>0</v>
      </c>
      <c r="R441" s="20">
        <v>0</v>
      </c>
      <c r="S441" s="19" t="s">
        <v>93</v>
      </c>
      <c r="T441" s="23">
        <v>2</v>
      </c>
    </row>
    <row r="442" spans="1:20" ht="14.4">
      <c r="A442" s="13">
        <v>340737</v>
      </c>
      <c r="B442" s="14" t="s">
        <v>85</v>
      </c>
      <c r="C442" s="14" t="s">
        <v>43</v>
      </c>
      <c r="D442" s="15">
        <v>0</v>
      </c>
      <c r="E442" s="15">
        <v>20</v>
      </c>
      <c r="F442" s="15">
        <v>0</v>
      </c>
      <c r="G442" s="16">
        <v>60</v>
      </c>
      <c r="H442" s="17">
        <v>1</v>
      </c>
      <c r="I442" s="17">
        <v>0</v>
      </c>
      <c r="J442" s="16">
        <v>0</v>
      </c>
      <c r="K442" s="15">
        <v>0</v>
      </c>
      <c r="L442" s="17">
        <v>0</v>
      </c>
      <c r="M442" s="17">
        <v>0</v>
      </c>
      <c r="N442" s="17">
        <v>0</v>
      </c>
      <c r="O442" s="15">
        <v>0</v>
      </c>
      <c r="P442" s="15">
        <v>0</v>
      </c>
      <c r="Q442" s="15">
        <v>0</v>
      </c>
      <c r="R442" s="15">
        <v>20</v>
      </c>
      <c r="S442" s="14" t="s">
        <v>87</v>
      </c>
      <c r="T442" s="18">
        <v>3</v>
      </c>
    </row>
    <row r="443" spans="1:20" ht="14.4">
      <c r="A443" s="26">
        <v>340749</v>
      </c>
      <c r="B443" s="19" t="s">
        <v>85</v>
      </c>
      <c r="C443" s="19" t="s">
        <v>89</v>
      </c>
      <c r="D443" s="20">
        <v>0</v>
      </c>
      <c r="E443" s="20">
        <v>35</v>
      </c>
      <c r="F443" s="20">
        <v>0</v>
      </c>
      <c r="G443" s="21">
        <v>440</v>
      </c>
      <c r="H443" s="22">
        <v>1</v>
      </c>
      <c r="I443" s="22">
        <v>0</v>
      </c>
      <c r="J443" s="21">
        <v>0</v>
      </c>
      <c r="K443" s="20">
        <v>0</v>
      </c>
      <c r="L443" s="22">
        <v>0</v>
      </c>
      <c r="M443" s="22">
        <v>0</v>
      </c>
      <c r="N443" s="22">
        <v>0</v>
      </c>
      <c r="O443" s="20">
        <v>100</v>
      </c>
      <c r="P443" s="20">
        <v>0</v>
      </c>
      <c r="Q443" s="20">
        <v>0</v>
      </c>
      <c r="R443" s="20">
        <v>0</v>
      </c>
      <c r="S443" s="19" t="s">
        <v>87</v>
      </c>
      <c r="T443" s="23">
        <v>40</v>
      </c>
    </row>
    <row r="444" spans="1:20" ht="14.4">
      <c r="A444" s="13">
        <v>340751</v>
      </c>
      <c r="B444" s="14" t="s">
        <v>85</v>
      </c>
      <c r="C444" s="14" t="s">
        <v>44</v>
      </c>
      <c r="D444" s="15">
        <v>0</v>
      </c>
      <c r="E444" s="15">
        <v>25</v>
      </c>
      <c r="F444" s="15">
        <v>0</v>
      </c>
      <c r="G444" s="16">
        <v>100</v>
      </c>
      <c r="H444" s="17">
        <v>1</v>
      </c>
      <c r="I444" s="17">
        <v>0</v>
      </c>
      <c r="J444" s="16">
        <v>0</v>
      </c>
      <c r="K444" s="15">
        <v>0</v>
      </c>
      <c r="L444" s="17">
        <v>0</v>
      </c>
      <c r="M444" s="17">
        <v>0</v>
      </c>
      <c r="N444" s="17">
        <v>0</v>
      </c>
      <c r="O444" s="15">
        <v>0</v>
      </c>
      <c r="P444" s="15">
        <v>0</v>
      </c>
      <c r="Q444" s="15">
        <v>0</v>
      </c>
      <c r="R444" s="15">
        <v>0</v>
      </c>
      <c r="S444" s="14" t="s">
        <v>91</v>
      </c>
      <c r="T444" s="18">
        <v>5</v>
      </c>
    </row>
    <row r="445" spans="1:20" ht="14.4">
      <c r="A445" s="26">
        <v>340757</v>
      </c>
      <c r="B445" s="19" t="s">
        <v>85</v>
      </c>
      <c r="C445" s="19" t="s">
        <v>59</v>
      </c>
      <c r="D445" s="20">
        <v>0</v>
      </c>
      <c r="E445" s="20">
        <v>35</v>
      </c>
      <c r="F445" s="20">
        <v>0</v>
      </c>
      <c r="G445" s="21">
        <v>65</v>
      </c>
      <c r="H445" s="22">
        <v>1</v>
      </c>
      <c r="I445" s="22">
        <v>0</v>
      </c>
      <c r="J445" s="21">
        <v>0</v>
      </c>
      <c r="K445" s="20">
        <v>0</v>
      </c>
      <c r="L445" s="22">
        <v>0</v>
      </c>
      <c r="M445" s="22">
        <v>0</v>
      </c>
      <c r="N445" s="22">
        <v>0</v>
      </c>
      <c r="O445" s="20">
        <v>0</v>
      </c>
      <c r="P445" s="20">
        <v>0</v>
      </c>
      <c r="Q445" s="20">
        <v>0</v>
      </c>
      <c r="R445" s="20">
        <v>35</v>
      </c>
      <c r="S445" s="19" t="s">
        <v>87</v>
      </c>
      <c r="T445" s="23">
        <v>3</v>
      </c>
    </row>
    <row r="446" spans="1:20" ht="14.4">
      <c r="A446" s="13">
        <v>340765</v>
      </c>
      <c r="B446" s="14" t="s">
        <v>85</v>
      </c>
      <c r="C446" s="14" t="s">
        <v>44</v>
      </c>
      <c r="D446" s="15">
        <v>0</v>
      </c>
      <c r="E446" s="15">
        <v>100</v>
      </c>
      <c r="F446" s="15">
        <v>0</v>
      </c>
      <c r="G446" s="16">
        <v>150</v>
      </c>
      <c r="H446" s="17">
        <v>1</v>
      </c>
      <c r="I446" s="17">
        <v>0</v>
      </c>
      <c r="J446" s="16">
        <v>0</v>
      </c>
      <c r="K446" s="15">
        <v>0</v>
      </c>
      <c r="L446" s="17">
        <v>0</v>
      </c>
      <c r="M446" s="17">
        <v>0</v>
      </c>
      <c r="N446" s="17">
        <v>0</v>
      </c>
      <c r="O446" s="15">
        <v>0</v>
      </c>
      <c r="P446" s="15">
        <v>0</v>
      </c>
      <c r="Q446" s="15">
        <v>35</v>
      </c>
      <c r="R446" s="15">
        <v>0</v>
      </c>
      <c r="S446" s="14" t="s">
        <v>91</v>
      </c>
      <c r="T446" s="18">
        <v>7</v>
      </c>
    </row>
    <row r="447" spans="1:20" ht="14.4">
      <c r="A447" s="26">
        <v>340798</v>
      </c>
      <c r="B447" s="19" t="s">
        <v>85</v>
      </c>
      <c r="C447" s="19" t="s">
        <v>57</v>
      </c>
      <c r="D447" s="20">
        <v>0</v>
      </c>
      <c r="E447" s="20">
        <v>35</v>
      </c>
      <c r="F447" s="20">
        <v>0</v>
      </c>
      <c r="G447" s="21">
        <v>292</v>
      </c>
      <c r="H447" s="22">
        <v>1</v>
      </c>
      <c r="I447" s="22">
        <v>0</v>
      </c>
      <c r="J447" s="21">
        <v>0</v>
      </c>
      <c r="K447" s="20">
        <v>0</v>
      </c>
      <c r="L447" s="22">
        <v>0</v>
      </c>
      <c r="M447" s="22">
        <v>0</v>
      </c>
      <c r="N447" s="22">
        <v>0</v>
      </c>
      <c r="O447" s="20">
        <v>0</v>
      </c>
      <c r="P447" s="20">
        <v>0</v>
      </c>
      <c r="Q447" s="20">
        <v>0</v>
      </c>
      <c r="R447" s="20">
        <v>0</v>
      </c>
      <c r="S447" s="19" t="s">
        <v>87</v>
      </c>
      <c r="T447" s="23">
        <v>13</v>
      </c>
    </row>
    <row r="448" spans="1:20" ht="14.4">
      <c r="A448" s="13">
        <v>340803</v>
      </c>
      <c r="B448" s="14" t="s">
        <v>85</v>
      </c>
      <c r="C448" s="14" t="s">
        <v>44</v>
      </c>
      <c r="D448" s="15">
        <v>0</v>
      </c>
      <c r="E448" s="15">
        <v>35</v>
      </c>
      <c r="F448" s="15">
        <v>55</v>
      </c>
      <c r="G448" s="16">
        <v>665</v>
      </c>
      <c r="H448" s="17">
        <v>1</v>
      </c>
      <c r="I448" s="17">
        <v>0</v>
      </c>
      <c r="J448" s="16">
        <v>0</v>
      </c>
      <c r="K448" s="15">
        <v>0</v>
      </c>
      <c r="L448" s="17">
        <v>0</v>
      </c>
      <c r="M448" s="17">
        <v>0</v>
      </c>
      <c r="N448" s="17">
        <v>0</v>
      </c>
      <c r="O448" s="15">
        <v>0</v>
      </c>
      <c r="P448" s="15">
        <v>0</v>
      </c>
      <c r="Q448" s="15">
        <v>0</v>
      </c>
      <c r="R448" s="15">
        <v>0</v>
      </c>
      <c r="S448" s="14" t="s">
        <v>91</v>
      </c>
      <c r="T448" s="18">
        <v>30</v>
      </c>
    </row>
    <row r="449" spans="1:20" ht="14.4">
      <c r="A449" s="26">
        <v>340806</v>
      </c>
      <c r="B449" s="19" t="s">
        <v>85</v>
      </c>
      <c r="C449" s="19" t="s">
        <v>97</v>
      </c>
      <c r="D449" s="20">
        <v>0</v>
      </c>
      <c r="E449" s="20">
        <v>35</v>
      </c>
      <c r="F449" s="20">
        <v>0</v>
      </c>
      <c r="G449" s="21">
        <v>60</v>
      </c>
      <c r="H449" s="22">
        <v>1</v>
      </c>
      <c r="I449" s="22">
        <v>0</v>
      </c>
      <c r="J449" s="21">
        <v>0</v>
      </c>
      <c r="K449" s="20">
        <v>0</v>
      </c>
      <c r="L449" s="22">
        <v>0</v>
      </c>
      <c r="M449" s="22">
        <v>0</v>
      </c>
      <c r="N449" s="22">
        <v>0</v>
      </c>
      <c r="O449" s="20">
        <v>0</v>
      </c>
      <c r="P449" s="20">
        <v>0</v>
      </c>
      <c r="Q449" s="20">
        <v>0</v>
      </c>
      <c r="R449" s="20">
        <v>0</v>
      </c>
      <c r="S449" s="19" t="s">
        <v>93</v>
      </c>
      <c r="T449" s="23">
        <v>3</v>
      </c>
    </row>
    <row r="450" spans="1:20" ht="14.4">
      <c r="A450" s="13">
        <v>340813</v>
      </c>
      <c r="B450" s="14" t="s">
        <v>85</v>
      </c>
      <c r="C450" s="14" t="s">
        <v>37</v>
      </c>
      <c r="D450" s="15">
        <v>0</v>
      </c>
      <c r="E450" s="15">
        <v>35</v>
      </c>
      <c r="F450" s="15">
        <v>0</v>
      </c>
      <c r="G450" s="16">
        <v>50</v>
      </c>
      <c r="H450" s="17">
        <v>1</v>
      </c>
      <c r="I450" s="17">
        <v>0</v>
      </c>
      <c r="J450" s="16">
        <v>0</v>
      </c>
      <c r="K450" s="15">
        <v>0</v>
      </c>
      <c r="L450" s="17">
        <v>0</v>
      </c>
      <c r="M450" s="17">
        <v>0</v>
      </c>
      <c r="N450" s="17">
        <v>0</v>
      </c>
      <c r="O450" s="15">
        <v>0</v>
      </c>
      <c r="P450" s="15">
        <v>0</v>
      </c>
      <c r="Q450" s="15">
        <v>10</v>
      </c>
      <c r="R450" s="15">
        <v>0</v>
      </c>
      <c r="S450" s="14" t="s">
        <v>87</v>
      </c>
      <c r="T450" s="18">
        <v>2</v>
      </c>
    </row>
    <row r="451" spans="1:20" ht="14.4">
      <c r="A451" s="26">
        <v>340840</v>
      </c>
      <c r="B451" s="19" t="s">
        <v>85</v>
      </c>
      <c r="C451" s="19" t="s">
        <v>97</v>
      </c>
      <c r="D451" s="20">
        <v>0</v>
      </c>
      <c r="E451" s="20">
        <v>35</v>
      </c>
      <c r="F451" s="20">
        <v>0</v>
      </c>
      <c r="G451" s="21">
        <v>50</v>
      </c>
      <c r="H451" s="22">
        <v>1</v>
      </c>
      <c r="I451" s="22">
        <v>0</v>
      </c>
      <c r="J451" s="21">
        <v>0</v>
      </c>
      <c r="K451" s="20">
        <v>0</v>
      </c>
      <c r="L451" s="22">
        <v>0</v>
      </c>
      <c r="M451" s="22">
        <v>0</v>
      </c>
      <c r="N451" s="22">
        <v>0</v>
      </c>
      <c r="O451" s="20">
        <v>0</v>
      </c>
      <c r="P451" s="20">
        <v>0</v>
      </c>
      <c r="Q451" s="20">
        <v>0</v>
      </c>
      <c r="R451" s="20">
        <v>0</v>
      </c>
      <c r="S451" s="19" t="s">
        <v>93</v>
      </c>
      <c r="T451" s="23">
        <v>2</v>
      </c>
    </row>
    <row r="452" spans="1:20" ht="14.4">
      <c r="A452" s="13">
        <v>340849</v>
      </c>
      <c r="B452" s="14" t="s">
        <v>85</v>
      </c>
      <c r="C452" s="14" t="s">
        <v>97</v>
      </c>
      <c r="D452" s="15">
        <v>0</v>
      </c>
      <c r="E452" s="15">
        <v>35</v>
      </c>
      <c r="F452" s="15">
        <v>0</v>
      </c>
      <c r="G452" s="16">
        <v>50</v>
      </c>
      <c r="H452" s="17">
        <v>1</v>
      </c>
      <c r="I452" s="17">
        <v>0</v>
      </c>
      <c r="J452" s="16">
        <v>0</v>
      </c>
      <c r="K452" s="15">
        <v>0</v>
      </c>
      <c r="L452" s="17">
        <v>0</v>
      </c>
      <c r="M452" s="17">
        <v>0</v>
      </c>
      <c r="N452" s="17">
        <v>0</v>
      </c>
      <c r="O452" s="15">
        <v>0</v>
      </c>
      <c r="P452" s="15">
        <v>0</v>
      </c>
      <c r="Q452" s="15">
        <v>0</v>
      </c>
      <c r="R452" s="15">
        <v>0</v>
      </c>
      <c r="S452" s="14" t="s">
        <v>93</v>
      </c>
      <c r="T452" s="18">
        <v>2</v>
      </c>
    </row>
    <row r="453" spans="1:20" ht="14.4">
      <c r="A453" s="26">
        <v>340894</v>
      </c>
      <c r="B453" s="19" t="s">
        <v>85</v>
      </c>
      <c r="C453" s="19" t="s">
        <v>97</v>
      </c>
      <c r="D453" s="20">
        <v>0</v>
      </c>
      <c r="E453" s="20">
        <v>35</v>
      </c>
      <c r="F453" s="20">
        <v>0</v>
      </c>
      <c r="G453" s="21">
        <v>50</v>
      </c>
      <c r="H453" s="22">
        <v>1</v>
      </c>
      <c r="I453" s="22">
        <v>0</v>
      </c>
      <c r="J453" s="21">
        <v>0</v>
      </c>
      <c r="K453" s="20">
        <v>0</v>
      </c>
      <c r="L453" s="22">
        <v>0</v>
      </c>
      <c r="M453" s="22">
        <v>0</v>
      </c>
      <c r="N453" s="22">
        <v>0</v>
      </c>
      <c r="O453" s="20">
        <v>0</v>
      </c>
      <c r="P453" s="20">
        <v>0</v>
      </c>
      <c r="Q453" s="20">
        <v>0</v>
      </c>
      <c r="R453" s="20">
        <v>0</v>
      </c>
      <c r="S453" s="19" t="s">
        <v>93</v>
      </c>
      <c r="T453" s="23">
        <v>2</v>
      </c>
    </row>
    <row r="454" spans="1:20" ht="14.4">
      <c r="A454" s="13">
        <v>340919</v>
      </c>
      <c r="B454" s="14" t="s">
        <v>85</v>
      </c>
      <c r="C454" s="14" t="s">
        <v>60</v>
      </c>
      <c r="D454" s="15">
        <v>0</v>
      </c>
      <c r="E454" s="15">
        <v>35</v>
      </c>
      <c r="F454" s="15">
        <v>0</v>
      </c>
      <c r="G454" s="16">
        <v>400</v>
      </c>
      <c r="H454" s="17">
        <v>1</v>
      </c>
      <c r="I454" s="17">
        <v>0</v>
      </c>
      <c r="J454" s="16">
        <v>0</v>
      </c>
      <c r="K454" s="15">
        <v>0</v>
      </c>
      <c r="L454" s="17">
        <v>0</v>
      </c>
      <c r="M454" s="17">
        <v>0</v>
      </c>
      <c r="N454" s="17">
        <v>0</v>
      </c>
      <c r="O454" s="15">
        <v>0</v>
      </c>
      <c r="P454" s="15">
        <v>100</v>
      </c>
      <c r="Q454" s="15">
        <v>0</v>
      </c>
      <c r="R454" s="15">
        <v>0</v>
      </c>
      <c r="S454" s="14" t="s">
        <v>87</v>
      </c>
      <c r="T454" s="18">
        <v>38</v>
      </c>
    </row>
    <row r="455" spans="1:20" ht="14.4">
      <c r="A455" s="26">
        <v>340998</v>
      </c>
      <c r="B455" s="19" t="s">
        <v>85</v>
      </c>
      <c r="C455" s="19" t="s">
        <v>98</v>
      </c>
      <c r="D455" s="20">
        <v>0</v>
      </c>
      <c r="E455" s="20">
        <v>35</v>
      </c>
      <c r="F455" s="20">
        <v>22</v>
      </c>
      <c r="G455" s="21">
        <v>281</v>
      </c>
      <c r="H455" s="22">
        <v>1</v>
      </c>
      <c r="I455" s="22">
        <v>0</v>
      </c>
      <c r="J455" s="21">
        <v>0</v>
      </c>
      <c r="K455" s="20">
        <v>0</v>
      </c>
      <c r="L455" s="22">
        <v>0</v>
      </c>
      <c r="M455" s="22">
        <v>0</v>
      </c>
      <c r="N455" s="22">
        <v>0</v>
      </c>
      <c r="O455" s="20">
        <v>0</v>
      </c>
      <c r="P455" s="20">
        <v>0</v>
      </c>
      <c r="Q455" s="20">
        <v>0</v>
      </c>
      <c r="R455" s="20">
        <v>0</v>
      </c>
      <c r="S455" s="19" t="s">
        <v>87</v>
      </c>
      <c r="T455" s="23">
        <v>13</v>
      </c>
    </row>
    <row r="456" spans="1:20" ht="14.4">
      <c r="A456" s="13">
        <v>341073</v>
      </c>
      <c r="B456" s="14" t="s">
        <v>85</v>
      </c>
      <c r="C456" s="14" t="s">
        <v>60</v>
      </c>
      <c r="D456" s="15">
        <v>0</v>
      </c>
      <c r="E456" s="15">
        <v>0</v>
      </c>
      <c r="F456" s="15">
        <v>60</v>
      </c>
      <c r="G456" s="16">
        <v>650</v>
      </c>
      <c r="H456" s="17">
        <v>1</v>
      </c>
      <c r="I456" s="17">
        <v>0</v>
      </c>
      <c r="J456" s="16">
        <v>0</v>
      </c>
      <c r="K456" s="15">
        <v>0</v>
      </c>
      <c r="L456" s="17">
        <v>0</v>
      </c>
      <c r="M456" s="17">
        <v>0</v>
      </c>
      <c r="N456" s="17">
        <v>0</v>
      </c>
      <c r="O456" s="15">
        <v>0</v>
      </c>
      <c r="P456" s="15">
        <v>40</v>
      </c>
      <c r="Q456" s="15">
        <v>50</v>
      </c>
      <c r="R456" s="15">
        <v>0</v>
      </c>
      <c r="S456" s="14" t="s">
        <v>87</v>
      </c>
      <c r="T456" s="18">
        <v>37</v>
      </c>
    </row>
    <row r="457" spans="1:20" ht="14.4">
      <c r="A457" s="26">
        <v>339743</v>
      </c>
      <c r="B457" s="19" t="s">
        <v>85</v>
      </c>
      <c r="C457" s="19" t="s">
        <v>86</v>
      </c>
      <c r="D457" s="20">
        <v>-5</v>
      </c>
      <c r="E457" s="20">
        <v>35</v>
      </c>
      <c r="F457" s="20">
        <v>0</v>
      </c>
      <c r="G457" s="21">
        <v>60</v>
      </c>
      <c r="H457" s="22">
        <v>1</v>
      </c>
      <c r="I457" s="22">
        <v>0</v>
      </c>
      <c r="J457" s="21">
        <v>0</v>
      </c>
      <c r="K457" s="20">
        <v>0</v>
      </c>
      <c r="L457" s="22">
        <v>0</v>
      </c>
      <c r="M457" s="22">
        <v>0</v>
      </c>
      <c r="N457" s="22">
        <v>0</v>
      </c>
      <c r="O457" s="20">
        <v>0</v>
      </c>
      <c r="P457" s="20">
        <v>0</v>
      </c>
      <c r="Q457" s="20">
        <v>0</v>
      </c>
      <c r="R457" s="20">
        <v>0</v>
      </c>
      <c r="S457" s="19" t="s">
        <v>87</v>
      </c>
      <c r="T457" s="23">
        <v>3</v>
      </c>
    </row>
    <row r="458" spans="1:20" ht="14.4">
      <c r="A458" s="13">
        <v>339836</v>
      </c>
      <c r="B458" s="14" t="s">
        <v>85</v>
      </c>
      <c r="C458" s="14" t="s">
        <v>92</v>
      </c>
      <c r="D458" s="15">
        <v>-6</v>
      </c>
      <c r="E458" s="15">
        <v>0</v>
      </c>
      <c r="F458" s="15">
        <v>0</v>
      </c>
      <c r="G458" s="16">
        <v>65</v>
      </c>
      <c r="H458" s="17">
        <v>1</v>
      </c>
      <c r="I458" s="17">
        <v>0</v>
      </c>
      <c r="J458" s="16">
        <v>0</v>
      </c>
      <c r="K458" s="15">
        <v>0</v>
      </c>
      <c r="L458" s="17">
        <v>0</v>
      </c>
      <c r="M458" s="17">
        <v>0</v>
      </c>
      <c r="N458" s="17">
        <v>0</v>
      </c>
      <c r="O458" s="15">
        <v>0</v>
      </c>
      <c r="P458" s="15">
        <v>0</v>
      </c>
      <c r="Q458" s="15">
        <v>0</v>
      </c>
      <c r="R458" s="15">
        <v>0</v>
      </c>
      <c r="S458" s="14" t="s">
        <v>93</v>
      </c>
      <c r="T458" s="18">
        <v>3</v>
      </c>
    </row>
    <row r="459" spans="1:20" ht="14.4">
      <c r="A459" s="28" t="s">
        <v>102</v>
      </c>
      <c r="B459" s="19" t="s">
        <v>103</v>
      </c>
      <c r="C459" s="19" t="s">
        <v>89</v>
      </c>
      <c r="D459" s="20">
        <v>-15</v>
      </c>
      <c r="E459" s="20">
        <v>0</v>
      </c>
      <c r="F459" s="20">
        <v>0</v>
      </c>
      <c r="G459" s="21">
        <v>-15</v>
      </c>
      <c r="H459" s="22">
        <v>0</v>
      </c>
      <c r="I459" s="22">
        <v>0</v>
      </c>
      <c r="J459" s="21">
        <v>0</v>
      </c>
      <c r="K459" s="20">
        <v>0</v>
      </c>
      <c r="L459" s="22">
        <v>0</v>
      </c>
      <c r="M459" s="22">
        <v>0</v>
      </c>
      <c r="N459" s="22">
        <v>0</v>
      </c>
      <c r="O459" s="20">
        <v>0</v>
      </c>
      <c r="P459" s="20">
        <v>0</v>
      </c>
      <c r="Q459" s="20">
        <v>0</v>
      </c>
      <c r="R459" s="20">
        <v>0</v>
      </c>
      <c r="S459" s="19" t="s">
        <v>87</v>
      </c>
      <c r="T459" s="23">
        <v>-1</v>
      </c>
    </row>
    <row r="460" spans="1:20" ht="14.4">
      <c r="A460" s="29" t="s">
        <v>102</v>
      </c>
      <c r="B460" s="14" t="s">
        <v>103</v>
      </c>
      <c r="C460" s="14" t="s">
        <v>97</v>
      </c>
      <c r="D460" s="15">
        <v>-20</v>
      </c>
      <c r="E460" s="15">
        <v>0</v>
      </c>
      <c r="F460" s="15">
        <v>0</v>
      </c>
      <c r="G460" s="16">
        <v>-20</v>
      </c>
      <c r="H460" s="17">
        <v>0</v>
      </c>
      <c r="I460" s="17">
        <v>0</v>
      </c>
      <c r="J460" s="16">
        <v>0</v>
      </c>
      <c r="K460" s="15">
        <v>0</v>
      </c>
      <c r="L460" s="17">
        <v>0</v>
      </c>
      <c r="M460" s="17">
        <v>0</v>
      </c>
      <c r="N460" s="17">
        <v>0</v>
      </c>
      <c r="O460" s="15">
        <v>0</v>
      </c>
      <c r="P460" s="15">
        <v>0</v>
      </c>
      <c r="Q460" s="15">
        <v>0</v>
      </c>
      <c r="R460" s="15">
        <v>0</v>
      </c>
      <c r="S460" s="14" t="s">
        <v>93</v>
      </c>
      <c r="T460" s="18">
        <v>-1</v>
      </c>
    </row>
    <row r="461" spans="1:20" ht="14.4">
      <c r="A461" s="28" t="s">
        <v>102</v>
      </c>
      <c r="B461" s="19" t="s">
        <v>103</v>
      </c>
      <c r="C461" s="19" t="s">
        <v>94</v>
      </c>
      <c r="D461" s="20">
        <v>-25</v>
      </c>
      <c r="E461" s="20">
        <v>0</v>
      </c>
      <c r="F461" s="20">
        <v>0</v>
      </c>
      <c r="G461" s="21">
        <v>-25</v>
      </c>
      <c r="H461" s="22">
        <v>0</v>
      </c>
      <c r="I461" s="22">
        <v>0</v>
      </c>
      <c r="J461" s="21">
        <v>0</v>
      </c>
      <c r="K461" s="20">
        <v>0</v>
      </c>
      <c r="L461" s="22">
        <v>0</v>
      </c>
      <c r="M461" s="22">
        <v>0</v>
      </c>
      <c r="N461" s="22">
        <v>0</v>
      </c>
      <c r="O461" s="20">
        <v>0</v>
      </c>
      <c r="P461" s="20">
        <v>0</v>
      </c>
      <c r="Q461" s="20">
        <v>0</v>
      </c>
      <c r="R461" s="20">
        <v>0</v>
      </c>
      <c r="S461" s="19" t="s">
        <v>95</v>
      </c>
      <c r="T461" s="23">
        <v>-1</v>
      </c>
    </row>
    <row r="462" spans="1:20" ht="14.4">
      <c r="A462" s="29" t="s">
        <v>102</v>
      </c>
      <c r="B462" s="14" t="s">
        <v>103</v>
      </c>
      <c r="C462" s="14" t="s">
        <v>97</v>
      </c>
      <c r="D462" s="15">
        <v>-30</v>
      </c>
      <c r="E462" s="15">
        <v>0</v>
      </c>
      <c r="F462" s="15">
        <v>0</v>
      </c>
      <c r="G462" s="16">
        <v>-30</v>
      </c>
      <c r="H462" s="17">
        <v>0</v>
      </c>
      <c r="I462" s="17">
        <v>0</v>
      </c>
      <c r="J462" s="16">
        <v>0</v>
      </c>
      <c r="K462" s="15">
        <v>0</v>
      </c>
      <c r="L462" s="17">
        <v>0</v>
      </c>
      <c r="M462" s="17">
        <v>0</v>
      </c>
      <c r="N462" s="17">
        <v>0</v>
      </c>
      <c r="O462" s="15">
        <v>0</v>
      </c>
      <c r="P462" s="15">
        <v>0</v>
      </c>
      <c r="Q462" s="15">
        <v>0</v>
      </c>
      <c r="R462" s="15">
        <v>0</v>
      </c>
      <c r="S462" s="14" t="s">
        <v>93</v>
      </c>
      <c r="T462" s="18">
        <v>-1</v>
      </c>
    </row>
    <row r="463" spans="1:20" ht="14.4">
      <c r="A463" s="26">
        <v>336183</v>
      </c>
      <c r="B463" s="19" t="s">
        <v>85</v>
      </c>
      <c r="C463" s="19" t="s">
        <v>51</v>
      </c>
      <c r="D463" s="20">
        <v>-35</v>
      </c>
      <c r="E463" s="20">
        <v>0</v>
      </c>
      <c r="F463" s="20">
        <v>102</v>
      </c>
      <c r="G463" s="21">
        <v>0</v>
      </c>
      <c r="H463" s="22">
        <v>0</v>
      </c>
      <c r="I463" s="22">
        <v>0</v>
      </c>
      <c r="J463" s="21">
        <v>1100</v>
      </c>
      <c r="K463" s="20">
        <v>168</v>
      </c>
      <c r="L463" s="22">
        <v>15.272727270000001</v>
      </c>
      <c r="M463" s="22">
        <v>1</v>
      </c>
      <c r="N463" s="22">
        <v>0</v>
      </c>
      <c r="O463" s="20">
        <v>0</v>
      </c>
      <c r="P463" s="20">
        <v>0</v>
      </c>
      <c r="Q463" s="20">
        <v>0</v>
      </c>
      <c r="R463" s="20">
        <v>0</v>
      </c>
      <c r="S463" s="19" t="s">
        <v>87</v>
      </c>
      <c r="T463" s="23">
        <v>17</v>
      </c>
    </row>
    <row r="464" spans="1:20" ht="14.4">
      <c r="A464" s="29" t="s">
        <v>102</v>
      </c>
      <c r="B464" s="14" t="s">
        <v>103</v>
      </c>
      <c r="C464" s="14" t="s">
        <v>43</v>
      </c>
      <c r="D464" s="15">
        <v>-35</v>
      </c>
      <c r="E464" s="15">
        <v>-35</v>
      </c>
      <c r="F464" s="15">
        <v>0</v>
      </c>
      <c r="G464" s="16">
        <v>0</v>
      </c>
      <c r="H464" s="17">
        <v>0</v>
      </c>
      <c r="I464" s="17">
        <v>0</v>
      </c>
      <c r="J464" s="16">
        <v>0</v>
      </c>
      <c r="K464" s="15">
        <v>0</v>
      </c>
      <c r="L464" s="17">
        <v>0</v>
      </c>
      <c r="M464" s="17">
        <v>0</v>
      </c>
      <c r="N464" s="17">
        <v>0</v>
      </c>
      <c r="O464" s="15">
        <v>0</v>
      </c>
      <c r="P464" s="15">
        <v>0</v>
      </c>
      <c r="Q464" s="25"/>
      <c r="R464" s="15">
        <v>0</v>
      </c>
      <c r="S464" s="14" t="s">
        <v>87</v>
      </c>
      <c r="T464" s="18">
        <v>0</v>
      </c>
    </row>
    <row r="465" spans="1:20" ht="14.4">
      <c r="A465" s="28" t="s">
        <v>102</v>
      </c>
      <c r="B465" s="19" t="s">
        <v>103</v>
      </c>
      <c r="C465" s="19" t="s">
        <v>44</v>
      </c>
      <c r="D465" s="20">
        <v>-35</v>
      </c>
      <c r="E465" s="20">
        <v>-35</v>
      </c>
      <c r="F465" s="20">
        <v>0</v>
      </c>
      <c r="G465" s="21">
        <v>0</v>
      </c>
      <c r="H465" s="22">
        <v>0</v>
      </c>
      <c r="I465" s="22">
        <v>0</v>
      </c>
      <c r="J465" s="21">
        <v>0</v>
      </c>
      <c r="K465" s="20">
        <v>0</v>
      </c>
      <c r="L465" s="22">
        <v>0</v>
      </c>
      <c r="M465" s="22">
        <v>0</v>
      </c>
      <c r="N465" s="22">
        <v>0</v>
      </c>
      <c r="O465" s="20">
        <v>0</v>
      </c>
      <c r="P465" s="20">
        <v>0</v>
      </c>
      <c r="Q465" s="27"/>
      <c r="R465" s="20">
        <v>0</v>
      </c>
      <c r="S465" s="19" t="s">
        <v>91</v>
      </c>
      <c r="T465" s="23">
        <v>0</v>
      </c>
    </row>
    <row r="466" spans="1:20" ht="14.4">
      <c r="A466" s="29" t="s">
        <v>102</v>
      </c>
      <c r="B466" s="14" t="s">
        <v>103</v>
      </c>
      <c r="C466" s="14" t="s">
        <v>97</v>
      </c>
      <c r="D466" s="15">
        <v>-35</v>
      </c>
      <c r="E466" s="15">
        <v>-35</v>
      </c>
      <c r="F466" s="15">
        <v>0</v>
      </c>
      <c r="G466" s="16">
        <v>0</v>
      </c>
      <c r="H466" s="17">
        <v>0</v>
      </c>
      <c r="I466" s="17">
        <v>0</v>
      </c>
      <c r="J466" s="16">
        <v>0</v>
      </c>
      <c r="K466" s="15">
        <v>0</v>
      </c>
      <c r="L466" s="17">
        <v>0</v>
      </c>
      <c r="M466" s="17">
        <v>0</v>
      </c>
      <c r="N466" s="17">
        <v>0</v>
      </c>
      <c r="O466" s="15">
        <v>0</v>
      </c>
      <c r="P466" s="15">
        <v>0</v>
      </c>
      <c r="Q466" s="25"/>
      <c r="R466" s="15">
        <v>0</v>
      </c>
      <c r="S466" s="14" t="s">
        <v>93</v>
      </c>
      <c r="T466" s="18">
        <v>0</v>
      </c>
    </row>
    <row r="467" spans="1:20" ht="14.4">
      <c r="A467" s="28" t="s">
        <v>102</v>
      </c>
      <c r="B467" s="19" t="s">
        <v>103</v>
      </c>
      <c r="C467" s="19" t="s">
        <v>51</v>
      </c>
      <c r="D467" s="20">
        <v>-35</v>
      </c>
      <c r="E467" s="20">
        <v>-35</v>
      </c>
      <c r="F467" s="20">
        <v>0</v>
      </c>
      <c r="G467" s="21">
        <v>0</v>
      </c>
      <c r="H467" s="22">
        <v>0</v>
      </c>
      <c r="I467" s="22">
        <v>0</v>
      </c>
      <c r="J467" s="21">
        <v>0</v>
      </c>
      <c r="K467" s="20">
        <v>0</v>
      </c>
      <c r="L467" s="22">
        <v>0</v>
      </c>
      <c r="M467" s="22">
        <v>0</v>
      </c>
      <c r="N467" s="22">
        <v>0</v>
      </c>
      <c r="O467" s="20">
        <v>0</v>
      </c>
      <c r="P467" s="20">
        <v>0</v>
      </c>
      <c r="Q467" s="27"/>
      <c r="R467" s="20">
        <v>0</v>
      </c>
      <c r="S467" s="19" t="s">
        <v>87</v>
      </c>
      <c r="T467" s="23">
        <v>0</v>
      </c>
    </row>
    <row r="468" spans="1:20" ht="14.4">
      <c r="A468" s="29" t="s">
        <v>102</v>
      </c>
      <c r="B468" s="14" t="s">
        <v>103</v>
      </c>
      <c r="C468" s="14" t="s">
        <v>89</v>
      </c>
      <c r="D468" s="15">
        <v>-35</v>
      </c>
      <c r="E468" s="15">
        <v>-35</v>
      </c>
      <c r="F468" s="15">
        <v>0</v>
      </c>
      <c r="G468" s="16">
        <v>0</v>
      </c>
      <c r="H468" s="17">
        <v>0</v>
      </c>
      <c r="I468" s="17">
        <v>0</v>
      </c>
      <c r="J468" s="16">
        <v>0</v>
      </c>
      <c r="K468" s="15">
        <v>0</v>
      </c>
      <c r="L468" s="17">
        <v>0</v>
      </c>
      <c r="M468" s="17">
        <v>0</v>
      </c>
      <c r="N468" s="17">
        <v>0</v>
      </c>
      <c r="O468" s="15">
        <v>0</v>
      </c>
      <c r="P468" s="15">
        <v>0</v>
      </c>
      <c r="Q468" s="25"/>
      <c r="R468" s="15">
        <v>0</v>
      </c>
      <c r="S468" s="14" t="s">
        <v>87</v>
      </c>
      <c r="T468" s="18">
        <v>0</v>
      </c>
    </row>
    <row r="469" spans="1:20" ht="14.4">
      <c r="A469" s="28" t="s">
        <v>102</v>
      </c>
      <c r="B469" s="19" t="s">
        <v>103</v>
      </c>
      <c r="C469" s="19" t="s">
        <v>57</v>
      </c>
      <c r="D469" s="20">
        <v>-35</v>
      </c>
      <c r="E469" s="20">
        <v>-35</v>
      </c>
      <c r="F469" s="20">
        <v>0</v>
      </c>
      <c r="G469" s="21">
        <v>0</v>
      </c>
      <c r="H469" s="22">
        <v>0</v>
      </c>
      <c r="I469" s="22">
        <v>0</v>
      </c>
      <c r="J469" s="21">
        <v>0</v>
      </c>
      <c r="K469" s="20">
        <v>0</v>
      </c>
      <c r="L469" s="22">
        <v>0</v>
      </c>
      <c r="M469" s="22">
        <v>0</v>
      </c>
      <c r="N469" s="22">
        <v>0</v>
      </c>
      <c r="O469" s="20">
        <v>0</v>
      </c>
      <c r="P469" s="20">
        <v>0</v>
      </c>
      <c r="Q469" s="27"/>
      <c r="R469" s="20">
        <v>0</v>
      </c>
      <c r="S469" s="19" t="s">
        <v>87</v>
      </c>
      <c r="T469" s="23">
        <v>0</v>
      </c>
    </row>
    <row r="470" spans="1:20" ht="14.4">
      <c r="A470" s="29" t="s">
        <v>102</v>
      </c>
      <c r="B470" s="14" t="s">
        <v>103</v>
      </c>
      <c r="C470" s="14" t="s">
        <v>98</v>
      </c>
      <c r="D470" s="15">
        <v>-40</v>
      </c>
      <c r="E470" s="15">
        <v>0</v>
      </c>
      <c r="F470" s="15">
        <v>0</v>
      </c>
      <c r="G470" s="16">
        <v>-40</v>
      </c>
      <c r="H470" s="17">
        <v>0</v>
      </c>
      <c r="I470" s="17">
        <v>0</v>
      </c>
      <c r="J470" s="16">
        <v>0</v>
      </c>
      <c r="K470" s="15">
        <v>0</v>
      </c>
      <c r="L470" s="17">
        <v>0</v>
      </c>
      <c r="M470" s="17">
        <v>0</v>
      </c>
      <c r="N470" s="17">
        <v>0</v>
      </c>
      <c r="O470" s="15">
        <v>0</v>
      </c>
      <c r="P470" s="15">
        <v>0</v>
      </c>
      <c r="Q470" s="15">
        <v>0</v>
      </c>
      <c r="R470" s="15">
        <v>0</v>
      </c>
      <c r="S470" s="14" t="s">
        <v>87</v>
      </c>
      <c r="T470" s="18">
        <v>-2</v>
      </c>
    </row>
    <row r="471" spans="1:20" ht="14.4">
      <c r="A471" s="26">
        <v>340193</v>
      </c>
      <c r="B471" s="19" t="s">
        <v>85</v>
      </c>
      <c r="C471" s="19" t="s">
        <v>51</v>
      </c>
      <c r="D471" s="20">
        <v>-50</v>
      </c>
      <c r="E471" s="20">
        <v>0</v>
      </c>
      <c r="F471" s="20">
        <v>0</v>
      </c>
      <c r="G471" s="21">
        <v>100</v>
      </c>
      <c r="H471" s="22">
        <v>2</v>
      </c>
      <c r="I471" s="22">
        <v>0</v>
      </c>
      <c r="J471" s="21">
        <v>0</v>
      </c>
      <c r="K471" s="20">
        <v>0</v>
      </c>
      <c r="L471" s="22">
        <v>0</v>
      </c>
      <c r="M471" s="22">
        <v>0</v>
      </c>
      <c r="N471" s="22">
        <v>0</v>
      </c>
      <c r="O471" s="20">
        <v>0</v>
      </c>
      <c r="P471" s="20">
        <v>0</v>
      </c>
      <c r="Q471" s="20">
        <v>20</v>
      </c>
      <c r="R471" s="20">
        <v>0</v>
      </c>
      <c r="S471" s="19" t="s">
        <v>87</v>
      </c>
      <c r="T471" s="23">
        <v>5</v>
      </c>
    </row>
    <row r="472" spans="1:20" ht="14.4">
      <c r="A472" s="29" t="s">
        <v>102</v>
      </c>
      <c r="B472" s="14" t="s">
        <v>104</v>
      </c>
      <c r="C472" s="14" t="s">
        <v>43</v>
      </c>
      <c r="D472" s="15">
        <v>-50</v>
      </c>
      <c r="E472" s="15">
        <v>0</v>
      </c>
      <c r="F472" s="15">
        <v>0</v>
      </c>
      <c r="G472" s="16">
        <v>-50</v>
      </c>
      <c r="H472" s="17">
        <v>0</v>
      </c>
      <c r="I472" s="17">
        <v>1</v>
      </c>
      <c r="J472" s="16">
        <v>0</v>
      </c>
      <c r="K472" s="15">
        <v>0</v>
      </c>
      <c r="L472" s="17">
        <v>0</v>
      </c>
      <c r="M472" s="17">
        <v>0</v>
      </c>
      <c r="N472" s="17">
        <v>0</v>
      </c>
      <c r="O472" s="15">
        <v>0</v>
      </c>
      <c r="P472" s="15">
        <v>0</v>
      </c>
      <c r="Q472" s="15">
        <v>0</v>
      </c>
      <c r="R472" s="15">
        <v>0</v>
      </c>
      <c r="S472" s="14" t="s">
        <v>87</v>
      </c>
      <c r="T472" s="18">
        <v>-2</v>
      </c>
    </row>
    <row r="473" spans="1:20" ht="14.4">
      <c r="A473" s="28" t="s">
        <v>102</v>
      </c>
      <c r="B473" s="19" t="s">
        <v>104</v>
      </c>
      <c r="C473" s="19" t="s">
        <v>46</v>
      </c>
      <c r="D473" s="20">
        <v>-50</v>
      </c>
      <c r="E473" s="20">
        <v>0</v>
      </c>
      <c r="F473" s="20">
        <v>0</v>
      </c>
      <c r="G473" s="21">
        <v>-50</v>
      </c>
      <c r="H473" s="22">
        <v>0</v>
      </c>
      <c r="I473" s="22">
        <v>1</v>
      </c>
      <c r="J473" s="21">
        <v>0</v>
      </c>
      <c r="K473" s="20">
        <v>0</v>
      </c>
      <c r="L473" s="22">
        <v>0</v>
      </c>
      <c r="M473" s="22">
        <v>0</v>
      </c>
      <c r="N473" s="22">
        <v>0</v>
      </c>
      <c r="O473" s="20">
        <v>0</v>
      </c>
      <c r="P473" s="20">
        <v>0</v>
      </c>
      <c r="Q473" s="20">
        <v>0</v>
      </c>
      <c r="R473" s="20">
        <v>0</v>
      </c>
      <c r="S473" s="19" t="s">
        <v>87</v>
      </c>
      <c r="T473" s="23">
        <v>-2</v>
      </c>
    </row>
    <row r="474" spans="1:20" ht="14.4">
      <c r="A474" s="29" t="s">
        <v>102</v>
      </c>
      <c r="B474" s="14" t="s">
        <v>103</v>
      </c>
      <c r="C474" s="14" t="s">
        <v>46</v>
      </c>
      <c r="D474" s="15">
        <v>-50</v>
      </c>
      <c r="E474" s="15">
        <v>0</v>
      </c>
      <c r="F474" s="15">
        <v>0</v>
      </c>
      <c r="G474" s="16">
        <v>-50</v>
      </c>
      <c r="H474" s="17">
        <v>0</v>
      </c>
      <c r="I474" s="17">
        <v>0</v>
      </c>
      <c r="J474" s="16">
        <v>0</v>
      </c>
      <c r="K474" s="15">
        <v>0</v>
      </c>
      <c r="L474" s="17">
        <v>0</v>
      </c>
      <c r="M474" s="17">
        <v>0</v>
      </c>
      <c r="N474" s="17">
        <v>0</v>
      </c>
      <c r="O474" s="15">
        <v>0</v>
      </c>
      <c r="P474" s="15">
        <v>0</v>
      </c>
      <c r="Q474" s="15">
        <v>0</v>
      </c>
      <c r="R474" s="15">
        <v>0</v>
      </c>
      <c r="S474" s="14" t="s">
        <v>87</v>
      </c>
      <c r="T474" s="18">
        <v>-2</v>
      </c>
    </row>
    <row r="475" spans="1:20" ht="14.4">
      <c r="A475" s="28" t="s">
        <v>102</v>
      </c>
      <c r="B475" s="19" t="s">
        <v>104</v>
      </c>
      <c r="C475" s="19" t="s">
        <v>51</v>
      </c>
      <c r="D475" s="20">
        <v>-50</v>
      </c>
      <c r="E475" s="20">
        <v>0</v>
      </c>
      <c r="F475" s="20">
        <v>0</v>
      </c>
      <c r="G475" s="21">
        <v>-50</v>
      </c>
      <c r="H475" s="22">
        <v>0</v>
      </c>
      <c r="I475" s="22">
        <v>1</v>
      </c>
      <c r="J475" s="21">
        <v>0</v>
      </c>
      <c r="K475" s="20">
        <v>0</v>
      </c>
      <c r="L475" s="22">
        <v>0</v>
      </c>
      <c r="M475" s="22">
        <v>0</v>
      </c>
      <c r="N475" s="22">
        <v>0</v>
      </c>
      <c r="O475" s="20">
        <v>0</v>
      </c>
      <c r="P475" s="20">
        <v>0</v>
      </c>
      <c r="Q475" s="20">
        <v>0</v>
      </c>
      <c r="R475" s="20">
        <v>0</v>
      </c>
      <c r="S475" s="19" t="s">
        <v>87</v>
      </c>
      <c r="T475" s="23">
        <v>-2</v>
      </c>
    </row>
    <row r="476" spans="1:20" ht="14.4">
      <c r="A476" s="29" t="s">
        <v>102</v>
      </c>
      <c r="B476" s="14" t="s">
        <v>104</v>
      </c>
      <c r="C476" s="14" t="s">
        <v>89</v>
      </c>
      <c r="D476" s="15">
        <v>-60</v>
      </c>
      <c r="E476" s="15">
        <v>0</v>
      </c>
      <c r="F476" s="15">
        <v>0</v>
      </c>
      <c r="G476" s="16">
        <v>-60</v>
      </c>
      <c r="H476" s="17">
        <v>0</v>
      </c>
      <c r="I476" s="17">
        <v>1</v>
      </c>
      <c r="J476" s="16">
        <v>0</v>
      </c>
      <c r="K476" s="15">
        <v>0</v>
      </c>
      <c r="L476" s="17">
        <v>0</v>
      </c>
      <c r="M476" s="17">
        <v>0</v>
      </c>
      <c r="N476" s="17">
        <v>0</v>
      </c>
      <c r="O476" s="15">
        <v>0</v>
      </c>
      <c r="P476" s="15">
        <v>0</v>
      </c>
      <c r="Q476" s="15">
        <v>0</v>
      </c>
      <c r="R476" s="15">
        <v>0</v>
      </c>
      <c r="S476" s="14" t="s">
        <v>87</v>
      </c>
      <c r="T476" s="18">
        <v>-3</v>
      </c>
    </row>
    <row r="477" spans="1:20" ht="14.4">
      <c r="A477" s="28" t="s">
        <v>102</v>
      </c>
      <c r="B477" s="19" t="s">
        <v>103</v>
      </c>
      <c r="C477" s="19" t="s">
        <v>37</v>
      </c>
      <c r="D477" s="20">
        <v>-70</v>
      </c>
      <c r="E477" s="20">
        <v>0</v>
      </c>
      <c r="F477" s="20">
        <v>0</v>
      </c>
      <c r="G477" s="21">
        <v>-70</v>
      </c>
      <c r="H477" s="22">
        <v>0</v>
      </c>
      <c r="I477" s="22">
        <v>0</v>
      </c>
      <c r="J477" s="21">
        <v>0</v>
      </c>
      <c r="K477" s="20">
        <v>0</v>
      </c>
      <c r="L477" s="22">
        <v>0</v>
      </c>
      <c r="M477" s="22">
        <v>0</v>
      </c>
      <c r="N477" s="22">
        <v>0</v>
      </c>
      <c r="O477" s="20">
        <v>0</v>
      </c>
      <c r="P477" s="20">
        <v>0</v>
      </c>
      <c r="Q477" s="20">
        <v>0</v>
      </c>
      <c r="R477" s="20">
        <v>0</v>
      </c>
      <c r="S477" s="19" t="s">
        <v>87</v>
      </c>
      <c r="T477" s="23">
        <v>-3</v>
      </c>
    </row>
    <row r="478" spans="1:20" ht="14.4">
      <c r="A478" s="29" t="s">
        <v>102</v>
      </c>
      <c r="B478" s="14" t="s">
        <v>103</v>
      </c>
      <c r="C478" s="14" t="s">
        <v>46</v>
      </c>
      <c r="D478" s="15">
        <v>-75</v>
      </c>
      <c r="E478" s="15">
        <v>0</v>
      </c>
      <c r="F478" s="15">
        <v>0</v>
      </c>
      <c r="G478" s="16">
        <v>-75</v>
      </c>
      <c r="H478" s="17">
        <v>0</v>
      </c>
      <c r="I478" s="17">
        <v>0</v>
      </c>
      <c r="J478" s="16">
        <v>0</v>
      </c>
      <c r="K478" s="15">
        <v>0</v>
      </c>
      <c r="L478" s="17">
        <v>0</v>
      </c>
      <c r="M478" s="17">
        <v>0</v>
      </c>
      <c r="N478" s="17">
        <v>0</v>
      </c>
      <c r="O478" s="15">
        <v>0</v>
      </c>
      <c r="P478" s="15">
        <v>0</v>
      </c>
      <c r="Q478" s="15">
        <v>0</v>
      </c>
      <c r="R478" s="15">
        <v>0</v>
      </c>
      <c r="S478" s="14" t="s">
        <v>87</v>
      </c>
      <c r="T478" s="18">
        <v>-3</v>
      </c>
    </row>
    <row r="479" spans="1:20" ht="14.4">
      <c r="A479" s="28" t="s">
        <v>102</v>
      </c>
      <c r="B479" s="19" t="s">
        <v>104</v>
      </c>
      <c r="C479" s="19" t="s">
        <v>97</v>
      </c>
      <c r="D479" s="20">
        <v>-75</v>
      </c>
      <c r="E479" s="20">
        <v>0</v>
      </c>
      <c r="F479" s="20">
        <v>0</v>
      </c>
      <c r="G479" s="21">
        <v>-75</v>
      </c>
      <c r="H479" s="22">
        <v>0</v>
      </c>
      <c r="I479" s="22">
        <v>1</v>
      </c>
      <c r="J479" s="21">
        <v>0</v>
      </c>
      <c r="K479" s="20">
        <v>0</v>
      </c>
      <c r="L479" s="22">
        <v>0</v>
      </c>
      <c r="M479" s="22">
        <v>0</v>
      </c>
      <c r="N479" s="22">
        <v>0</v>
      </c>
      <c r="O479" s="20">
        <v>0</v>
      </c>
      <c r="P479" s="20">
        <v>0</v>
      </c>
      <c r="Q479" s="20">
        <v>0</v>
      </c>
      <c r="R479" s="20">
        <v>0</v>
      </c>
      <c r="S479" s="19" t="s">
        <v>93</v>
      </c>
      <c r="T479" s="23">
        <v>-3</v>
      </c>
    </row>
    <row r="480" spans="1:20" ht="14.4">
      <c r="A480" s="29" t="s">
        <v>102</v>
      </c>
      <c r="B480" s="14" t="s">
        <v>104</v>
      </c>
      <c r="C480" s="14" t="s">
        <v>37</v>
      </c>
      <c r="D480" s="15">
        <v>-82</v>
      </c>
      <c r="E480" s="15">
        <v>0</v>
      </c>
      <c r="F480" s="15">
        <v>-7</v>
      </c>
      <c r="G480" s="16">
        <v>-75</v>
      </c>
      <c r="H480" s="17">
        <v>0</v>
      </c>
      <c r="I480" s="17">
        <v>1</v>
      </c>
      <c r="J480" s="16">
        <v>0</v>
      </c>
      <c r="K480" s="15">
        <v>0</v>
      </c>
      <c r="L480" s="17">
        <v>0</v>
      </c>
      <c r="M480" s="17">
        <v>0</v>
      </c>
      <c r="N480" s="17">
        <v>0</v>
      </c>
      <c r="O480" s="15">
        <v>0</v>
      </c>
      <c r="P480" s="15">
        <v>0</v>
      </c>
      <c r="Q480" s="15">
        <v>0</v>
      </c>
      <c r="R480" s="15">
        <v>0</v>
      </c>
      <c r="S480" s="14" t="s">
        <v>87</v>
      </c>
      <c r="T480" s="18">
        <v>-3</v>
      </c>
    </row>
    <row r="481" spans="1:20" ht="14.4">
      <c r="A481" s="28" t="s">
        <v>102</v>
      </c>
      <c r="B481" s="19" t="s">
        <v>104</v>
      </c>
      <c r="C481" s="19" t="s">
        <v>89</v>
      </c>
      <c r="D481" s="20">
        <v>-82</v>
      </c>
      <c r="E481" s="20">
        <v>0</v>
      </c>
      <c r="F481" s="20">
        <v>-7</v>
      </c>
      <c r="G481" s="21">
        <v>-75</v>
      </c>
      <c r="H481" s="22">
        <v>0</v>
      </c>
      <c r="I481" s="22">
        <v>1</v>
      </c>
      <c r="J481" s="21">
        <v>0</v>
      </c>
      <c r="K481" s="20">
        <v>0</v>
      </c>
      <c r="L481" s="22">
        <v>0</v>
      </c>
      <c r="M481" s="22">
        <v>0</v>
      </c>
      <c r="N481" s="22">
        <v>0</v>
      </c>
      <c r="O481" s="20">
        <v>0</v>
      </c>
      <c r="P481" s="20">
        <v>0</v>
      </c>
      <c r="Q481" s="20">
        <v>0</v>
      </c>
      <c r="R481" s="20">
        <v>0</v>
      </c>
      <c r="S481" s="19" t="s">
        <v>87</v>
      </c>
      <c r="T481" s="23">
        <v>-3</v>
      </c>
    </row>
    <row r="482" spans="1:20" ht="14.4">
      <c r="A482" s="13">
        <v>338789</v>
      </c>
      <c r="B482" s="14" t="s">
        <v>105</v>
      </c>
      <c r="C482" s="14" t="s">
        <v>57</v>
      </c>
      <c r="D482" s="15">
        <v>-85</v>
      </c>
      <c r="E482" s="15">
        <v>0</v>
      </c>
      <c r="F482" s="15">
        <v>0</v>
      </c>
      <c r="G482" s="16">
        <v>0</v>
      </c>
      <c r="H482" s="17">
        <v>0</v>
      </c>
      <c r="I482" s="17">
        <v>0</v>
      </c>
      <c r="J482" s="16">
        <v>0</v>
      </c>
      <c r="K482" s="15">
        <v>0</v>
      </c>
      <c r="L482" s="17">
        <v>0</v>
      </c>
      <c r="M482" s="17">
        <v>0</v>
      </c>
      <c r="N482" s="17">
        <v>0</v>
      </c>
      <c r="O482" s="15">
        <v>0</v>
      </c>
      <c r="P482" s="15">
        <v>0</v>
      </c>
      <c r="Q482" s="25"/>
      <c r="R482" s="15">
        <v>0</v>
      </c>
      <c r="S482" s="14" t="s">
        <v>87</v>
      </c>
      <c r="T482" s="18">
        <v>0</v>
      </c>
    </row>
    <row r="483" spans="1:20" ht="14.4">
      <c r="A483" s="26">
        <v>340195</v>
      </c>
      <c r="B483" s="19" t="s">
        <v>105</v>
      </c>
      <c r="C483" s="19" t="s">
        <v>44</v>
      </c>
      <c r="D483" s="20">
        <v>-85</v>
      </c>
      <c r="E483" s="20">
        <v>0</v>
      </c>
      <c r="F483" s="20">
        <v>0</v>
      </c>
      <c r="G483" s="21">
        <v>0</v>
      </c>
      <c r="H483" s="22">
        <v>0</v>
      </c>
      <c r="I483" s="22">
        <v>0</v>
      </c>
      <c r="J483" s="21">
        <v>0</v>
      </c>
      <c r="K483" s="20">
        <v>0</v>
      </c>
      <c r="L483" s="22">
        <v>0</v>
      </c>
      <c r="M483" s="22">
        <v>0</v>
      </c>
      <c r="N483" s="22">
        <v>0</v>
      </c>
      <c r="O483" s="20">
        <v>0</v>
      </c>
      <c r="P483" s="20">
        <v>0</v>
      </c>
      <c r="Q483" s="27"/>
      <c r="R483" s="20">
        <v>0</v>
      </c>
      <c r="S483" s="19" t="s">
        <v>91</v>
      </c>
      <c r="T483" s="23">
        <v>0</v>
      </c>
    </row>
    <row r="484" spans="1:20" ht="14.4">
      <c r="A484" s="13">
        <v>340603</v>
      </c>
      <c r="B484" s="14" t="s">
        <v>105</v>
      </c>
      <c r="C484" s="14" t="s">
        <v>97</v>
      </c>
      <c r="D484" s="15">
        <v>-85</v>
      </c>
      <c r="E484" s="15">
        <v>0</v>
      </c>
      <c r="F484" s="15">
        <v>0</v>
      </c>
      <c r="G484" s="16">
        <v>0</v>
      </c>
      <c r="H484" s="17">
        <v>0</v>
      </c>
      <c r="I484" s="17">
        <v>0</v>
      </c>
      <c r="J484" s="16">
        <v>0</v>
      </c>
      <c r="K484" s="15">
        <v>0</v>
      </c>
      <c r="L484" s="17">
        <v>0</v>
      </c>
      <c r="M484" s="17">
        <v>0</v>
      </c>
      <c r="N484" s="17">
        <v>0</v>
      </c>
      <c r="O484" s="15">
        <v>0</v>
      </c>
      <c r="P484" s="15">
        <v>0</v>
      </c>
      <c r="Q484" s="25"/>
      <c r="R484" s="15">
        <v>0</v>
      </c>
      <c r="S484" s="14" t="s">
        <v>93</v>
      </c>
      <c r="T484" s="18">
        <v>0</v>
      </c>
    </row>
    <row r="485" spans="1:20" ht="14.4">
      <c r="A485" s="28" t="s">
        <v>102</v>
      </c>
      <c r="B485" s="19" t="s">
        <v>104</v>
      </c>
      <c r="C485" s="19" t="s">
        <v>43</v>
      </c>
      <c r="D485" s="20">
        <v>-85</v>
      </c>
      <c r="E485" s="20">
        <v>-35</v>
      </c>
      <c r="F485" s="20">
        <v>0</v>
      </c>
      <c r="G485" s="21">
        <v>-50</v>
      </c>
      <c r="H485" s="22">
        <v>0</v>
      </c>
      <c r="I485" s="22">
        <v>1</v>
      </c>
      <c r="J485" s="21">
        <v>0</v>
      </c>
      <c r="K485" s="20">
        <v>0</v>
      </c>
      <c r="L485" s="22">
        <v>0</v>
      </c>
      <c r="M485" s="22">
        <v>0</v>
      </c>
      <c r="N485" s="22">
        <v>0</v>
      </c>
      <c r="O485" s="20">
        <v>0</v>
      </c>
      <c r="P485" s="20">
        <v>0</v>
      </c>
      <c r="Q485" s="20">
        <v>0</v>
      </c>
      <c r="R485" s="20">
        <v>0</v>
      </c>
      <c r="S485" s="19" t="s">
        <v>87</v>
      </c>
      <c r="T485" s="23">
        <v>-2</v>
      </c>
    </row>
    <row r="486" spans="1:20" ht="14.4">
      <c r="A486" s="29" t="s">
        <v>102</v>
      </c>
      <c r="B486" s="14" t="s">
        <v>104</v>
      </c>
      <c r="C486" s="14" t="s">
        <v>38</v>
      </c>
      <c r="D486" s="15">
        <v>-85</v>
      </c>
      <c r="E486" s="15">
        <v>-35</v>
      </c>
      <c r="F486" s="15">
        <v>0</v>
      </c>
      <c r="G486" s="16">
        <v>-50</v>
      </c>
      <c r="H486" s="17">
        <v>0</v>
      </c>
      <c r="I486" s="17">
        <v>1</v>
      </c>
      <c r="J486" s="16">
        <v>0</v>
      </c>
      <c r="K486" s="15">
        <v>0</v>
      </c>
      <c r="L486" s="17">
        <v>0</v>
      </c>
      <c r="M486" s="17">
        <v>0</v>
      </c>
      <c r="N486" s="17">
        <v>0</v>
      </c>
      <c r="O486" s="15">
        <v>0</v>
      </c>
      <c r="P486" s="15">
        <v>0</v>
      </c>
      <c r="Q486" s="15">
        <v>0</v>
      </c>
      <c r="R486" s="15">
        <v>0</v>
      </c>
      <c r="S486" s="14" t="s">
        <v>91</v>
      </c>
      <c r="T486" s="18">
        <v>-2</v>
      </c>
    </row>
    <row r="487" spans="1:20" ht="14.4">
      <c r="A487" s="28" t="s">
        <v>102</v>
      </c>
      <c r="B487" s="19" t="s">
        <v>104</v>
      </c>
      <c r="C487" s="19" t="s">
        <v>97</v>
      </c>
      <c r="D487" s="20">
        <v>-85</v>
      </c>
      <c r="E487" s="20">
        <v>-35</v>
      </c>
      <c r="F487" s="20">
        <v>0</v>
      </c>
      <c r="G487" s="21">
        <v>-50</v>
      </c>
      <c r="H487" s="22">
        <v>0</v>
      </c>
      <c r="I487" s="22">
        <v>1</v>
      </c>
      <c r="J487" s="21">
        <v>0</v>
      </c>
      <c r="K487" s="20">
        <v>0</v>
      </c>
      <c r="L487" s="22">
        <v>0</v>
      </c>
      <c r="M487" s="22">
        <v>0</v>
      </c>
      <c r="N487" s="22">
        <v>0</v>
      </c>
      <c r="O487" s="20">
        <v>0</v>
      </c>
      <c r="P487" s="20">
        <v>0</v>
      </c>
      <c r="Q487" s="20">
        <v>0</v>
      </c>
      <c r="R487" s="20">
        <v>0</v>
      </c>
      <c r="S487" s="19" t="s">
        <v>93</v>
      </c>
      <c r="T487" s="23">
        <v>-2</v>
      </c>
    </row>
    <row r="488" spans="1:20" ht="14.4">
      <c r="A488" s="29" t="s">
        <v>102</v>
      </c>
      <c r="B488" s="14" t="s">
        <v>104</v>
      </c>
      <c r="C488" s="14" t="s">
        <v>97</v>
      </c>
      <c r="D488" s="15">
        <v>-85</v>
      </c>
      <c r="E488" s="15">
        <v>-35</v>
      </c>
      <c r="F488" s="15">
        <v>0</v>
      </c>
      <c r="G488" s="16">
        <v>-50</v>
      </c>
      <c r="H488" s="17">
        <v>0</v>
      </c>
      <c r="I488" s="17">
        <v>1</v>
      </c>
      <c r="J488" s="16">
        <v>0</v>
      </c>
      <c r="K488" s="15">
        <v>0</v>
      </c>
      <c r="L488" s="17">
        <v>0</v>
      </c>
      <c r="M488" s="17">
        <v>0</v>
      </c>
      <c r="N488" s="17">
        <v>0</v>
      </c>
      <c r="O488" s="15">
        <v>0</v>
      </c>
      <c r="P488" s="15">
        <v>0</v>
      </c>
      <c r="Q488" s="15">
        <v>0</v>
      </c>
      <c r="R488" s="15">
        <v>0</v>
      </c>
      <c r="S488" s="14" t="s">
        <v>93</v>
      </c>
      <c r="T488" s="18">
        <v>-2</v>
      </c>
    </row>
    <row r="489" spans="1:20" ht="14.4">
      <c r="A489" s="28" t="s">
        <v>102</v>
      </c>
      <c r="B489" s="19" t="s">
        <v>104</v>
      </c>
      <c r="C489" s="19" t="s">
        <v>98</v>
      </c>
      <c r="D489" s="20">
        <v>-85</v>
      </c>
      <c r="E489" s="20">
        <v>-35</v>
      </c>
      <c r="F489" s="20">
        <v>0</v>
      </c>
      <c r="G489" s="21">
        <v>-50</v>
      </c>
      <c r="H489" s="22">
        <v>0</v>
      </c>
      <c r="I489" s="22">
        <v>1</v>
      </c>
      <c r="J489" s="21">
        <v>0</v>
      </c>
      <c r="K489" s="20">
        <v>0</v>
      </c>
      <c r="L489" s="22">
        <v>0</v>
      </c>
      <c r="M489" s="22">
        <v>0</v>
      </c>
      <c r="N489" s="22">
        <v>0</v>
      </c>
      <c r="O489" s="20">
        <v>0</v>
      </c>
      <c r="P489" s="20">
        <v>0</v>
      </c>
      <c r="Q489" s="20">
        <v>0</v>
      </c>
      <c r="R489" s="20">
        <v>0</v>
      </c>
      <c r="S489" s="19" t="s">
        <v>87</v>
      </c>
      <c r="T489" s="23">
        <v>-2</v>
      </c>
    </row>
    <row r="490" spans="1:20" ht="14.4">
      <c r="A490" s="29" t="s">
        <v>102</v>
      </c>
      <c r="B490" s="14" t="s">
        <v>104</v>
      </c>
      <c r="C490" s="14" t="s">
        <v>106</v>
      </c>
      <c r="D490" s="15">
        <v>-85</v>
      </c>
      <c r="E490" s="15">
        <v>-35</v>
      </c>
      <c r="F490" s="15">
        <v>0</v>
      </c>
      <c r="G490" s="16">
        <v>-50</v>
      </c>
      <c r="H490" s="17">
        <v>0</v>
      </c>
      <c r="I490" s="17">
        <v>1</v>
      </c>
      <c r="J490" s="16">
        <v>0</v>
      </c>
      <c r="K490" s="15">
        <v>0</v>
      </c>
      <c r="L490" s="17">
        <v>0</v>
      </c>
      <c r="M490" s="17">
        <v>0</v>
      </c>
      <c r="N490" s="17">
        <v>0</v>
      </c>
      <c r="O490" s="15">
        <v>0</v>
      </c>
      <c r="P490" s="15">
        <v>0</v>
      </c>
      <c r="Q490" s="15">
        <v>0</v>
      </c>
      <c r="R490" s="15">
        <v>0</v>
      </c>
      <c r="S490" s="14" t="s">
        <v>91</v>
      </c>
      <c r="T490" s="18">
        <v>-2</v>
      </c>
    </row>
    <row r="491" spans="1:20" ht="14.4">
      <c r="A491" s="26">
        <v>340796</v>
      </c>
      <c r="B491" s="19" t="s">
        <v>105</v>
      </c>
      <c r="C491" s="19" t="s">
        <v>97</v>
      </c>
      <c r="D491" s="20">
        <v>-90</v>
      </c>
      <c r="E491" s="20">
        <v>0</v>
      </c>
      <c r="F491" s="20">
        <v>0</v>
      </c>
      <c r="G491" s="21">
        <v>0</v>
      </c>
      <c r="H491" s="22">
        <v>0</v>
      </c>
      <c r="I491" s="22">
        <v>0</v>
      </c>
      <c r="J491" s="21">
        <v>0</v>
      </c>
      <c r="K491" s="20">
        <v>0</v>
      </c>
      <c r="L491" s="22">
        <v>0</v>
      </c>
      <c r="M491" s="22">
        <v>0</v>
      </c>
      <c r="N491" s="22">
        <v>0</v>
      </c>
      <c r="O491" s="20">
        <v>0</v>
      </c>
      <c r="P491" s="20">
        <v>0</v>
      </c>
      <c r="Q491" s="27"/>
      <c r="R491" s="20">
        <v>0</v>
      </c>
      <c r="S491" s="19" t="s">
        <v>93</v>
      </c>
      <c r="T491" s="23">
        <v>0</v>
      </c>
    </row>
    <row r="492" spans="1:20" ht="14.4">
      <c r="A492" s="13">
        <v>340060</v>
      </c>
      <c r="B492" s="14" t="s">
        <v>105</v>
      </c>
      <c r="C492" s="14" t="s">
        <v>97</v>
      </c>
      <c r="D492" s="15">
        <v>-95</v>
      </c>
      <c r="E492" s="15">
        <v>0</v>
      </c>
      <c r="F492" s="15">
        <v>0</v>
      </c>
      <c r="G492" s="16">
        <v>0</v>
      </c>
      <c r="H492" s="17">
        <v>0</v>
      </c>
      <c r="I492" s="17">
        <v>0</v>
      </c>
      <c r="J492" s="16">
        <v>0</v>
      </c>
      <c r="K492" s="15">
        <v>0</v>
      </c>
      <c r="L492" s="17">
        <v>0</v>
      </c>
      <c r="M492" s="17">
        <v>0</v>
      </c>
      <c r="N492" s="17">
        <v>0</v>
      </c>
      <c r="O492" s="15">
        <v>0</v>
      </c>
      <c r="P492" s="15">
        <v>0</v>
      </c>
      <c r="Q492" s="25"/>
      <c r="R492" s="15">
        <v>0</v>
      </c>
      <c r="S492" s="14" t="s">
        <v>93</v>
      </c>
      <c r="T492" s="18">
        <v>0</v>
      </c>
    </row>
    <row r="493" spans="1:20" ht="14.4">
      <c r="A493" s="26">
        <v>340895</v>
      </c>
      <c r="B493" s="19" t="s">
        <v>105</v>
      </c>
      <c r="C493" s="19" t="s">
        <v>97</v>
      </c>
      <c r="D493" s="20">
        <v>-95</v>
      </c>
      <c r="E493" s="20">
        <v>0</v>
      </c>
      <c r="F493" s="20">
        <v>0</v>
      </c>
      <c r="G493" s="21">
        <v>0</v>
      </c>
      <c r="H493" s="22">
        <v>0</v>
      </c>
      <c r="I493" s="22">
        <v>0</v>
      </c>
      <c r="J493" s="21">
        <v>0</v>
      </c>
      <c r="K493" s="20">
        <v>0</v>
      </c>
      <c r="L493" s="22">
        <v>0</v>
      </c>
      <c r="M493" s="22">
        <v>0</v>
      </c>
      <c r="N493" s="22">
        <v>0</v>
      </c>
      <c r="O493" s="20">
        <v>0</v>
      </c>
      <c r="P493" s="20">
        <v>0</v>
      </c>
      <c r="Q493" s="27"/>
      <c r="R493" s="20">
        <v>0</v>
      </c>
      <c r="S493" s="19" t="s">
        <v>93</v>
      </c>
      <c r="T493" s="23">
        <v>0</v>
      </c>
    </row>
    <row r="494" spans="1:20" ht="14.4">
      <c r="A494" s="29" t="s">
        <v>102</v>
      </c>
      <c r="B494" s="14" t="s">
        <v>104</v>
      </c>
      <c r="C494" s="14" t="s">
        <v>97</v>
      </c>
      <c r="D494" s="15">
        <v>-95</v>
      </c>
      <c r="E494" s="15">
        <v>-35</v>
      </c>
      <c r="F494" s="15">
        <v>0</v>
      </c>
      <c r="G494" s="16">
        <v>-60</v>
      </c>
      <c r="H494" s="17">
        <v>0</v>
      </c>
      <c r="I494" s="17">
        <v>1</v>
      </c>
      <c r="J494" s="16">
        <v>0</v>
      </c>
      <c r="K494" s="15">
        <v>0</v>
      </c>
      <c r="L494" s="17">
        <v>0</v>
      </c>
      <c r="M494" s="17">
        <v>0</v>
      </c>
      <c r="N494" s="17">
        <v>0</v>
      </c>
      <c r="O494" s="15">
        <v>0</v>
      </c>
      <c r="P494" s="15">
        <v>0</v>
      </c>
      <c r="Q494" s="15">
        <v>0</v>
      </c>
      <c r="R494" s="15">
        <v>0</v>
      </c>
      <c r="S494" s="14" t="s">
        <v>93</v>
      </c>
      <c r="T494" s="18">
        <v>-3</v>
      </c>
    </row>
    <row r="495" spans="1:20" ht="14.4">
      <c r="A495" s="28" t="s">
        <v>102</v>
      </c>
      <c r="B495" s="19" t="s">
        <v>104</v>
      </c>
      <c r="C495" s="19" t="s">
        <v>98</v>
      </c>
      <c r="D495" s="20">
        <v>-95</v>
      </c>
      <c r="E495" s="20">
        <v>-35</v>
      </c>
      <c r="F495" s="20">
        <v>0</v>
      </c>
      <c r="G495" s="21">
        <v>-60</v>
      </c>
      <c r="H495" s="22">
        <v>0</v>
      </c>
      <c r="I495" s="22">
        <v>1</v>
      </c>
      <c r="J495" s="21">
        <v>0</v>
      </c>
      <c r="K495" s="20">
        <v>0</v>
      </c>
      <c r="L495" s="22">
        <v>0</v>
      </c>
      <c r="M495" s="22">
        <v>0</v>
      </c>
      <c r="N495" s="22">
        <v>0</v>
      </c>
      <c r="O495" s="20">
        <v>0</v>
      </c>
      <c r="P495" s="20">
        <v>0</v>
      </c>
      <c r="Q495" s="20">
        <v>0</v>
      </c>
      <c r="R495" s="20">
        <v>0</v>
      </c>
      <c r="S495" s="19" t="s">
        <v>87</v>
      </c>
      <c r="T495" s="23">
        <v>-3</v>
      </c>
    </row>
    <row r="496" spans="1:20" ht="14.4">
      <c r="A496" s="29" t="s">
        <v>102</v>
      </c>
      <c r="B496" s="14" t="s">
        <v>104</v>
      </c>
      <c r="C496" s="14" t="s">
        <v>57</v>
      </c>
      <c r="D496" s="15">
        <v>-95</v>
      </c>
      <c r="E496" s="15">
        <v>-35</v>
      </c>
      <c r="F496" s="15">
        <v>0</v>
      </c>
      <c r="G496" s="16">
        <v>-60</v>
      </c>
      <c r="H496" s="17">
        <v>0</v>
      </c>
      <c r="I496" s="17">
        <v>1</v>
      </c>
      <c r="J496" s="16">
        <v>0</v>
      </c>
      <c r="K496" s="15">
        <v>0</v>
      </c>
      <c r="L496" s="17">
        <v>0</v>
      </c>
      <c r="M496" s="17">
        <v>0</v>
      </c>
      <c r="N496" s="17">
        <v>0</v>
      </c>
      <c r="O496" s="15">
        <v>0</v>
      </c>
      <c r="P496" s="15">
        <v>0</v>
      </c>
      <c r="Q496" s="15">
        <v>0</v>
      </c>
      <c r="R496" s="15">
        <v>0</v>
      </c>
      <c r="S496" s="14" t="s">
        <v>87</v>
      </c>
      <c r="T496" s="18">
        <v>-3</v>
      </c>
    </row>
    <row r="497" spans="1:20" ht="14.4">
      <c r="A497" s="26">
        <v>339595</v>
      </c>
      <c r="B497" s="19" t="s">
        <v>105</v>
      </c>
      <c r="C497" s="19" t="s">
        <v>97</v>
      </c>
      <c r="D497" s="20">
        <v>-100</v>
      </c>
      <c r="E497" s="20">
        <v>0</v>
      </c>
      <c r="F497" s="20">
        <v>0</v>
      </c>
      <c r="G497" s="21">
        <v>0</v>
      </c>
      <c r="H497" s="22">
        <v>0</v>
      </c>
      <c r="I497" s="22">
        <v>0</v>
      </c>
      <c r="J497" s="21">
        <v>0</v>
      </c>
      <c r="K497" s="20">
        <v>0</v>
      </c>
      <c r="L497" s="22">
        <v>0</v>
      </c>
      <c r="M497" s="22">
        <v>0</v>
      </c>
      <c r="N497" s="22">
        <v>0</v>
      </c>
      <c r="O497" s="20">
        <v>0</v>
      </c>
      <c r="P497" s="20">
        <v>0</v>
      </c>
      <c r="Q497" s="27"/>
      <c r="R497" s="20">
        <v>0</v>
      </c>
      <c r="S497" s="19" t="s">
        <v>93</v>
      </c>
      <c r="T497" s="23">
        <v>0</v>
      </c>
    </row>
    <row r="498" spans="1:20" ht="14.4">
      <c r="A498" s="13">
        <v>339968</v>
      </c>
      <c r="B498" s="14" t="s">
        <v>105</v>
      </c>
      <c r="C498" s="14" t="s">
        <v>97</v>
      </c>
      <c r="D498" s="15">
        <v>-100</v>
      </c>
      <c r="E498" s="15">
        <v>0</v>
      </c>
      <c r="F498" s="15">
        <v>0</v>
      </c>
      <c r="G498" s="16">
        <v>0</v>
      </c>
      <c r="H498" s="17">
        <v>0</v>
      </c>
      <c r="I498" s="17">
        <v>0</v>
      </c>
      <c r="J498" s="16">
        <v>0</v>
      </c>
      <c r="K498" s="15">
        <v>0</v>
      </c>
      <c r="L498" s="17">
        <v>0</v>
      </c>
      <c r="M498" s="17">
        <v>0</v>
      </c>
      <c r="N498" s="17">
        <v>0</v>
      </c>
      <c r="O498" s="15">
        <v>0</v>
      </c>
      <c r="P498" s="15">
        <v>0</v>
      </c>
      <c r="Q498" s="25"/>
      <c r="R498" s="15">
        <v>0</v>
      </c>
      <c r="S498" s="14" t="s">
        <v>93</v>
      </c>
      <c r="T498" s="18">
        <v>0</v>
      </c>
    </row>
    <row r="499" spans="1:20" ht="14.4">
      <c r="A499" s="26">
        <v>340615</v>
      </c>
      <c r="B499" s="19" t="s">
        <v>105</v>
      </c>
      <c r="C499" s="19" t="s">
        <v>97</v>
      </c>
      <c r="D499" s="20">
        <v>-100</v>
      </c>
      <c r="E499" s="20">
        <v>0</v>
      </c>
      <c r="F499" s="20">
        <v>0</v>
      </c>
      <c r="G499" s="21">
        <v>0</v>
      </c>
      <c r="H499" s="22">
        <v>0</v>
      </c>
      <c r="I499" s="22">
        <v>0</v>
      </c>
      <c r="J499" s="21">
        <v>0</v>
      </c>
      <c r="K499" s="20">
        <v>0</v>
      </c>
      <c r="L499" s="22">
        <v>0</v>
      </c>
      <c r="M499" s="22">
        <v>0</v>
      </c>
      <c r="N499" s="22">
        <v>0</v>
      </c>
      <c r="O499" s="20">
        <v>0</v>
      </c>
      <c r="P499" s="20">
        <v>0</v>
      </c>
      <c r="Q499" s="27"/>
      <c r="R499" s="20">
        <v>0</v>
      </c>
      <c r="S499" s="19" t="s">
        <v>93</v>
      </c>
      <c r="T499" s="23">
        <v>0</v>
      </c>
    </row>
    <row r="500" spans="1:20" ht="14.4">
      <c r="A500" s="29" t="s">
        <v>102</v>
      </c>
      <c r="B500" s="14" t="s">
        <v>103</v>
      </c>
      <c r="C500" s="14" t="s">
        <v>37</v>
      </c>
      <c r="D500" s="15">
        <v>-100</v>
      </c>
      <c r="E500" s="15">
        <v>0</v>
      </c>
      <c r="F500" s="15">
        <v>0</v>
      </c>
      <c r="G500" s="16">
        <v>-100</v>
      </c>
      <c r="H500" s="17">
        <v>0</v>
      </c>
      <c r="I500" s="17">
        <v>0</v>
      </c>
      <c r="J500" s="16">
        <v>0</v>
      </c>
      <c r="K500" s="15">
        <v>0</v>
      </c>
      <c r="L500" s="17">
        <v>0</v>
      </c>
      <c r="M500" s="17">
        <v>0</v>
      </c>
      <c r="N500" s="17">
        <v>0</v>
      </c>
      <c r="O500" s="15">
        <v>0</v>
      </c>
      <c r="P500" s="15">
        <v>0</v>
      </c>
      <c r="Q500" s="15">
        <v>0</v>
      </c>
      <c r="R500" s="15">
        <v>0</v>
      </c>
      <c r="S500" s="14" t="s">
        <v>87</v>
      </c>
      <c r="T500" s="18">
        <v>-5</v>
      </c>
    </row>
    <row r="501" spans="1:20" ht="14.4">
      <c r="A501" s="28" t="s">
        <v>102</v>
      </c>
      <c r="B501" s="19" t="s">
        <v>104</v>
      </c>
      <c r="C501" s="19" t="s">
        <v>101</v>
      </c>
      <c r="D501" s="20">
        <v>-100</v>
      </c>
      <c r="E501" s="20">
        <v>0</v>
      </c>
      <c r="F501" s="20">
        <v>0</v>
      </c>
      <c r="G501" s="21">
        <v>-100</v>
      </c>
      <c r="H501" s="22">
        <v>0</v>
      </c>
      <c r="I501" s="22">
        <v>1</v>
      </c>
      <c r="J501" s="21">
        <v>0</v>
      </c>
      <c r="K501" s="20">
        <v>0</v>
      </c>
      <c r="L501" s="22">
        <v>0</v>
      </c>
      <c r="M501" s="22">
        <v>0</v>
      </c>
      <c r="N501" s="22">
        <v>0</v>
      </c>
      <c r="O501" s="20">
        <v>0</v>
      </c>
      <c r="P501" s="20">
        <v>0</v>
      </c>
      <c r="Q501" s="20">
        <v>0</v>
      </c>
      <c r="R501" s="20">
        <v>0</v>
      </c>
      <c r="S501" s="19" t="s">
        <v>95</v>
      </c>
      <c r="T501" s="23">
        <v>-5</v>
      </c>
    </row>
    <row r="502" spans="1:20" ht="14.4">
      <c r="A502" s="29" t="s">
        <v>102</v>
      </c>
      <c r="B502" s="14" t="s">
        <v>107</v>
      </c>
      <c r="C502" s="14" t="s">
        <v>46</v>
      </c>
      <c r="D502" s="15">
        <v>-100</v>
      </c>
      <c r="E502" s="15">
        <v>0</v>
      </c>
      <c r="F502" s="15">
        <v>0</v>
      </c>
      <c r="G502" s="16">
        <v>0</v>
      </c>
      <c r="H502" s="17">
        <v>0</v>
      </c>
      <c r="I502" s="17">
        <v>0</v>
      </c>
      <c r="J502" s="16">
        <v>0</v>
      </c>
      <c r="K502" s="15">
        <v>0</v>
      </c>
      <c r="L502" s="17">
        <v>0</v>
      </c>
      <c r="M502" s="17">
        <v>0</v>
      </c>
      <c r="N502" s="17">
        <v>0</v>
      </c>
      <c r="O502" s="15">
        <v>0</v>
      </c>
      <c r="P502" s="15">
        <v>-100</v>
      </c>
      <c r="Q502" s="15">
        <v>0</v>
      </c>
      <c r="R502" s="15">
        <v>0</v>
      </c>
      <c r="S502" s="14" t="s">
        <v>87</v>
      </c>
      <c r="T502" s="18">
        <v>-20</v>
      </c>
    </row>
    <row r="503" spans="1:20" ht="14.4">
      <c r="A503" s="28" t="s">
        <v>102</v>
      </c>
      <c r="B503" s="19" t="s">
        <v>103</v>
      </c>
      <c r="C503" s="19" t="s">
        <v>60</v>
      </c>
      <c r="D503" s="20">
        <v>-100</v>
      </c>
      <c r="E503" s="20">
        <v>0</v>
      </c>
      <c r="F503" s="20">
        <v>0</v>
      </c>
      <c r="G503" s="21">
        <v>-100</v>
      </c>
      <c r="H503" s="22">
        <v>0</v>
      </c>
      <c r="I503" s="22">
        <v>0</v>
      </c>
      <c r="J503" s="21">
        <v>0</v>
      </c>
      <c r="K503" s="20">
        <v>0</v>
      </c>
      <c r="L503" s="22">
        <v>0</v>
      </c>
      <c r="M503" s="22">
        <v>0</v>
      </c>
      <c r="N503" s="22">
        <v>0</v>
      </c>
      <c r="O503" s="20">
        <v>0</v>
      </c>
      <c r="P503" s="20">
        <v>0</v>
      </c>
      <c r="Q503" s="20">
        <v>0</v>
      </c>
      <c r="R503" s="20">
        <v>0</v>
      </c>
      <c r="S503" s="19" t="s">
        <v>87</v>
      </c>
      <c r="T503" s="23">
        <v>-5</v>
      </c>
    </row>
    <row r="504" spans="1:20" ht="14.4">
      <c r="A504" s="29" t="s">
        <v>102</v>
      </c>
      <c r="B504" s="14" t="s">
        <v>103</v>
      </c>
      <c r="C504" s="14" t="s">
        <v>60</v>
      </c>
      <c r="D504" s="15">
        <v>-100</v>
      </c>
      <c r="E504" s="15">
        <v>0</v>
      </c>
      <c r="F504" s="15">
        <v>0</v>
      </c>
      <c r="G504" s="16">
        <v>-100</v>
      </c>
      <c r="H504" s="17">
        <v>0</v>
      </c>
      <c r="I504" s="17">
        <v>0</v>
      </c>
      <c r="J504" s="16">
        <v>0</v>
      </c>
      <c r="K504" s="15">
        <v>0</v>
      </c>
      <c r="L504" s="17">
        <v>0</v>
      </c>
      <c r="M504" s="17">
        <v>0</v>
      </c>
      <c r="N504" s="17">
        <v>0</v>
      </c>
      <c r="O504" s="15">
        <v>0</v>
      </c>
      <c r="P504" s="15">
        <v>0</v>
      </c>
      <c r="Q504" s="15">
        <v>0</v>
      </c>
      <c r="R504" s="15">
        <v>0</v>
      </c>
      <c r="S504" s="14" t="s">
        <v>87</v>
      </c>
      <c r="T504" s="18">
        <v>-5</v>
      </c>
    </row>
    <row r="505" spans="1:20" ht="14.4">
      <c r="A505" s="28" t="s">
        <v>102</v>
      </c>
      <c r="B505" s="19" t="s">
        <v>103</v>
      </c>
      <c r="C505" s="19" t="s">
        <v>51</v>
      </c>
      <c r="D505" s="20">
        <v>-100</v>
      </c>
      <c r="E505" s="20">
        <v>0</v>
      </c>
      <c r="F505" s="20">
        <v>0</v>
      </c>
      <c r="G505" s="21">
        <v>-100</v>
      </c>
      <c r="H505" s="22">
        <v>0</v>
      </c>
      <c r="I505" s="22">
        <v>0</v>
      </c>
      <c r="J505" s="21">
        <v>0</v>
      </c>
      <c r="K505" s="20">
        <v>0</v>
      </c>
      <c r="L505" s="22">
        <v>0</v>
      </c>
      <c r="M505" s="22">
        <v>0</v>
      </c>
      <c r="N505" s="22">
        <v>0</v>
      </c>
      <c r="O505" s="20">
        <v>0</v>
      </c>
      <c r="P505" s="20">
        <v>0</v>
      </c>
      <c r="Q505" s="20">
        <v>0</v>
      </c>
      <c r="R505" s="20">
        <v>0</v>
      </c>
      <c r="S505" s="19" t="s">
        <v>87</v>
      </c>
      <c r="T505" s="23">
        <v>-5</v>
      </c>
    </row>
    <row r="506" spans="1:20" ht="14.4">
      <c r="A506" s="29" t="s">
        <v>102</v>
      </c>
      <c r="B506" s="14" t="s">
        <v>103</v>
      </c>
      <c r="C506" s="14" t="s">
        <v>47</v>
      </c>
      <c r="D506" s="15">
        <v>-100</v>
      </c>
      <c r="E506" s="15">
        <v>0</v>
      </c>
      <c r="F506" s="15">
        <v>0</v>
      </c>
      <c r="G506" s="16">
        <v>-100</v>
      </c>
      <c r="H506" s="17">
        <v>0</v>
      </c>
      <c r="I506" s="17">
        <v>0</v>
      </c>
      <c r="J506" s="16">
        <v>0</v>
      </c>
      <c r="K506" s="15">
        <v>0</v>
      </c>
      <c r="L506" s="17">
        <v>0</v>
      </c>
      <c r="M506" s="17">
        <v>0</v>
      </c>
      <c r="N506" s="17">
        <v>0</v>
      </c>
      <c r="O506" s="15">
        <v>0</v>
      </c>
      <c r="P506" s="15">
        <v>0</v>
      </c>
      <c r="Q506" s="15">
        <v>0</v>
      </c>
      <c r="R506" s="15">
        <v>0</v>
      </c>
      <c r="S506" s="14" t="s">
        <v>91</v>
      </c>
      <c r="T506" s="18">
        <v>-5</v>
      </c>
    </row>
    <row r="507" spans="1:20" ht="14.4">
      <c r="A507" s="28" t="s">
        <v>102</v>
      </c>
      <c r="B507" s="19" t="s">
        <v>103</v>
      </c>
      <c r="C507" s="19" t="s">
        <v>57</v>
      </c>
      <c r="D507" s="20">
        <v>-100</v>
      </c>
      <c r="E507" s="20">
        <v>0</v>
      </c>
      <c r="F507" s="20">
        <v>0</v>
      </c>
      <c r="G507" s="21">
        <v>-100</v>
      </c>
      <c r="H507" s="22">
        <v>0</v>
      </c>
      <c r="I507" s="22">
        <v>0</v>
      </c>
      <c r="J507" s="21">
        <v>0</v>
      </c>
      <c r="K507" s="20">
        <v>0</v>
      </c>
      <c r="L507" s="22">
        <v>0</v>
      </c>
      <c r="M507" s="22">
        <v>0</v>
      </c>
      <c r="N507" s="22">
        <v>0</v>
      </c>
      <c r="O507" s="20">
        <v>0</v>
      </c>
      <c r="P507" s="20">
        <v>0</v>
      </c>
      <c r="Q507" s="20">
        <v>0</v>
      </c>
      <c r="R507" s="20">
        <v>0</v>
      </c>
      <c r="S507" s="19" t="s">
        <v>87</v>
      </c>
      <c r="T507" s="23">
        <v>-5</v>
      </c>
    </row>
    <row r="508" spans="1:20" ht="14.4">
      <c r="A508" s="29" t="s">
        <v>102</v>
      </c>
      <c r="B508" s="14" t="s">
        <v>104</v>
      </c>
      <c r="C508" s="14" t="s">
        <v>94</v>
      </c>
      <c r="D508" s="15">
        <v>-100</v>
      </c>
      <c r="E508" s="15">
        <v>-25</v>
      </c>
      <c r="F508" s="15">
        <v>0</v>
      </c>
      <c r="G508" s="16">
        <v>-75</v>
      </c>
      <c r="H508" s="17">
        <v>0</v>
      </c>
      <c r="I508" s="17">
        <v>1</v>
      </c>
      <c r="J508" s="16">
        <v>0</v>
      </c>
      <c r="K508" s="15">
        <v>0</v>
      </c>
      <c r="L508" s="17">
        <v>0</v>
      </c>
      <c r="M508" s="17">
        <v>0</v>
      </c>
      <c r="N508" s="17">
        <v>0</v>
      </c>
      <c r="O508" s="15">
        <v>0</v>
      </c>
      <c r="P508" s="15">
        <v>0</v>
      </c>
      <c r="Q508" s="15">
        <v>0</v>
      </c>
      <c r="R508" s="15">
        <v>0</v>
      </c>
      <c r="S508" s="14" t="s">
        <v>95</v>
      </c>
      <c r="T508" s="18">
        <v>-3</v>
      </c>
    </row>
    <row r="509" spans="1:20" ht="14.4">
      <c r="A509" s="28" t="s">
        <v>102</v>
      </c>
      <c r="B509" s="19" t="s">
        <v>104</v>
      </c>
      <c r="C509" s="19" t="s">
        <v>92</v>
      </c>
      <c r="D509" s="20">
        <v>-100</v>
      </c>
      <c r="E509" s="20">
        <v>-55</v>
      </c>
      <c r="F509" s="20">
        <v>0</v>
      </c>
      <c r="G509" s="21">
        <v>-45</v>
      </c>
      <c r="H509" s="22">
        <v>0</v>
      </c>
      <c r="I509" s="22">
        <v>1</v>
      </c>
      <c r="J509" s="21">
        <v>0</v>
      </c>
      <c r="K509" s="20">
        <v>0</v>
      </c>
      <c r="L509" s="22">
        <v>0</v>
      </c>
      <c r="M509" s="22">
        <v>0</v>
      </c>
      <c r="N509" s="22">
        <v>0</v>
      </c>
      <c r="O509" s="20">
        <v>0</v>
      </c>
      <c r="P509" s="20">
        <v>0</v>
      </c>
      <c r="Q509" s="20">
        <v>0</v>
      </c>
      <c r="R509" s="20">
        <v>-30</v>
      </c>
      <c r="S509" s="19" t="s">
        <v>93</v>
      </c>
      <c r="T509" s="23">
        <v>-2</v>
      </c>
    </row>
    <row r="510" spans="1:20" ht="14.4">
      <c r="A510" s="13">
        <v>338808</v>
      </c>
      <c r="B510" s="14" t="s">
        <v>85</v>
      </c>
      <c r="C510" s="14" t="s">
        <v>37</v>
      </c>
      <c r="D510" s="15">
        <v>-108</v>
      </c>
      <c r="E510" s="15">
        <v>35</v>
      </c>
      <c r="F510" s="15">
        <v>71</v>
      </c>
      <c r="G510" s="16">
        <v>900</v>
      </c>
      <c r="H510" s="17">
        <v>3</v>
      </c>
      <c r="I510" s="17">
        <v>0</v>
      </c>
      <c r="J510" s="16">
        <v>0</v>
      </c>
      <c r="K510" s="15">
        <v>0</v>
      </c>
      <c r="L510" s="17">
        <v>0</v>
      </c>
      <c r="M510" s="17">
        <v>0</v>
      </c>
      <c r="N510" s="17">
        <v>0</v>
      </c>
      <c r="O510" s="15">
        <v>0</v>
      </c>
      <c r="P510" s="15">
        <v>0</v>
      </c>
      <c r="Q510" s="15">
        <v>20</v>
      </c>
      <c r="R510" s="15">
        <v>0</v>
      </c>
      <c r="S510" s="14" t="s">
        <v>87</v>
      </c>
      <c r="T510" s="18">
        <v>41</v>
      </c>
    </row>
    <row r="511" spans="1:20" ht="14.4">
      <c r="A511" s="26">
        <v>340042</v>
      </c>
      <c r="B511" s="19" t="s">
        <v>105</v>
      </c>
      <c r="C511" s="19" t="s">
        <v>97</v>
      </c>
      <c r="D511" s="20">
        <v>-110</v>
      </c>
      <c r="E511" s="20">
        <v>0</v>
      </c>
      <c r="F511" s="20">
        <v>0</v>
      </c>
      <c r="G511" s="21">
        <v>0</v>
      </c>
      <c r="H511" s="22">
        <v>0</v>
      </c>
      <c r="I511" s="22">
        <v>0</v>
      </c>
      <c r="J511" s="21">
        <v>0</v>
      </c>
      <c r="K511" s="20">
        <v>0</v>
      </c>
      <c r="L511" s="22">
        <v>0</v>
      </c>
      <c r="M511" s="22">
        <v>0</v>
      </c>
      <c r="N511" s="22">
        <v>0</v>
      </c>
      <c r="O511" s="20">
        <v>0</v>
      </c>
      <c r="P511" s="20">
        <v>0</v>
      </c>
      <c r="Q511" s="27"/>
      <c r="R511" s="20">
        <v>0</v>
      </c>
      <c r="S511" s="19" t="s">
        <v>93</v>
      </c>
      <c r="T511" s="23">
        <v>0</v>
      </c>
    </row>
    <row r="512" spans="1:20" ht="14.4">
      <c r="A512" s="29" t="s">
        <v>102</v>
      </c>
      <c r="B512" s="14" t="s">
        <v>104</v>
      </c>
      <c r="C512" s="14" t="s">
        <v>97</v>
      </c>
      <c r="D512" s="15">
        <v>-110</v>
      </c>
      <c r="E512" s="15">
        <v>-35</v>
      </c>
      <c r="F512" s="15">
        <v>0</v>
      </c>
      <c r="G512" s="16">
        <v>-75</v>
      </c>
      <c r="H512" s="17">
        <v>0</v>
      </c>
      <c r="I512" s="17">
        <v>1</v>
      </c>
      <c r="J512" s="16">
        <v>0</v>
      </c>
      <c r="K512" s="15">
        <v>0</v>
      </c>
      <c r="L512" s="17">
        <v>0</v>
      </c>
      <c r="M512" s="17">
        <v>0</v>
      </c>
      <c r="N512" s="17">
        <v>0</v>
      </c>
      <c r="O512" s="15">
        <v>0</v>
      </c>
      <c r="P512" s="15">
        <v>0</v>
      </c>
      <c r="Q512" s="15">
        <v>0</v>
      </c>
      <c r="R512" s="15">
        <v>0</v>
      </c>
      <c r="S512" s="14" t="s">
        <v>93</v>
      </c>
      <c r="T512" s="18">
        <v>-3</v>
      </c>
    </row>
    <row r="513" spans="1:20" ht="14.4">
      <c r="A513" s="26">
        <v>340916</v>
      </c>
      <c r="B513" s="19" t="s">
        <v>105</v>
      </c>
      <c r="C513" s="19" t="s">
        <v>44</v>
      </c>
      <c r="D513" s="20">
        <v>-115</v>
      </c>
      <c r="E513" s="20">
        <v>0</v>
      </c>
      <c r="F513" s="20">
        <v>0</v>
      </c>
      <c r="G513" s="21">
        <v>0</v>
      </c>
      <c r="H513" s="22">
        <v>0</v>
      </c>
      <c r="I513" s="22">
        <v>0</v>
      </c>
      <c r="J513" s="21">
        <v>0</v>
      </c>
      <c r="K513" s="20">
        <v>0</v>
      </c>
      <c r="L513" s="22">
        <v>0</v>
      </c>
      <c r="M513" s="22">
        <v>0</v>
      </c>
      <c r="N513" s="22">
        <v>0</v>
      </c>
      <c r="O513" s="20">
        <v>0</v>
      </c>
      <c r="P513" s="20">
        <v>0</v>
      </c>
      <c r="Q513" s="27"/>
      <c r="R513" s="20">
        <v>0</v>
      </c>
      <c r="S513" s="19" t="s">
        <v>91</v>
      </c>
      <c r="T513" s="23">
        <v>0</v>
      </c>
    </row>
    <row r="514" spans="1:20" ht="14.4">
      <c r="A514" s="29" t="s">
        <v>102</v>
      </c>
      <c r="B514" s="14" t="s">
        <v>104</v>
      </c>
      <c r="C514" s="14" t="s">
        <v>51</v>
      </c>
      <c r="D514" s="15">
        <v>-120</v>
      </c>
      <c r="E514" s="15">
        <v>-35</v>
      </c>
      <c r="F514" s="15">
        <v>0</v>
      </c>
      <c r="G514" s="16">
        <v>-85</v>
      </c>
      <c r="H514" s="17">
        <v>0</v>
      </c>
      <c r="I514" s="17">
        <v>1</v>
      </c>
      <c r="J514" s="16">
        <v>0</v>
      </c>
      <c r="K514" s="15">
        <v>0</v>
      </c>
      <c r="L514" s="17">
        <v>0</v>
      </c>
      <c r="M514" s="17">
        <v>0</v>
      </c>
      <c r="N514" s="17">
        <v>0</v>
      </c>
      <c r="O514" s="15">
        <v>0</v>
      </c>
      <c r="P514" s="15">
        <v>0</v>
      </c>
      <c r="Q514" s="15">
        <v>0</v>
      </c>
      <c r="R514" s="15">
        <v>-35</v>
      </c>
      <c r="S514" s="14" t="s">
        <v>87</v>
      </c>
      <c r="T514" s="18">
        <v>-4</v>
      </c>
    </row>
    <row r="515" spans="1:20" ht="14.4">
      <c r="A515" s="26">
        <v>339672</v>
      </c>
      <c r="B515" s="19" t="s">
        <v>85</v>
      </c>
      <c r="C515" s="19" t="s">
        <v>90</v>
      </c>
      <c r="D515" s="20">
        <v>-125</v>
      </c>
      <c r="E515" s="20">
        <v>0</v>
      </c>
      <c r="F515" s="20">
        <v>9</v>
      </c>
      <c r="G515" s="21">
        <v>116.01</v>
      </c>
      <c r="H515" s="22">
        <v>2</v>
      </c>
      <c r="I515" s="22">
        <v>0</v>
      </c>
      <c r="J515" s="21">
        <v>0</v>
      </c>
      <c r="K515" s="20">
        <v>0</v>
      </c>
      <c r="L515" s="22">
        <v>0</v>
      </c>
      <c r="M515" s="22">
        <v>0</v>
      </c>
      <c r="N515" s="22">
        <v>0</v>
      </c>
      <c r="O515" s="20">
        <v>0</v>
      </c>
      <c r="P515" s="20">
        <v>0</v>
      </c>
      <c r="Q515" s="20">
        <v>59</v>
      </c>
      <c r="R515" s="20">
        <v>0</v>
      </c>
      <c r="S515" s="19" t="s">
        <v>91</v>
      </c>
      <c r="T515" s="23">
        <v>5</v>
      </c>
    </row>
    <row r="516" spans="1:20" ht="14.4">
      <c r="A516" s="29" t="s">
        <v>102</v>
      </c>
      <c r="B516" s="14" t="s">
        <v>104</v>
      </c>
      <c r="C516" s="14" t="s">
        <v>38</v>
      </c>
      <c r="D516" s="15">
        <v>-125</v>
      </c>
      <c r="E516" s="15">
        <v>-35</v>
      </c>
      <c r="F516" s="15">
        <v>0</v>
      </c>
      <c r="G516" s="16">
        <v>-90</v>
      </c>
      <c r="H516" s="17">
        <v>0</v>
      </c>
      <c r="I516" s="17">
        <v>1</v>
      </c>
      <c r="J516" s="16">
        <v>0</v>
      </c>
      <c r="K516" s="15">
        <v>0</v>
      </c>
      <c r="L516" s="17">
        <v>0</v>
      </c>
      <c r="M516" s="17">
        <v>0</v>
      </c>
      <c r="N516" s="17">
        <v>0</v>
      </c>
      <c r="O516" s="15">
        <v>0</v>
      </c>
      <c r="P516" s="15">
        <v>0</v>
      </c>
      <c r="Q516" s="15">
        <v>0</v>
      </c>
      <c r="R516" s="15">
        <v>0</v>
      </c>
      <c r="S516" s="14" t="s">
        <v>91</v>
      </c>
      <c r="T516" s="18">
        <v>-4</v>
      </c>
    </row>
    <row r="517" spans="1:20" ht="14.4">
      <c r="A517" s="28" t="s">
        <v>102</v>
      </c>
      <c r="B517" s="19" t="s">
        <v>104</v>
      </c>
      <c r="C517" s="19" t="s">
        <v>97</v>
      </c>
      <c r="D517" s="20">
        <v>-125</v>
      </c>
      <c r="E517" s="20">
        <v>-35</v>
      </c>
      <c r="F517" s="20">
        <v>0</v>
      </c>
      <c r="G517" s="21">
        <v>-90</v>
      </c>
      <c r="H517" s="22">
        <v>0</v>
      </c>
      <c r="I517" s="22">
        <v>1</v>
      </c>
      <c r="J517" s="21">
        <v>0</v>
      </c>
      <c r="K517" s="20">
        <v>0</v>
      </c>
      <c r="L517" s="22">
        <v>0</v>
      </c>
      <c r="M517" s="22">
        <v>0</v>
      </c>
      <c r="N517" s="22">
        <v>0</v>
      </c>
      <c r="O517" s="20">
        <v>0</v>
      </c>
      <c r="P517" s="20">
        <v>0</v>
      </c>
      <c r="Q517" s="20">
        <v>0</v>
      </c>
      <c r="R517" s="20">
        <v>0</v>
      </c>
      <c r="S517" s="19" t="s">
        <v>93</v>
      </c>
      <c r="T517" s="23">
        <v>-4</v>
      </c>
    </row>
    <row r="518" spans="1:20" ht="14.4">
      <c r="A518" s="29" t="s">
        <v>102</v>
      </c>
      <c r="B518" s="14" t="s">
        <v>103</v>
      </c>
      <c r="C518" s="14" t="s">
        <v>51</v>
      </c>
      <c r="D518" s="15">
        <v>-125</v>
      </c>
      <c r="E518" s="15">
        <v>0</v>
      </c>
      <c r="F518" s="15">
        <v>0</v>
      </c>
      <c r="G518" s="16">
        <v>-125</v>
      </c>
      <c r="H518" s="17">
        <v>0</v>
      </c>
      <c r="I518" s="17">
        <v>0</v>
      </c>
      <c r="J518" s="16">
        <v>0</v>
      </c>
      <c r="K518" s="15">
        <v>0</v>
      </c>
      <c r="L518" s="17">
        <v>0</v>
      </c>
      <c r="M518" s="17">
        <v>0</v>
      </c>
      <c r="N518" s="17">
        <v>0</v>
      </c>
      <c r="O518" s="15">
        <v>0</v>
      </c>
      <c r="P518" s="15">
        <v>0</v>
      </c>
      <c r="Q518" s="15">
        <v>0</v>
      </c>
      <c r="R518" s="15">
        <v>0</v>
      </c>
      <c r="S518" s="14" t="s">
        <v>87</v>
      </c>
      <c r="T518" s="18">
        <v>-6</v>
      </c>
    </row>
    <row r="519" spans="1:20" ht="14.4">
      <c r="A519" s="28" t="s">
        <v>102</v>
      </c>
      <c r="B519" s="19" t="s">
        <v>104</v>
      </c>
      <c r="C519" s="19" t="s">
        <v>57</v>
      </c>
      <c r="D519" s="20">
        <v>-130</v>
      </c>
      <c r="E519" s="20">
        <v>-35</v>
      </c>
      <c r="F519" s="20">
        <v>0</v>
      </c>
      <c r="G519" s="21">
        <v>-95</v>
      </c>
      <c r="H519" s="22">
        <v>0</v>
      </c>
      <c r="I519" s="22">
        <v>1</v>
      </c>
      <c r="J519" s="21">
        <v>0</v>
      </c>
      <c r="K519" s="20">
        <v>0</v>
      </c>
      <c r="L519" s="22">
        <v>0</v>
      </c>
      <c r="M519" s="22">
        <v>0</v>
      </c>
      <c r="N519" s="22">
        <v>0</v>
      </c>
      <c r="O519" s="20">
        <v>0</v>
      </c>
      <c r="P519" s="20">
        <v>0</v>
      </c>
      <c r="Q519" s="20">
        <v>0</v>
      </c>
      <c r="R519" s="20">
        <v>0</v>
      </c>
      <c r="S519" s="19" t="s">
        <v>87</v>
      </c>
      <c r="T519" s="23">
        <v>-4</v>
      </c>
    </row>
    <row r="520" spans="1:20" ht="14.4">
      <c r="A520" s="29" t="s">
        <v>102</v>
      </c>
      <c r="B520" s="14" t="s">
        <v>104</v>
      </c>
      <c r="C520" s="14" t="s">
        <v>37</v>
      </c>
      <c r="D520" s="15">
        <v>-135</v>
      </c>
      <c r="E520" s="15">
        <v>-35</v>
      </c>
      <c r="F520" s="15">
        <v>0</v>
      </c>
      <c r="G520" s="16">
        <v>-100</v>
      </c>
      <c r="H520" s="17">
        <v>0</v>
      </c>
      <c r="I520" s="17">
        <v>1</v>
      </c>
      <c r="J520" s="16">
        <v>0</v>
      </c>
      <c r="K520" s="15">
        <v>0</v>
      </c>
      <c r="L520" s="17">
        <v>0</v>
      </c>
      <c r="M520" s="17">
        <v>0</v>
      </c>
      <c r="N520" s="17">
        <v>0</v>
      </c>
      <c r="O520" s="15">
        <v>0</v>
      </c>
      <c r="P520" s="15">
        <v>0</v>
      </c>
      <c r="Q520" s="15">
        <v>0</v>
      </c>
      <c r="R520" s="15">
        <v>0</v>
      </c>
      <c r="S520" s="14" t="s">
        <v>87</v>
      </c>
      <c r="T520" s="18">
        <v>-5</v>
      </c>
    </row>
    <row r="521" spans="1:20" ht="14.4">
      <c r="A521" s="28" t="s">
        <v>102</v>
      </c>
      <c r="B521" s="19" t="s">
        <v>104</v>
      </c>
      <c r="C521" s="19" t="s">
        <v>47</v>
      </c>
      <c r="D521" s="20">
        <v>-135</v>
      </c>
      <c r="E521" s="20">
        <v>-35</v>
      </c>
      <c r="F521" s="20">
        <v>0</v>
      </c>
      <c r="G521" s="21">
        <v>-100</v>
      </c>
      <c r="H521" s="22">
        <v>0</v>
      </c>
      <c r="I521" s="22">
        <v>1</v>
      </c>
      <c r="J521" s="21">
        <v>0</v>
      </c>
      <c r="K521" s="20">
        <v>0</v>
      </c>
      <c r="L521" s="22">
        <v>0</v>
      </c>
      <c r="M521" s="22">
        <v>0</v>
      </c>
      <c r="N521" s="22">
        <v>0</v>
      </c>
      <c r="O521" s="20">
        <v>0</v>
      </c>
      <c r="P521" s="20">
        <v>0</v>
      </c>
      <c r="Q521" s="20">
        <v>0</v>
      </c>
      <c r="R521" s="20">
        <v>0</v>
      </c>
      <c r="S521" s="19" t="s">
        <v>91</v>
      </c>
      <c r="T521" s="23">
        <v>-5</v>
      </c>
    </row>
    <row r="522" spans="1:20" ht="14.4">
      <c r="A522" s="13">
        <v>340178</v>
      </c>
      <c r="B522" s="14" t="s">
        <v>85</v>
      </c>
      <c r="C522" s="14" t="s">
        <v>90</v>
      </c>
      <c r="D522" s="15">
        <v>-135</v>
      </c>
      <c r="E522" s="15">
        <v>0</v>
      </c>
      <c r="F522" s="15">
        <v>10</v>
      </c>
      <c r="G522" s="16">
        <v>125</v>
      </c>
      <c r="H522" s="17">
        <v>1</v>
      </c>
      <c r="I522" s="17">
        <v>0</v>
      </c>
      <c r="J522" s="16">
        <v>0</v>
      </c>
      <c r="K522" s="15">
        <v>0</v>
      </c>
      <c r="L522" s="17">
        <v>0</v>
      </c>
      <c r="M522" s="17">
        <v>0</v>
      </c>
      <c r="N522" s="17">
        <v>0</v>
      </c>
      <c r="O522" s="15">
        <v>0</v>
      </c>
      <c r="P522" s="15">
        <v>0</v>
      </c>
      <c r="Q522" s="15">
        <v>0</v>
      </c>
      <c r="R522" s="15">
        <v>0</v>
      </c>
      <c r="S522" s="14" t="s">
        <v>91</v>
      </c>
      <c r="T522" s="18">
        <v>6</v>
      </c>
    </row>
    <row r="523" spans="1:20" ht="14.4">
      <c r="A523" s="28" t="s">
        <v>102</v>
      </c>
      <c r="B523" s="19" t="s">
        <v>104</v>
      </c>
      <c r="C523" s="19" t="s">
        <v>101</v>
      </c>
      <c r="D523" s="20">
        <v>-150</v>
      </c>
      <c r="E523" s="20">
        <v>0</v>
      </c>
      <c r="F523" s="20">
        <v>0</v>
      </c>
      <c r="G523" s="21">
        <v>-150</v>
      </c>
      <c r="H523" s="22">
        <v>0</v>
      </c>
      <c r="I523" s="22">
        <v>1</v>
      </c>
      <c r="J523" s="21">
        <v>0</v>
      </c>
      <c r="K523" s="20">
        <v>0</v>
      </c>
      <c r="L523" s="22">
        <v>0</v>
      </c>
      <c r="M523" s="22">
        <v>0</v>
      </c>
      <c r="N523" s="22">
        <v>0</v>
      </c>
      <c r="O523" s="20">
        <v>0</v>
      </c>
      <c r="P523" s="20">
        <v>0</v>
      </c>
      <c r="Q523" s="20">
        <v>0</v>
      </c>
      <c r="R523" s="20">
        <v>0</v>
      </c>
      <c r="S523" s="19" t="s">
        <v>95</v>
      </c>
      <c r="T523" s="23">
        <v>-7</v>
      </c>
    </row>
    <row r="524" spans="1:20" ht="14.4">
      <c r="A524" s="29" t="s">
        <v>102</v>
      </c>
      <c r="B524" s="14" t="s">
        <v>103</v>
      </c>
      <c r="C524" s="14" t="s">
        <v>94</v>
      </c>
      <c r="D524" s="15">
        <v>-150</v>
      </c>
      <c r="E524" s="15">
        <v>0</v>
      </c>
      <c r="F524" s="15">
        <v>0</v>
      </c>
      <c r="G524" s="16">
        <v>-150</v>
      </c>
      <c r="H524" s="17">
        <v>0</v>
      </c>
      <c r="I524" s="17">
        <v>0</v>
      </c>
      <c r="J524" s="16">
        <v>0</v>
      </c>
      <c r="K524" s="15">
        <v>0</v>
      </c>
      <c r="L524" s="17">
        <v>0</v>
      </c>
      <c r="M524" s="17">
        <v>0</v>
      </c>
      <c r="N524" s="17">
        <v>0</v>
      </c>
      <c r="O524" s="15">
        <v>0</v>
      </c>
      <c r="P524" s="15">
        <v>0</v>
      </c>
      <c r="Q524" s="15">
        <v>0</v>
      </c>
      <c r="R524" s="15">
        <v>0</v>
      </c>
      <c r="S524" s="14" t="s">
        <v>95</v>
      </c>
      <c r="T524" s="18">
        <v>-7</v>
      </c>
    </row>
    <row r="525" spans="1:20" ht="14.4">
      <c r="A525" s="28" t="s">
        <v>102</v>
      </c>
      <c r="B525" s="19" t="s">
        <v>104</v>
      </c>
      <c r="C525" s="19" t="s">
        <v>59</v>
      </c>
      <c r="D525" s="20">
        <v>-150</v>
      </c>
      <c r="E525" s="20">
        <v>-50</v>
      </c>
      <c r="F525" s="20">
        <v>0</v>
      </c>
      <c r="G525" s="21">
        <v>-100</v>
      </c>
      <c r="H525" s="22">
        <v>0</v>
      </c>
      <c r="I525" s="22">
        <v>1</v>
      </c>
      <c r="J525" s="21">
        <v>0</v>
      </c>
      <c r="K525" s="20">
        <v>0</v>
      </c>
      <c r="L525" s="22">
        <v>0</v>
      </c>
      <c r="M525" s="22">
        <v>0</v>
      </c>
      <c r="N525" s="22">
        <v>0</v>
      </c>
      <c r="O525" s="20">
        <v>0</v>
      </c>
      <c r="P525" s="20">
        <v>0</v>
      </c>
      <c r="Q525" s="20">
        <v>0</v>
      </c>
      <c r="R525" s="20">
        <v>0</v>
      </c>
      <c r="S525" s="19" t="s">
        <v>87</v>
      </c>
      <c r="T525" s="23">
        <v>-5</v>
      </c>
    </row>
    <row r="526" spans="1:20" ht="14.4">
      <c r="A526" s="29" t="s">
        <v>102</v>
      </c>
      <c r="B526" s="14" t="s">
        <v>104</v>
      </c>
      <c r="C526" s="14" t="s">
        <v>57</v>
      </c>
      <c r="D526" s="15">
        <v>-155</v>
      </c>
      <c r="E526" s="15">
        <v>-35</v>
      </c>
      <c r="F526" s="15">
        <v>0</v>
      </c>
      <c r="G526" s="16">
        <v>-120</v>
      </c>
      <c r="H526" s="17">
        <v>0</v>
      </c>
      <c r="I526" s="17">
        <v>2</v>
      </c>
      <c r="J526" s="16">
        <v>0</v>
      </c>
      <c r="K526" s="15">
        <v>0</v>
      </c>
      <c r="L526" s="17">
        <v>0</v>
      </c>
      <c r="M526" s="17">
        <v>0</v>
      </c>
      <c r="N526" s="17">
        <v>0</v>
      </c>
      <c r="O526" s="15">
        <v>0</v>
      </c>
      <c r="P526" s="15">
        <v>0</v>
      </c>
      <c r="Q526" s="15">
        <v>0</v>
      </c>
      <c r="R526" s="15">
        <v>0</v>
      </c>
      <c r="S526" s="14" t="s">
        <v>87</v>
      </c>
      <c r="T526" s="18">
        <v>-5</v>
      </c>
    </row>
    <row r="527" spans="1:20" ht="14.4">
      <c r="A527" s="28" t="s">
        <v>102</v>
      </c>
      <c r="B527" s="19" t="s">
        <v>104</v>
      </c>
      <c r="C527" s="19" t="s">
        <v>37</v>
      </c>
      <c r="D527" s="20">
        <v>-160</v>
      </c>
      <c r="E527" s="20">
        <v>-35</v>
      </c>
      <c r="F527" s="20">
        <v>0</v>
      </c>
      <c r="G527" s="21">
        <v>-125</v>
      </c>
      <c r="H527" s="22">
        <v>0</v>
      </c>
      <c r="I527" s="22">
        <v>1</v>
      </c>
      <c r="J527" s="21">
        <v>0</v>
      </c>
      <c r="K527" s="20">
        <v>0</v>
      </c>
      <c r="L527" s="22">
        <v>0</v>
      </c>
      <c r="M527" s="22">
        <v>0</v>
      </c>
      <c r="N527" s="22">
        <v>0</v>
      </c>
      <c r="O527" s="20">
        <v>0</v>
      </c>
      <c r="P527" s="20">
        <v>0</v>
      </c>
      <c r="Q527" s="20">
        <v>0</v>
      </c>
      <c r="R527" s="20">
        <v>0</v>
      </c>
      <c r="S527" s="19" t="s">
        <v>87</v>
      </c>
      <c r="T527" s="23">
        <v>-6</v>
      </c>
    </row>
    <row r="528" spans="1:20" ht="14.4">
      <c r="A528" s="29" t="s">
        <v>102</v>
      </c>
      <c r="B528" s="14" t="s">
        <v>103</v>
      </c>
      <c r="C528" s="14" t="s">
        <v>89</v>
      </c>
      <c r="D528" s="15">
        <v>-165</v>
      </c>
      <c r="E528" s="15">
        <v>0</v>
      </c>
      <c r="F528" s="15">
        <v>0</v>
      </c>
      <c r="G528" s="16">
        <v>-165</v>
      </c>
      <c r="H528" s="17">
        <v>0</v>
      </c>
      <c r="I528" s="17">
        <v>0</v>
      </c>
      <c r="J528" s="16">
        <v>0</v>
      </c>
      <c r="K528" s="15">
        <v>0</v>
      </c>
      <c r="L528" s="17">
        <v>0</v>
      </c>
      <c r="M528" s="17">
        <v>0</v>
      </c>
      <c r="N528" s="17">
        <v>0</v>
      </c>
      <c r="O528" s="15">
        <v>0</v>
      </c>
      <c r="P528" s="15">
        <v>0</v>
      </c>
      <c r="Q528" s="15">
        <v>0</v>
      </c>
      <c r="R528" s="15">
        <v>0</v>
      </c>
      <c r="S528" s="14" t="s">
        <v>87</v>
      </c>
      <c r="T528" s="18">
        <v>-7</v>
      </c>
    </row>
    <row r="529" spans="1:20" ht="14.4">
      <c r="A529" s="28" t="s">
        <v>102</v>
      </c>
      <c r="B529" s="19" t="s">
        <v>104</v>
      </c>
      <c r="C529" s="19" t="s">
        <v>86</v>
      </c>
      <c r="D529" s="20">
        <v>-170</v>
      </c>
      <c r="E529" s="20">
        <v>-35</v>
      </c>
      <c r="F529" s="20">
        <v>0</v>
      </c>
      <c r="G529" s="21">
        <v>-135</v>
      </c>
      <c r="H529" s="22">
        <v>0</v>
      </c>
      <c r="I529" s="22">
        <v>2</v>
      </c>
      <c r="J529" s="21">
        <v>0</v>
      </c>
      <c r="K529" s="20">
        <v>0</v>
      </c>
      <c r="L529" s="22">
        <v>0</v>
      </c>
      <c r="M529" s="22">
        <v>0</v>
      </c>
      <c r="N529" s="22">
        <v>0</v>
      </c>
      <c r="O529" s="20">
        <v>0</v>
      </c>
      <c r="P529" s="20">
        <v>0</v>
      </c>
      <c r="Q529" s="20">
        <v>0</v>
      </c>
      <c r="R529" s="20">
        <v>0</v>
      </c>
      <c r="S529" s="19" t="s">
        <v>87</v>
      </c>
      <c r="T529" s="23">
        <v>-6</v>
      </c>
    </row>
    <row r="530" spans="1:20" ht="14.4">
      <c r="A530" s="13">
        <v>340229</v>
      </c>
      <c r="B530" s="14" t="s">
        <v>85</v>
      </c>
      <c r="C530" s="14" t="s">
        <v>38</v>
      </c>
      <c r="D530" s="15">
        <v>-175</v>
      </c>
      <c r="E530" s="15">
        <v>0</v>
      </c>
      <c r="F530" s="15">
        <v>0</v>
      </c>
      <c r="G530" s="16">
        <v>90</v>
      </c>
      <c r="H530" s="17">
        <v>1</v>
      </c>
      <c r="I530" s="17">
        <v>0</v>
      </c>
      <c r="J530" s="16">
        <v>0</v>
      </c>
      <c r="K530" s="15">
        <v>0</v>
      </c>
      <c r="L530" s="17">
        <v>0</v>
      </c>
      <c r="M530" s="17">
        <v>0</v>
      </c>
      <c r="N530" s="17">
        <v>0</v>
      </c>
      <c r="O530" s="15">
        <v>0</v>
      </c>
      <c r="P530" s="15">
        <v>0</v>
      </c>
      <c r="Q530" s="15">
        <v>20</v>
      </c>
      <c r="R530" s="15">
        <v>0</v>
      </c>
      <c r="S530" s="14" t="s">
        <v>91</v>
      </c>
      <c r="T530" s="18">
        <v>4</v>
      </c>
    </row>
    <row r="531" spans="1:20" ht="14.4">
      <c r="A531" s="28" t="s">
        <v>102</v>
      </c>
      <c r="B531" s="19" t="s">
        <v>104</v>
      </c>
      <c r="C531" s="19" t="s">
        <v>60</v>
      </c>
      <c r="D531" s="20">
        <v>-183</v>
      </c>
      <c r="E531" s="20">
        <v>0</v>
      </c>
      <c r="F531" s="20">
        <v>-13</v>
      </c>
      <c r="G531" s="21">
        <v>-170</v>
      </c>
      <c r="H531" s="22">
        <v>0</v>
      </c>
      <c r="I531" s="22">
        <v>1</v>
      </c>
      <c r="J531" s="21">
        <v>0</v>
      </c>
      <c r="K531" s="20">
        <v>0</v>
      </c>
      <c r="L531" s="22">
        <v>0</v>
      </c>
      <c r="M531" s="22">
        <v>0</v>
      </c>
      <c r="N531" s="22">
        <v>0</v>
      </c>
      <c r="O531" s="20">
        <v>0</v>
      </c>
      <c r="P531" s="20">
        <v>0</v>
      </c>
      <c r="Q531" s="20">
        <v>0</v>
      </c>
      <c r="R531" s="20">
        <v>0</v>
      </c>
      <c r="S531" s="19" t="s">
        <v>87</v>
      </c>
      <c r="T531" s="23">
        <v>-8</v>
      </c>
    </row>
    <row r="532" spans="1:20" ht="14.4">
      <c r="A532" s="13">
        <v>340157</v>
      </c>
      <c r="B532" s="14" t="s">
        <v>105</v>
      </c>
      <c r="C532" s="14" t="s">
        <v>97</v>
      </c>
      <c r="D532" s="15">
        <v>-185</v>
      </c>
      <c r="E532" s="15">
        <v>0</v>
      </c>
      <c r="F532" s="15">
        <v>0</v>
      </c>
      <c r="G532" s="16">
        <v>0</v>
      </c>
      <c r="H532" s="17">
        <v>0</v>
      </c>
      <c r="I532" s="17">
        <v>0</v>
      </c>
      <c r="J532" s="16">
        <v>0</v>
      </c>
      <c r="K532" s="15">
        <v>0</v>
      </c>
      <c r="L532" s="17">
        <v>0</v>
      </c>
      <c r="M532" s="17">
        <v>0</v>
      </c>
      <c r="N532" s="17">
        <v>0</v>
      </c>
      <c r="O532" s="15">
        <v>0</v>
      </c>
      <c r="P532" s="15">
        <v>0</v>
      </c>
      <c r="Q532" s="25"/>
      <c r="R532" s="15">
        <v>0</v>
      </c>
      <c r="S532" s="14" t="s">
        <v>93</v>
      </c>
      <c r="T532" s="18">
        <v>0</v>
      </c>
    </row>
    <row r="533" spans="1:20" ht="14.4">
      <c r="A533" s="28" t="s">
        <v>102</v>
      </c>
      <c r="B533" s="19" t="s">
        <v>104</v>
      </c>
      <c r="C533" s="19" t="s">
        <v>97</v>
      </c>
      <c r="D533" s="20">
        <v>-185</v>
      </c>
      <c r="E533" s="20">
        <v>-35</v>
      </c>
      <c r="F533" s="20">
        <v>0</v>
      </c>
      <c r="G533" s="21">
        <v>-150</v>
      </c>
      <c r="H533" s="22">
        <v>0</v>
      </c>
      <c r="I533" s="22">
        <v>1</v>
      </c>
      <c r="J533" s="21">
        <v>0</v>
      </c>
      <c r="K533" s="20">
        <v>0</v>
      </c>
      <c r="L533" s="22">
        <v>0</v>
      </c>
      <c r="M533" s="22">
        <v>0</v>
      </c>
      <c r="N533" s="22">
        <v>0</v>
      </c>
      <c r="O533" s="20">
        <v>0</v>
      </c>
      <c r="P533" s="20">
        <v>0</v>
      </c>
      <c r="Q533" s="20">
        <v>0</v>
      </c>
      <c r="R533" s="20">
        <v>0</v>
      </c>
      <c r="S533" s="19" t="s">
        <v>93</v>
      </c>
      <c r="T533" s="23">
        <v>-7</v>
      </c>
    </row>
    <row r="534" spans="1:20" ht="14.4">
      <c r="A534" s="29" t="s">
        <v>102</v>
      </c>
      <c r="B534" s="14" t="s">
        <v>104</v>
      </c>
      <c r="C534" s="14" t="s">
        <v>97</v>
      </c>
      <c r="D534" s="15">
        <v>-185</v>
      </c>
      <c r="E534" s="15">
        <v>-35</v>
      </c>
      <c r="F534" s="15">
        <v>0</v>
      </c>
      <c r="G534" s="16">
        <v>-150</v>
      </c>
      <c r="H534" s="17">
        <v>0</v>
      </c>
      <c r="I534" s="17">
        <v>1</v>
      </c>
      <c r="J534" s="16">
        <v>0</v>
      </c>
      <c r="K534" s="15">
        <v>0</v>
      </c>
      <c r="L534" s="17">
        <v>0</v>
      </c>
      <c r="M534" s="17">
        <v>0</v>
      </c>
      <c r="N534" s="17">
        <v>0</v>
      </c>
      <c r="O534" s="15">
        <v>0</v>
      </c>
      <c r="P534" s="15">
        <v>0</v>
      </c>
      <c r="Q534" s="15">
        <v>0</v>
      </c>
      <c r="R534" s="15">
        <v>0</v>
      </c>
      <c r="S534" s="14" t="s">
        <v>93</v>
      </c>
      <c r="T534" s="18">
        <v>-7</v>
      </c>
    </row>
    <row r="535" spans="1:20" ht="14.4">
      <c r="A535" s="28" t="s">
        <v>102</v>
      </c>
      <c r="B535" s="19" t="s">
        <v>104</v>
      </c>
      <c r="C535" s="19" t="s">
        <v>90</v>
      </c>
      <c r="D535" s="20">
        <v>-185</v>
      </c>
      <c r="E535" s="20">
        <v>-35</v>
      </c>
      <c r="F535" s="20">
        <v>0</v>
      </c>
      <c r="G535" s="21">
        <v>-150</v>
      </c>
      <c r="H535" s="22">
        <v>0</v>
      </c>
      <c r="I535" s="22">
        <v>1</v>
      </c>
      <c r="J535" s="21">
        <v>0</v>
      </c>
      <c r="K535" s="20">
        <v>0</v>
      </c>
      <c r="L535" s="22">
        <v>0</v>
      </c>
      <c r="M535" s="22">
        <v>0</v>
      </c>
      <c r="N535" s="22">
        <v>0</v>
      </c>
      <c r="O535" s="20">
        <v>0</v>
      </c>
      <c r="P535" s="20">
        <v>0</v>
      </c>
      <c r="Q535" s="20">
        <v>0</v>
      </c>
      <c r="R535" s="20">
        <v>0</v>
      </c>
      <c r="S535" s="19" t="s">
        <v>91</v>
      </c>
      <c r="T535" s="23">
        <v>-7</v>
      </c>
    </row>
    <row r="536" spans="1:20" ht="14.4">
      <c r="A536" s="29" t="s">
        <v>102</v>
      </c>
      <c r="B536" s="14" t="s">
        <v>103</v>
      </c>
      <c r="C536" s="14" t="s">
        <v>94</v>
      </c>
      <c r="D536" s="15">
        <v>-200</v>
      </c>
      <c r="E536" s="15">
        <v>0</v>
      </c>
      <c r="F536" s="15">
        <v>0</v>
      </c>
      <c r="G536" s="16">
        <v>-200</v>
      </c>
      <c r="H536" s="17">
        <v>0</v>
      </c>
      <c r="I536" s="17">
        <v>0</v>
      </c>
      <c r="J536" s="16">
        <v>0</v>
      </c>
      <c r="K536" s="15">
        <v>0</v>
      </c>
      <c r="L536" s="17">
        <v>0</v>
      </c>
      <c r="M536" s="17">
        <v>0</v>
      </c>
      <c r="N536" s="17">
        <v>0</v>
      </c>
      <c r="O536" s="15">
        <v>0</v>
      </c>
      <c r="P536" s="15">
        <v>0</v>
      </c>
      <c r="Q536" s="15">
        <v>0</v>
      </c>
      <c r="R536" s="15">
        <v>0</v>
      </c>
      <c r="S536" s="14" t="s">
        <v>95</v>
      </c>
      <c r="T536" s="18">
        <v>-9</v>
      </c>
    </row>
    <row r="537" spans="1:20" ht="14.4">
      <c r="A537" s="28" t="s">
        <v>102</v>
      </c>
      <c r="B537" s="19" t="s">
        <v>104</v>
      </c>
      <c r="C537" s="19" t="s">
        <v>94</v>
      </c>
      <c r="D537" s="20">
        <v>-200</v>
      </c>
      <c r="E537" s="20">
        <v>-50</v>
      </c>
      <c r="F537" s="20">
        <v>0</v>
      </c>
      <c r="G537" s="21">
        <v>-150</v>
      </c>
      <c r="H537" s="22">
        <v>0</v>
      </c>
      <c r="I537" s="22">
        <v>2</v>
      </c>
      <c r="J537" s="21">
        <v>0</v>
      </c>
      <c r="K537" s="20">
        <v>0</v>
      </c>
      <c r="L537" s="22">
        <v>0</v>
      </c>
      <c r="M537" s="22">
        <v>0</v>
      </c>
      <c r="N537" s="22">
        <v>0</v>
      </c>
      <c r="O537" s="20">
        <v>0</v>
      </c>
      <c r="P537" s="20">
        <v>0</v>
      </c>
      <c r="Q537" s="20">
        <v>0</v>
      </c>
      <c r="R537" s="20">
        <v>0</v>
      </c>
      <c r="S537" s="19" t="s">
        <v>95</v>
      </c>
      <c r="T537" s="23">
        <v>-7</v>
      </c>
    </row>
    <row r="538" spans="1:20" ht="14.4">
      <c r="A538" s="29" t="s">
        <v>102</v>
      </c>
      <c r="B538" s="14" t="s">
        <v>104</v>
      </c>
      <c r="C538" s="14" t="s">
        <v>94</v>
      </c>
      <c r="D538" s="15">
        <v>-200</v>
      </c>
      <c r="E538" s="15">
        <v>0</v>
      </c>
      <c r="F538" s="15">
        <v>0</v>
      </c>
      <c r="G538" s="16">
        <v>-200</v>
      </c>
      <c r="H538" s="17">
        <v>0</v>
      </c>
      <c r="I538" s="17">
        <v>1</v>
      </c>
      <c r="J538" s="16">
        <v>0</v>
      </c>
      <c r="K538" s="15">
        <v>0</v>
      </c>
      <c r="L538" s="17">
        <v>0</v>
      </c>
      <c r="M538" s="17">
        <v>0</v>
      </c>
      <c r="N538" s="17">
        <v>0</v>
      </c>
      <c r="O538" s="15">
        <v>0</v>
      </c>
      <c r="P538" s="15">
        <v>0</v>
      </c>
      <c r="Q538" s="15">
        <v>0</v>
      </c>
      <c r="R538" s="15">
        <v>0</v>
      </c>
      <c r="S538" s="14" t="s">
        <v>95</v>
      </c>
      <c r="T538" s="18">
        <v>-9</v>
      </c>
    </row>
    <row r="539" spans="1:20" ht="14.4">
      <c r="A539" s="28" t="s">
        <v>102</v>
      </c>
      <c r="B539" s="19" t="s">
        <v>104</v>
      </c>
      <c r="C539" s="19" t="s">
        <v>86</v>
      </c>
      <c r="D539" s="20">
        <v>-200</v>
      </c>
      <c r="E539" s="20">
        <v>-35</v>
      </c>
      <c r="F539" s="20">
        <v>0</v>
      </c>
      <c r="G539" s="21">
        <v>-165</v>
      </c>
      <c r="H539" s="22">
        <v>0</v>
      </c>
      <c r="I539" s="22">
        <v>1</v>
      </c>
      <c r="J539" s="21">
        <v>0</v>
      </c>
      <c r="K539" s="20">
        <v>0</v>
      </c>
      <c r="L539" s="22">
        <v>0</v>
      </c>
      <c r="M539" s="22">
        <v>0</v>
      </c>
      <c r="N539" s="22">
        <v>0</v>
      </c>
      <c r="O539" s="20">
        <v>0</v>
      </c>
      <c r="P539" s="20">
        <v>0</v>
      </c>
      <c r="Q539" s="20">
        <v>0</v>
      </c>
      <c r="R539" s="20">
        <v>0</v>
      </c>
      <c r="S539" s="19" t="s">
        <v>87</v>
      </c>
      <c r="T539" s="23">
        <v>-7</v>
      </c>
    </row>
    <row r="540" spans="1:20" ht="14.4">
      <c r="A540" s="29" t="s">
        <v>102</v>
      </c>
      <c r="B540" s="14" t="s">
        <v>104</v>
      </c>
      <c r="C540" s="14" t="s">
        <v>44</v>
      </c>
      <c r="D540" s="15">
        <v>-215</v>
      </c>
      <c r="E540" s="15">
        <v>-35</v>
      </c>
      <c r="F540" s="15">
        <v>0</v>
      </c>
      <c r="G540" s="16">
        <v>-180</v>
      </c>
      <c r="H540" s="17">
        <v>0</v>
      </c>
      <c r="I540" s="17">
        <v>1</v>
      </c>
      <c r="J540" s="16">
        <v>0</v>
      </c>
      <c r="K540" s="15">
        <v>0</v>
      </c>
      <c r="L540" s="17">
        <v>0</v>
      </c>
      <c r="M540" s="17">
        <v>0</v>
      </c>
      <c r="N540" s="17">
        <v>0</v>
      </c>
      <c r="O540" s="15">
        <v>0</v>
      </c>
      <c r="P540" s="15">
        <v>0</v>
      </c>
      <c r="Q540" s="15">
        <v>0</v>
      </c>
      <c r="R540" s="15">
        <v>0</v>
      </c>
      <c r="S540" s="14" t="s">
        <v>91</v>
      </c>
      <c r="T540" s="18">
        <v>-8</v>
      </c>
    </row>
    <row r="541" spans="1:20" ht="14.4">
      <c r="A541" s="26">
        <v>339847</v>
      </c>
      <c r="B541" s="19" t="s">
        <v>85</v>
      </c>
      <c r="C541" s="19" t="s">
        <v>37</v>
      </c>
      <c r="D541" s="20">
        <v>-216</v>
      </c>
      <c r="E541" s="20">
        <v>0</v>
      </c>
      <c r="F541" s="20">
        <v>92</v>
      </c>
      <c r="G541" s="21">
        <v>1192.1099999999999</v>
      </c>
      <c r="H541" s="22">
        <v>7</v>
      </c>
      <c r="I541" s="22">
        <v>0</v>
      </c>
      <c r="J541" s="21">
        <v>0</v>
      </c>
      <c r="K541" s="20">
        <v>0</v>
      </c>
      <c r="L541" s="22">
        <v>0</v>
      </c>
      <c r="M541" s="22">
        <v>0</v>
      </c>
      <c r="N541" s="22">
        <v>0</v>
      </c>
      <c r="O541" s="20">
        <v>0</v>
      </c>
      <c r="P541" s="20">
        <v>0</v>
      </c>
      <c r="Q541" s="20">
        <v>433</v>
      </c>
      <c r="R541" s="20">
        <v>0</v>
      </c>
      <c r="S541" s="19" t="s">
        <v>87</v>
      </c>
      <c r="T541" s="23">
        <v>54</v>
      </c>
    </row>
    <row r="542" spans="1:20" ht="14.4">
      <c r="A542" s="29" t="s">
        <v>102</v>
      </c>
      <c r="B542" s="14" t="s">
        <v>104</v>
      </c>
      <c r="C542" s="14" t="s">
        <v>43</v>
      </c>
      <c r="D542" s="15">
        <v>-220</v>
      </c>
      <c r="E542" s="15">
        <v>-20</v>
      </c>
      <c r="F542" s="15">
        <v>0</v>
      </c>
      <c r="G542" s="16">
        <v>-200</v>
      </c>
      <c r="H542" s="17">
        <v>0</v>
      </c>
      <c r="I542" s="17">
        <v>1</v>
      </c>
      <c r="J542" s="16">
        <v>0</v>
      </c>
      <c r="K542" s="15">
        <v>0</v>
      </c>
      <c r="L542" s="17">
        <v>0</v>
      </c>
      <c r="M542" s="17">
        <v>0</v>
      </c>
      <c r="N542" s="17">
        <v>0</v>
      </c>
      <c r="O542" s="15">
        <v>0</v>
      </c>
      <c r="P542" s="15">
        <v>0</v>
      </c>
      <c r="Q542" s="15">
        <v>0</v>
      </c>
      <c r="R542" s="15">
        <v>0</v>
      </c>
      <c r="S542" s="14" t="s">
        <v>87</v>
      </c>
      <c r="T542" s="18">
        <v>-9</v>
      </c>
    </row>
    <row r="543" spans="1:20" ht="14.4">
      <c r="A543" s="28" t="s">
        <v>102</v>
      </c>
      <c r="B543" s="19" t="s">
        <v>104</v>
      </c>
      <c r="C543" s="19" t="s">
        <v>90</v>
      </c>
      <c r="D543" s="20">
        <v>-220</v>
      </c>
      <c r="E543" s="20">
        <v>-35</v>
      </c>
      <c r="F543" s="20">
        <v>0</v>
      </c>
      <c r="G543" s="21">
        <v>-185</v>
      </c>
      <c r="H543" s="22">
        <v>0</v>
      </c>
      <c r="I543" s="22">
        <v>2</v>
      </c>
      <c r="J543" s="21">
        <v>0</v>
      </c>
      <c r="K543" s="20">
        <v>0</v>
      </c>
      <c r="L543" s="22">
        <v>0</v>
      </c>
      <c r="M543" s="22">
        <v>0</v>
      </c>
      <c r="N543" s="22">
        <v>0</v>
      </c>
      <c r="O543" s="20">
        <v>0</v>
      </c>
      <c r="P543" s="20">
        <v>0</v>
      </c>
      <c r="Q543" s="20">
        <v>0</v>
      </c>
      <c r="R543" s="20">
        <v>0</v>
      </c>
      <c r="S543" s="19" t="s">
        <v>91</v>
      </c>
      <c r="T543" s="23">
        <v>-8</v>
      </c>
    </row>
    <row r="544" spans="1:20" ht="14.4">
      <c r="A544" s="13">
        <v>339730</v>
      </c>
      <c r="B544" s="14" t="s">
        <v>85</v>
      </c>
      <c r="C544" s="14" t="s">
        <v>60</v>
      </c>
      <c r="D544" s="15">
        <v>-224</v>
      </c>
      <c r="E544" s="15">
        <v>0</v>
      </c>
      <c r="F544" s="15">
        <v>60</v>
      </c>
      <c r="G544" s="16">
        <v>725</v>
      </c>
      <c r="H544" s="17">
        <v>2</v>
      </c>
      <c r="I544" s="17">
        <v>0</v>
      </c>
      <c r="J544" s="16">
        <v>0</v>
      </c>
      <c r="K544" s="15">
        <v>0</v>
      </c>
      <c r="L544" s="17">
        <v>0</v>
      </c>
      <c r="M544" s="17">
        <v>0</v>
      </c>
      <c r="N544" s="17">
        <v>0</v>
      </c>
      <c r="O544" s="15">
        <v>0</v>
      </c>
      <c r="P544" s="15">
        <v>0</v>
      </c>
      <c r="Q544" s="15">
        <v>220</v>
      </c>
      <c r="R544" s="15">
        <v>0</v>
      </c>
      <c r="S544" s="14" t="s">
        <v>87</v>
      </c>
      <c r="T544" s="18">
        <v>33</v>
      </c>
    </row>
    <row r="545" spans="1:20" ht="14.4">
      <c r="A545" s="26">
        <v>339930</v>
      </c>
      <c r="B545" s="19" t="s">
        <v>105</v>
      </c>
      <c r="C545" s="19" t="s">
        <v>43</v>
      </c>
      <c r="D545" s="20">
        <v>-230</v>
      </c>
      <c r="E545" s="20">
        <v>0</v>
      </c>
      <c r="F545" s="20">
        <v>0</v>
      </c>
      <c r="G545" s="21">
        <v>0</v>
      </c>
      <c r="H545" s="22">
        <v>0</v>
      </c>
      <c r="I545" s="22">
        <v>0</v>
      </c>
      <c r="J545" s="21">
        <v>0</v>
      </c>
      <c r="K545" s="20">
        <v>0</v>
      </c>
      <c r="L545" s="22">
        <v>0</v>
      </c>
      <c r="M545" s="22">
        <v>0</v>
      </c>
      <c r="N545" s="22">
        <v>0</v>
      </c>
      <c r="O545" s="20">
        <v>0</v>
      </c>
      <c r="P545" s="20">
        <v>0</v>
      </c>
      <c r="Q545" s="27"/>
      <c r="R545" s="20">
        <v>0</v>
      </c>
      <c r="S545" s="19" t="s">
        <v>87</v>
      </c>
      <c r="T545" s="23">
        <v>0</v>
      </c>
    </row>
    <row r="546" spans="1:20" ht="14.4">
      <c r="A546" s="29" t="s">
        <v>102</v>
      </c>
      <c r="B546" s="14" t="s">
        <v>104</v>
      </c>
      <c r="C546" s="14" t="s">
        <v>86</v>
      </c>
      <c r="D546" s="15">
        <v>-230</v>
      </c>
      <c r="E546" s="15">
        <v>-35</v>
      </c>
      <c r="F546" s="15">
        <v>0</v>
      </c>
      <c r="G546" s="16">
        <v>-195</v>
      </c>
      <c r="H546" s="17">
        <v>0</v>
      </c>
      <c r="I546" s="17">
        <v>1</v>
      </c>
      <c r="J546" s="16">
        <v>0</v>
      </c>
      <c r="K546" s="15">
        <v>0</v>
      </c>
      <c r="L546" s="17">
        <v>0</v>
      </c>
      <c r="M546" s="17">
        <v>0</v>
      </c>
      <c r="N546" s="17">
        <v>0</v>
      </c>
      <c r="O546" s="15">
        <v>0</v>
      </c>
      <c r="P546" s="15">
        <v>0</v>
      </c>
      <c r="Q546" s="15">
        <v>0</v>
      </c>
      <c r="R546" s="15">
        <v>0</v>
      </c>
      <c r="S546" s="14" t="s">
        <v>87</v>
      </c>
      <c r="T546" s="18">
        <v>-9</v>
      </c>
    </row>
    <row r="547" spans="1:20" ht="14.4">
      <c r="A547" s="28" t="s">
        <v>102</v>
      </c>
      <c r="B547" s="19" t="s">
        <v>104</v>
      </c>
      <c r="C547" s="19" t="s">
        <v>38</v>
      </c>
      <c r="D547" s="20">
        <v>-235</v>
      </c>
      <c r="E547" s="20">
        <v>-35</v>
      </c>
      <c r="F547" s="20">
        <v>0</v>
      </c>
      <c r="G547" s="21">
        <v>-200</v>
      </c>
      <c r="H547" s="22">
        <v>0</v>
      </c>
      <c r="I547" s="22">
        <v>1</v>
      </c>
      <c r="J547" s="21">
        <v>0</v>
      </c>
      <c r="K547" s="20">
        <v>0</v>
      </c>
      <c r="L547" s="22">
        <v>0</v>
      </c>
      <c r="M547" s="22">
        <v>0</v>
      </c>
      <c r="N547" s="22">
        <v>0</v>
      </c>
      <c r="O547" s="20">
        <v>0</v>
      </c>
      <c r="P547" s="20">
        <v>0</v>
      </c>
      <c r="Q547" s="20">
        <v>0</v>
      </c>
      <c r="R547" s="20">
        <v>0</v>
      </c>
      <c r="S547" s="19" t="s">
        <v>91</v>
      </c>
      <c r="T547" s="23">
        <v>-9</v>
      </c>
    </row>
    <row r="548" spans="1:20" ht="14.4">
      <c r="A548" s="29" t="s">
        <v>102</v>
      </c>
      <c r="B548" s="14" t="s">
        <v>104</v>
      </c>
      <c r="C548" s="14" t="s">
        <v>97</v>
      </c>
      <c r="D548" s="15">
        <v>-235</v>
      </c>
      <c r="E548" s="15">
        <v>-35</v>
      </c>
      <c r="F548" s="15">
        <v>0</v>
      </c>
      <c r="G548" s="16">
        <v>-200</v>
      </c>
      <c r="H548" s="17">
        <v>0</v>
      </c>
      <c r="I548" s="17">
        <v>1</v>
      </c>
      <c r="J548" s="16">
        <v>0</v>
      </c>
      <c r="K548" s="15">
        <v>0</v>
      </c>
      <c r="L548" s="17">
        <v>0</v>
      </c>
      <c r="M548" s="17">
        <v>0</v>
      </c>
      <c r="N548" s="17">
        <v>0</v>
      </c>
      <c r="O548" s="15">
        <v>0</v>
      </c>
      <c r="P548" s="15">
        <v>0</v>
      </c>
      <c r="Q548" s="15">
        <v>0</v>
      </c>
      <c r="R548" s="15">
        <v>0</v>
      </c>
      <c r="S548" s="14" t="s">
        <v>93</v>
      </c>
      <c r="T548" s="18">
        <v>-9</v>
      </c>
    </row>
    <row r="549" spans="1:20" ht="14.4">
      <c r="A549" s="28" t="s">
        <v>102</v>
      </c>
      <c r="B549" s="19" t="s">
        <v>104</v>
      </c>
      <c r="C549" s="19" t="s">
        <v>37</v>
      </c>
      <c r="D549" s="20">
        <v>-240</v>
      </c>
      <c r="E549" s="20">
        <v>0</v>
      </c>
      <c r="F549" s="20">
        <v>0</v>
      </c>
      <c r="G549" s="21">
        <v>-240</v>
      </c>
      <c r="H549" s="22">
        <v>0</v>
      </c>
      <c r="I549" s="22">
        <v>2</v>
      </c>
      <c r="J549" s="21">
        <v>0</v>
      </c>
      <c r="K549" s="20">
        <v>0</v>
      </c>
      <c r="L549" s="22">
        <v>0</v>
      </c>
      <c r="M549" s="22">
        <v>0</v>
      </c>
      <c r="N549" s="22">
        <v>0</v>
      </c>
      <c r="O549" s="20">
        <v>0</v>
      </c>
      <c r="P549" s="20">
        <v>0</v>
      </c>
      <c r="Q549" s="20">
        <v>0</v>
      </c>
      <c r="R549" s="20">
        <v>0</v>
      </c>
      <c r="S549" s="19" t="s">
        <v>87</v>
      </c>
      <c r="T549" s="23">
        <v>-11</v>
      </c>
    </row>
    <row r="550" spans="1:20" ht="14.4">
      <c r="A550" s="29" t="s">
        <v>102</v>
      </c>
      <c r="B550" s="14" t="s">
        <v>104</v>
      </c>
      <c r="C550" s="14" t="s">
        <v>37</v>
      </c>
      <c r="D550" s="15">
        <v>-245</v>
      </c>
      <c r="E550" s="15">
        <v>-35</v>
      </c>
      <c r="F550" s="15">
        <v>0</v>
      </c>
      <c r="G550" s="16">
        <v>-210</v>
      </c>
      <c r="H550" s="17">
        <v>0</v>
      </c>
      <c r="I550" s="17">
        <v>1</v>
      </c>
      <c r="J550" s="16">
        <v>0</v>
      </c>
      <c r="K550" s="15">
        <v>0</v>
      </c>
      <c r="L550" s="17">
        <v>0</v>
      </c>
      <c r="M550" s="17">
        <v>0</v>
      </c>
      <c r="N550" s="17">
        <v>0</v>
      </c>
      <c r="O550" s="15">
        <v>0</v>
      </c>
      <c r="P550" s="15">
        <v>0</v>
      </c>
      <c r="Q550" s="15">
        <v>0</v>
      </c>
      <c r="R550" s="15">
        <v>0</v>
      </c>
      <c r="S550" s="14" t="s">
        <v>87</v>
      </c>
      <c r="T550" s="18">
        <v>-9</v>
      </c>
    </row>
    <row r="551" spans="1:20" ht="14.4">
      <c r="A551" s="28" t="s">
        <v>102</v>
      </c>
      <c r="B551" s="19" t="s">
        <v>104</v>
      </c>
      <c r="C551" s="19" t="s">
        <v>60</v>
      </c>
      <c r="D551" s="20">
        <v>-270</v>
      </c>
      <c r="E551" s="20">
        <v>-35</v>
      </c>
      <c r="F551" s="20">
        <v>0</v>
      </c>
      <c r="G551" s="21">
        <v>-235</v>
      </c>
      <c r="H551" s="22">
        <v>0</v>
      </c>
      <c r="I551" s="22">
        <v>2</v>
      </c>
      <c r="J551" s="21">
        <v>0</v>
      </c>
      <c r="K551" s="20">
        <v>0</v>
      </c>
      <c r="L551" s="22">
        <v>0</v>
      </c>
      <c r="M551" s="22">
        <v>0</v>
      </c>
      <c r="N551" s="22">
        <v>0</v>
      </c>
      <c r="O551" s="20">
        <v>0</v>
      </c>
      <c r="P551" s="20">
        <v>0</v>
      </c>
      <c r="Q551" s="20">
        <v>0</v>
      </c>
      <c r="R551" s="20">
        <v>0</v>
      </c>
      <c r="S551" s="19" t="s">
        <v>87</v>
      </c>
      <c r="T551" s="23">
        <v>-11</v>
      </c>
    </row>
    <row r="552" spans="1:20" ht="14.4">
      <c r="A552" s="13">
        <v>339717</v>
      </c>
      <c r="B552" s="14" t="s">
        <v>105</v>
      </c>
      <c r="C552" s="14" t="s">
        <v>92</v>
      </c>
      <c r="D552" s="15">
        <v>-290</v>
      </c>
      <c r="E552" s="15">
        <v>0</v>
      </c>
      <c r="F552" s="15">
        <v>0</v>
      </c>
      <c r="G552" s="16">
        <v>0</v>
      </c>
      <c r="H552" s="17">
        <v>0</v>
      </c>
      <c r="I552" s="17">
        <v>0</v>
      </c>
      <c r="J552" s="16">
        <v>0</v>
      </c>
      <c r="K552" s="15">
        <v>0</v>
      </c>
      <c r="L552" s="17">
        <v>0</v>
      </c>
      <c r="M552" s="17">
        <v>0</v>
      </c>
      <c r="N552" s="17">
        <v>0</v>
      </c>
      <c r="O552" s="15">
        <v>0</v>
      </c>
      <c r="P552" s="15">
        <v>0</v>
      </c>
      <c r="Q552" s="25"/>
      <c r="R552" s="15">
        <v>0</v>
      </c>
      <c r="S552" s="14" t="s">
        <v>93</v>
      </c>
      <c r="T552" s="18">
        <v>0</v>
      </c>
    </row>
    <row r="553" spans="1:20" ht="14.4">
      <c r="A553" s="28" t="s">
        <v>102</v>
      </c>
      <c r="B553" s="19" t="s">
        <v>104</v>
      </c>
      <c r="C553" s="19" t="s">
        <v>94</v>
      </c>
      <c r="D553" s="20">
        <v>-300</v>
      </c>
      <c r="E553" s="20">
        <v>0</v>
      </c>
      <c r="F553" s="20">
        <v>0</v>
      </c>
      <c r="G553" s="21">
        <v>-300</v>
      </c>
      <c r="H553" s="22">
        <v>0</v>
      </c>
      <c r="I553" s="22">
        <v>1</v>
      </c>
      <c r="J553" s="21">
        <v>0</v>
      </c>
      <c r="K553" s="20">
        <v>0</v>
      </c>
      <c r="L553" s="22">
        <v>0</v>
      </c>
      <c r="M553" s="22">
        <v>0</v>
      </c>
      <c r="N553" s="22">
        <v>0</v>
      </c>
      <c r="O553" s="20">
        <v>0</v>
      </c>
      <c r="P553" s="20">
        <v>0</v>
      </c>
      <c r="Q553" s="20">
        <v>0</v>
      </c>
      <c r="R553" s="20">
        <v>0</v>
      </c>
      <c r="S553" s="19" t="s">
        <v>95</v>
      </c>
      <c r="T553" s="23">
        <v>-14</v>
      </c>
    </row>
    <row r="554" spans="1:20" ht="14.4">
      <c r="A554" s="29" t="s">
        <v>102</v>
      </c>
      <c r="B554" s="14" t="s">
        <v>104</v>
      </c>
      <c r="C554" s="14" t="s">
        <v>59</v>
      </c>
      <c r="D554" s="15">
        <v>-300</v>
      </c>
      <c r="E554" s="15">
        <v>0</v>
      </c>
      <c r="F554" s="15">
        <v>0</v>
      </c>
      <c r="G554" s="16">
        <v>-300</v>
      </c>
      <c r="H554" s="17">
        <v>0</v>
      </c>
      <c r="I554" s="17">
        <v>4</v>
      </c>
      <c r="J554" s="16">
        <v>0</v>
      </c>
      <c r="K554" s="15">
        <v>0</v>
      </c>
      <c r="L554" s="17">
        <v>0</v>
      </c>
      <c r="M554" s="17">
        <v>0</v>
      </c>
      <c r="N554" s="17">
        <v>0</v>
      </c>
      <c r="O554" s="15">
        <v>0</v>
      </c>
      <c r="P554" s="15">
        <v>0</v>
      </c>
      <c r="Q554" s="15">
        <v>0</v>
      </c>
      <c r="R554" s="15">
        <v>0</v>
      </c>
      <c r="S554" s="14" t="s">
        <v>87</v>
      </c>
      <c r="T554" s="18">
        <v>-14</v>
      </c>
    </row>
    <row r="555" spans="1:20" ht="14.4">
      <c r="A555" s="26">
        <v>337139</v>
      </c>
      <c r="B555" s="19" t="s">
        <v>105</v>
      </c>
      <c r="C555" s="19" t="s">
        <v>97</v>
      </c>
      <c r="D555" s="20">
        <v>-310</v>
      </c>
      <c r="E555" s="20">
        <v>0</v>
      </c>
      <c r="F555" s="20">
        <v>0</v>
      </c>
      <c r="G555" s="21">
        <v>0</v>
      </c>
      <c r="H555" s="22">
        <v>0</v>
      </c>
      <c r="I555" s="22">
        <v>0</v>
      </c>
      <c r="J555" s="21">
        <v>0</v>
      </c>
      <c r="K555" s="20">
        <v>0</v>
      </c>
      <c r="L555" s="22">
        <v>0</v>
      </c>
      <c r="M555" s="22">
        <v>0</v>
      </c>
      <c r="N555" s="22">
        <v>0</v>
      </c>
      <c r="O555" s="20">
        <v>0</v>
      </c>
      <c r="P555" s="20">
        <v>0</v>
      </c>
      <c r="Q555" s="27"/>
      <c r="R555" s="20">
        <v>0</v>
      </c>
      <c r="S555" s="19" t="s">
        <v>93</v>
      </c>
      <c r="T555" s="23">
        <v>0</v>
      </c>
    </row>
    <row r="556" spans="1:20" ht="14.4">
      <c r="A556" s="13">
        <v>340845</v>
      </c>
      <c r="B556" s="14" t="s">
        <v>105</v>
      </c>
      <c r="C556" s="14" t="s">
        <v>97</v>
      </c>
      <c r="D556" s="15">
        <v>-325</v>
      </c>
      <c r="E556" s="15">
        <v>0</v>
      </c>
      <c r="F556" s="15">
        <v>0</v>
      </c>
      <c r="G556" s="16">
        <v>0</v>
      </c>
      <c r="H556" s="17">
        <v>0</v>
      </c>
      <c r="I556" s="17">
        <v>0</v>
      </c>
      <c r="J556" s="16">
        <v>0</v>
      </c>
      <c r="K556" s="15">
        <v>0</v>
      </c>
      <c r="L556" s="17">
        <v>0</v>
      </c>
      <c r="M556" s="17">
        <v>0</v>
      </c>
      <c r="N556" s="17">
        <v>0</v>
      </c>
      <c r="O556" s="15">
        <v>0</v>
      </c>
      <c r="P556" s="15">
        <v>0</v>
      </c>
      <c r="Q556" s="25"/>
      <c r="R556" s="15">
        <v>0</v>
      </c>
      <c r="S556" s="14" t="s">
        <v>93</v>
      </c>
      <c r="T556" s="18">
        <v>0</v>
      </c>
    </row>
    <row r="557" spans="1:20" ht="14.4">
      <c r="A557" s="26">
        <v>340206</v>
      </c>
      <c r="B557" s="19" t="s">
        <v>85</v>
      </c>
      <c r="C557" s="19" t="s">
        <v>51</v>
      </c>
      <c r="D557" s="20">
        <v>-343</v>
      </c>
      <c r="E557" s="20">
        <v>35</v>
      </c>
      <c r="F557" s="20">
        <v>66</v>
      </c>
      <c r="G557" s="21">
        <v>615</v>
      </c>
      <c r="H557" s="22">
        <v>1</v>
      </c>
      <c r="I557" s="22">
        <v>0</v>
      </c>
      <c r="J557" s="21">
        <v>0</v>
      </c>
      <c r="K557" s="20">
        <v>0</v>
      </c>
      <c r="L557" s="22">
        <v>0</v>
      </c>
      <c r="M557" s="22">
        <v>0</v>
      </c>
      <c r="N557" s="22">
        <v>0</v>
      </c>
      <c r="O557" s="20">
        <v>0</v>
      </c>
      <c r="P557" s="20">
        <v>0</v>
      </c>
      <c r="Q557" s="20">
        <v>0</v>
      </c>
      <c r="R557" s="20">
        <v>150</v>
      </c>
      <c r="S557" s="19" t="s">
        <v>87</v>
      </c>
      <c r="T557" s="23">
        <v>28</v>
      </c>
    </row>
    <row r="558" spans="1:20" ht="14.4">
      <c r="A558" s="13">
        <v>340248</v>
      </c>
      <c r="B558" s="14" t="s">
        <v>105</v>
      </c>
      <c r="C558" s="14" t="s">
        <v>44</v>
      </c>
      <c r="D558" s="15">
        <v>-361</v>
      </c>
      <c r="E558" s="15">
        <v>0</v>
      </c>
      <c r="F558" s="15">
        <v>0</v>
      </c>
      <c r="G558" s="16">
        <v>0</v>
      </c>
      <c r="H558" s="17">
        <v>0</v>
      </c>
      <c r="I558" s="17">
        <v>0</v>
      </c>
      <c r="J558" s="16">
        <v>0</v>
      </c>
      <c r="K558" s="15">
        <v>0</v>
      </c>
      <c r="L558" s="17">
        <v>0</v>
      </c>
      <c r="M558" s="17">
        <v>0</v>
      </c>
      <c r="N558" s="17">
        <v>0</v>
      </c>
      <c r="O558" s="15">
        <v>0</v>
      </c>
      <c r="P558" s="15">
        <v>0</v>
      </c>
      <c r="Q558" s="25"/>
      <c r="R558" s="15">
        <v>0</v>
      </c>
      <c r="S558" s="14" t="s">
        <v>91</v>
      </c>
      <c r="T558" s="18">
        <v>0</v>
      </c>
    </row>
    <row r="559" spans="1:20" ht="14.4">
      <c r="A559" s="28" t="s">
        <v>102</v>
      </c>
      <c r="B559" s="19" t="s">
        <v>104</v>
      </c>
      <c r="C559" s="19" t="s">
        <v>98</v>
      </c>
      <c r="D559" s="20">
        <v>-361</v>
      </c>
      <c r="E559" s="20">
        <v>-35</v>
      </c>
      <c r="F559" s="20">
        <v>0</v>
      </c>
      <c r="G559" s="21">
        <v>-326</v>
      </c>
      <c r="H559" s="22">
        <v>0</v>
      </c>
      <c r="I559" s="22">
        <v>3</v>
      </c>
      <c r="J559" s="21">
        <v>0</v>
      </c>
      <c r="K559" s="20">
        <v>0</v>
      </c>
      <c r="L559" s="22">
        <v>0</v>
      </c>
      <c r="M559" s="22">
        <v>0</v>
      </c>
      <c r="N559" s="22">
        <v>0</v>
      </c>
      <c r="O559" s="20">
        <v>0</v>
      </c>
      <c r="P559" s="20">
        <v>0</v>
      </c>
      <c r="Q559" s="20">
        <v>0</v>
      </c>
      <c r="R559" s="20">
        <v>0</v>
      </c>
      <c r="S559" s="19" t="s">
        <v>87</v>
      </c>
      <c r="T559" s="23">
        <v>-15</v>
      </c>
    </row>
    <row r="560" spans="1:20" ht="14.4">
      <c r="A560" s="13">
        <v>340339</v>
      </c>
      <c r="B560" s="14" t="s">
        <v>105</v>
      </c>
      <c r="C560" s="14" t="s">
        <v>47</v>
      </c>
      <c r="D560" s="15">
        <v>-400</v>
      </c>
      <c r="E560" s="15">
        <v>0</v>
      </c>
      <c r="F560" s="15">
        <v>0</v>
      </c>
      <c r="G560" s="16">
        <v>0</v>
      </c>
      <c r="H560" s="17">
        <v>0</v>
      </c>
      <c r="I560" s="17">
        <v>0</v>
      </c>
      <c r="J560" s="16">
        <v>0</v>
      </c>
      <c r="K560" s="15">
        <v>0</v>
      </c>
      <c r="L560" s="17">
        <v>0</v>
      </c>
      <c r="M560" s="17">
        <v>0</v>
      </c>
      <c r="N560" s="17">
        <v>0</v>
      </c>
      <c r="O560" s="15">
        <v>0</v>
      </c>
      <c r="P560" s="15">
        <v>0</v>
      </c>
      <c r="Q560" s="25"/>
      <c r="R560" s="15">
        <v>0</v>
      </c>
      <c r="S560" s="14" t="s">
        <v>91</v>
      </c>
      <c r="T560" s="18">
        <v>0</v>
      </c>
    </row>
    <row r="561" spans="1:20" ht="14.4">
      <c r="A561" s="28" t="s">
        <v>102</v>
      </c>
      <c r="B561" s="19" t="s">
        <v>104</v>
      </c>
      <c r="C561" s="19" t="s">
        <v>94</v>
      </c>
      <c r="D561" s="20">
        <v>-420</v>
      </c>
      <c r="E561" s="20">
        <v>0</v>
      </c>
      <c r="F561" s="20">
        <v>0</v>
      </c>
      <c r="G561" s="21">
        <v>-420</v>
      </c>
      <c r="H561" s="22">
        <v>0</v>
      </c>
      <c r="I561" s="22">
        <v>1</v>
      </c>
      <c r="J561" s="21">
        <v>0</v>
      </c>
      <c r="K561" s="20">
        <v>0</v>
      </c>
      <c r="L561" s="22">
        <v>0</v>
      </c>
      <c r="M561" s="22">
        <v>0</v>
      </c>
      <c r="N561" s="22">
        <v>0</v>
      </c>
      <c r="O561" s="20">
        <v>0</v>
      </c>
      <c r="P561" s="20">
        <v>0</v>
      </c>
      <c r="Q561" s="20">
        <v>0</v>
      </c>
      <c r="R561" s="20">
        <v>0</v>
      </c>
      <c r="S561" s="19" t="s">
        <v>95</v>
      </c>
      <c r="T561" s="23">
        <v>-19</v>
      </c>
    </row>
    <row r="562" spans="1:20" ht="14.4">
      <c r="A562" s="29" t="s">
        <v>102</v>
      </c>
      <c r="B562" s="14" t="s">
        <v>104</v>
      </c>
      <c r="C562" s="14" t="s">
        <v>60</v>
      </c>
      <c r="D562" s="15">
        <v>-431</v>
      </c>
      <c r="E562" s="15">
        <v>0</v>
      </c>
      <c r="F562" s="15">
        <v>-31</v>
      </c>
      <c r="G562" s="16">
        <v>0</v>
      </c>
      <c r="H562" s="17">
        <v>0</v>
      </c>
      <c r="I562" s="17">
        <v>0</v>
      </c>
      <c r="J562" s="16">
        <v>-400</v>
      </c>
      <c r="K562" s="15">
        <v>-150</v>
      </c>
      <c r="L562" s="17">
        <v>-37.5</v>
      </c>
      <c r="M562" s="17">
        <v>0</v>
      </c>
      <c r="N562" s="17">
        <v>1</v>
      </c>
      <c r="O562" s="15">
        <v>0</v>
      </c>
      <c r="P562" s="15">
        <v>0</v>
      </c>
      <c r="Q562" s="15">
        <v>0</v>
      </c>
      <c r="R562" s="15">
        <v>0</v>
      </c>
      <c r="S562" s="14" t="s">
        <v>87</v>
      </c>
      <c r="T562" s="18">
        <v>-15</v>
      </c>
    </row>
    <row r="563" spans="1:20" ht="14.4">
      <c r="A563" s="28" t="s">
        <v>102</v>
      </c>
      <c r="B563" s="19" t="s">
        <v>104</v>
      </c>
      <c r="C563" s="19" t="s">
        <v>97</v>
      </c>
      <c r="D563" s="20">
        <v>-450</v>
      </c>
      <c r="E563" s="20">
        <v>-200</v>
      </c>
      <c r="F563" s="20">
        <v>0</v>
      </c>
      <c r="G563" s="21">
        <v>-250</v>
      </c>
      <c r="H563" s="22">
        <v>0</v>
      </c>
      <c r="I563" s="22">
        <v>1</v>
      </c>
      <c r="J563" s="21">
        <v>0</v>
      </c>
      <c r="K563" s="20">
        <v>0</v>
      </c>
      <c r="L563" s="22">
        <v>0</v>
      </c>
      <c r="M563" s="22">
        <v>0</v>
      </c>
      <c r="N563" s="22">
        <v>0</v>
      </c>
      <c r="O563" s="20">
        <v>0</v>
      </c>
      <c r="P563" s="20">
        <v>0</v>
      </c>
      <c r="Q563" s="20">
        <v>0</v>
      </c>
      <c r="R563" s="20">
        <v>0</v>
      </c>
      <c r="S563" s="19" t="s">
        <v>93</v>
      </c>
      <c r="T563" s="23">
        <v>-11</v>
      </c>
    </row>
    <row r="564" spans="1:20" ht="14.4">
      <c r="A564" s="29" t="s">
        <v>102</v>
      </c>
      <c r="B564" s="14" t="s">
        <v>104</v>
      </c>
      <c r="C564" s="14" t="s">
        <v>86</v>
      </c>
      <c r="D564" s="15">
        <v>-535</v>
      </c>
      <c r="E564" s="15">
        <v>-35</v>
      </c>
      <c r="F564" s="15">
        <v>0</v>
      </c>
      <c r="G564" s="16">
        <v>-500</v>
      </c>
      <c r="H564" s="17">
        <v>0</v>
      </c>
      <c r="I564" s="17">
        <v>1</v>
      </c>
      <c r="J564" s="16">
        <v>0</v>
      </c>
      <c r="K564" s="15">
        <v>0</v>
      </c>
      <c r="L564" s="17">
        <v>0</v>
      </c>
      <c r="M564" s="17">
        <v>0</v>
      </c>
      <c r="N564" s="17">
        <v>0</v>
      </c>
      <c r="O564" s="15">
        <v>0</v>
      </c>
      <c r="P564" s="15">
        <v>0</v>
      </c>
      <c r="Q564" s="15">
        <v>0</v>
      </c>
      <c r="R564" s="15">
        <v>0</v>
      </c>
      <c r="S564" s="14" t="s">
        <v>87</v>
      </c>
      <c r="T564" s="18">
        <v>-23</v>
      </c>
    </row>
    <row r="565" spans="1:20" ht="14.4">
      <c r="A565" s="28" t="s">
        <v>102</v>
      </c>
      <c r="B565" s="19" t="s">
        <v>104</v>
      </c>
      <c r="C565" s="19" t="s">
        <v>37</v>
      </c>
      <c r="D565" s="20">
        <v>-650</v>
      </c>
      <c r="E565" s="20">
        <v>-270</v>
      </c>
      <c r="F565" s="20">
        <v>0</v>
      </c>
      <c r="G565" s="21">
        <v>-380</v>
      </c>
      <c r="H565" s="22">
        <v>0</v>
      </c>
      <c r="I565" s="22">
        <v>1</v>
      </c>
      <c r="J565" s="21">
        <v>0</v>
      </c>
      <c r="K565" s="20">
        <v>0</v>
      </c>
      <c r="L565" s="22">
        <v>0</v>
      </c>
      <c r="M565" s="22">
        <v>0</v>
      </c>
      <c r="N565" s="22">
        <v>0</v>
      </c>
      <c r="O565" s="20">
        <v>0</v>
      </c>
      <c r="P565" s="20">
        <v>0</v>
      </c>
      <c r="Q565" s="20">
        <v>0</v>
      </c>
      <c r="R565" s="20">
        <v>0</v>
      </c>
      <c r="S565" s="19" t="s">
        <v>87</v>
      </c>
      <c r="T565" s="23">
        <v>-17</v>
      </c>
    </row>
    <row r="566" spans="1:20" ht="14.4">
      <c r="A566" s="29" t="s">
        <v>102</v>
      </c>
      <c r="B566" s="14" t="s">
        <v>104</v>
      </c>
      <c r="C566" s="14" t="s">
        <v>86</v>
      </c>
      <c r="D566" s="15">
        <v>-700</v>
      </c>
      <c r="E566" s="15">
        <v>-35</v>
      </c>
      <c r="F566" s="15">
        <v>0</v>
      </c>
      <c r="G566" s="16">
        <v>-665</v>
      </c>
      <c r="H566" s="17">
        <v>0</v>
      </c>
      <c r="I566" s="17">
        <v>1</v>
      </c>
      <c r="J566" s="16">
        <v>0</v>
      </c>
      <c r="K566" s="15">
        <v>0</v>
      </c>
      <c r="L566" s="17">
        <v>0</v>
      </c>
      <c r="M566" s="17">
        <v>0</v>
      </c>
      <c r="N566" s="17">
        <v>0</v>
      </c>
      <c r="O566" s="15">
        <v>0</v>
      </c>
      <c r="P566" s="15">
        <v>0</v>
      </c>
      <c r="Q566" s="15">
        <v>0</v>
      </c>
      <c r="R566" s="15">
        <v>0</v>
      </c>
      <c r="S566" s="14" t="s">
        <v>87</v>
      </c>
      <c r="T566" s="18">
        <v>-30</v>
      </c>
    </row>
    <row r="567" spans="1:20" ht="14.4">
      <c r="A567" s="26">
        <v>340163</v>
      </c>
      <c r="B567" s="19" t="s">
        <v>105</v>
      </c>
      <c r="C567" s="19" t="s">
        <v>86</v>
      </c>
      <c r="D567" s="20">
        <v>-785</v>
      </c>
      <c r="E567" s="20">
        <v>0</v>
      </c>
      <c r="F567" s="20">
        <v>0</v>
      </c>
      <c r="G567" s="21">
        <v>0</v>
      </c>
      <c r="H567" s="22">
        <v>0</v>
      </c>
      <c r="I567" s="22">
        <v>0</v>
      </c>
      <c r="J567" s="21">
        <v>0</v>
      </c>
      <c r="K567" s="20">
        <v>0</v>
      </c>
      <c r="L567" s="22">
        <v>0</v>
      </c>
      <c r="M567" s="22">
        <v>0</v>
      </c>
      <c r="N567" s="22">
        <v>0</v>
      </c>
      <c r="O567" s="20">
        <v>0</v>
      </c>
      <c r="P567" s="20">
        <v>0</v>
      </c>
      <c r="Q567" s="27"/>
      <c r="R567" s="20">
        <v>0</v>
      </c>
      <c r="S567" s="19" t="s">
        <v>87</v>
      </c>
      <c r="T567" s="23">
        <v>0</v>
      </c>
    </row>
    <row r="568" spans="1:20" ht="14.4">
      <c r="A568" s="29" t="s">
        <v>102</v>
      </c>
      <c r="B568" s="14" t="s">
        <v>104</v>
      </c>
      <c r="C568" s="14" t="s">
        <v>96</v>
      </c>
      <c r="D568" s="15">
        <v>-785</v>
      </c>
      <c r="E568" s="15">
        <v>-35</v>
      </c>
      <c r="F568" s="15">
        <v>0</v>
      </c>
      <c r="G568" s="16">
        <v>-750</v>
      </c>
      <c r="H568" s="17">
        <v>0</v>
      </c>
      <c r="I568" s="17">
        <v>1</v>
      </c>
      <c r="J568" s="16">
        <v>0</v>
      </c>
      <c r="K568" s="15">
        <v>0</v>
      </c>
      <c r="L568" s="17">
        <v>0</v>
      </c>
      <c r="M568" s="17">
        <v>0</v>
      </c>
      <c r="N568" s="17">
        <v>0</v>
      </c>
      <c r="O568" s="15">
        <v>0</v>
      </c>
      <c r="P568" s="15">
        <v>0</v>
      </c>
      <c r="Q568" s="15">
        <v>0</v>
      </c>
      <c r="R568" s="15">
        <v>0</v>
      </c>
      <c r="S568" s="14" t="s">
        <v>93</v>
      </c>
      <c r="T568" s="18">
        <v>-34</v>
      </c>
    </row>
    <row r="569" spans="1:20" ht="14.4">
      <c r="A569" s="26">
        <v>340710</v>
      </c>
      <c r="B569" s="19" t="s">
        <v>105</v>
      </c>
      <c r="C569" s="19" t="s">
        <v>86</v>
      </c>
      <c r="D569" s="20">
        <v>-835</v>
      </c>
      <c r="E569" s="20">
        <v>0</v>
      </c>
      <c r="F569" s="20">
        <v>0</v>
      </c>
      <c r="G569" s="21">
        <v>0</v>
      </c>
      <c r="H569" s="22">
        <v>0</v>
      </c>
      <c r="I569" s="22">
        <v>0</v>
      </c>
      <c r="J569" s="21">
        <v>0</v>
      </c>
      <c r="K569" s="20">
        <v>0</v>
      </c>
      <c r="L569" s="22">
        <v>0</v>
      </c>
      <c r="M569" s="22">
        <v>0</v>
      </c>
      <c r="N569" s="22">
        <v>0</v>
      </c>
      <c r="O569" s="20">
        <v>0</v>
      </c>
      <c r="P569" s="20">
        <v>0</v>
      </c>
      <c r="Q569" s="27"/>
      <c r="R569" s="20">
        <v>0</v>
      </c>
      <c r="S569" s="19" t="s">
        <v>87</v>
      </c>
      <c r="T569" s="23">
        <v>0</v>
      </c>
    </row>
    <row r="570" spans="1:20" ht="14.4">
      <c r="A570" s="13">
        <v>339427</v>
      </c>
      <c r="B570" s="14" t="s">
        <v>105</v>
      </c>
      <c r="C570" s="14" t="s">
        <v>57</v>
      </c>
      <c r="D570" s="15">
        <v>-920</v>
      </c>
      <c r="E570" s="15">
        <v>0</v>
      </c>
      <c r="F570" s="15">
        <v>0</v>
      </c>
      <c r="G570" s="16">
        <v>0</v>
      </c>
      <c r="H570" s="17">
        <v>0</v>
      </c>
      <c r="I570" s="17">
        <v>0</v>
      </c>
      <c r="J570" s="16">
        <v>0</v>
      </c>
      <c r="K570" s="15">
        <v>0</v>
      </c>
      <c r="L570" s="17">
        <v>0</v>
      </c>
      <c r="M570" s="17">
        <v>0</v>
      </c>
      <c r="N570" s="17">
        <v>0</v>
      </c>
      <c r="O570" s="15">
        <v>0</v>
      </c>
      <c r="P570" s="15">
        <v>0</v>
      </c>
      <c r="Q570" s="25"/>
      <c r="R570" s="15">
        <v>0</v>
      </c>
      <c r="S570" s="14" t="s">
        <v>87</v>
      </c>
      <c r="T570" s="18">
        <v>0</v>
      </c>
    </row>
    <row r="571" spans="1:20" ht="14.4">
      <c r="A571" s="28" t="s">
        <v>102</v>
      </c>
      <c r="B571" s="19" t="s">
        <v>104</v>
      </c>
      <c r="C571" s="19" t="s">
        <v>46</v>
      </c>
      <c r="D571" s="20">
        <v>-1085</v>
      </c>
      <c r="E571" s="20">
        <v>-35</v>
      </c>
      <c r="F571" s="20">
        <v>0</v>
      </c>
      <c r="G571" s="21">
        <v>-1050</v>
      </c>
      <c r="H571" s="22">
        <v>0</v>
      </c>
      <c r="I571" s="22">
        <v>1</v>
      </c>
      <c r="J571" s="21">
        <v>0</v>
      </c>
      <c r="K571" s="20">
        <v>0</v>
      </c>
      <c r="L571" s="22">
        <v>0</v>
      </c>
      <c r="M571" s="22">
        <v>0</v>
      </c>
      <c r="N571" s="22">
        <v>0</v>
      </c>
      <c r="O571" s="20">
        <v>0</v>
      </c>
      <c r="P571" s="20">
        <v>0</v>
      </c>
      <c r="Q571" s="20">
        <v>0</v>
      </c>
      <c r="R571" s="20">
        <v>0</v>
      </c>
      <c r="S571" s="19" t="s">
        <v>87</v>
      </c>
      <c r="T571" s="23">
        <v>-47</v>
      </c>
    </row>
    <row r="572" spans="1:20" ht="14.4">
      <c r="A572" s="13">
        <v>339715</v>
      </c>
      <c r="B572" s="14" t="s">
        <v>85</v>
      </c>
      <c r="C572" s="14" t="s">
        <v>46</v>
      </c>
      <c r="D572" s="15">
        <v>-1104</v>
      </c>
      <c r="E572" s="15">
        <v>0</v>
      </c>
      <c r="F572" s="15">
        <v>16</v>
      </c>
      <c r="G572" s="16">
        <v>200</v>
      </c>
      <c r="H572" s="17">
        <v>4</v>
      </c>
      <c r="I572" s="17">
        <v>0</v>
      </c>
      <c r="J572" s="16">
        <v>0</v>
      </c>
      <c r="K572" s="15">
        <v>0</v>
      </c>
      <c r="L572" s="17">
        <v>0</v>
      </c>
      <c r="M572" s="17">
        <v>0</v>
      </c>
      <c r="N572" s="17">
        <v>0</v>
      </c>
      <c r="O572" s="15">
        <v>0</v>
      </c>
      <c r="P572" s="15">
        <v>6</v>
      </c>
      <c r="Q572" s="15">
        <v>55</v>
      </c>
      <c r="R572" s="15">
        <v>0</v>
      </c>
      <c r="S572" s="14" t="s">
        <v>87</v>
      </c>
      <c r="T572" s="18">
        <v>10</v>
      </c>
    </row>
    <row r="573" spans="1:20" ht="14.4">
      <c r="A573" s="26">
        <v>340113</v>
      </c>
      <c r="B573" s="19" t="s">
        <v>105</v>
      </c>
      <c r="C573" s="19" t="s">
        <v>57</v>
      </c>
      <c r="D573" s="20">
        <v>-1205</v>
      </c>
      <c r="E573" s="20">
        <v>0</v>
      </c>
      <c r="F573" s="20">
        <v>0</v>
      </c>
      <c r="G573" s="21">
        <v>0</v>
      </c>
      <c r="H573" s="22">
        <v>0</v>
      </c>
      <c r="I573" s="22">
        <v>0</v>
      </c>
      <c r="J573" s="21">
        <v>0</v>
      </c>
      <c r="K573" s="20">
        <v>0</v>
      </c>
      <c r="L573" s="22">
        <v>0</v>
      </c>
      <c r="M573" s="22">
        <v>0</v>
      </c>
      <c r="N573" s="22">
        <v>0</v>
      </c>
      <c r="O573" s="20">
        <v>0</v>
      </c>
      <c r="P573" s="20">
        <v>0</v>
      </c>
      <c r="Q573" s="27"/>
      <c r="R573" s="20">
        <v>0</v>
      </c>
      <c r="S573" s="19" t="s">
        <v>87</v>
      </c>
      <c r="T573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34998626667073579"/>
    <outlinePr summaryBelow="0" summaryRight="0"/>
  </sheetPr>
  <dimension ref="A1:R55"/>
  <sheetViews>
    <sheetView workbookViewId="0"/>
  </sheetViews>
  <sheetFormatPr defaultColWidth="12.6640625" defaultRowHeight="15.75" customHeight="1"/>
  <sheetData>
    <row r="1" spans="1:18" ht="15.75" customHeight="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 ht="15.75" customHeight="1">
      <c r="A2" s="24">
        <v>528643</v>
      </c>
      <c r="B2" s="1" t="s">
        <v>126</v>
      </c>
      <c r="C2" s="30">
        <v>45520.709027777775</v>
      </c>
      <c r="D2" s="24">
        <v>600</v>
      </c>
      <c r="E2" s="31">
        <v>0</v>
      </c>
      <c r="F2" s="24">
        <v>0</v>
      </c>
      <c r="G2" s="31">
        <v>480</v>
      </c>
      <c r="H2" s="1" t="s">
        <v>127</v>
      </c>
      <c r="I2" s="24">
        <v>2967358</v>
      </c>
      <c r="J2" s="1" t="s">
        <v>46</v>
      </c>
      <c r="K2" s="24">
        <v>338840</v>
      </c>
      <c r="L2" s="24">
        <v>61</v>
      </c>
      <c r="M2" s="1" t="s">
        <v>128</v>
      </c>
      <c r="N2" s="1" t="s">
        <v>129</v>
      </c>
      <c r="O2" s="1" t="s">
        <v>130</v>
      </c>
      <c r="P2" s="24">
        <v>2017</v>
      </c>
      <c r="Q2" s="1" t="s">
        <v>131</v>
      </c>
      <c r="R2" s="1" t="s">
        <v>132</v>
      </c>
    </row>
    <row r="3" spans="1:18" ht="15.75" customHeight="1">
      <c r="A3" s="24">
        <v>528629</v>
      </c>
      <c r="B3" s="1" t="s">
        <v>126</v>
      </c>
      <c r="C3" s="30">
        <v>45520.704861111109</v>
      </c>
      <c r="D3" s="24">
        <v>2800</v>
      </c>
      <c r="E3" s="31">
        <v>0</v>
      </c>
      <c r="F3" s="24">
        <v>0</v>
      </c>
      <c r="G3" s="31">
        <v>2500</v>
      </c>
      <c r="H3" s="1" t="s">
        <v>133</v>
      </c>
      <c r="I3" s="24">
        <v>3056101</v>
      </c>
      <c r="J3" s="1" t="s">
        <v>37</v>
      </c>
      <c r="K3" s="24">
        <v>338940</v>
      </c>
      <c r="L3" s="24">
        <v>26</v>
      </c>
      <c r="M3" s="1" t="s">
        <v>134</v>
      </c>
      <c r="N3" s="1" t="s">
        <v>135</v>
      </c>
      <c r="O3" s="1" t="s">
        <v>136</v>
      </c>
      <c r="P3" s="24">
        <v>2016</v>
      </c>
      <c r="Q3" s="1" t="s">
        <v>131</v>
      </c>
      <c r="R3" s="1" t="s">
        <v>132</v>
      </c>
    </row>
    <row r="4" spans="1:18" ht="15.75" customHeight="1">
      <c r="A4" s="24">
        <v>528488</v>
      </c>
      <c r="B4" s="1" t="s">
        <v>126</v>
      </c>
      <c r="C4" s="30">
        <v>45520.589583333334</v>
      </c>
      <c r="D4" s="24">
        <v>125</v>
      </c>
      <c r="E4" s="31">
        <v>0</v>
      </c>
      <c r="F4" s="24">
        <v>0</v>
      </c>
      <c r="G4" s="31">
        <v>100</v>
      </c>
      <c r="H4" s="1" t="s">
        <v>137</v>
      </c>
      <c r="I4" s="24">
        <v>2749502</v>
      </c>
      <c r="J4" s="1" t="s">
        <v>37</v>
      </c>
      <c r="K4" s="24">
        <v>338475</v>
      </c>
      <c r="L4" s="24">
        <v>146</v>
      </c>
      <c r="M4" s="1" t="s">
        <v>138</v>
      </c>
      <c r="N4" s="1" t="s">
        <v>139</v>
      </c>
      <c r="O4" s="1" t="s">
        <v>140</v>
      </c>
      <c r="P4" s="24">
        <v>2016</v>
      </c>
      <c r="Q4" s="1" t="s">
        <v>131</v>
      </c>
      <c r="R4" s="1" t="s">
        <v>141</v>
      </c>
    </row>
    <row r="5" spans="1:18" ht="15.75" customHeight="1">
      <c r="A5" s="24">
        <v>528488</v>
      </c>
      <c r="B5" s="1" t="s">
        <v>126</v>
      </c>
      <c r="C5" s="30">
        <v>45520.589583333334</v>
      </c>
      <c r="D5" s="24">
        <v>150</v>
      </c>
      <c r="E5" s="31">
        <v>0</v>
      </c>
      <c r="F5" s="24">
        <v>0</v>
      </c>
      <c r="G5" s="31">
        <v>150</v>
      </c>
      <c r="H5" s="1" t="s">
        <v>137</v>
      </c>
      <c r="I5" s="24">
        <v>2749505</v>
      </c>
      <c r="J5" s="1" t="s">
        <v>37</v>
      </c>
      <c r="K5" s="24">
        <v>338475</v>
      </c>
      <c r="L5" s="24">
        <v>146</v>
      </c>
      <c r="M5" s="1" t="s">
        <v>142</v>
      </c>
      <c r="N5" s="1" t="s">
        <v>139</v>
      </c>
      <c r="O5" s="1" t="s">
        <v>140</v>
      </c>
      <c r="P5" s="24">
        <v>2016</v>
      </c>
      <c r="Q5" s="1" t="s">
        <v>131</v>
      </c>
      <c r="R5" s="1" t="s">
        <v>141</v>
      </c>
    </row>
    <row r="6" spans="1:18" ht="15.75" customHeight="1">
      <c r="A6" s="24">
        <v>528488</v>
      </c>
      <c r="B6" s="1" t="s">
        <v>126</v>
      </c>
      <c r="C6" s="30">
        <v>45520.589583333334</v>
      </c>
      <c r="D6" s="24">
        <v>75</v>
      </c>
      <c r="E6" s="31">
        <v>0</v>
      </c>
      <c r="F6" s="24">
        <v>0</v>
      </c>
      <c r="G6" s="31">
        <v>75</v>
      </c>
      <c r="H6" s="1" t="s">
        <v>137</v>
      </c>
      <c r="I6" s="24">
        <v>2749507</v>
      </c>
      <c r="J6" s="1" t="s">
        <v>37</v>
      </c>
      <c r="K6" s="24">
        <v>338475</v>
      </c>
      <c r="L6" s="24">
        <v>146</v>
      </c>
      <c r="M6" s="1" t="s">
        <v>143</v>
      </c>
      <c r="N6" s="1" t="s">
        <v>139</v>
      </c>
      <c r="O6" s="1" t="s">
        <v>140</v>
      </c>
      <c r="P6" s="24">
        <v>2016</v>
      </c>
      <c r="Q6" s="1" t="s">
        <v>131</v>
      </c>
      <c r="R6" s="1" t="s">
        <v>141</v>
      </c>
    </row>
    <row r="7" spans="1:18" ht="15.75" customHeight="1">
      <c r="A7" s="24">
        <v>528488</v>
      </c>
      <c r="B7" s="1" t="s">
        <v>126</v>
      </c>
      <c r="C7" s="30">
        <v>45520.589583333334</v>
      </c>
      <c r="D7" s="24">
        <v>75</v>
      </c>
      <c r="E7" s="31">
        <v>0</v>
      </c>
      <c r="F7" s="24">
        <v>0</v>
      </c>
      <c r="G7" s="31">
        <v>75</v>
      </c>
      <c r="H7" s="1" t="s">
        <v>137</v>
      </c>
      <c r="I7" s="24">
        <v>2749509</v>
      </c>
      <c r="J7" s="1" t="s">
        <v>37</v>
      </c>
      <c r="K7" s="24">
        <v>338475</v>
      </c>
      <c r="L7" s="24">
        <v>146</v>
      </c>
      <c r="M7" s="1" t="s">
        <v>144</v>
      </c>
      <c r="N7" s="1" t="s">
        <v>139</v>
      </c>
      <c r="O7" s="1" t="s">
        <v>140</v>
      </c>
      <c r="P7" s="24">
        <v>2016</v>
      </c>
      <c r="Q7" s="1" t="s">
        <v>131</v>
      </c>
      <c r="R7" s="1" t="s">
        <v>141</v>
      </c>
    </row>
    <row r="8" spans="1:18" ht="15.75" customHeight="1">
      <c r="A8" s="24">
        <v>528488</v>
      </c>
      <c r="B8" s="1" t="s">
        <v>126</v>
      </c>
      <c r="C8" s="30">
        <v>45520.589583333334</v>
      </c>
      <c r="D8" s="24">
        <v>175</v>
      </c>
      <c r="E8" s="31">
        <v>0</v>
      </c>
      <c r="F8" s="24">
        <v>0</v>
      </c>
      <c r="G8" s="31">
        <v>150</v>
      </c>
      <c r="H8" s="1" t="s">
        <v>137</v>
      </c>
      <c r="I8" s="24">
        <v>2749512</v>
      </c>
      <c r="J8" s="1" t="s">
        <v>37</v>
      </c>
      <c r="K8" s="24">
        <v>338475</v>
      </c>
      <c r="L8" s="24">
        <v>146</v>
      </c>
      <c r="M8" s="1" t="s">
        <v>145</v>
      </c>
      <c r="N8" s="1" t="s">
        <v>139</v>
      </c>
      <c r="O8" s="1" t="s">
        <v>140</v>
      </c>
      <c r="P8" s="24">
        <v>2016</v>
      </c>
      <c r="Q8" s="1" t="s">
        <v>131</v>
      </c>
      <c r="R8" s="1" t="s">
        <v>141</v>
      </c>
    </row>
    <row r="9" spans="1:18" ht="15.75" customHeight="1">
      <c r="A9" s="24">
        <v>528488</v>
      </c>
      <c r="B9" s="1" t="s">
        <v>126</v>
      </c>
      <c r="C9" s="30">
        <v>45520.589583333334</v>
      </c>
      <c r="D9" s="24">
        <v>125</v>
      </c>
      <c r="E9" s="31">
        <v>0</v>
      </c>
      <c r="F9" s="24">
        <v>0</v>
      </c>
      <c r="G9" s="31">
        <v>100</v>
      </c>
      <c r="H9" s="1" t="s">
        <v>137</v>
      </c>
      <c r="I9" s="24">
        <v>2749502</v>
      </c>
      <c r="J9" s="1" t="s">
        <v>37</v>
      </c>
      <c r="K9" s="24">
        <v>338475</v>
      </c>
      <c r="L9" s="24">
        <v>146</v>
      </c>
      <c r="M9" s="1" t="s">
        <v>138</v>
      </c>
      <c r="N9" s="1" t="s">
        <v>139</v>
      </c>
      <c r="O9" s="1" t="s">
        <v>140</v>
      </c>
      <c r="P9" s="24">
        <v>2016</v>
      </c>
      <c r="Q9" s="1" t="s">
        <v>131</v>
      </c>
      <c r="R9" s="1" t="s">
        <v>141</v>
      </c>
    </row>
    <row r="10" spans="1:18" ht="15.75" customHeight="1">
      <c r="A10" s="24">
        <v>528488</v>
      </c>
      <c r="B10" s="1" t="s">
        <v>126</v>
      </c>
      <c r="C10" s="30">
        <v>45520.589583333334</v>
      </c>
      <c r="D10" s="24">
        <v>150</v>
      </c>
      <c r="E10" s="31">
        <v>0</v>
      </c>
      <c r="F10" s="24">
        <v>0</v>
      </c>
      <c r="G10" s="31">
        <v>150</v>
      </c>
      <c r="H10" s="1" t="s">
        <v>137</v>
      </c>
      <c r="I10" s="24">
        <v>2749505</v>
      </c>
      <c r="J10" s="1" t="s">
        <v>37</v>
      </c>
      <c r="K10" s="24">
        <v>338475</v>
      </c>
      <c r="L10" s="24">
        <v>146</v>
      </c>
      <c r="M10" s="1" t="s">
        <v>142</v>
      </c>
      <c r="N10" s="1" t="s">
        <v>139</v>
      </c>
      <c r="O10" s="1" t="s">
        <v>140</v>
      </c>
      <c r="P10" s="24">
        <v>2016</v>
      </c>
      <c r="Q10" s="1" t="s">
        <v>131</v>
      </c>
      <c r="R10" s="1" t="s">
        <v>141</v>
      </c>
    </row>
    <row r="11" spans="1:18" ht="15.75" customHeight="1">
      <c r="A11" s="24">
        <v>528488</v>
      </c>
      <c r="B11" s="1" t="s">
        <v>126</v>
      </c>
      <c r="C11" s="30">
        <v>45520.589583333334</v>
      </c>
      <c r="D11" s="24">
        <v>75</v>
      </c>
      <c r="E11" s="31">
        <v>0</v>
      </c>
      <c r="F11" s="24">
        <v>0</v>
      </c>
      <c r="G11" s="31">
        <v>75</v>
      </c>
      <c r="H11" s="1" t="s">
        <v>137</v>
      </c>
      <c r="I11" s="24">
        <v>2749507</v>
      </c>
      <c r="J11" s="1" t="s">
        <v>37</v>
      </c>
      <c r="K11" s="24">
        <v>338475</v>
      </c>
      <c r="L11" s="24">
        <v>146</v>
      </c>
      <c r="M11" s="1" t="s">
        <v>143</v>
      </c>
      <c r="N11" s="1" t="s">
        <v>139</v>
      </c>
      <c r="O11" s="1" t="s">
        <v>140</v>
      </c>
      <c r="P11" s="24">
        <v>2016</v>
      </c>
      <c r="Q11" s="1" t="s">
        <v>131</v>
      </c>
      <c r="R11" s="1" t="s">
        <v>141</v>
      </c>
    </row>
    <row r="12" spans="1:18" ht="15.75" customHeight="1">
      <c r="A12" s="24">
        <v>528488</v>
      </c>
      <c r="B12" s="1" t="s">
        <v>126</v>
      </c>
      <c r="C12" s="30">
        <v>45520.589583333334</v>
      </c>
      <c r="D12" s="24">
        <v>75</v>
      </c>
      <c r="E12" s="31">
        <v>0</v>
      </c>
      <c r="F12" s="24">
        <v>0</v>
      </c>
      <c r="G12" s="31">
        <v>75</v>
      </c>
      <c r="H12" s="1" t="s">
        <v>137</v>
      </c>
      <c r="I12" s="24">
        <v>2749509</v>
      </c>
      <c r="J12" s="1" t="s">
        <v>37</v>
      </c>
      <c r="K12" s="24">
        <v>338475</v>
      </c>
      <c r="L12" s="24">
        <v>146</v>
      </c>
      <c r="M12" s="1" t="s">
        <v>144</v>
      </c>
      <c r="N12" s="1" t="s">
        <v>139</v>
      </c>
      <c r="O12" s="1" t="s">
        <v>140</v>
      </c>
      <c r="P12" s="24">
        <v>2016</v>
      </c>
      <c r="Q12" s="1" t="s">
        <v>131</v>
      </c>
      <c r="R12" s="1" t="s">
        <v>141</v>
      </c>
    </row>
    <row r="13" spans="1:18" ht="15.75" customHeight="1">
      <c r="A13" s="24">
        <v>528488</v>
      </c>
      <c r="B13" s="1" t="s">
        <v>126</v>
      </c>
      <c r="C13" s="30">
        <v>45520.589583333334</v>
      </c>
      <c r="D13" s="24">
        <v>175</v>
      </c>
      <c r="E13" s="31">
        <v>0</v>
      </c>
      <c r="F13" s="24">
        <v>0</v>
      </c>
      <c r="G13" s="31">
        <v>150</v>
      </c>
      <c r="H13" s="1" t="s">
        <v>137</v>
      </c>
      <c r="I13" s="24">
        <v>2749512</v>
      </c>
      <c r="J13" s="1" t="s">
        <v>37</v>
      </c>
      <c r="K13" s="24">
        <v>338475</v>
      </c>
      <c r="L13" s="24">
        <v>146</v>
      </c>
      <c r="M13" s="1" t="s">
        <v>145</v>
      </c>
      <c r="N13" s="1" t="s">
        <v>139</v>
      </c>
      <c r="O13" s="1" t="s">
        <v>140</v>
      </c>
      <c r="P13" s="24">
        <v>2016</v>
      </c>
      <c r="Q13" s="1" t="s">
        <v>131</v>
      </c>
      <c r="R13" s="1" t="s">
        <v>141</v>
      </c>
    </row>
    <row r="14" spans="1:18" ht="15.75" customHeight="1">
      <c r="A14" s="24">
        <v>528475</v>
      </c>
      <c r="B14" s="1" t="s">
        <v>126</v>
      </c>
      <c r="C14" s="30">
        <v>45520.571527777778</v>
      </c>
      <c r="D14" s="24">
        <v>125</v>
      </c>
      <c r="E14" s="31">
        <v>0</v>
      </c>
      <c r="F14" s="24">
        <v>0</v>
      </c>
      <c r="G14" s="31">
        <v>80</v>
      </c>
      <c r="H14" s="1" t="s">
        <v>137</v>
      </c>
      <c r="I14" s="24">
        <v>931723</v>
      </c>
      <c r="J14" s="1" t="s">
        <v>59</v>
      </c>
      <c r="K14" s="24">
        <v>338676</v>
      </c>
      <c r="L14" s="24">
        <v>1183</v>
      </c>
      <c r="M14" s="1" t="s">
        <v>146</v>
      </c>
      <c r="N14" s="1" t="s">
        <v>147</v>
      </c>
      <c r="O14" s="1" t="s">
        <v>148</v>
      </c>
      <c r="P14" s="24">
        <v>2015</v>
      </c>
      <c r="Q14" s="1" t="s">
        <v>149</v>
      </c>
      <c r="R14" s="1" t="s">
        <v>141</v>
      </c>
    </row>
    <row r="15" spans="1:18" ht="15.75" customHeight="1">
      <c r="A15" s="24">
        <v>528473</v>
      </c>
      <c r="B15" s="1" t="s">
        <v>126</v>
      </c>
      <c r="C15" s="30">
        <v>45520.568055555559</v>
      </c>
      <c r="D15" s="24">
        <v>975</v>
      </c>
      <c r="E15" s="31">
        <v>185</v>
      </c>
      <c r="F15" s="24">
        <v>20</v>
      </c>
      <c r="G15" s="31">
        <v>740</v>
      </c>
      <c r="H15" s="1" t="s">
        <v>150</v>
      </c>
      <c r="I15" s="24">
        <v>2927806</v>
      </c>
      <c r="J15" s="1" t="s">
        <v>98</v>
      </c>
      <c r="K15" s="24">
        <v>339126</v>
      </c>
      <c r="L15" s="24">
        <v>70</v>
      </c>
      <c r="M15" s="1" t="s">
        <v>151</v>
      </c>
      <c r="N15" s="1" t="s">
        <v>152</v>
      </c>
      <c r="O15" s="1" t="s">
        <v>153</v>
      </c>
      <c r="P15" s="24">
        <v>2014</v>
      </c>
      <c r="Q15" s="1" t="s">
        <v>131</v>
      </c>
      <c r="R15" s="1" t="s">
        <v>132</v>
      </c>
    </row>
    <row r="16" spans="1:18" ht="15.75" customHeight="1">
      <c r="A16" s="24">
        <v>528444</v>
      </c>
      <c r="B16" s="1" t="s">
        <v>154</v>
      </c>
      <c r="C16" s="30">
        <v>45520.539583333331</v>
      </c>
      <c r="D16" s="24">
        <v>100</v>
      </c>
      <c r="E16" s="31">
        <v>-25</v>
      </c>
      <c r="F16" s="24">
        <v>25</v>
      </c>
      <c r="G16" s="31">
        <v>-75</v>
      </c>
      <c r="H16" s="1" t="s">
        <v>127</v>
      </c>
      <c r="I16" s="24">
        <v>2985020</v>
      </c>
      <c r="J16" s="1" t="s">
        <v>51</v>
      </c>
      <c r="K16" s="1"/>
      <c r="L16" s="24">
        <v>55</v>
      </c>
      <c r="M16" s="1" t="s">
        <v>155</v>
      </c>
      <c r="N16" s="1" t="s">
        <v>156</v>
      </c>
      <c r="O16" s="1" t="s">
        <v>157</v>
      </c>
      <c r="P16" s="24">
        <v>2017</v>
      </c>
      <c r="Q16" s="1" t="s">
        <v>131</v>
      </c>
      <c r="R16" s="1" t="s">
        <v>132</v>
      </c>
    </row>
    <row r="17" spans="1:18" ht="15.75" customHeight="1">
      <c r="A17" s="24">
        <v>528324</v>
      </c>
      <c r="B17" s="1" t="s">
        <v>126</v>
      </c>
      <c r="C17" s="30">
        <v>45520.401388888888</v>
      </c>
      <c r="D17" s="24">
        <v>90</v>
      </c>
      <c r="E17" s="31">
        <v>0</v>
      </c>
      <c r="F17" s="24">
        <v>0</v>
      </c>
      <c r="G17" s="31">
        <v>75</v>
      </c>
      <c r="H17" s="1" t="s">
        <v>137</v>
      </c>
      <c r="I17" s="24">
        <v>2142307</v>
      </c>
      <c r="J17" s="1" t="s">
        <v>60</v>
      </c>
      <c r="K17" s="24">
        <v>338699</v>
      </c>
      <c r="L17" s="24">
        <v>256</v>
      </c>
      <c r="M17" s="1" t="s">
        <v>158</v>
      </c>
      <c r="N17" s="1" t="s">
        <v>159</v>
      </c>
      <c r="O17" s="1" t="s">
        <v>160</v>
      </c>
      <c r="P17" s="24">
        <v>2017</v>
      </c>
      <c r="Q17" s="1" t="s">
        <v>131</v>
      </c>
      <c r="R17" s="1" t="s">
        <v>141</v>
      </c>
    </row>
    <row r="18" spans="1:18" ht="15.75" customHeight="1">
      <c r="A18" s="24">
        <v>528324</v>
      </c>
      <c r="B18" s="1" t="s">
        <v>126</v>
      </c>
      <c r="C18" s="30">
        <v>45520.401388888888</v>
      </c>
      <c r="D18" s="24">
        <v>75</v>
      </c>
      <c r="E18" s="31">
        <v>0</v>
      </c>
      <c r="F18" s="24">
        <v>0</v>
      </c>
      <c r="G18" s="31">
        <v>75</v>
      </c>
      <c r="H18" s="1" t="s">
        <v>137</v>
      </c>
      <c r="I18" s="24">
        <v>2142308</v>
      </c>
      <c r="J18" s="1" t="s">
        <v>60</v>
      </c>
      <c r="K18" s="24">
        <v>338699</v>
      </c>
      <c r="L18" s="24">
        <v>256</v>
      </c>
      <c r="M18" s="1" t="s">
        <v>161</v>
      </c>
      <c r="N18" s="1" t="s">
        <v>159</v>
      </c>
      <c r="O18" s="1" t="s">
        <v>160</v>
      </c>
      <c r="P18" s="24">
        <v>2017</v>
      </c>
      <c r="Q18" s="1" t="s">
        <v>131</v>
      </c>
      <c r="R18" s="1" t="s">
        <v>141</v>
      </c>
    </row>
    <row r="19" spans="1:18" ht="15.75" customHeight="1">
      <c r="A19" s="24">
        <v>528286</v>
      </c>
      <c r="B19" s="1" t="s">
        <v>154</v>
      </c>
      <c r="C19" s="30">
        <v>45520.306250000001</v>
      </c>
      <c r="D19" s="24">
        <v>110</v>
      </c>
      <c r="E19" s="31">
        <v>0</v>
      </c>
      <c r="F19" s="24">
        <v>0</v>
      </c>
      <c r="G19" s="31">
        <v>-55</v>
      </c>
      <c r="H19" s="1" t="s">
        <v>133</v>
      </c>
      <c r="I19" s="24">
        <v>2762339</v>
      </c>
      <c r="J19" s="1" t="s">
        <v>57</v>
      </c>
      <c r="K19" s="1"/>
      <c r="L19" s="24">
        <v>140</v>
      </c>
      <c r="M19" s="1" t="s">
        <v>162</v>
      </c>
      <c r="N19" s="1" t="s">
        <v>163</v>
      </c>
      <c r="O19" s="1" t="s">
        <v>148</v>
      </c>
      <c r="P19" s="24">
        <v>2019</v>
      </c>
      <c r="Q19" s="1" t="s">
        <v>131</v>
      </c>
      <c r="R19" s="1" t="s">
        <v>132</v>
      </c>
    </row>
    <row r="20" spans="1:18" ht="15.75" customHeight="1">
      <c r="A20" s="24">
        <v>528196</v>
      </c>
      <c r="B20" s="1" t="s">
        <v>126</v>
      </c>
      <c r="C20" s="30">
        <v>45519.874305555553</v>
      </c>
      <c r="D20" s="24">
        <v>585</v>
      </c>
      <c r="E20" s="31">
        <v>35</v>
      </c>
      <c r="F20" s="24">
        <v>5.98</v>
      </c>
      <c r="G20" s="31">
        <v>550</v>
      </c>
      <c r="H20" s="1" t="s">
        <v>137</v>
      </c>
      <c r="I20" s="24">
        <v>1812629</v>
      </c>
      <c r="J20" s="1" t="s">
        <v>59</v>
      </c>
      <c r="K20" s="24">
        <v>338970</v>
      </c>
      <c r="L20" s="24">
        <v>404</v>
      </c>
      <c r="M20" s="1" t="s">
        <v>164</v>
      </c>
      <c r="N20" s="1" t="s">
        <v>165</v>
      </c>
      <c r="O20" s="1" t="s">
        <v>166</v>
      </c>
      <c r="P20" s="24">
        <v>2020</v>
      </c>
      <c r="Q20" s="1" t="s">
        <v>131</v>
      </c>
      <c r="R20" s="1" t="s">
        <v>167</v>
      </c>
    </row>
    <row r="21" spans="1:18" ht="15.75" customHeight="1">
      <c r="A21" s="24">
        <v>528183</v>
      </c>
      <c r="B21" s="1" t="s">
        <v>126</v>
      </c>
      <c r="C21" s="30">
        <v>45519.85</v>
      </c>
      <c r="D21" s="24">
        <v>150</v>
      </c>
      <c r="E21" s="31">
        <v>0</v>
      </c>
      <c r="F21" s="24">
        <v>0</v>
      </c>
      <c r="G21" s="31">
        <v>120</v>
      </c>
      <c r="H21" s="1" t="s">
        <v>137</v>
      </c>
      <c r="I21" s="24">
        <v>2921884</v>
      </c>
      <c r="J21" s="1" t="s">
        <v>37</v>
      </c>
      <c r="K21" s="24">
        <v>338747</v>
      </c>
      <c r="L21" s="24">
        <v>72</v>
      </c>
      <c r="M21" s="1" t="s">
        <v>168</v>
      </c>
      <c r="N21" s="1" t="s">
        <v>169</v>
      </c>
      <c r="O21" s="1" t="s">
        <v>170</v>
      </c>
      <c r="P21" s="24">
        <v>2013</v>
      </c>
      <c r="Q21" s="1" t="s">
        <v>131</v>
      </c>
      <c r="R21" s="1" t="s">
        <v>167</v>
      </c>
    </row>
    <row r="22" spans="1:18" ht="15.75" customHeight="1">
      <c r="A22" s="24">
        <v>528183</v>
      </c>
      <c r="B22" s="1" t="s">
        <v>126</v>
      </c>
      <c r="C22" s="30">
        <v>45519.85</v>
      </c>
      <c r="D22" s="24">
        <v>150</v>
      </c>
      <c r="E22" s="31">
        <v>0</v>
      </c>
      <c r="F22" s="24">
        <v>0</v>
      </c>
      <c r="G22" s="31">
        <v>120</v>
      </c>
      <c r="H22" s="1" t="s">
        <v>137</v>
      </c>
      <c r="I22" s="24">
        <v>2932478</v>
      </c>
      <c r="J22" s="1" t="s">
        <v>37</v>
      </c>
      <c r="K22" s="24">
        <v>338747</v>
      </c>
      <c r="L22" s="24">
        <v>69</v>
      </c>
      <c r="M22" s="1" t="s">
        <v>168</v>
      </c>
      <c r="N22" s="1" t="s">
        <v>171</v>
      </c>
      <c r="O22" s="1" t="s">
        <v>170</v>
      </c>
      <c r="P22" s="24">
        <v>2014</v>
      </c>
      <c r="Q22" s="1" t="s">
        <v>131</v>
      </c>
      <c r="R22" s="1" t="s">
        <v>167</v>
      </c>
    </row>
    <row r="23" spans="1:18" ht="15.75" customHeight="1">
      <c r="A23" s="24">
        <v>528183</v>
      </c>
      <c r="B23" s="1" t="s">
        <v>126</v>
      </c>
      <c r="C23" s="30">
        <v>45519.85</v>
      </c>
      <c r="D23" s="24">
        <v>125</v>
      </c>
      <c r="E23" s="31">
        <v>0</v>
      </c>
      <c r="F23" s="24">
        <v>0</v>
      </c>
      <c r="G23" s="31">
        <v>75</v>
      </c>
      <c r="H23" s="1" t="s">
        <v>137</v>
      </c>
      <c r="I23" s="24">
        <v>3088454</v>
      </c>
      <c r="J23" s="1" t="s">
        <v>37</v>
      </c>
      <c r="K23" s="24">
        <v>338747</v>
      </c>
      <c r="L23" s="24">
        <v>16</v>
      </c>
      <c r="M23" s="1" t="s">
        <v>172</v>
      </c>
      <c r="N23" s="1" t="s">
        <v>173</v>
      </c>
      <c r="O23" s="1" t="s">
        <v>170</v>
      </c>
      <c r="P23" s="24">
        <v>2012</v>
      </c>
      <c r="Q23" s="1" t="s">
        <v>131</v>
      </c>
      <c r="R23" s="1" t="s">
        <v>167</v>
      </c>
    </row>
    <row r="24" spans="1:18" ht="15.75" customHeight="1">
      <c r="A24" s="24">
        <v>528183</v>
      </c>
      <c r="B24" s="1" t="s">
        <v>126</v>
      </c>
      <c r="C24" s="30">
        <v>45519.85</v>
      </c>
      <c r="D24" s="24">
        <v>125</v>
      </c>
      <c r="E24" s="31">
        <v>0</v>
      </c>
      <c r="F24" s="24">
        <v>0</v>
      </c>
      <c r="G24" s="31">
        <v>75</v>
      </c>
      <c r="H24" s="1" t="s">
        <v>137</v>
      </c>
      <c r="I24" s="24">
        <v>3088458</v>
      </c>
      <c r="J24" s="1" t="s">
        <v>37</v>
      </c>
      <c r="K24" s="24">
        <v>338747</v>
      </c>
      <c r="L24" s="24">
        <v>16</v>
      </c>
      <c r="M24" s="1" t="s">
        <v>174</v>
      </c>
      <c r="N24" s="1" t="s">
        <v>173</v>
      </c>
      <c r="O24" s="1" t="s">
        <v>170</v>
      </c>
      <c r="P24" s="24">
        <v>2012</v>
      </c>
      <c r="Q24" s="1" t="s">
        <v>131</v>
      </c>
      <c r="R24" s="1" t="s">
        <v>167</v>
      </c>
    </row>
    <row r="25" spans="1:18" ht="15.75" customHeight="1">
      <c r="A25" s="24">
        <v>528183</v>
      </c>
      <c r="B25" s="1" t="s">
        <v>126</v>
      </c>
      <c r="C25" s="30">
        <v>45519.85</v>
      </c>
      <c r="D25" s="24">
        <v>150</v>
      </c>
      <c r="E25" s="31">
        <v>0</v>
      </c>
      <c r="F25" s="24">
        <v>0</v>
      </c>
      <c r="G25" s="31">
        <v>120</v>
      </c>
      <c r="H25" s="1" t="s">
        <v>137</v>
      </c>
      <c r="I25" s="24">
        <v>3100929</v>
      </c>
      <c r="J25" s="1" t="s">
        <v>37</v>
      </c>
      <c r="K25" s="24">
        <v>338747</v>
      </c>
      <c r="L25" s="24">
        <v>11</v>
      </c>
      <c r="M25" s="1" t="s">
        <v>175</v>
      </c>
      <c r="N25" s="1" t="s">
        <v>176</v>
      </c>
      <c r="O25" s="1" t="s">
        <v>170</v>
      </c>
      <c r="P25" s="24">
        <v>2011</v>
      </c>
      <c r="Q25" s="1" t="s">
        <v>131</v>
      </c>
      <c r="R25" s="1" t="s">
        <v>167</v>
      </c>
    </row>
    <row r="26" spans="1:18" ht="15.75" customHeight="1">
      <c r="A26" s="24">
        <v>528183</v>
      </c>
      <c r="B26" s="1" t="s">
        <v>126</v>
      </c>
      <c r="C26" s="30">
        <v>45519.85</v>
      </c>
      <c r="D26" s="24">
        <v>125</v>
      </c>
      <c r="E26" s="31">
        <v>0</v>
      </c>
      <c r="F26" s="24">
        <v>0</v>
      </c>
      <c r="G26" s="31">
        <v>75</v>
      </c>
      <c r="H26" s="1" t="s">
        <v>137</v>
      </c>
      <c r="I26" s="24">
        <v>3100930</v>
      </c>
      <c r="J26" s="1" t="s">
        <v>37</v>
      </c>
      <c r="K26" s="24">
        <v>338747</v>
      </c>
      <c r="L26" s="24">
        <v>11</v>
      </c>
      <c r="M26" s="1" t="s">
        <v>172</v>
      </c>
      <c r="N26" s="1" t="s">
        <v>176</v>
      </c>
      <c r="O26" s="1" t="s">
        <v>170</v>
      </c>
      <c r="P26" s="24">
        <v>2011</v>
      </c>
      <c r="Q26" s="1" t="s">
        <v>131</v>
      </c>
      <c r="R26" s="1" t="s">
        <v>167</v>
      </c>
    </row>
    <row r="27" spans="1:18" ht="14.4">
      <c r="A27" s="24">
        <v>528183</v>
      </c>
      <c r="B27" s="1" t="s">
        <v>126</v>
      </c>
      <c r="C27" s="30">
        <v>45519.85</v>
      </c>
      <c r="D27" s="24">
        <v>125</v>
      </c>
      <c r="E27" s="31">
        <v>0</v>
      </c>
      <c r="F27" s="24">
        <v>0</v>
      </c>
      <c r="G27" s="31">
        <v>75</v>
      </c>
      <c r="H27" s="1" t="s">
        <v>137</v>
      </c>
      <c r="I27" s="24">
        <v>3100932</v>
      </c>
      <c r="J27" s="1" t="s">
        <v>37</v>
      </c>
      <c r="K27" s="24">
        <v>338747</v>
      </c>
      <c r="L27" s="24">
        <v>11</v>
      </c>
      <c r="M27" s="1" t="s">
        <v>174</v>
      </c>
      <c r="N27" s="1" t="s">
        <v>176</v>
      </c>
      <c r="O27" s="1" t="s">
        <v>170</v>
      </c>
      <c r="P27" s="24">
        <v>2011</v>
      </c>
      <c r="Q27" s="1" t="s">
        <v>131</v>
      </c>
      <c r="R27" s="1" t="s">
        <v>167</v>
      </c>
    </row>
    <row r="28" spans="1:18" ht="14.4">
      <c r="A28" s="24">
        <v>528183</v>
      </c>
      <c r="B28" s="1" t="s">
        <v>126</v>
      </c>
      <c r="C28" s="30">
        <v>45519.85</v>
      </c>
      <c r="D28" s="24">
        <v>150</v>
      </c>
      <c r="E28" s="31">
        <v>0</v>
      </c>
      <c r="F28" s="24">
        <v>0</v>
      </c>
      <c r="G28" s="31">
        <v>120</v>
      </c>
      <c r="H28" s="1" t="s">
        <v>137</v>
      </c>
      <c r="I28" s="24">
        <v>2921884</v>
      </c>
      <c r="J28" s="1" t="s">
        <v>37</v>
      </c>
      <c r="K28" s="24">
        <v>338747</v>
      </c>
      <c r="L28" s="24">
        <v>72</v>
      </c>
      <c r="M28" s="1" t="s">
        <v>168</v>
      </c>
      <c r="N28" s="1" t="s">
        <v>169</v>
      </c>
      <c r="O28" s="1" t="s">
        <v>170</v>
      </c>
      <c r="P28" s="24">
        <v>2013</v>
      </c>
      <c r="Q28" s="1" t="s">
        <v>131</v>
      </c>
      <c r="R28" s="1" t="s">
        <v>167</v>
      </c>
    </row>
    <row r="29" spans="1:18" ht="14.4">
      <c r="A29" s="24">
        <v>528183</v>
      </c>
      <c r="B29" s="1" t="s">
        <v>126</v>
      </c>
      <c r="C29" s="30">
        <v>45519.85</v>
      </c>
      <c r="D29" s="24">
        <v>150</v>
      </c>
      <c r="E29" s="31">
        <v>0</v>
      </c>
      <c r="F29" s="24">
        <v>0</v>
      </c>
      <c r="G29" s="31">
        <v>120</v>
      </c>
      <c r="H29" s="1" t="s">
        <v>137</v>
      </c>
      <c r="I29" s="24">
        <v>2932478</v>
      </c>
      <c r="J29" s="1" t="s">
        <v>37</v>
      </c>
      <c r="K29" s="24">
        <v>338747</v>
      </c>
      <c r="L29" s="24">
        <v>69</v>
      </c>
      <c r="M29" s="1" t="s">
        <v>168</v>
      </c>
      <c r="N29" s="1" t="s">
        <v>171</v>
      </c>
      <c r="O29" s="1" t="s">
        <v>170</v>
      </c>
      <c r="P29" s="24">
        <v>2014</v>
      </c>
      <c r="Q29" s="1" t="s">
        <v>131</v>
      </c>
      <c r="R29" s="1" t="s">
        <v>167</v>
      </c>
    </row>
    <row r="30" spans="1:18" ht="14.4">
      <c r="A30" s="24">
        <v>528183</v>
      </c>
      <c r="B30" s="1" t="s">
        <v>126</v>
      </c>
      <c r="C30" s="30">
        <v>45519.85</v>
      </c>
      <c r="D30" s="24">
        <v>125</v>
      </c>
      <c r="E30" s="31">
        <v>0</v>
      </c>
      <c r="F30" s="24">
        <v>0</v>
      </c>
      <c r="G30" s="31">
        <v>75</v>
      </c>
      <c r="H30" s="1" t="s">
        <v>137</v>
      </c>
      <c r="I30" s="24">
        <v>3088454</v>
      </c>
      <c r="J30" s="1" t="s">
        <v>37</v>
      </c>
      <c r="K30" s="24">
        <v>338747</v>
      </c>
      <c r="L30" s="24">
        <v>16</v>
      </c>
      <c r="M30" s="1" t="s">
        <v>172</v>
      </c>
      <c r="N30" s="1" t="s">
        <v>173</v>
      </c>
      <c r="O30" s="1" t="s">
        <v>170</v>
      </c>
      <c r="P30" s="24">
        <v>2012</v>
      </c>
      <c r="Q30" s="1" t="s">
        <v>131</v>
      </c>
      <c r="R30" s="1" t="s">
        <v>167</v>
      </c>
    </row>
    <row r="31" spans="1:18" ht="14.4">
      <c r="A31" s="24">
        <v>528183</v>
      </c>
      <c r="B31" s="1" t="s">
        <v>126</v>
      </c>
      <c r="C31" s="30">
        <v>45519.85</v>
      </c>
      <c r="D31" s="24">
        <v>125</v>
      </c>
      <c r="E31" s="31">
        <v>0</v>
      </c>
      <c r="F31" s="24">
        <v>0</v>
      </c>
      <c r="G31" s="31">
        <v>75</v>
      </c>
      <c r="H31" s="1" t="s">
        <v>137</v>
      </c>
      <c r="I31" s="24">
        <v>3088458</v>
      </c>
      <c r="J31" s="1" t="s">
        <v>37</v>
      </c>
      <c r="K31" s="24">
        <v>338747</v>
      </c>
      <c r="L31" s="24">
        <v>16</v>
      </c>
      <c r="M31" s="1" t="s">
        <v>174</v>
      </c>
      <c r="N31" s="1" t="s">
        <v>173</v>
      </c>
      <c r="O31" s="1" t="s">
        <v>170</v>
      </c>
      <c r="P31" s="24">
        <v>2012</v>
      </c>
      <c r="Q31" s="1" t="s">
        <v>131</v>
      </c>
      <c r="R31" s="1" t="s">
        <v>167</v>
      </c>
    </row>
    <row r="32" spans="1:18" ht="14.4">
      <c r="A32" s="24">
        <v>528183</v>
      </c>
      <c r="B32" s="1" t="s">
        <v>126</v>
      </c>
      <c r="C32" s="30">
        <v>45519.85</v>
      </c>
      <c r="D32" s="24">
        <v>150</v>
      </c>
      <c r="E32" s="31">
        <v>0</v>
      </c>
      <c r="F32" s="24">
        <v>0</v>
      </c>
      <c r="G32" s="31">
        <v>120</v>
      </c>
      <c r="H32" s="1" t="s">
        <v>137</v>
      </c>
      <c r="I32" s="24">
        <v>3100929</v>
      </c>
      <c r="J32" s="1" t="s">
        <v>37</v>
      </c>
      <c r="K32" s="24">
        <v>338747</v>
      </c>
      <c r="L32" s="24">
        <v>11</v>
      </c>
      <c r="M32" s="1" t="s">
        <v>175</v>
      </c>
      <c r="N32" s="1" t="s">
        <v>176</v>
      </c>
      <c r="O32" s="1" t="s">
        <v>170</v>
      </c>
      <c r="P32" s="24">
        <v>2011</v>
      </c>
      <c r="Q32" s="1" t="s">
        <v>131</v>
      </c>
      <c r="R32" s="1" t="s">
        <v>167</v>
      </c>
    </row>
    <row r="33" spans="1:18" ht="14.4">
      <c r="A33" s="24">
        <v>528183</v>
      </c>
      <c r="B33" s="1" t="s">
        <v>126</v>
      </c>
      <c r="C33" s="30">
        <v>45519.85</v>
      </c>
      <c r="D33" s="24">
        <v>125</v>
      </c>
      <c r="E33" s="31">
        <v>0</v>
      </c>
      <c r="F33" s="24">
        <v>0</v>
      </c>
      <c r="G33" s="31">
        <v>75</v>
      </c>
      <c r="H33" s="1" t="s">
        <v>137</v>
      </c>
      <c r="I33" s="24">
        <v>3100930</v>
      </c>
      <c r="J33" s="1" t="s">
        <v>37</v>
      </c>
      <c r="K33" s="24">
        <v>338747</v>
      </c>
      <c r="L33" s="24">
        <v>11</v>
      </c>
      <c r="M33" s="1" t="s">
        <v>172</v>
      </c>
      <c r="N33" s="1" t="s">
        <v>176</v>
      </c>
      <c r="O33" s="1" t="s">
        <v>170</v>
      </c>
      <c r="P33" s="24">
        <v>2011</v>
      </c>
      <c r="Q33" s="1" t="s">
        <v>131</v>
      </c>
      <c r="R33" s="1" t="s">
        <v>167</v>
      </c>
    </row>
    <row r="34" spans="1:18" ht="14.4">
      <c r="A34" s="24">
        <v>528183</v>
      </c>
      <c r="B34" s="1" t="s">
        <v>126</v>
      </c>
      <c r="C34" s="30">
        <v>45519.85</v>
      </c>
      <c r="D34" s="24">
        <v>125</v>
      </c>
      <c r="E34" s="31">
        <v>0</v>
      </c>
      <c r="F34" s="24">
        <v>0</v>
      </c>
      <c r="G34" s="31">
        <v>75</v>
      </c>
      <c r="H34" s="1" t="s">
        <v>137</v>
      </c>
      <c r="I34" s="24">
        <v>3100932</v>
      </c>
      <c r="J34" s="1" t="s">
        <v>37</v>
      </c>
      <c r="K34" s="24">
        <v>338747</v>
      </c>
      <c r="L34" s="24">
        <v>11</v>
      </c>
      <c r="M34" s="1" t="s">
        <v>174</v>
      </c>
      <c r="N34" s="1" t="s">
        <v>176</v>
      </c>
      <c r="O34" s="1" t="s">
        <v>170</v>
      </c>
      <c r="P34" s="24">
        <v>2011</v>
      </c>
      <c r="Q34" s="1" t="s">
        <v>131</v>
      </c>
      <c r="R34" s="1" t="s">
        <v>167</v>
      </c>
    </row>
    <row r="35" spans="1:18" ht="14.4">
      <c r="A35" s="24">
        <v>528107</v>
      </c>
      <c r="B35" s="1" t="s">
        <v>126</v>
      </c>
      <c r="C35" s="30">
        <v>45519.689583333333</v>
      </c>
      <c r="D35" s="24">
        <v>175</v>
      </c>
      <c r="E35" s="31">
        <v>35</v>
      </c>
      <c r="F35" s="24">
        <v>20</v>
      </c>
      <c r="G35" s="31">
        <v>140</v>
      </c>
      <c r="H35" s="1" t="s">
        <v>127</v>
      </c>
      <c r="I35" s="24">
        <v>1298388</v>
      </c>
      <c r="J35" s="1" t="s">
        <v>59</v>
      </c>
      <c r="K35" s="24">
        <v>338620</v>
      </c>
      <c r="L35" s="24">
        <v>696</v>
      </c>
      <c r="M35" s="1" t="s">
        <v>177</v>
      </c>
      <c r="N35" s="1" t="s">
        <v>178</v>
      </c>
      <c r="O35" s="1" t="s">
        <v>179</v>
      </c>
      <c r="P35" s="24">
        <v>2017</v>
      </c>
      <c r="Q35" s="1" t="s">
        <v>131</v>
      </c>
      <c r="R35" s="1" t="s">
        <v>132</v>
      </c>
    </row>
    <row r="36" spans="1:18" ht="14.4">
      <c r="A36" s="24">
        <v>528106</v>
      </c>
      <c r="B36" s="1" t="s">
        <v>126</v>
      </c>
      <c r="C36" s="30">
        <v>45519.689583333333</v>
      </c>
      <c r="D36" s="24">
        <v>1800</v>
      </c>
      <c r="E36" s="31">
        <v>300</v>
      </c>
      <c r="F36" s="24">
        <v>16.670000000000002</v>
      </c>
      <c r="G36" s="31">
        <v>1500</v>
      </c>
      <c r="H36" s="1" t="s">
        <v>127</v>
      </c>
      <c r="I36" s="24">
        <v>3081612</v>
      </c>
      <c r="J36" s="1" t="s">
        <v>37</v>
      </c>
      <c r="K36" s="24">
        <v>336541</v>
      </c>
      <c r="L36" s="24">
        <v>18</v>
      </c>
      <c r="M36" s="1" t="s">
        <v>180</v>
      </c>
      <c r="N36" s="1" t="s">
        <v>181</v>
      </c>
      <c r="O36" s="1" t="s">
        <v>182</v>
      </c>
      <c r="P36" s="24">
        <v>2016</v>
      </c>
      <c r="Q36" s="1" t="s">
        <v>131</v>
      </c>
      <c r="R36" s="1" t="s">
        <v>132</v>
      </c>
    </row>
    <row r="37" spans="1:18" ht="14.4">
      <c r="A37" s="24">
        <v>527976</v>
      </c>
      <c r="B37" s="1" t="s">
        <v>126</v>
      </c>
      <c r="C37" s="30">
        <v>45519.566666666666</v>
      </c>
      <c r="D37" s="24">
        <v>90</v>
      </c>
      <c r="E37" s="31">
        <v>25</v>
      </c>
      <c r="F37" s="24">
        <v>27.78</v>
      </c>
      <c r="G37" s="31">
        <v>65</v>
      </c>
      <c r="H37" s="1" t="s">
        <v>127</v>
      </c>
      <c r="I37" s="24">
        <v>3044733</v>
      </c>
      <c r="J37" s="1" t="s">
        <v>51</v>
      </c>
      <c r="K37" s="24">
        <v>339015</v>
      </c>
      <c r="L37" s="24">
        <v>31</v>
      </c>
      <c r="M37" s="1" t="s">
        <v>183</v>
      </c>
      <c r="N37" s="1" t="s">
        <v>184</v>
      </c>
      <c r="O37" s="1" t="s">
        <v>185</v>
      </c>
      <c r="P37" s="24">
        <v>2015</v>
      </c>
      <c r="Q37" s="1" t="s">
        <v>131</v>
      </c>
      <c r="R37" s="1" t="s">
        <v>132</v>
      </c>
    </row>
    <row r="38" spans="1:18" ht="14.4">
      <c r="A38" s="24">
        <v>527659</v>
      </c>
      <c r="B38" s="1" t="s">
        <v>126</v>
      </c>
      <c r="C38" s="30">
        <v>45518.866666666669</v>
      </c>
      <c r="D38" s="24">
        <v>250</v>
      </c>
      <c r="E38" s="31">
        <v>0</v>
      </c>
      <c r="F38" s="24">
        <v>0</v>
      </c>
      <c r="G38" s="31">
        <v>250</v>
      </c>
      <c r="H38" s="1" t="s">
        <v>137</v>
      </c>
      <c r="I38" s="24">
        <v>2827423</v>
      </c>
      <c r="J38" s="1" t="s">
        <v>37</v>
      </c>
      <c r="K38" s="24">
        <v>338854</v>
      </c>
      <c r="L38" s="24">
        <v>101</v>
      </c>
      <c r="M38" s="1" t="s">
        <v>186</v>
      </c>
      <c r="N38" s="1" t="s">
        <v>187</v>
      </c>
      <c r="O38" s="1" t="s">
        <v>188</v>
      </c>
      <c r="P38" s="24">
        <v>2020</v>
      </c>
      <c r="Q38" s="1" t="s">
        <v>131</v>
      </c>
      <c r="R38" s="1" t="s">
        <v>167</v>
      </c>
    </row>
    <row r="39" spans="1:18" ht="14.4">
      <c r="A39" s="24">
        <v>527554</v>
      </c>
      <c r="B39" s="1" t="s">
        <v>126</v>
      </c>
      <c r="C39" s="30">
        <v>45518.678472222222</v>
      </c>
      <c r="D39" s="24">
        <v>75</v>
      </c>
      <c r="E39" s="31">
        <v>0</v>
      </c>
      <c r="F39" s="24">
        <v>0</v>
      </c>
      <c r="G39" s="31">
        <v>60</v>
      </c>
      <c r="H39" s="1" t="s">
        <v>137</v>
      </c>
      <c r="I39" s="24">
        <v>1298616</v>
      </c>
      <c r="J39" s="1" t="s">
        <v>57</v>
      </c>
      <c r="K39" s="24">
        <v>337889</v>
      </c>
      <c r="L39" s="24">
        <v>693</v>
      </c>
      <c r="M39" s="1" t="s">
        <v>189</v>
      </c>
      <c r="N39" s="1" t="s">
        <v>190</v>
      </c>
      <c r="O39" s="1" t="s">
        <v>191</v>
      </c>
      <c r="P39" s="24">
        <v>2016</v>
      </c>
      <c r="Q39" s="1" t="s">
        <v>131</v>
      </c>
      <c r="R39" s="1" t="s">
        <v>192</v>
      </c>
    </row>
    <row r="40" spans="1:18" ht="14.4">
      <c r="A40" s="24">
        <v>527554</v>
      </c>
      <c r="B40" s="1" t="s">
        <v>126</v>
      </c>
      <c r="C40" s="30">
        <v>45518.678472222222</v>
      </c>
      <c r="D40" s="24">
        <v>75</v>
      </c>
      <c r="E40" s="31">
        <v>0</v>
      </c>
      <c r="F40" s="24">
        <v>0</v>
      </c>
      <c r="G40" s="31">
        <v>60</v>
      </c>
      <c r="H40" s="1" t="s">
        <v>137</v>
      </c>
      <c r="I40" s="24">
        <v>2922806</v>
      </c>
      <c r="J40" s="1" t="s">
        <v>57</v>
      </c>
      <c r="K40" s="24">
        <v>337889</v>
      </c>
      <c r="L40" s="24">
        <v>72</v>
      </c>
      <c r="M40" s="1" t="s">
        <v>193</v>
      </c>
      <c r="N40" s="1" t="s">
        <v>194</v>
      </c>
      <c r="O40" s="1" t="s">
        <v>195</v>
      </c>
      <c r="P40" s="24">
        <v>2012</v>
      </c>
      <c r="Q40" s="1" t="s">
        <v>131</v>
      </c>
      <c r="R40" s="1" t="s">
        <v>192</v>
      </c>
    </row>
    <row r="41" spans="1:18" ht="14.4">
      <c r="A41" s="24">
        <v>527496</v>
      </c>
      <c r="B41" s="1" t="s">
        <v>126</v>
      </c>
      <c r="C41" s="30">
        <v>45518.630555555559</v>
      </c>
      <c r="D41" s="24">
        <v>160</v>
      </c>
      <c r="E41" s="31">
        <v>0</v>
      </c>
      <c r="F41" s="24">
        <v>0</v>
      </c>
      <c r="G41" s="31">
        <v>50</v>
      </c>
      <c r="H41" s="1" t="s">
        <v>137</v>
      </c>
      <c r="I41" s="24">
        <v>2473181</v>
      </c>
      <c r="J41" s="1" t="s">
        <v>60</v>
      </c>
      <c r="K41" s="24">
        <v>337886</v>
      </c>
      <c r="L41" s="24">
        <v>174</v>
      </c>
      <c r="M41" s="1" t="s">
        <v>196</v>
      </c>
      <c r="N41" s="1" t="s">
        <v>197</v>
      </c>
      <c r="O41" s="1" t="s">
        <v>198</v>
      </c>
      <c r="P41" s="24">
        <v>2016</v>
      </c>
      <c r="Q41" s="1" t="s">
        <v>199</v>
      </c>
      <c r="R41" s="1" t="s">
        <v>141</v>
      </c>
    </row>
    <row r="42" spans="1:18" ht="14.4">
      <c r="A42" s="24">
        <v>527491</v>
      </c>
      <c r="B42" s="1" t="s">
        <v>126</v>
      </c>
      <c r="C42" s="30">
        <v>45518.628472222219</v>
      </c>
      <c r="D42" s="24">
        <v>150</v>
      </c>
      <c r="E42" s="31">
        <v>30</v>
      </c>
      <c r="F42" s="24">
        <v>20</v>
      </c>
      <c r="G42" s="31">
        <v>120</v>
      </c>
      <c r="H42" s="1" t="s">
        <v>200</v>
      </c>
      <c r="I42" s="24">
        <v>3003849</v>
      </c>
      <c r="J42" s="1" t="s">
        <v>59</v>
      </c>
      <c r="K42" s="24">
        <v>338539</v>
      </c>
      <c r="L42" s="24">
        <v>48</v>
      </c>
      <c r="M42" s="1" t="s">
        <v>201</v>
      </c>
      <c r="N42" s="1" t="s">
        <v>202</v>
      </c>
      <c r="O42" s="1" t="s">
        <v>203</v>
      </c>
      <c r="P42" s="24">
        <v>2011</v>
      </c>
      <c r="Q42" s="1" t="s">
        <v>131</v>
      </c>
      <c r="R42" s="1" t="s">
        <v>132</v>
      </c>
    </row>
    <row r="43" spans="1:18" ht="14.4">
      <c r="A43" s="24">
        <v>527476</v>
      </c>
      <c r="B43" s="1" t="s">
        <v>126</v>
      </c>
      <c r="C43" s="30">
        <v>45518.61041666667</v>
      </c>
      <c r="D43" s="24">
        <v>305</v>
      </c>
      <c r="E43" s="31">
        <v>0</v>
      </c>
      <c r="F43" s="24">
        <v>0</v>
      </c>
      <c r="G43" s="31">
        <v>250</v>
      </c>
      <c r="H43" s="1" t="s">
        <v>204</v>
      </c>
      <c r="I43" s="24">
        <v>3054845</v>
      </c>
      <c r="J43" s="1" t="s">
        <v>46</v>
      </c>
      <c r="K43" s="24">
        <v>336344</v>
      </c>
      <c r="L43" s="24">
        <v>26</v>
      </c>
      <c r="M43" s="1" t="s">
        <v>205</v>
      </c>
      <c r="N43" s="1" t="s">
        <v>206</v>
      </c>
      <c r="O43" s="1" t="s">
        <v>207</v>
      </c>
      <c r="P43" s="24">
        <v>2009</v>
      </c>
      <c r="Q43" s="1" t="s">
        <v>131</v>
      </c>
      <c r="R43" s="1" t="s">
        <v>208</v>
      </c>
    </row>
    <row r="44" spans="1:18" ht="14.4">
      <c r="A44" s="24">
        <v>527409</v>
      </c>
      <c r="B44" s="1" t="s">
        <v>126</v>
      </c>
      <c r="C44" s="30">
        <v>45518.548611111109</v>
      </c>
      <c r="D44" s="24">
        <v>545</v>
      </c>
      <c r="E44" s="31">
        <v>170</v>
      </c>
      <c r="F44" s="24">
        <v>31.19</v>
      </c>
      <c r="G44" s="31">
        <v>375</v>
      </c>
      <c r="H44" s="1" t="s">
        <v>209</v>
      </c>
      <c r="I44" s="24">
        <v>1608126</v>
      </c>
      <c r="J44" s="1" t="s">
        <v>51</v>
      </c>
      <c r="K44" s="24">
        <v>338748</v>
      </c>
      <c r="L44" s="24">
        <v>482</v>
      </c>
      <c r="M44" s="1" t="s">
        <v>210</v>
      </c>
      <c r="N44" s="1" t="s">
        <v>211</v>
      </c>
      <c r="O44" s="1" t="s">
        <v>212</v>
      </c>
      <c r="P44" s="24">
        <v>2000</v>
      </c>
      <c r="Q44" s="1" t="s">
        <v>131</v>
      </c>
      <c r="R44" s="1" t="s">
        <v>213</v>
      </c>
    </row>
    <row r="45" spans="1:18" ht="14.4">
      <c r="A45" s="24">
        <v>527408</v>
      </c>
      <c r="B45" s="1" t="s">
        <v>126</v>
      </c>
      <c r="C45" s="30">
        <v>45518.547222222223</v>
      </c>
      <c r="D45" s="24">
        <v>150</v>
      </c>
      <c r="E45" s="31">
        <v>100</v>
      </c>
      <c r="F45" s="24">
        <v>44.44</v>
      </c>
      <c r="G45" s="31">
        <v>125</v>
      </c>
      <c r="H45" s="1" t="s">
        <v>137</v>
      </c>
      <c r="I45" s="24">
        <v>2981449</v>
      </c>
      <c r="J45" s="1" t="s">
        <v>43</v>
      </c>
      <c r="K45" s="24">
        <v>337915</v>
      </c>
      <c r="L45" s="24">
        <v>56</v>
      </c>
      <c r="M45" s="1" t="s">
        <v>214</v>
      </c>
      <c r="N45" s="1" t="s">
        <v>215</v>
      </c>
      <c r="O45" s="1" t="s">
        <v>216</v>
      </c>
      <c r="P45" s="24">
        <v>2016</v>
      </c>
      <c r="Q45" s="1" t="s">
        <v>131</v>
      </c>
      <c r="R45" s="1" t="s">
        <v>141</v>
      </c>
    </row>
    <row r="46" spans="1:18" ht="14.4">
      <c r="A46" s="24">
        <v>527408</v>
      </c>
      <c r="B46" s="1" t="s">
        <v>126</v>
      </c>
      <c r="C46" s="30">
        <v>45518.547222222223</v>
      </c>
      <c r="D46" s="24">
        <v>190</v>
      </c>
      <c r="E46" s="31">
        <v>100</v>
      </c>
      <c r="F46" s="24">
        <v>44.44</v>
      </c>
      <c r="G46" s="31">
        <v>125</v>
      </c>
      <c r="H46" s="1" t="s">
        <v>137</v>
      </c>
      <c r="I46" s="24">
        <v>2982442</v>
      </c>
      <c r="J46" s="1" t="s">
        <v>43</v>
      </c>
      <c r="K46" s="24">
        <v>337915</v>
      </c>
      <c r="L46" s="24">
        <v>56</v>
      </c>
      <c r="M46" s="1" t="s">
        <v>217</v>
      </c>
      <c r="N46" s="1" t="s">
        <v>218</v>
      </c>
      <c r="O46" s="1" t="s">
        <v>216</v>
      </c>
      <c r="P46" s="24">
        <v>2017</v>
      </c>
      <c r="Q46" s="1" t="s">
        <v>131</v>
      </c>
      <c r="R46" s="1" t="s">
        <v>141</v>
      </c>
    </row>
    <row r="47" spans="1:18" ht="14.4">
      <c r="A47" s="24">
        <v>527357</v>
      </c>
      <c r="B47" s="1" t="s">
        <v>154</v>
      </c>
      <c r="C47" s="32">
        <v>45518.495833333334</v>
      </c>
      <c r="D47" s="24">
        <v>320</v>
      </c>
      <c r="E47" s="31">
        <v>-32</v>
      </c>
      <c r="F47" s="24">
        <v>10</v>
      </c>
      <c r="G47" s="31">
        <v>-288</v>
      </c>
      <c r="H47" s="1" t="s">
        <v>137</v>
      </c>
      <c r="I47" s="24">
        <v>1545254</v>
      </c>
      <c r="J47" s="1" t="s">
        <v>59</v>
      </c>
      <c r="K47" s="1"/>
      <c r="L47" s="24">
        <v>563</v>
      </c>
      <c r="M47" s="1" t="s">
        <v>219</v>
      </c>
      <c r="N47" s="1" t="s">
        <v>220</v>
      </c>
      <c r="O47" s="1" t="s">
        <v>221</v>
      </c>
      <c r="P47" s="24">
        <v>2010</v>
      </c>
      <c r="Q47" s="1" t="s">
        <v>131</v>
      </c>
      <c r="R47" s="1" t="s">
        <v>141</v>
      </c>
    </row>
    <row r="48" spans="1:18" ht="14.4">
      <c r="A48" s="24">
        <v>527243</v>
      </c>
      <c r="B48" s="1" t="s">
        <v>154</v>
      </c>
      <c r="C48" s="32">
        <v>45518.372916666667</v>
      </c>
      <c r="D48" s="24">
        <v>65</v>
      </c>
      <c r="E48" s="31">
        <v>-13</v>
      </c>
      <c r="F48" s="24">
        <v>20</v>
      </c>
      <c r="G48" s="31">
        <v>-52</v>
      </c>
      <c r="H48" s="1" t="s">
        <v>222</v>
      </c>
      <c r="I48" s="24">
        <v>1346997</v>
      </c>
      <c r="J48" s="1" t="s">
        <v>86</v>
      </c>
      <c r="K48" s="1"/>
      <c r="L48" s="24">
        <v>670</v>
      </c>
      <c r="M48" s="1" t="s">
        <v>223</v>
      </c>
      <c r="N48" s="1" t="s">
        <v>224</v>
      </c>
      <c r="O48" s="1" t="s">
        <v>225</v>
      </c>
      <c r="P48" s="24">
        <v>2016</v>
      </c>
      <c r="Q48" s="1" t="s">
        <v>131</v>
      </c>
      <c r="R48" s="1" t="s">
        <v>132</v>
      </c>
    </row>
    <row r="49" spans="1:18" ht="14.4">
      <c r="A49" s="24">
        <v>527114</v>
      </c>
      <c r="B49" s="1" t="s">
        <v>126</v>
      </c>
      <c r="C49" s="32">
        <v>45517.840277777781</v>
      </c>
      <c r="D49" s="24">
        <v>0</v>
      </c>
      <c r="E49" s="31">
        <v>0</v>
      </c>
      <c r="F49" s="24">
        <v>0</v>
      </c>
      <c r="G49" s="31">
        <v>0</v>
      </c>
      <c r="H49" s="1" t="s">
        <v>137</v>
      </c>
      <c r="I49" s="24">
        <v>2847030</v>
      </c>
      <c r="J49" s="1" t="s">
        <v>86</v>
      </c>
      <c r="K49" s="24">
        <v>337375</v>
      </c>
      <c r="L49" s="24">
        <v>95</v>
      </c>
      <c r="M49" s="1" t="s">
        <v>226</v>
      </c>
      <c r="N49" s="1" t="s">
        <v>227</v>
      </c>
      <c r="O49" s="1" t="s">
        <v>228</v>
      </c>
      <c r="P49" s="24">
        <v>2014</v>
      </c>
      <c r="Q49" s="1" t="s">
        <v>149</v>
      </c>
      <c r="R49" s="1" t="s">
        <v>229</v>
      </c>
    </row>
    <row r="50" spans="1:18" ht="14.4">
      <c r="A50" s="24">
        <v>527019</v>
      </c>
      <c r="B50" s="1" t="s">
        <v>126</v>
      </c>
      <c r="C50" s="32">
        <v>45517.738194444442</v>
      </c>
      <c r="D50" s="24">
        <v>325</v>
      </c>
      <c r="E50" s="31">
        <v>0</v>
      </c>
      <c r="F50" s="24">
        <v>0</v>
      </c>
      <c r="G50" s="31">
        <v>250</v>
      </c>
      <c r="H50" s="1" t="s">
        <v>127</v>
      </c>
      <c r="I50" s="24">
        <v>2998907</v>
      </c>
      <c r="J50" s="1" t="s">
        <v>46</v>
      </c>
      <c r="K50" s="24">
        <v>337671</v>
      </c>
      <c r="L50" s="24">
        <v>49</v>
      </c>
      <c r="M50" s="1" t="s">
        <v>230</v>
      </c>
      <c r="N50" s="1" t="s">
        <v>231</v>
      </c>
      <c r="O50" s="1" t="s">
        <v>232</v>
      </c>
      <c r="P50" s="24">
        <v>2011</v>
      </c>
      <c r="Q50" s="1" t="s">
        <v>131</v>
      </c>
      <c r="R50" s="1" t="s">
        <v>132</v>
      </c>
    </row>
    <row r="51" spans="1:18" ht="14.4">
      <c r="A51" s="24">
        <v>526980</v>
      </c>
      <c r="B51" s="1" t="s">
        <v>126</v>
      </c>
      <c r="C51" s="32">
        <v>45517.709722222222</v>
      </c>
      <c r="D51" s="24">
        <v>100</v>
      </c>
      <c r="E51" s="31">
        <v>25</v>
      </c>
      <c r="F51" s="24">
        <v>25</v>
      </c>
      <c r="G51" s="31">
        <v>75</v>
      </c>
      <c r="H51" s="1" t="s">
        <v>127</v>
      </c>
      <c r="I51" s="24">
        <v>2985020</v>
      </c>
      <c r="J51" s="1" t="s">
        <v>51</v>
      </c>
      <c r="K51" s="24">
        <v>338006</v>
      </c>
      <c r="L51" s="24">
        <v>55</v>
      </c>
      <c r="M51" s="1" t="s">
        <v>155</v>
      </c>
      <c r="N51" s="1" t="s">
        <v>156</v>
      </c>
      <c r="O51" s="1" t="s">
        <v>157</v>
      </c>
      <c r="P51" s="24">
        <v>2017</v>
      </c>
      <c r="Q51" s="1" t="s">
        <v>131</v>
      </c>
      <c r="R51" s="1" t="s">
        <v>132</v>
      </c>
    </row>
    <row r="52" spans="1:18" ht="14.4">
      <c r="A52" s="24">
        <v>526962</v>
      </c>
      <c r="B52" s="1" t="s">
        <v>126</v>
      </c>
      <c r="C52" s="32">
        <v>45517.676388888889</v>
      </c>
      <c r="D52" s="24">
        <v>60</v>
      </c>
      <c r="E52" s="31">
        <v>0</v>
      </c>
      <c r="F52" s="24">
        <v>0</v>
      </c>
      <c r="G52" s="31">
        <v>50</v>
      </c>
      <c r="H52" s="1" t="s">
        <v>137</v>
      </c>
      <c r="I52" s="24">
        <v>1616776</v>
      </c>
      <c r="J52" s="1" t="s">
        <v>43</v>
      </c>
      <c r="K52" s="24">
        <v>337085</v>
      </c>
      <c r="L52" s="24">
        <v>469</v>
      </c>
      <c r="M52" s="1" t="s">
        <v>233</v>
      </c>
      <c r="N52" s="1" t="s">
        <v>234</v>
      </c>
      <c r="O52" s="1" t="s">
        <v>235</v>
      </c>
      <c r="P52" s="24">
        <v>2017</v>
      </c>
      <c r="Q52" s="1" t="s">
        <v>131</v>
      </c>
      <c r="R52" s="1" t="s">
        <v>192</v>
      </c>
    </row>
    <row r="53" spans="1:18" ht="14.4">
      <c r="A53" s="24">
        <v>526962</v>
      </c>
      <c r="B53" s="1" t="s">
        <v>126</v>
      </c>
      <c r="C53" s="32">
        <v>45517.676388888889</v>
      </c>
      <c r="D53" s="24">
        <v>60</v>
      </c>
      <c r="E53" s="31">
        <v>0</v>
      </c>
      <c r="F53" s="24">
        <v>0</v>
      </c>
      <c r="G53" s="31">
        <v>50</v>
      </c>
      <c r="H53" s="1" t="s">
        <v>137</v>
      </c>
      <c r="I53" s="24">
        <v>2697809</v>
      </c>
      <c r="J53" s="1" t="s">
        <v>43</v>
      </c>
      <c r="K53" s="24">
        <v>337085</v>
      </c>
      <c r="L53" s="24">
        <v>160</v>
      </c>
      <c r="M53" s="1" t="s">
        <v>233</v>
      </c>
      <c r="N53" s="1" t="s">
        <v>236</v>
      </c>
      <c r="O53" s="1" t="s">
        <v>235</v>
      </c>
      <c r="P53" s="24">
        <v>2017</v>
      </c>
      <c r="Q53" s="1" t="s">
        <v>131</v>
      </c>
      <c r="R53" s="1" t="s">
        <v>192</v>
      </c>
    </row>
    <row r="54" spans="1:18" ht="14.4">
      <c r="A54" s="24">
        <v>526739</v>
      </c>
      <c r="B54" s="1" t="s">
        <v>126</v>
      </c>
      <c r="C54" s="32">
        <v>45517.551388888889</v>
      </c>
      <c r="D54" s="24">
        <v>2650</v>
      </c>
      <c r="E54" s="31">
        <v>0</v>
      </c>
      <c r="F54" s="24">
        <v>0</v>
      </c>
      <c r="G54" s="31">
        <v>2500</v>
      </c>
      <c r="H54" s="1" t="s">
        <v>204</v>
      </c>
      <c r="I54" s="24">
        <v>2967518</v>
      </c>
      <c r="J54" s="1" t="s">
        <v>86</v>
      </c>
      <c r="K54" s="24">
        <v>338153</v>
      </c>
      <c r="L54" s="24">
        <v>61</v>
      </c>
      <c r="M54" s="1" t="s">
        <v>237</v>
      </c>
      <c r="N54" s="1" t="s">
        <v>238</v>
      </c>
      <c r="O54" s="1" t="s">
        <v>239</v>
      </c>
      <c r="P54" s="24">
        <v>2017</v>
      </c>
      <c r="Q54" s="1" t="s">
        <v>131</v>
      </c>
      <c r="R54" s="1" t="s">
        <v>208</v>
      </c>
    </row>
    <row r="55" spans="1:18" ht="14.4">
      <c r="A55" s="24">
        <v>526334</v>
      </c>
      <c r="B55" s="1" t="s">
        <v>126</v>
      </c>
      <c r="C55" s="33">
        <v>45516.70416666667</v>
      </c>
      <c r="D55" s="24">
        <v>75</v>
      </c>
      <c r="E55" s="31">
        <v>0</v>
      </c>
      <c r="F55" s="24">
        <v>0</v>
      </c>
      <c r="G55" s="31">
        <v>60</v>
      </c>
      <c r="H55" s="1" t="s">
        <v>240</v>
      </c>
      <c r="I55" s="24">
        <v>787908</v>
      </c>
      <c r="J55" s="1" t="s">
        <v>57</v>
      </c>
      <c r="K55" s="24">
        <v>337689</v>
      </c>
      <c r="L55" s="24">
        <v>1454</v>
      </c>
      <c r="M55" s="1" t="s">
        <v>241</v>
      </c>
      <c r="N55" s="1" t="s">
        <v>242</v>
      </c>
      <c r="O55" s="1" t="s">
        <v>243</v>
      </c>
      <c r="P55" s="24">
        <v>2017</v>
      </c>
      <c r="Q55" s="1" t="s">
        <v>131</v>
      </c>
      <c r="R55" s="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34998626667073579"/>
    <outlinePr summaryBelow="0" summaryRight="0"/>
  </sheetPr>
  <dimension ref="A1:Q1135"/>
  <sheetViews>
    <sheetView workbookViewId="0"/>
  </sheetViews>
  <sheetFormatPr defaultColWidth="12.6640625" defaultRowHeight="15.75" customHeight="1"/>
  <sheetData>
    <row r="1" spans="1:17" ht="15.75" customHeight="1">
      <c r="A1" s="10" t="s">
        <v>244</v>
      </c>
      <c r="B1" s="11" t="s">
        <v>245</v>
      </c>
      <c r="C1" s="11" t="s">
        <v>246</v>
      </c>
      <c r="D1" s="11" t="s">
        <v>247</v>
      </c>
      <c r="E1" s="11" t="s">
        <v>85</v>
      </c>
      <c r="F1" s="11" t="s">
        <v>154</v>
      </c>
      <c r="G1" s="11" t="s">
        <v>103</v>
      </c>
      <c r="H1" s="11" t="s">
        <v>248</v>
      </c>
      <c r="I1" s="11" t="s">
        <v>249</v>
      </c>
      <c r="J1" s="11" t="s">
        <v>250</v>
      </c>
      <c r="K1" s="11" t="s">
        <v>251</v>
      </c>
      <c r="L1" s="11" t="s">
        <v>252</v>
      </c>
      <c r="M1" s="11" t="s">
        <v>253</v>
      </c>
      <c r="N1" s="11" t="s">
        <v>254</v>
      </c>
      <c r="O1" s="11" t="s">
        <v>255</v>
      </c>
      <c r="P1" s="11" t="s">
        <v>256</v>
      </c>
      <c r="Q1" s="12" t="s">
        <v>257</v>
      </c>
    </row>
    <row r="2" spans="1:17" ht="15.75" customHeight="1">
      <c r="A2" s="13">
        <v>682</v>
      </c>
      <c r="B2" s="14" t="s">
        <v>258</v>
      </c>
      <c r="C2" s="34">
        <v>45526</v>
      </c>
      <c r="D2" s="17">
        <v>2</v>
      </c>
      <c r="E2" s="17">
        <v>0</v>
      </c>
      <c r="F2" s="17">
        <v>0</v>
      </c>
      <c r="G2" s="17">
        <v>0</v>
      </c>
      <c r="H2" s="35"/>
      <c r="I2" s="17">
        <v>0</v>
      </c>
      <c r="J2" s="17">
        <v>0</v>
      </c>
      <c r="K2" s="17">
        <v>0</v>
      </c>
      <c r="L2" s="17">
        <v>0</v>
      </c>
      <c r="M2" s="35" t="s">
        <v>100</v>
      </c>
      <c r="N2" s="14" t="s">
        <v>91</v>
      </c>
      <c r="O2" s="14" t="s">
        <v>38</v>
      </c>
      <c r="P2" s="14"/>
      <c r="Q2" s="36" t="s">
        <v>259</v>
      </c>
    </row>
    <row r="3" spans="1:17" ht="15.75" customHeight="1">
      <c r="A3" s="26">
        <v>682</v>
      </c>
      <c r="B3" s="19" t="s">
        <v>258</v>
      </c>
      <c r="C3" s="37">
        <v>45526</v>
      </c>
      <c r="D3" s="22">
        <v>6</v>
      </c>
      <c r="E3" s="22">
        <v>0</v>
      </c>
      <c r="F3" s="22">
        <v>0</v>
      </c>
      <c r="G3" s="22">
        <v>0</v>
      </c>
      <c r="H3" s="38"/>
      <c r="I3" s="22">
        <v>0</v>
      </c>
      <c r="J3" s="22">
        <v>0</v>
      </c>
      <c r="K3" s="22">
        <v>0</v>
      </c>
      <c r="L3" s="22">
        <v>0</v>
      </c>
      <c r="M3" s="38" t="s">
        <v>100</v>
      </c>
      <c r="N3" s="19" t="s">
        <v>91</v>
      </c>
      <c r="O3" s="19" t="s">
        <v>44</v>
      </c>
      <c r="P3" s="22">
        <v>5</v>
      </c>
      <c r="Q3" s="39" t="s">
        <v>259</v>
      </c>
    </row>
    <row r="4" spans="1:17" ht="15.75" customHeight="1">
      <c r="A4" s="13">
        <v>682</v>
      </c>
      <c r="B4" s="14" t="s">
        <v>258</v>
      </c>
      <c r="C4" s="34">
        <v>45526</v>
      </c>
      <c r="D4" s="17">
        <v>0</v>
      </c>
      <c r="E4" s="17">
        <v>0</v>
      </c>
      <c r="F4" s="17">
        <v>0</v>
      </c>
      <c r="G4" s="17">
        <v>0</v>
      </c>
      <c r="H4" s="35"/>
      <c r="I4" s="17">
        <v>1</v>
      </c>
      <c r="J4" s="17">
        <v>0</v>
      </c>
      <c r="K4" s="17">
        <v>0</v>
      </c>
      <c r="L4" s="17">
        <v>0</v>
      </c>
      <c r="M4" s="35" t="s">
        <v>100</v>
      </c>
      <c r="N4" s="14" t="s">
        <v>91</v>
      </c>
      <c r="O4" s="14" t="s">
        <v>44</v>
      </c>
      <c r="P4" s="14"/>
      <c r="Q4" s="36" t="s">
        <v>260</v>
      </c>
    </row>
    <row r="5" spans="1:17" ht="15.75" customHeight="1">
      <c r="A5" s="26">
        <v>682</v>
      </c>
      <c r="B5" s="19" t="s">
        <v>258</v>
      </c>
      <c r="C5" s="37">
        <v>45526</v>
      </c>
      <c r="D5" s="22">
        <v>0</v>
      </c>
      <c r="E5" s="22">
        <v>1</v>
      </c>
      <c r="F5" s="22">
        <v>0</v>
      </c>
      <c r="G5" s="22">
        <v>0</v>
      </c>
      <c r="H5" s="21" t="s">
        <v>261</v>
      </c>
      <c r="I5" s="22">
        <v>0</v>
      </c>
      <c r="J5" s="22">
        <v>0</v>
      </c>
      <c r="K5" s="22">
        <v>0</v>
      </c>
      <c r="L5" s="22">
        <v>0</v>
      </c>
      <c r="M5" s="38" t="s">
        <v>100</v>
      </c>
      <c r="N5" s="19" t="s">
        <v>87</v>
      </c>
      <c r="O5" s="19" t="s">
        <v>43</v>
      </c>
      <c r="P5" s="19"/>
      <c r="Q5" s="39" t="s">
        <v>262</v>
      </c>
    </row>
    <row r="6" spans="1:17" ht="15.75" customHeight="1">
      <c r="A6" s="13">
        <v>682</v>
      </c>
      <c r="B6" s="14" t="s">
        <v>258</v>
      </c>
      <c r="C6" s="34">
        <v>45526</v>
      </c>
      <c r="D6" s="17">
        <v>1</v>
      </c>
      <c r="E6" s="17">
        <v>0</v>
      </c>
      <c r="F6" s="17">
        <v>0</v>
      </c>
      <c r="G6" s="17">
        <v>0</v>
      </c>
      <c r="H6" s="35"/>
      <c r="I6" s="17">
        <v>0</v>
      </c>
      <c r="J6" s="17">
        <v>0</v>
      </c>
      <c r="K6" s="17">
        <v>0</v>
      </c>
      <c r="L6" s="17">
        <v>0</v>
      </c>
      <c r="M6" s="35" t="s">
        <v>100</v>
      </c>
      <c r="N6" s="14" t="s">
        <v>87</v>
      </c>
      <c r="O6" s="14" t="s">
        <v>43</v>
      </c>
      <c r="P6" s="17">
        <v>1</v>
      </c>
      <c r="Q6" s="36" t="s">
        <v>259</v>
      </c>
    </row>
    <row r="7" spans="1:17" ht="15.75" customHeight="1">
      <c r="A7" s="26">
        <v>682</v>
      </c>
      <c r="B7" s="19" t="s">
        <v>258</v>
      </c>
      <c r="C7" s="37">
        <v>45526</v>
      </c>
      <c r="D7" s="22">
        <v>0</v>
      </c>
      <c r="E7" s="22">
        <v>0</v>
      </c>
      <c r="F7" s="22">
        <v>0</v>
      </c>
      <c r="G7" s="22">
        <v>0</v>
      </c>
      <c r="H7" s="38"/>
      <c r="I7" s="22">
        <v>0</v>
      </c>
      <c r="J7" s="22">
        <v>2</v>
      </c>
      <c r="K7" s="22">
        <v>3</v>
      </c>
      <c r="L7" s="22">
        <v>0</v>
      </c>
      <c r="M7" s="38" t="s">
        <v>100</v>
      </c>
      <c r="N7" s="19" t="s">
        <v>87</v>
      </c>
      <c r="O7" s="19" t="s">
        <v>43</v>
      </c>
      <c r="P7" s="19"/>
      <c r="Q7" s="39" t="s">
        <v>263</v>
      </c>
    </row>
    <row r="8" spans="1:17" ht="15.75" customHeight="1">
      <c r="A8" s="13">
        <v>682</v>
      </c>
      <c r="B8" s="14" t="s">
        <v>258</v>
      </c>
      <c r="C8" s="34">
        <v>45526</v>
      </c>
      <c r="D8" s="17">
        <v>0</v>
      </c>
      <c r="E8" s="17">
        <v>0</v>
      </c>
      <c r="F8" s="17">
        <v>1</v>
      </c>
      <c r="G8" s="17">
        <v>0</v>
      </c>
      <c r="H8" s="35"/>
      <c r="I8" s="17">
        <v>0</v>
      </c>
      <c r="J8" s="17">
        <v>0</v>
      </c>
      <c r="K8" s="17">
        <v>0</v>
      </c>
      <c r="L8" s="17">
        <v>0</v>
      </c>
      <c r="M8" s="35" t="s">
        <v>100</v>
      </c>
      <c r="N8" s="14" t="s">
        <v>87</v>
      </c>
      <c r="O8" s="14" t="s">
        <v>46</v>
      </c>
      <c r="P8" s="14"/>
      <c r="Q8" s="36" t="s">
        <v>262</v>
      </c>
    </row>
    <row r="9" spans="1:17" ht="15.75" customHeight="1">
      <c r="A9" s="26">
        <v>682</v>
      </c>
      <c r="B9" s="19" t="s">
        <v>258</v>
      </c>
      <c r="C9" s="37">
        <v>45526</v>
      </c>
      <c r="D9" s="22">
        <v>1</v>
      </c>
      <c r="E9" s="22">
        <v>0</v>
      </c>
      <c r="F9" s="22">
        <v>0</v>
      </c>
      <c r="G9" s="22">
        <v>0</v>
      </c>
      <c r="H9" s="38"/>
      <c r="I9" s="22">
        <v>0</v>
      </c>
      <c r="J9" s="22">
        <v>0</v>
      </c>
      <c r="K9" s="22">
        <v>0</v>
      </c>
      <c r="L9" s="22">
        <v>0</v>
      </c>
      <c r="M9" s="38" t="s">
        <v>100</v>
      </c>
      <c r="N9" s="19" t="s">
        <v>87</v>
      </c>
      <c r="O9" s="19" t="s">
        <v>46</v>
      </c>
      <c r="P9" s="22">
        <v>1</v>
      </c>
      <c r="Q9" s="39" t="s">
        <v>259</v>
      </c>
    </row>
    <row r="10" spans="1:17" ht="15.75" customHeight="1">
      <c r="A10" s="13">
        <v>682</v>
      </c>
      <c r="B10" s="14" t="s">
        <v>258</v>
      </c>
      <c r="C10" s="34">
        <v>45526</v>
      </c>
      <c r="D10" s="17">
        <v>0</v>
      </c>
      <c r="E10" s="17">
        <v>0</v>
      </c>
      <c r="F10" s="17">
        <v>0</v>
      </c>
      <c r="G10" s="17">
        <v>0</v>
      </c>
      <c r="H10" s="35"/>
      <c r="I10" s="17">
        <v>0</v>
      </c>
      <c r="J10" s="17">
        <v>1</v>
      </c>
      <c r="K10" s="17">
        <v>0</v>
      </c>
      <c r="L10" s="17">
        <v>0</v>
      </c>
      <c r="M10" s="35" t="s">
        <v>100</v>
      </c>
      <c r="N10" s="14" t="s">
        <v>87</v>
      </c>
      <c r="O10" s="14" t="s">
        <v>46</v>
      </c>
      <c r="P10" s="14"/>
      <c r="Q10" s="36" t="s">
        <v>263</v>
      </c>
    </row>
    <row r="11" spans="1:17" ht="15.75" customHeight="1">
      <c r="A11" s="26">
        <v>682</v>
      </c>
      <c r="B11" s="19" t="s">
        <v>258</v>
      </c>
      <c r="C11" s="37">
        <v>45526</v>
      </c>
      <c r="D11" s="22">
        <v>0</v>
      </c>
      <c r="E11" s="22">
        <v>0</v>
      </c>
      <c r="F11" s="22">
        <v>0</v>
      </c>
      <c r="G11" s="22">
        <v>0</v>
      </c>
      <c r="H11" s="38"/>
      <c r="I11" s="22">
        <v>0</v>
      </c>
      <c r="J11" s="22">
        <v>0</v>
      </c>
      <c r="K11" s="22">
        <v>1</v>
      </c>
      <c r="L11" s="22">
        <v>0</v>
      </c>
      <c r="M11" s="38" t="s">
        <v>100</v>
      </c>
      <c r="N11" s="19" t="s">
        <v>87</v>
      </c>
      <c r="O11" s="19" t="s">
        <v>60</v>
      </c>
      <c r="P11" s="19"/>
      <c r="Q11" s="39" t="s">
        <v>263</v>
      </c>
    </row>
    <row r="12" spans="1:17" ht="15.75" customHeight="1">
      <c r="A12" s="13">
        <v>682</v>
      </c>
      <c r="B12" s="14" t="s">
        <v>258</v>
      </c>
      <c r="C12" s="34">
        <v>45526</v>
      </c>
      <c r="D12" s="17">
        <v>1</v>
      </c>
      <c r="E12" s="17">
        <v>0</v>
      </c>
      <c r="F12" s="17">
        <v>0</v>
      </c>
      <c r="G12" s="17">
        <v>0</v>
      </c>
      <c r="H12" s="35"/>
      <c r="I12" s="17">
        <v>0</v>
      </c>
      <c r="J12" s="17">
        <v>0</v>
      </c>
      <c r="K12" s="17">
        <v>0</v>
      </c>
      <c r="L12" s="17">
        <v>0</v>
      </c>
      <c r="M12" s="35" t="s">
        <v>100</v>
      </c>
      <c r="N12" s="14" t="s">
        <v>87</v>
      </c>
      <c r="O12" s="14" t="s">
        <v>89</v>
      </c>
      <c r="P12" s="14"/>
      <c r="Q12" s="36" t="s">
        <v>259</v>
      </c>
    </row>
    <row r="13" spans="1:17" ht="15.75" customHeight="1">
      <c r="A13" s="26">
        <v>679</v>
      </c>
      <c r="B13" s="19" t="s">
        <v>264</v>
      </c>
      <c r="C13" s="37">
        <v>45526</v>
      </c>
      <c r="D13" s="22">
        <v>1</v>
      </c>
      <c r="E13" s="22">
        <v>0</v>
      </c>
      <c r="F13" s="22">
        <v>0</v>
      </c>
      <c r="G13" s="22">
        <v>0</v>
      </c>
      <c r="H13" s="38"/>
      <c r="I13" s="22">
        <v>0</v>
      </c>
      <c r="J13" s="22">
        <v>0</v>
      </c>
      <c r="K13" s="22">
        <v>0</v>
      </c>
      <c r="L13" s="22">
        <v>0</v>
      </c>
      <c r="M13" s="38" t="s">
        <v>100</v>
      </c>
      <c r="N13" s="19" t="s">
        <v>91</v>
      </c>
      <c r="O13" s="19" t="s">
        <v>90</v>
      </c>
      <c r="P13" s="22">
        <v>1</v>
      </c>
      <c r="Q13" s="39" t="s">
        <v>259</v>
      </c>
    </row>
    <row r="14" spans="1:17" ht="15.75" customHeight="1">
      <c r="A14" s="13">
        <v>679</v>
      </c>
      <c r="B14" s="14" t="s">
        <v>264</v>
      </c>
      <c r="C14" s="34">
        <v>45526</v>
      </c>
      <c r="D14" s="17">
        <v>0</v>
      </c>
      <c r="E14" s="17">
        <v>0</v>
      </c>
      <c r="F14" s="17">
        <v>0</v>
      </c>
      <c r="G14" s="17">
        <v>0</v>
      </c>
      <c r="H14" s="35"/>
      <c r="I14" s="17">
        <v>0</v>
      </c>
      <c r="J14" s="17">
        <v>1</v>
      </c>
      <c r="K14" s="17">
        <v>2</v>
      </c>
      <c r="L14" s="17">
        <v>0</v>
      </c>
      <c r="M14" s="35" t="s">
        <v>100</v>
      </c>
      <c r="N14" s="14" t="s">
        <v>91</v>
      </c>
      <c r="O14" s="14" t="s">
        <v>90</v>
      </c>
      <c r="P14" s="14"/>
      <c r="Q14" s="36" t="s">
        <v>263</v>
      </c>
    </row>
    <row r="15" spans="1:17" ht="15.75" customHeight="1">
      <c r="A15" s="26">
        <v>679</v>
      </c>
      <c r="B15" s="19" t="s">
        <v>264</v>
      </c>
      <c r="C15" s="37">
        <v>45526</v>
      </c>
      <c r="D15" s="22">
        <v>0</v>
      </c>
      <c r="E15" s="22">
        <v>1</v>
      </c>
      <c r="F15" s="22">
        <v>0</v>
      </c>
      <c r="G15" s="22">
        <v>0</v>
      </c>
      <c r="H15" s="21" t="s">
        <v>265</v>
      </c>
      <c r="I15" s="22">
        <v>0</v>
      </c>
      <c r="J15" s="22">
        <v>0</v>
      </c>
      <c r="K15" s="22">
        <v>0</v>
      </c>
      <c r="L15" s="22">
        <v>0</v>
      </c>
      <c r="M15" s="38" t="s">
        <v>100</v>
      </c>
      <c r="N15" s="19" t="s">
        <v>87</v>
      </c>
      <c r="O15" s="19" t="s">
        <v>89</v>
      </c>
      <c r="P15" s="19"/>
      <c r="Q15" s="39" t="s">
        <v>262</v>
      </c>
    </row>
    <row r="16" spans="1:17" ht="15.75" customHeight="1">
      <c r="A16" s="13">
        <v>681</v>
      </c>
      <c r="B16" s="14" t="s">
        <v>266</v>
      </c>
      <c r="C16" s="34">
        <v>45526</v>
      </c>
      <c r="D16" s="17">
        <v>0</v>
      </c>
      <c r="E16" s="17">
        <v>0</v>
      </c>
      <c r="F16" s="17">
        <v>0</v>
      </c>
      <c r="G16" s="17">
        <v>0</v>
      </c>
      <c r="H16" s="35"/>
      <c r="I16" s="17">
        <v>0</v>
      </c>
      <c r="J16" s="17">
        <v>0</v>
      </c>
      <c r="K16" s="17">
        <v>1</v>
      </c>
      <c r="L16" s="17">
        <v>0</v>
      </c>
      <c r="M16" s="35" t="s">
        <v>100</v>
      </c>
      <c r="N16" s="14" t="s">
        <v>91</v>
      </c>
      <c r="O16" s="14" t="s">
        <v>47</v>
      </c>
      <c r="P16" s="14"/>
      <c r="Q16" s="36" t="s">
        <v>263</v>
      </c>
    </row>
    <row r="17" spans="1:17" ht="15.75" customHeight="1">
      <c r="A17" s="26">
        <v>681</v>
      </c>
      <c r="B17" s="19" t="s">
        <v>266</v>
      </c>
      <c r="C17" s="37">
        <v>45526</v>
      </c>
      <c r="D17" s="22">
        <v>0</v>
      </c>
      <c r="E17" s="22">
        <v>0</v>
      </c>
      <c r="F17" s="22">
        <v>0</v>
      </c>
      <c r="G17" s="22">
        <v>0</v>
      </c>
      <c r="H17" s="38"/>
      <c r="I17" s="22">
        <v>1</v>
      </c>
      <c r="J17" s="22">
        <v>0</v>
      </c>
      <c r="K17" s="22">
        <v>0</v>
      </c>
      <c r="L17" s="22">
        <v>0</v>
      </c>
      <c r="M17" s="38" t="s">
        <v>100</v>
      </c>
      <c r="N17" s="19" t="s">
        <v>87</v>
      </c>
      <c r="O17" s="19" t="s">
        <v>86</v>
      </c>
      <c r="P17" s="19"/>
      <c r="Q17" s="39" t="s">
        <v>260</v>
      </c>
    </row>
    <row r="18" spans="1:17" ht="15.75" customHeight="1">
      <c r="A18" s="13">
        <v>683</v>
      </c>
      <c r="B18" s="14" t="s">
        <v>267</v>
      </c>
      <c r="C18" s="34">
        <v>45526</v>
      </c>
      <c r="D18" s="17">
        <v>1</v>
      </c>
      <c r="E18" s="17">
        <v>0</v>
      </c>
      <c r="F18" s="17">
        <v>0</v>
      </c>
      <c r="G18" s="17">
        <v>0</v>
      </c>
      <c r="H18" s="35"/>
      <c r="I18" s="17">
        <v>0</v>
      </c>
      <c r="J18" s="17">
        <v>0</v>
      </c>
      <c r="K18" s="17">
        <v>0</v>
      </c>
      <c r="L18" s="17">
        <v>0</v>
      </c>
      <c r="M18" s="35" t="s">
        <v>100</v>
      </c>
      <c r="N18" s="14" t="s">
        <v>91</v>
      </c>
      <c r="O18" s="14" t="s">
        <v>44</v>
      </c>
      <c r="P18" s="17">
        <v>1</v>
      </c>
      <c r="Q18" s="36" t="s">
        <v>259</v>
      </c>
    </row>
    <row r="19" spans="1:17" ht="15.75" customHeight="1">
      <c r="A19" s="26">
        <v>253</v>
      </c>
      <c r="B19" s="19" t="s">
        <v>268</v>
      </c>
      <c r="C19" s="37">
        <v>45526</v>
      </c>
      <c r="D19" s="22">
        <v>3</v>
      </c>
      <c r="E19" s="22">
        <v>0</v>
      </c>
      <c r="F19" s="22">
        <v>0</v>
      </c>
      <c r="G19" s="22">
        <v>0</v>
      </c>
      <c r="H19" s="38"/>
      <c r="I19" s="22">
        <v>0</v>
      </c>
      <c r="J19" s="22">
        <v>0</v>
      </c>
      <c r="K19" s="22">
        <v>0</v>
      </c>
      <c r="L19" s="22">
        <v>0</v>
      </c>
      <c r="M19" s="38" t="s">
        <v>100</v>
      </c>
      <c r="N19" s="19" t="s">
        <v>91</v>
      </c>
      <c r="O19" s="19" t="s">
        <v>38</v>
      </c>
      <c r="P19" s="22">
        <v>3</v>
      </c>
      <c r="Q19" s="39" t="s">
        <v>259</v>
      </c>
    </row>
    <row r="20" spans="1:17" ht="15.75" customHeight="1">
      <c r="A20" s="13">
        <v>253</v>
      </c>
      <c r="B20" s="14" t="s">
        <v>268</v>
      </c>
      <c r="C20" s="34">
        <v>45526</v>
      </c>
      <c r="D20" s="17">
        <v>0</v>
      </c>
      <c r="E20" s="17">
        <v>0</v>
      </c>
      <c r="F20" s="17">
        <v>0</v>
      </c>
      <c r="G20" s="17">
        <v>0</v>
      </c>
      <c r="H20" s="35"/>
      <c r="I20" s="17">
        <v>1</v>
      </c>
      <c r="J20" s="17">
        <v>0</v>
      </c>
      <c r="K20" s="17">
        <v>0</v>
      </c>
      <c r="L20" s="17">
        <v>0</v>
      </c>
      <c r="M20" s="35" t="s">
        <v>100</v>
      </c>
      <c r="N20" s="14" t="s">
        <v>91</v>
      </c>
      <c r="O20" s="14" t="s">
        <v>38</v>
      </c>
      <c r="P20" s="14"/>
      <c r="Q20" s="36" t="s">
        <v>260</v>
      </c>
    </row>
    <row r="21" spans="1:17" ht="15.75" customHeight="1">
      <c r="A21" s="26">
        <v>253</v>
      </c>
      <c r="B21" s="19" t="s">
        <v>268</v>
      </c>
      <c r="C21" s="37">
        <v>45526</v>
      </c>
      <c r="D21" s="22">
        <v>0</v>
      </c>
      <c r="E21" s="22">
        <v>0</v>
      </c>
      <c r="F21" s="22">
        <v>0</v>
      </c>
      <c r="G21" s="22">
        <v>0</v>
      </c>
      <c r="H21" s="38"/>
      <c r="I21" s="22">
        <v>0</v>
      </c>
      <c r="J21" s="22">
        <v>1</v>
      </c>
      <c r="K21" s="22">
        <v>0</v>
      </c>
      <c r="L21" s="22">
        <v>0</v>
      </c>
      <c r="M21" s="38" t="s">
        <v>100</v>
      </c>
      <c r="N21" s="19" t="s">
        <v>91</v>
      </c>
      <c r="O21" s="19" t="s">
        <v>38</v>
      </c>
      <c r="P21" s="19"/>
      <c r="Q21" s="39" t="s">
        <v>263</v>
      </c>
    </row>
    <row r="22" spans="1:17" ht="15.75" customHeight="1">
      <c r="A22" s="13">
        <v>253</v>
      </c>
      <c r="B22" s="14" t="s">
        <v>268</v>
      </c>
      <c r="C22" s="34">
        <v>45526</v>
      </c>
      <c r="D22" s="17">
        <v>2</v>
      </c>
      <c r="E22" s="17">
        <v>0</v>
      </c>
      <c r="F22" s="17">
        <v>0</v>
      </c>
      <c r="G22" s="17">
        <v>0</v>
      </c>
      <c r="H22" s="35"/>
      <c r="I22" s="17">
        <v>0</v>
      </c>
      <c r="J22" s="17">
        <v>0</v>
      </c>
      <c r="K22" s="17">
        <v>0</v>
      </c>
      <c r="L22" s="17">
        <v>0</v>
      </c>
      <c r="M22" s="35" t="s">
        <v>100</v>
      </c>
      <c r="N22" s="14" t="s">
        <v>91</v>
      </c>
      <c r="O22" s="14" t="s">
        <v>44</v>
      </c>
      <c r="P22" s="14"/>
      <c r="Q22" s="36" t="s">
        <v>259</v>
      </c>
    </row>
    <row r="23" spans="1:17" ht="15.75" customHeight="1">
      <c r="A23" s="26">
        <v>253</v>
      </c>
      <c r="B23" s="19" t="s">
        <v>268</v>
      </c>
      <c r="C23" s="37">
        <v>45526</v>
      </c>
      <c r="D23" s="22">
        <v>1</v>
      </c>
      <c r="E23" s="22">
        <v>0</v>
      </c>
      <c r="F23" s="22">
        <v>0</v>
      </c>
      <c r="G23" s="22">
        <v>0</v>
      </c>
      <c r="H23" s="38"/>
      <c r="I23" s="22">
        <v>0</v>
      </c>
      <c r="J23" s="22">
        <v>0</v>
      </c>
      <c r="K23" s="22">
        <v>0</v>
      </c>
      <c r="L23" s="22">
        <v>0</v>
      </c>
      <c r="M23" s="38" t="s">
        <v>100</v>
      </c>
      <c r="N23" s="19" t="s">
        <v>91</v>
      </c>
      <c r="O23" s="19" t="s">
        <v>47</v>
      </c>
      <c r="P23" s="19"/>
      <c r="Q23" s="39" t="s">
        <v>259</v>
      </c>
    </row>
    <row r="24" spans="1:17" ht="15.75" customHeight="1">
      <c r="A24" s="13">
        <v>253</v>
      </c>
      <c r="B24" s="14" t="s">
        <v>268</v>
      </c>
      <c r="C24" s="34">
        <v>45526</v>
      </c>
      <c r="D24" s="17">
        <v>0</v>
      </c>
      <c r="E24" s="17">
        <v>1</v>
      </c>
      <c r="F24" s="17">
        <v>0</v>
      </c>
      <c r="G24" s="17">
        <v>0</v>
      </c>
      <c r="H24" s="16" t="s">
        <v>269</v>
      </c>
      <c r="I24" s="17">
        <v>0</v>
      </c>
      <c r="J24" s="17">
        <v>0</v>
      </c>
      <c r="K24" s="17">
        <v>0</v>
      </c>
      <c r="L24" s="17">
        <v>0</v>
      </c>
      <c r="M24" s="35" t="s">
        <v>100</v>
      </c>
      <c r="N24" s="14" t="s">
        <v>91</v>
      </c>
      <c r="O24" s="14" t="s">
        <v>90</v>
      </c>
      <c r="P24" s="14"/>
      <c r="Q24" s="36" t="s">
        <v>262</v>
      </c>
    </row>
    <row r="25" spans="1:17" ht="15.75" customHeight="1">
      <c r="A25" s="26">
        <v>253</v>
      </c>
      <c r="B25" s="19" t="s">
        <v>268</v>
      </c>
      <c r="C25" s="37">
        <v>45526</v>
      </c>
      <c r="D25" s="22">
        <v>1</v>
      </c>
      <c r="E25" s="22">
        <v>0</v>
      </c>
      <c r="F25" s="22">
        <v>0</v>
      </c>
      <c r="G25" s="22">
        <v>0</v>
      </c>
      <c r="H25" s="38"/>
      <c r="I25" s="22">
        <v>0</v>
      </c>
      <c r="J25" s="22">
        <v>0</v>
      </c>
      <c r="K25" s="22">
        <v>0</v>
      </c>
      <c r="L25" s="22">
        <v>0</v>
      </c>
      <c r="M25" s="38" t="s">
        <v>100</v>
      </c>
      <c r="N25" s="19" t="s">
        <v>91</v>
      </c>
      <c r="O25" s="19" t="s">
        <v>90</v>
      </c>
      <c r="P25" s="19"/>
      <c r="Q25" s="39" t="s">
        <v>259</v>
      </c>
    </row>
    <row r="26" spans="1:17" ht="15.75" customHeight="1">
      <c r="A26" s="13">
        <v>253</v>
      </c>
      <c r="B26" s="14" t="s">
        <v>268</v>
      </c>
      <c r="C26" s="34">
        <v>45526</v>
      </c>
      <c r="D26" s="17">
        <v>0</v>
      </c>
      <c r="E26" s="17">
        <v>0</v>
      </c>
      <c r="F26" s="17">
        <v>0</v>
      </c>
      <c r="G26" s="17">
        <v>0</v>
      </c>
      <c r="H26" s="35"/>
      <c r="I26" s="17">
        <v>0</v>
      </c>
      <c r="J26" s="17">
        <v>3</v>
      </c>
      <c r="K26" s="17">
        <v>1</v>
      </c>
      <c r="L26" s="17">
        <v>0</v>
      </c>
      <c r="M26" s="35" t="s">
        <v>100</v>
      </c>
      <c r="N26" s="14" t="s">
        <v>91</v>
      </c>
      <c r="O26" s="14" t="s">
        <v>90</v>
      </c>
      <c r="P26" s="14"/>
      <c r="Q26" s="36" t="s">
        <v>263</v>
      </c>
    </row>
    <row r="27" spans="1:17" ht="14.4">
      <c r="A27" s="26">
        <v>253</v>
      </c>
      <c r="B27" s="19" t="s">
        <v>268</v>
      </c>
      <c r="C27" s="37">
        <v>45526</v>
      </c>
      <c r="D27" s="22">
        <v>0</v>
      </c>
      <c r="E27" s="22">
        <v>0</v>
      </c>
      <c r="F27" s="22">
        <v>2</v>
      </c>
      <c r="G27" s="22">
        <v>0</v>
      </c>
      <c r="H27" s="38"/>
      <c r="I27" s="22">
        <v>0</v>
      </c>
      <c r="J27" s="22">
        <v>0</v>
      </c>
      <c r="K27" s="22">
        <v>0</v>
      </c>
      <c r="L27" s="22">
        <v>0</v>
      </c>
      <c r="M27" s="38" t="s">
        <v>100</v>
      </c>
      <c r="N27" s="19" t="s">
        <v>87</v>
      </c>
      <c r="O27" s="19" t="s">
        <v>37</v>
      </c>
      <c r="P27" s="19"/>
      <c r="Q27" s="39" t="s">
        <v>262</v>
      </c>
    </row>
    <row r="28" spans="1:17" ht="14.4">
      <c r="A28" s="13">
        <v>253</v>
      </c>
      <c r="B28" s="14" t="s">
        <v>268</v>
      </c>
      <c r="C28" s="34">
        <v>45526</v>
      </c>
      <c r="D28" s="17">
        <v>1</v>
      </c>
      <c r="E28" s="17">
        <v>0</v>
      </c>
      <c r="F28" s="17">
        <v>0</v>
      </c>
      <c r="G28" s="17">
        <v>0</v>
      </c>
      <c r="H28" s="35"/>
      <c r="I28" s="17">
        <v>0</v>
      </c>
      <c r="J28" s="17">
        <v>0</v>
      </c>
      <c r="K28" s="17">
        <v>0</v>
      </c>
      <c r="L28" s="17">
        <v>0</v>
      </c>
      <c r="M28" s="35" t="s">
        <v>100</v>
      </c>
      <c r="N28" s="14" t="s">
        <v>87</v>
      </c>
      <c r="O28" s="14" t="s">
        <v>43</v>
      </c>
      <c r="P28" s="14"/>
      <c r="Q28" s="36" t="s">
        <v>259</v>
      </c>
    </row>
    <row r="29" spans="1:17" ht="14.4">
      <c r="A29" s="26">
        <v>253</v>
      </c>
      <c r="B29" s="19" t="s">
        <v>268</v>
      </c>
      <c r="C29" s="37">
        <v>45526</v>
      </c>
      <c r="D29" s="22">
        <v>0</v>
      </c>
      <c r="E29" s="22">
        <v>1</v>
      </c>
      <c r="F29" s="22">
        <v>0</v>
      </c>
      <c r="G29" s="22">
        <v>0</v>
      </c>
      <c r="H29" s="21" t="s">
        <v>270</v>
      </c>
      <c r="I29" s="22">
        <v>0</v>
      </c>
      <c r="J29" s="22">
        <v>0</v>
      </c>
      <c r="K29" s="22">
        <v>0</v>
      </c>
      <c r="L29" s="22">
        <v>0</v>
      </c>
      <c r="M29" s="38" t="s">
        <v>100</v>
      </c>
      <c r="N29" s="19" t="s">
        <v>87</v>
      </c>
      <c r="O29" s="19" t="s">
        <v>60</v>
      </c>
      <c r="P29" s="19"/>
      <c r="Q29" s="39" t="s">
        <v>262</v>
      </c>
    </row>
    <row r="30" spans="1:17" ht="14.4">
      <c r="A30" s="13">
        <v>253</v>
      </c>
      <c r="B30" s="14" t="s">
        <v>268</v>
      </c>
      <c r="C30" s="34">
        <v>45526</v>
      </c>
      <c r="D30" s="17">
        <v>5</v>
      </c>
      <c r="E30" s="17">
        <v>0</v>
      </c>
      <c r="F30" s="17">
        <v>0</v>
      </c>
      <c r="G30" s="17">
        <v>0</v>
      </c>
      <c r="H30" s="35"/>
      <c r="I30" s="17">
        <v>0</v>
      </c>
      <c r="J30" s="17">
        <v>0</v>
      </c>
      <c r="K30" s="17">
        <v>0</v>
      </c>
      <c r="L30" s="17">
        <v>0</v>
      </c>
      <c r="M30" s="35" t="s">
        <v>100</v>
      </c>
      <c r="N30" s="14" t="s">
        <v>87</v>
      </c>
      <c r="O30" s="14" t="s">
        <v>60</v>
      </c>
      <c r="P30" s="14"/>
      <c r="Q30" s="36" t="s">
        <v>259</v>
      </c>
    </row>
    <row r="31" spans="1:17" ht="14.4">
      <c r="A31" s="26">
        <v>253</v>
      </c>
      <c r="B31" s="19" t="s">
        <v>268</v>
      </c>
      <c r="C31" s="37">
        <v>45526</v>
      </c>
      <c r="D31" s="22">
        <v>0</v>
      </c>
      <c r="E31" s="22">
        <v>0</v>
      </c>
      <c r="F31" s="22">
        <v>0</v>
      </c>
      <c r="G31" s="22">
        <v>0</v>
      </c>
      <c r="H31" s="38"/>
      <c r="I31" s="22">
        <v>0</v>
      </c>
      <c r="J31" s="22">
        <v>4</v>
      </c>
      <c r="K31" s="22">
        <v>0</v>
      </c>
      <c r="L31" s="22">
        <v>0</v>
      </c>
      <c r="M31" s="38" t="s">
        <v>100</v>
      </c>
      <c r="N31" s="19" t="s">
        <v>87</v>
      </c>
      <c r="O31" s="19" t="s">
        <v>60</v>
      </c>
      <c r="P31" s="19"/>
      <c r="Q31" s="39" t="s">
        <v>263</v>
      </c>
    </row>
    <row r="32" spans="1:17" ht="14.4">
      <c r="A32" s="13">
        <v>253</v>
      </c>
      <c r="B32" s="14" t="s">
        <v>268</v>
      </c>
      <c r="C32" s="34">
        <v>45526</v>
      </c>
      <c r="D32" s="17">
        <v>0</v>
      </c>
      <c r="E32" s="17">
        <v>1</v>
      </c>
      <c r="F32" s="17">
        <v>0</v>
      </c>
      <c r="G32" s="17">
        <v>0</v>
      </c>
      <c r="H32" s="16" t="s">
        <v>269</v>
      </c>
      <c r="I32" s="17">
        <v>0</v>
      </c>
      <c r="J32" s="17">
        <v>0</v>
      </c>
      <c r="K32" s="17">
        <v>0</v>
      </c>
      <c r="L32" s="17">
        <v>0</v>
      </c>
      <c r="M32" s="35" t="s">
        <v>100</v>
      </c>
      <c r="N32" s="14" t="s">
        <v>87</v>
      </c>
      <c r="O32" s="14" t="s">
        <v>51</v>
      </c>
      <c r="P32" s="14"/>
      <c r="Q32" s="36" t="s">
        <v>262</v>
      </c>
    </row>
    <row r="33" spans="1:17" ht="14.4">
      <c r="A33" s="26">
        <v>253</v>
      </c>
      <c r="B33" s="19" t="s">
        <v>268</v>
      </c>
      <c r="C33" s="37">
        <v>45526</v>
      </c>
      <c r="D33" s="22">
        <v>1</v>
      </c>
      <c r="E33" s="22">
        <v>0</v>
      </c>
      <c r="F33" s="22">
        <v>0</v>
      </c>
      <c r="G33" s="22">
        <v>0</v>
      </c>
      <c r="H33" s="38"/>
      <c r="I33" s="22">
        <v>0</v>
      </c>
      <c r="J33" s="22">
        <v>0</v>
      </c>
      <c r="K33" s="22">
        <v>0</v>
      </c>
      <c r="L33" s="22">
        <v>0</v>
      </c>
      <c r="M33" s="38" t="s">
        <v>100</v>
      </c>
      <c r="N33" s="19" t="s">
        <v>87</v>
      </c>
      <c r="O33" s="19" t="s">
        <v>98</v>
      </c>
      <c r="P33" s="22">
        <v>1</v>
      </c>
      <c r="Q33" s="39" t="s">
        <v>259</v>
      </c>
    </row>
    <row r="34" spans="1:17" ht="14.4">
      <c r="A34" s="13">
        <v>253</v>
      </c>
      <c r="B34" s="14" t="s">
        <v>268</v>
      </c>
      <c r="C34" s="34">
        <v>45526</v>
      </c>
      <c r="D34" s="17">
        <v>0</v>
      </c>
      <c r="E34" s="17">
        <v>0</v>
      </c>
      <c r="F34" s="17">
        <v>0</v>
      </c>
      <c r="G34" s="17">
        <v>0</v>
      </c>
      <c r="H34" s="35"/>
      <c r="I34" s="17">
        <v>1</v>
      </c>
      <c r="J34" s="17">
        <v>0</v>
      </c>
      <c r="K34" s="17">
        <v>0</v>
      </c>
      <c r="L34" s="17">
        <v>0</v>
      </c>
      <c r="M34" s="35" t="s">
        <v>100</v>
      </c>
      <c r="N34" s="14" t="s">
        <v>87</v>
      </c>
      <c r="O34" s="14" t="s">
        <v>98</v>
      </c>
      <c r="P34" s="14"/>
      <c r="Q34" s="36" t="s">
        <v>260</v>
      </c>
    </row>
    <row r="35" spans="1:17" ht="14.4">
      <c r="A35" s="26">
        <v>253</v>
      </c>
      <c r="B35" s="19" t="s">
        <v>268</v>
      </c>
      <c r="C35" s="37">
        <v>45526</v>
      </c>
      <c r="D35" s="22">
        <v>0</v>
      </c>
      <c r="E35" s="22">
        <v>0</v>
      </c>
      <c r="F35" s="22">
        <v>0</v>
      </c>
      <c r="G35" s="22">
        <v>0</v>
      </c>
      <c r="H35" s="38"/>
      <c r="I35" s="22">
        <v>0</v>
      </c>
      <c r="J35" s="22">
        <v>1</v>
      </c>
      <c r="K35" s="22">
        <v>0</v>
      </c>
      <c r="L35" s="22">
        <v>0</v>
      </c>
      <c r="M35" s="38" t="s">
        <v>100</v>
      </c>
      <c r="N35" s="19" t="s">
        <v>87</v>
      </c>
      <c r="O35" s="19" t="s">
        <v>98</v>
      </c>
      <c r="P35" s="19"/>
      <c r="Q35" s="39" t="s">
        <v>263</v>
      </c>
    </row>
    <row r="36" spans="1:17" ht="14.4">
      <c r="A36" s="13">
        <v>253</v>
      </c>
      <c r="B36" s="14" t="s">
        <v>268</v>
      </c>
      <c r="C36" s="34">
        <v>45526</v>
      </c>
      <c r="D36" s="17">
        <v>0</v>
      </c>
      <c r="E36" s="17">
        <v>3</v>
      </c>
      <c r="F36" s="17">
        <v>0</v>
      </c>
      <c r="G36" s="17">
        <v>0</v>
      </c>
      <c r="H36" s="16" t="s">
        <v>271</v>
      </c>
      <c r="I36" s="17">
        <v>0</v>
      </c>
      <c r="J36" s="17">
        <v>0</v>
      </c>
      <c r="K36" s="17">
        <v>0</v>
      </c>
      <c r="L36" s="17">
        <v>0</v>
      </c>
      <c r="M36" s="35" t="s">
        <v>100</v>
      </c>
      <c r="N36" s="14" t="s">
        <v>87</v>
      </c>
      <c r="O36" s="14" t="s">
        <v>89</v>
      </c>
      <c r="P36" s="14"/>
      <c r="Q36" s="36" t="s">
        <v>262</v>
      </c>
    </row>
    <row r="37" spans="1:17" ht="14.4">
      <c r="A37" s="26">
        <v>253</v>
      </c>
      <c r="B37" s="19" t="s">
        <v>268</v>
      </c>
      <c r="C37" s="37">
        <v>45526</v>
      </c>
      <c r="D37" s="22">
        <v>0</v>
      </c>
      <c r="E37" s="22">
        <v>0</v>
      </c>
      <c r="F37" s="22">
        <v>0</v>
      </c>
      <c r="G37" s="22">
        <v>0</v>
      </c>
      <c r="H37" s="38"/>
      <c r="I37" s="22">
        <v>0</v>
      </c>
      <c r="J37" s="22">
        <v>0</v>
      </c>
      <c r="K37" s="22">
        <v>3</v>
      </c>
      <c r="L37" s="22">
        <v>0</v>
      </c>
      <c r="M37" s="38" t="s">
        <v>100</v>
      </c>
      <c r="N37" s="19" t="s">
        <v>87</v>
      </c>
      <c r="O37" s="19" t="s">
        <v>89</v>
      </c>
      <c r="P37" s="19"/>
      <c r="Q37" s="39" t="s">
        <v>263</v>
      </c>
    </row>
    <row r="38" spans="1:17" ht="14.4">
      <c r="A38" s="13">
        <v>253</v>
      </c>
      <c r="B38" s="14" t="s">
        <v>268</v>
      </c>
      <c r="C38" s="34">
        <v>45526</v>
      </c>
      <c r="D38" s="17">
        <v>0</v>
      </c>
      <c r="E38" s="17">
        <v>3</v>
      </c>
      <c r="F38" s="17">
        <v>0</v>
      </c>
      <c r="G38" s="17">
        <v>0</v>
      </c>
      <c r="H38" s="16" t="s">
        <v>272</v>
      </c>
      <c r="I38" s="17">
        <v>0</v>
      </c>
      <c r="J38" s="17">
        <v>0</v>
      </c>
      <c r="K38" s="17">
        <v>0</v>
      </c>
      <c r="L38" s="17">
        <v>0</v>
      </c>
      <c r="M38" s="14" t="s">
        <v>100</v>
      </c>
      <c r="N38" s="14" t="s">
        <v>87</v>
      </c>
      <c r="O38" s="14" t="s">
        <v>57</v>
      </c>
      <c r="P38" s="14"/>
      <c r="Q38" s="36" t="s">
        <v>262</v>
      </c>
    </row>
    <row r="39" spans="1:17" ht="14.4">
      <c r="A39" s="26">
        <v>253</v>
      </c>
      <c r="B39" s="19" t="s">
        <v>268</v>
      </c>
      <c r="C39" s="37">
        <v>45526</v>
      </c>
      <c r="D39" s="22">
        <v>1</v>
      </c>
      <c r="E39" s="22">
        <v>0</v>
      </c>
      <c r="F39" s="22">
        <v>0</v>
      </c>
      <c r="G39" s="22">
        <v>0</v>
      </c>
      <c r="H39" s="38"/>
      <c r="I39" s="22">
        <v>0</v>
      </c>
      <c r="J39" s="22">
        <v>0</v>
      </c>
      <c r="K39" s="22">
        <v>0</v>
      </c>
      <c r="L39" s="22">
        <v>0</v>
      </c>
      <c r="M39" s="38" t="s">
        <v>100</v>
      </c>
      <c r="N39" s="19" t="s">
        <v>87</v>
      </c>
      <c r="O39" s="19" t="s">
        <v>57</v>
      </c>
      <c r="P39" s="22">
        <v>1</v>
      </c>
      <c r="Q39" s="39" t="s">
        <v>259</v>
      </c>
    </row>
    <row r="40" spans="1:17" ht="14.4">
      <c r="A40" s="13">
        <v>253</v>
      </c>
      <c r="B40" s="14" t="s">
        <v>268</v>
      </c>
      <c r="C40" s="34">
        <v>45526</v>
      </c>
      <c r="D40" s="17">
        <v>0</v>
      </c>
      <c r="E40" s="17">
        <v>0</v>
      </c>
      <c r="F40" s="17">
        <v>0</v>
      </c>
      <c r="G40" s="17">
        <v>0</v>
      </c>
      <c r="H40" s="35"/>
      <c r="I40" s="17">
        <v>0</v>
      </c>
      <c r="J40" s="17">
        <v>1</v>
      </c>
      <c r="K40" s="17">
        <v>1</v>
      </c>
      <c r="L40" s="17">
        <v>0</v>
      </c>
      <c r="M40" s="35" t="s">
        <v>100</v>
      </c>
      <c r="N40" s="14" t="s">
        <v>87</v>
      </c>
      <c r="O40" s="14" t="s">
        <v>57</v>
      </c>
      <c r="P40" s="14"/>
      <c r="Q40" s="36" t="s">
        <v>263</v>
      </c>
    </row>
    <row r="41" spans="1:17" ht="14.4">
      <c r="A41" s="26">
        <v>253</v>
      </c>
      <c r="B41" s="19" t="s">
        <v>268</v>
      </c>
      <c r="C41" s="37">
        <v>45526</v>
      </c>
      <c r="D41" s="22">
        <v>0</v>
      </c>
      <c r="E41" s="22">
        <v>2</v>
      </c>
      <c r="F41" s="22">
        <v>0</v>
      </c>
      <c r="G41" s="22">
        <v>0</v>
      </c>
      <c r="H41" s="21" t="s">
        <v>273</v>
      </c>
      <c r="I41" s="22">
        <v>0</v>
      </c>
      <c r="J41" s="22">
        <v>0</v>
      </c>
      <c r="K41" s="22">
        <v>0</v>
      </c>
      <c r="L41" s="22">
        <v>0</v>
      </c>
      <c r="M41" s="38" t="s">
        <v>100</v>
      </c>
      <c r="N41" s="19" t="s">
        <v>87</v>
      </c>
      <c r="O41" s="19" t="s">
        <v>86</v>
      </c>
      <c r="P41" s="19"/>
      <c r="Q41" s="39" t="s">
        <v>262</v>
      </c>
    </row>
    <row r="42" spans="1:17" ht="14.4">
      <c r="A42" s="13">
        <v>253</v>
      </c>
      <c r="B42" s="14" t="s">
        <v>268</v>
      </c>
      <c r="C42" s="34">
        <v>45526</v>
      </c>
      <c r="D42" s="17">
        <v>2</v>
      </c>
      <c r="E42" s="17">
        <v>0</v>
      </c>
      <c r="F42" s="17">
        <v>0</v>
      </c>
      <c r="G42" s="17">
        <v>0</v>
      </c>
      <c r="H42" s="35"/>
      <c r="I42" s="17">
        <v>0</v>
      </c>
      <c r="J42" s="17">
        <v>0</v>
      </c>
      <c r="K42" s="17">
        <v>0</v>
      </c>
      <c r="L42" s="17">
        <v>0</v>
      </c>
      <c r="M42" s="35" t="s">
        <v>100</v>
      </c>
      <c r="N42" s="14" t="s">
        <v>87</v>
      </c>
      <c r="O42" s="14" t="s">
        <v>86</v>
      </c>
      <c r="P42" s="14"/>
      <c r="Q42" s="36" t="s">
        <v>259</v>
      </c>
    </row>
    <row r="43" spans="1:17" ht="14.4">
      <c r="A43" s="26">
        <v>253</v>
      </c>
      <c r="B43" s="19" t="s">
        <v>268</v>
      </c>
      <c r="C43" s="37">
        <v>45526</v>
      </c>
      <c r="D43" s="22">
        <v>0</v>
      </c>
      <c r="E43" s="22">
        <v>0</v>
      </c>
      <c r="F43" s="22">
        <v>0</v>
      </c>
      <c r="G43" s="22">
        <v>0</v>
      </c>
      <c r="H43" s="38"/>
      <c r="I43" s="22">
        <v>0</v>
      </c>
      <c r="J43" s="22">
        <v>1</v>
      </c>
      <c r="K43" s="22">
        <v>1</v>
      </c>
      <c r="L43" s="22">
        <v>0</v>
      </c>
      <c r="M43" s="38" t="s">
        <v>100</v>
      </c>
      <c r="N43" s="19" t="s">
        <v>87</v>
      </c>
      <c r="O43" s="19" t="s">
        <v>86</v>
      </c>
      <c r="P43" s="19"/>
      <c r="Q43" s="39" t="s">
        <v>263</v>
      </c>
    </row>
    <row r="44" spans="1:17" ht="14.4">
      <c r="A44" s="13">
        <v>253</v>
      </c>
      <c r="B44" s="14" t="s">
        <v>268</v>
      </c>
      <c r="C44" s="34">
        <v>45526</v>
      </c>
      <c r="D44" s="17">
        <v>1</v>
      </c>
      <c r="E44" s="17">
        <v>0</v>
      </c>
      <c r="F44" s="17">
        <v>0</v>
      </c>
      <c r="G44" s="17">
        <v>0</v>
      </c>
      <c r="H44" s="35"/>
      <c r="I44" s="17">
        <v>0</v>
      </c>
      <c r="J44" s="17">
        <v>0</v>
      </c>
      <c r="K44" s="17">
        <v>0</v>
      </c>
      <c r="L44" s="17">
        <v>0</v>
      </c>
      <c r="M44" s="14" t="s">
        <v>100</v>
      </c>
      <c r="N44" s="14" t="s">
        <v>87</v>
      </c>
      <c r="O44" s="14" t="s">
        <v>59</v>
      </c>
      <c r="P44" s="14"/>
      <c r="Q44" s="36" t="s">
        <v>259</v>
      </c>
    </row>
    <row r="45" spans="1:17" ht="14.4">
      <c r="A45" s="26">
        <v>319</v>
      </c>
      <c r="B45" s="19" t="s">
        <v>274</v>
      </c>
      <c r="C45" s="37">
        <v>45526</v>
      </c>
      <c r="D45" s="22">
        <v>1</v>
      </c>
      <c r="E45" s="22">
        <v>0</v>
      </c>
      <c r="F45" s="22">
        <v>0</v>
      </c>
      <c r="G45" s="22">
        <v>0</v>
      </c>
      <c r="H45" s="38"/>
      <c r="I45" s="22">
        <v>0</v>
      </c>
      <c r="J45" s="22">
        <v>0</v>
      </c>
      <c r="K45" s="22">
        <v>0</v>
      </c>
      <c r="L45" s="22">
        <v>0</v>
      </c>
      <c r="M45" s="38" t="s">
        <v>100</v>
      </c>
      <c r="N45" s="19" t="s">
        <v>91</v>
      </c>
      <c r="O45" s="19" t="s">
        <v>38</v>
      </c>
      <c r="P45" s="22">
        <v>1</v>
      </c>
      <c r="Q45" s="39" t="s">
        <v>259</v>
      </c>
    </row>
    <row r="46" spans="1:17" ht="14.4">
      <c r="A46" s="13">
        <v>319</v>
      </c>
      <c r="B46" s="14" t="s">
        <v>274</v>
      </c>
      <c r="C46" s="34">
        <v>45526</v>
      </c>
      <c r="D46" s="17">
        <v>0</v>
      </c>
      <c r="E46" s="17">
        <v>0</v>
      </c>
      <c r="F46" s="17">
        <v>0</v>
      </c>
      <c r="G46" s="17">
        <v>0</v>
      </c>
      <c r="H46" s="35"/>
      <c r="I46" s="17">
        <v>1</v>
      </c>
      <c r="J46" s="17">
        <v>0</v>
      </c>
      <c r="K46" s="17">
        <v>0</v>
      </c>
      <c r="L46" s="17">
        <v>0</v>
      </c>
      <c r="M46" s="35" t="s">
        <v>100</v>
      </c>
      <c r="N46" s="14" t="s">
        <v>91</v>
      </c>
      <c r="O46" s="14" t="s">
        <v>38</v>
      </c>
      <c r="P46" s="14"/>
      <c r="Q46" s="36" t="s">
        <v>260</v>
      </c>
    </row>
    <row r="47" spans="1:17" ht="14.4">
      <c r="A47" s="26">
        <v>319</v>
      </c>
      <c r="B47" s="19" t="s">
        <v>274</v>
      </c>
      <c r="C47" s="37">
        <v>45526</v>
      </c>
      <c r="D47" s="22">
        <v>0</v>
      </c>
      <c r="E47" s="22">
        <v>0</v>
      </c>
      <c r="F47" s="22">
        <v>0</v>
      </c>
      <c r="G47" s="22">
        <v>0</v>
      </c>
      <c r="H47" s="38"/>
      <c r="I47" s="22">
        <v>0</v>
      </c>
      <c r="J47" s="22">
        <v>1</v>
      </c>
      <c r="K47" s="22">
        <v>0</v>
      </c>
      <c r="L47" s="22">
        <v>0</v>
      </c>
      <c r="M47" s="19" t="s">
        <v>100</v>
      </c>
      <c r="N47" s="19" t="s">
        <v>91</v>
      </c>
      <c r="O47" s="19" t="s">
        <v>44</v>
      </c>
      <c r="P47" s="19"/>
      <c r="Q47" s="39" t="s">
        <v>263</v>
      </c>
    </row>
    <row r="48" spans="1:17" ht="14.4">
      <c r="A48" s="13">
        <v>319</v>
      </c>
      <c r="B48" s="14" t="s">
        <v>274</v>
      </c>
      <c r="C48" s="34">
        <v>45526</v>
      </c>
      <c r="D48" s="17">
        <v>0</v>
      </c>
      <c r="E48" s="17">
        <v>0</v>
      </c>
      <c r="F48" s="17">
        <v>0</v>
      </c>
      <c r="G48" s="17">
        <v>0</v>
      </c>
      <c r="H48" s="35"/>
      <c r="I48" s="17">
        <v>0</v>
      </c>
      <c r="J48" s="17">
        <v>0</v>
      </c>
      <c r="K48" s="17">
        <v>1</v>
      </c>
      <c r="L48" s="17">
        <v>0</v>
      </c>
      <c r="M48" s="35" t="s">
        <v>100</v>
      </c>
      <c r="N48" s="14" t="s">
        <v>91</v>
      </c>
      <c r="O48" s="14" t="s">
        <v>90</v>
      </c>
      <c r="P48" s="14"/>
      <c r="Q48" s="36" t="s">
        <v>263</v>
      </c>
    </row>
    <row r="49" spans="1:17" ht="14.4">
      <c r="A49" s="26">
        <v>319</v>
      </c>
      <c r="B49" s="19" t="s">
        <v>274</v>
      </c>
      <c r="C49" s="37">
        <v>45526</v>
      </c>
      <c r="D49" s="22">
        <v>1</v>
      </c>
      <c r="E49" s="22">
        <v>0</v>
      </c>
      <c r="F49" s="22">
        <v>0</v>
      </c>
      <c r="G49" s="22">
        <v>0</v>
      </c>
      <c r="H49" s="38"/>
      <c r="I49" s="22">
        <v>0</v>
      </c>
      <c r="J49" s="22">
        <v>0</v>
      </c>
      <c r="K49" s="22">
        <v>0</v>
      </c>
      <c r="L49" s="22">
        <v>0</v>
      </c>
      <c r="M49" s="19" t="s">
        <v>100</v>
      </c>
      <c r="N49" s="19" t="s">
        <v>87</v>
      </c>
      <c r="O49" s="19" t="s">
        <v>37</v>
      </c>
      <c r="P49" s="22">
        <v>1</v>
      </c>
      <c r="Q49" s="39" t="s">
        <v>259</v>
      </c>
    </row>
    <row r="50" spans="1:17" ht="14.4">
      <c r="A50" s="13">
        <v>319</v>
      </c>
      <c r="B50" s="14" t="s">
        <v>274</v>
      </c>
      <c r="C50" s="34">
        <v>45526</v>
      </c>
      <c r="D50" s="17">
        <v>0</v>
      </c>
      <c r="E50" s="17">
        <v>0</v>
      </c>
      <c r="F50" s="17">
        <v>0</v>
      </c>
      <c r="G50" s="17">
        <v>0</v>
      </c>
      <c r="H50" s="35"/>
      <c r="I50" s="17">
        <v>0</v>
      </c>
      <c r="J50" s="17">
        <v>1</v>
      </c>
      <c r="K50" s="17">
        <v>0</v>
      </c>
      <c r="L50" s="17">
        <v>0</v>
      </c>
      <c r="M50" s="35" t="s">
        <v>100</v>
      </c>
      <c r="N50" s="14" t="s">
        <v>87</v>
      </c>
      <c r="O50" s="14" t="s">
        <v>37</v>
      </c>
      <c r="P50" s="14"/>
      <c r="Q50" s="36" t="s">
        <v>263</v>
      </c>
    </row>
    <row r="51" spans="1:17" ht="14.4">
      <c r="A51" s="26">
        <v>319</v>
      </c>
      <c r="B51" s="19" t="s">
        <v>274</v>
      </c>
      <c r="C51" s="37">
        <v>45526</v>
      </c>
      <c r="D51" s="22">
        <v>0</v>
      </c>
      <c r="E51" s="22">
        <v>2</v>
      </c>
      <c r="F51" s="22">
        <v>0</v>
      </c>
      <c r="G51" s="22">
        <v>0</v>
      </c>
      <c r="H51" s="21" t="s">
        <v>275</v>
      </c>
      <c r="I51" s="22">
        <v>0</v>
      </c>
      <c r="J51" s="22">
        <v>0</v>
      </c>
      <c r="K51" s="22">
        <v>0</v>
      </c>
      <c r="L51" s="22">
        <v>0</v>
      </c>
      <c r="M51" s="38" t="s">
        <v>100</v>
      </c>
      <c r="N51" s="19" t="s">
        <v>87</v>
      </c>
      <c r="O51" s="19" t="s">
        <v>60</v>
      </c>
      <c r="P51" s="19"/>
      <c r="Q51" s="39" t="s">
        <v>262</v>
      </c>
    </row>
    <row r="52" spans="1:17" ht="14.4">
      <c r="A52" s="13">
        <v>319</v>
      </c>
      <c r="B52" s="14" t="s">
        <v>274</v>
      </c>
      <c r="C52" s="34">
        <v>45526</v>
      </c>
      <c r="D52" s="17">
        <v>0</v>
      </c>
      <c r="E52" s="17">
        <v>1</v>
      </c>
      <c r="F52" s="17">
        <v>0</v>
      </c>
      <c r="G52" s="17">
        <v>0</v>
      </c>
      <c r="H52" s="16" t="s">
        <v>261</v>
      </c>
      <c r="I52" s="17">
        <v>0</v>
      </c>
      <c r="J52" s="17">
        <v>0</v>
      </c>
      <c r="K52" s="17">
        <v>0</v>
      </c>
      <c r="L52" s="17">
        <v>0</v>
      </c>
      <c r="M52" s="35" t="s">
        <v>100</v>
      </c>
      <c r="N52" s="14" t="s">
        <v>87</v>
      </c>
      <c r="O52" s="14" t="s">
        <v>51</v>
      </c>
      <c r="P52" s="14"/>
      <c r="Q52" s="36" t="s">
        <v>262</v>
      </c>
    </row>
    <row r="53" spans="1:17" ht="14.4">
      <c r="A53" s="26">
        <v>319</v>
      </c>
      <c r="B53" s="19" t="s">
        <v>274</v>
      </c>
      <c r="C53" s="37">
        <v>45526</v>
      </c>
      <c r="D53" s="22">
        <v>0</v>
      </c>
      <c r="E53" s="22">
        <v>0</v>
      </c>
      <c r="F53" s="22">
        <v>0</v>
      </c>
      <c r="G53" s="22">
        <v>0</v>
      </c>
      <c r="H53" s="38"/>
      <c r="I53" s="22">
        <v>0</v>
      </c>
      <c r="J53" s="22">
        <v>1</v>
      </c>
      <c r="K53" s="22">
        <v>1</v>
      </c>
      <c r="L53" s="22">
        <v>0</v>
      </c>
      <c r="M53" s="19" t="s">
        <v>100</v>
      </c>
      <c r="N53" s="19" t="s">
        <v>87</v>
      </c>
      <c r="O53" s="19" t="s">
        <v>98</v>
      </c>
      <c r="P53" s="19"/>
      <c r="Q53" s="39" t="s">
        <v>263</v>
      </c>
    </row>
    <row r="54" spans="1:17" ht="14.4">
      <c r="A54" s="13">
        <v>319</v>
      </c>
      <c r="B54" s="14" t="s">
        <v>274</v>
      </c>
      <c r="C54" s="34">
        <v>45526</v>
      </c>
      <c r="D54" s="17">
        <v>1</v>
      </c>
      <c r="E54" s="17">
        <v>0</v>
      </c>
      <c r="F54" s="17">
        <v>0</v>
      </c>
      <c r="G54" s="17">
        <v>0</v>
      </c>
      <c r="H54" s="35"/>
      <c r="I54" s="17">
        <v>0</v>
      </c>
      <c r="J54" s="17">
        <v>0</v>
      </c>
      <c r="K54" s="17">
        <v>0</v>
      </c>
      <c r="L54" s="17">
        <v>0</v>
      </c>
      <c r="M54" s="35" t="s">
        <v>100</v>
      </c>
      <c r="N54" s="14" t="s">
        <v>87</v>
      </c>
      <c r="O54" s="14" t="s">
        <v>89</v>
      </c>
      <c r="P54" s="17">
        <v>1</v>
      </c>
      <c r="Q54" s="36" t="s">
        <v>259</v>
      </c>
    </row>
    <row r="55" spans="1:17" ht="14.4">
      <c r="A55" s="26">
        <v>319</v>
      </c>
      <c r="B55" s="19" t="s">
        <v>274</v>
      </c>
      <c r="C55" s="37">
        <v>45526</v>
      </c>
      <c r="D55" s="22">
        <v>0</v>
      </c>
      <c r="E55" s="22">
        <v>0</v>
      </c>
      <c r="F55" s="22">
        <v>0</v>
      </c>
      <c r="G55" s="22">
        <v>0</v>
      </c>
      <c r="H55" s="38"/>
      <c r="I55" s="22">
        <v>1</v>
      </c>
      <c r="J55" s="22">
        <v>0</v>
      </c>
      <c r="K55" s="22">
        <v>0</v>
      </c>
      <c r="L55" s="22">
        <v>0</v>
      </c>
      <c r="M55" s="38" t="s">
        <v>100</v>
      </c>
      <c r="N55" s="19" t="s">
        <v>87</v>
      </c>
      <c r="O55" s="19" t="s">
        <v>89</v>
      </c>
      <c r="P55" s="19"/>
      <c r="Q55" s="39" t="s">
        <v>260</v>
      </c>
    </row>
    <row r="56" spans="1:17" ht="14.4">
      <c r="A56" s="13">
        <v>319</v>
      </c>
      <c r="B56" s="14" t="s">
        <v>274</v>
      </c>
      <c r="C56" s="34">
        <v>45526</v>
      </c>
      <c r="D56" s="17">
        <v>0</v>
      </c>
      <c r="E56" s="17">
        <v>0</v>
      </c>
      <c r="F56" s="17">
        <v>0</v>
      </c>
      <c r="G56" s="17">
        <v>0</v>
      </c>
      <c r="H56" s="35"/>
      <c r="I56" s="17">
        <v>0</v>
      </c>
      <c r="J56" s="17">
        <v>1</v>
      </c>
      <c r="K56" s="17">
        <v>2</v>
      </c>
      <c r="L56" s="17">
        <v>0</v>
      </c>
      <c r="M56" s="35" t="s">
        <v>100</v>
      </c>
      <c r="N56" s="14" t="s">
        <v>87</v>
      </c>
      <c r="O56" s="14" t="s">
        <v>89</v>
      </c>
      <c r="P56" s="14"/>
      <c r="Q56" s="36" t="s">
        <v>263</v>
      </c>
    </row>
    <row r="57" spans="1:17" ht="14.4">
      <c r="A57" s="26">
        <v>319</v>
      </c>
      <c r="B57" s="19" t="s">
        <v>274</v>
      </c>
      <c r="C57" s="37">
        <v>45526</v>
      </c>
      <c r="D57" s="22">
        <v>1</v>
      </c>
      <c r="E57" s="22">
        <v>0</v>
      </c>
      <c r="F57" s="22">
        <v>0</v>
      </c>
      <c r="G57" s="22">
        <v>0</v>
      </c>
      <c r="H57" s="38"/>
      <c r="I57" s="22">
        <v>0</v>
      </c>
      <c r="J57" s="22">
        <v>0</v>
      </c>
      <c r="K57" s="22">
        <v>0</v>
      </c>
      <c r="L57" s="22">
        <v>0</v>
      </c>
      <c r="M57" s="38" t="s">
        <v>100</v>
      </c>
      <c r="N57" s="19" t="s">
        <v>87</v>
      </c>
      <c r="O57" s="19" t="s">
        <v>59</v>
      </c>
      <c r="P57" s="22">
        <v>1</v>
      </c>
      <c r="Q57" s="39" t="s">
        <v>259</v>
      </c>
    </row>
    <row r="58" spans="1:17" ht="14.4">
      <c r="A58" s="13">
        <v>336</v>
      </c>
      <c r="B58" s="14" t="s">
        <v>276</v>
      </c>
      <c r="C58" s="34">
        <v>45526</v>
      </c>
      <c r="D58" s="17">
        <v>1</v>
      </c>
      <c r="E58" s="17">
        <v>0</v>
      </c>
      <c r="F58" s="17">
        <v>0</v>
      </c>
      <c r="G58" s="17">
        <v>0</v>
      </c>
      <c r="H58" s="35"/>
      <c r="I58" s="17">
        <v>0</v>
      </c>
      <c r="J58" s="17">
        <v>0</v>
      </c>
      <c r="K58" s="17">
        <v>0</v>
      </c>
      <c r="L58" s="17">
        <v>0</v>
      </c>
      <c r="M58" s="35" t="s">
        <v>100</v>
      </c>
      <c r="N58" s="14" t="s">
        <v>91</v>
      </c>
      <c r="O58" s="14" t="s">
        <v>47</v>
      </c>
      <c r="P58" s="14"/>
      <c r="Q58" s="36" t="s">
        <v>259</v>
      </c>
    </row>
    <row r="59" spans="1:17" ht="14.4">
      <c r="A59" s="26">
        <v>341</v>
      </c>
      <c r="B59" s="19" t="s">
        <v>277</v>
      </c>
      <c r="C59" s="37">
        <v>45526</v>
      </c>
      <c r="D59" s="22">
        <v>1</v>
      </c>
      <c r="E59" s="22">
        <v>0</v>
      </c>
      <c r="F59" s="22">
        <v>0</v>
      </c>
      <c r="G59" s="22">
        <v>0</v>
      </c>
      <c r="H59" s="38"/>
      <c r="I59" s="22">
        <v>0</v>
      </c>
      <c r="J59" s="22">
        <v>0</v>
      </c>
      <c r="K59" s="22">
        <v>0</v>
      </c>
      <c r="L59" s="22">
        <v>0</v>
      </c>
      <c r="M59" s="19" t="s">
        <v>100</v>
      </c>
      <c r="N59" s="19" t="s">
        <v>87</v>
      </c>
      <c r="O59" s="19" t="s">
        <v>89</v>
      </c>
      <c r="P59" s="22">
        <v>1</v>
      </c>
      <c r="Q59" s="39" t="s">
        <v>259</v>
      </c>
    </row>
    <row r="60" spans="1:17" ht="14.4">
      <c r="A60" s="13">
        <v>670</v>
      </c>
      <c r="B60" s="14" t="s">
        <v>278</v>
      </c>
      <c r="C60" s="34">
        <v>45526</v>
      </c>
      <c r="D60" s="17">
        <v>0</v>
      </c>
      <c r="E60" s="17">
        <v>1</v>
      </c>
      <c r="F60" s="17">
        <v>0</v>
      </c>
      <c r="G60" s="17">
        <v>0</v>
      </c>
      <c r="H60" s="16" t="s">
        <v>279</v>
      </c>
      <c r="I60" s="17">
        <v>0</v>
      </c>
      <c r="J60" s="17">
        <v>0</v>
      </c>
      <c r="K60" s="17">
        <v>0</v>
      </c>
      <c r="L60" s="17">
        <v>0</v>
      </c>
      <c r="M60" s="35" t="s">
        <v>100</v>
      </c>
      <c r="N60" s="14" t="s">
        <v>87</v>
      </c>
      <c r="O60" s="14" t="s">
        <v>51</v>
      </c>
      <c r="P60" s="14"/>
      <c r="Q60" s="36" t="s">
        <v>262</v>
      </c>
    </row>
    <row r="61" spans="1:17" ht="14.4">
      <c r="A61" s="26">
        <v>670</v>
      </c>
      <c r="B61" s="19" t="s">
        <v>278</v>
      </c>
      <c r="C61" s="37">
        <v>45526</v>
      </c>
      <c r="D61" s="22">
        <v>1</v>
      </c>
      <c r="E61" s="22">
        <v>0</v>
      </c>
      <c r="F61" s="22">
        <v>0</v>
      </c>
      <c r="G61" s="22">
        <v>0</v>
      </c>
      <c r="H61" s="38"/>
      <c r="I61" s="22">
        <v>0</v>
      </c>
      <c r="J61" s="22">
        <v>0</v>
      </c>
      <c r="K61" s="22">
        <v>0</v>
      </c>
      <c r="L61" s="22">
        <v>0</v>
      </c>
      <c r="M61" s="38" t="s">
        <v>100</v>
      </c>
      <c r="N61" s="19" t="s">
        <v>87</v>
      </c>
      <c r="O61" s="19" t="s">
        <v>89</v>
      </c>
      <c r="P61" s="19"/>
      <c r="Q61" s="39" t="s">
        <v>259</v>
      </c>
    </row>
    <row r="62" spans="1:17" ht="14.4">
      <c r="A62" s="13">
        <v>601</v>
      </c>
      <c r="B62" s="14" t="s">
        <v>280</v>
      </c>
      <c r="C62" s="34">
        <v>45526</v>
      </c>
      <c r="D62" s="17">
        <v>1</v>
      </c>
      <c r="E62" s="17">
        <v>0</v>
      </c>
      <c r="F62" s="17">
        <v>0</v>
      </c>
      <c r="G62" s="17">
        <v>0</v>
      </c>
      <c r="H62" s="35"/>
      <c r="I62" s="17">
        <v>0</v>
      </c>
      <c r="J62" s="17">
        <v>0</v>
      </c>
      <c r="K62" s="17">
        <v>0</v>
      </c>
      <c r="L62" s="17">
        <v>0</v>
      </c>
      <c r="M62" s="35" t="s">
        <v>100</v>
      </c>
      <c r="N62" s="14" t="s">
        <v>91</v>
      </c>
      <c r="O62" s="14" t="s">
        <v>38</v>
      </c>
      <c r="P62" s="17">
        <v>1</v>
      </c>
      <c r="Q62" s="36" t="s">
        <v>259</v>
      </c>
    </row>
    <row r="63" spans="1:17" ht="14.4">
      <c r="A63" s="26">
        <v>601</v>
      </c>
      <c r="B63" s="19" t="s">
        <v>280</v>
      </c>
      <c r="C63" s="37">
        <v>45526</v>
      </c>
      <c r="D63" s="22">
        <v>0</v>
      </c>
      <c r="E63" s="22">
        <v>0</v>
      </c>
      <c r="F63" s="22">
        <v>0</v>
      </c>
      <c r="G63" s="22">
        <v>0</v>
      </c>
      <c r="H63" s="38"/>
      <c r="I63" s="22">
        <v>1</v>
      </c>
      <c r="J63" s="22">
        <v>0</v>
      </c>
      <c r="K63" s="22">
        <v>0</v>
      </c>
      <c r="L63" s="22">
        <v>0</v>
      </c>
      <c r="M63" s="38" t="s">
        <v>100</v>
      </c>
      <c r="N63" s="19" t="s">
        <v>91</v>
      </c>
      <c r="O63" s="19" t="s">
        <v>38</v>
      </c>
      <c r="P63" s="19"/>
      <c r="Q63" s="39" t="s">
        <v>260</v>
      </c>
    </row>
    <row r="64" spans="1:17" ht="14.4">
      <c r="A64" s="13">
        <v>601</v>
      </c>
      <c r="B64" s="14" t="s">
        <v>280</v>
      </c>
      <c r="C64" s="34">
        <v>45526</v>
      </c>
      <c r="D64" s="17">
        <v>0</v>
      </c>
      <c r="E64" s="17">
        <v>0</v>
      </c>
      <c r="F64" s="17">
        <v>0</v>
      </c>
      <c r="G64" s="17">
        <v>0</v>
      </c>
      <c r="H64" s="35"/>
      <c r="I64" s="17">
        <v>0</v>
      </c>
      <c r="J64" s="17">
        <v>0</v>
      </c>
      <c r="K64" s="17">
        <v>3</v>
      </c>
      <c r="L64" s="17">
        <v>0</v>
      </c>
      <c r="M64" s="35" t="s">
        <v>100</v>
      </c>
      <c r="N64" s="14" t="s">
        <v>91</v>
      </c>
      <c r="O64" s="14" t="s">
        <v>44</v>
      </c>
      <c r="P64" s="14"/>
      <c r="Q64" s="36" t="s">
        <v>263</v>
      </c>
    </row>
    <row r="65" spans="1:17" ht="14.4">
      <c r="A65" s="26">
        <v>601</v>
      </c>
      <c r="B65" s="19" t="s">
        <v>280</v>
      </c>
      <c r="C65" s="37">
        <v>45526</v>
      </c>
      <c r="D65" s="22">
        <v>0</v>
      </c>
      <c r="E65" s="22">
        <v>1</v>
      </c>
      <c r="F65" s="22">
        <v>0</v>
      </c>
      <c r="G65" s="22">
        <v>0</v>
      </c>
      <c r="H65" s="21" t="s">
        <v>273</v>
      </c>
      <c r="I65" s="22">
        <v>0</v>
      </c>
      <c r="J65" s="22">
        <v>0</v>
      </c>
      <c r="K65" s="22">
        <v>0</v>
      </c>
      <c r="L65" s="22">
        <v>0</v>
      </c>
      <c r="M65" s="38" t="s">
        <v>100</v>
      </c>
      <c r="N65" s="19" t="s">
        <v>87</v>
      </c>
      <c r="O65" s="19" t="s">
        <v>46</v>
      </c>
      <c r="P65" s="19"/>
      <c r="Q65" s="39" t="s">
        <v>262</v>
      </c>
    </row>
    <row r="66" spans="1:17" ht="14.4">
      <c r="A66" s="13">
        <v>645</v>
      </c>
      <c r="B66" s="14" t="s">
        <v>281</v>
      </c>
      <c r="C66" s="34">
        <v>45526</v>
      </c>
      <c r="D66" s="17">
        <v>1</v>
      </c>
      <c r="E66" s="17">
        <v>0</v>
      </c>
      <c r="F66" s="17">
        <v>0</v>
      </c>
      <c r="G66" s="17">
        <v>0</v>
      </c>
      <c r="H66" s="35"/>
      <c r="I66" s="17">
        <v>0</v>
      </c>
      <c r="J66" s="17">
        <v>0</v>
      </c>
      <c r="K66" s="17">
        <v>0</v>
      </c>
      <c r="L66" s="17">
        <v>0</v>
      </c>
      <c r="M66" s="14" t="s">
        <v>100</v>
      </c>
      <c r="N66" s="14" t="s">
        <v>87</v>
      </c>
      <c r="O66" s="14" t="s">
        <v>43</v>
      </c>
      <c r="P66" s="17">
        <v>1</v>
      </c>
      <c r="Q66" s="36" t="s">
        <v>259</v>
      </c>
    </row>
    <row r="67" spans="1:17" ht="14.4">
      <c r="A67" s="26">
        <v>545</v>
      </c>
      <c r="B67" s="19" t="s">
        <v>282</v>
      </c>
      <c r="C67" s="37">
        <v>45526</v>
      </c>
      <c r="D67" s="22">
        <v>1</v>
      </c>
      <c r="E67" s="22">
        <v>0</v>
      </c>
      <c r="F67" s="22">
        <v>0</v>
      </c>
      <c r="G67" s="22">
        <v>0</v>
      </c>
      <c r="H67" s="38"/>
      <c r="I67" s="22">
        <v>0</v>
      </c>
      <c r="J67" s="22">
        <v>0</v>
      </c>
      <c r="K67" s="22">
        <v>0</v>
      </c>
      <c r="L67" s="22">
        <v>0</v>
      </c>
      <c r="M67" s="38" t="s">
        <v>100</v>
      </c>
      <c r="N67" s="19" t="s">
        <v>91</v>
      </c>
      <c r="O67" s="19" t="s">
        <v>38</v>
      </c>
      <c r="P67" s="22">
        <v>1</v>
      </c>
      <c r="Q67" s="39" t="s">
        <v>259</v>
      </c>
    </row>
    <row r="68" spans="1:17" ht="14.4">
      <c r="A68" s="13">
        <v>545</v>
      </c>
      <c r="B68" s="14" t="s">
        <v>282</v>
      </c>
      <c r="C68" s="34">
        <v>45526</v>
      </c>
      <c r="D68" s="17">
        <v>0</v>
      </c>
      <c r="E68" s="17">
        <v>0</v>
      </c>
      <c r="F68" s="17">
        <v>0</v>
      </c>
      <c r="G68" s="17">
        <v>0</v>
      </c>
      <c r="H68" s="35"/>
      <c r="I68" s="17">
        <v>0</v>
      </c>
      <c r="J68" s="17">
        <v>1</v>
      </c>
      <c r="K68" s="17">
        <v>0</v>
      </c>
      <c r="L68" s="17">
        <v>0</v>
      </c>
      <c r="M68" s="35" t="s">
        <v>100</v>
      </c>
      <c r="N68" s="14" t="s">
        <v>91</v>
      </c>
      <c r="O68" s="14" t="s">
        <v>38</v>
      </c>
      <c r="P68" s="14"/>
      <c r="Q68" s="36" t="s">
        <v>263</v>
      </c>
    </row>
    <row r="69" spans="1:17" ht="14.4">
      <c r="A69" s="26">
        <v>545</v>
      </c>
      <c r="B69" s="19" t="s">
        <v>282</v>
      </c>
      <c r="C69" s="37">
        <v>45526</v>
      </c>
      <c r="D69" s="22">
        <v>0</v>
      </c>
      <c r="E69" s="22">
        <v>1</v>
      </c>
      <c r="F69" s="22">
        <v>0</v>
      </c>
      <c r="G69" s="22">
        <v>0</v>
      </c>
      <c r="H69" s="21" t="s">
        <v>272</v>
      </c>
      <c r="I69" s="22">
        <v>0</v>
      </c>
      <c r="J69" s="22">
        <v>0</v>
      </c>
      <c r="K69" s="22">
        <v>0</v>
      </c>
      <c r="L69" s="22">
        <v>0</v>
      </c>
      <c r="M69" s="19" t="s">
        <v>100</v>
      </c>
      <c r="N69" s="19" t="s">
        <v>91</v>
      </c>
      <c r="O69" s="19" t="s">
        <v>44</v>
      </c>
      <c r="P69" s="19"/>
      <c r="Q69" s="39" t="s">
        <v>262</v>
      </c>
    </row>
    <row r="70" spans="1:17" ht="14.4">
      <c r="A70" s="13">
        <v>545</v>
      </c>
      <c r="B70" s="14" t="s">
        <v>282</v>
      </c>
      <c r="C70" s="34">
        <v>45526</v>
      </c>
      <c r="D70" s="17">
        <v>1</v>
      </c>
      <c r="E70" s="17">
        <v>0</v>
      </c>
      <c r="F70" s="17">
        <v>0</v>
      </c>
      <c r="G70" s="17">
        <v>0</v>
      </c>
      <c r="H70" s="35"/>
      <c r="I70" s="17">
        <v>0</v>
      </c>
      <c r="J70" s="17">
        <v>0</v>
      </c>
      <c r="K70" s="17">
        <v>0</v>
      </c>
      <c r="L70" s="17">
        <v>0</v>
      </c>
      <c r="M70" s="35" t="s">
        <v>100</v>
      </c>
      <c r="N70" s="14" t="s">
        <v>91</v>
      </c>
      <c r="O70" s="14" t="s">
        <v>44</v>
      </c>
      <c r="P70" s="17">
        <v>1</v>
      </c>
      <c r="Q70" s="36" t="s">
        <v>259</v>
      </c>
    </row>
    <row r="71" spans="1:17" ht="14.4">
      <c r="A71" s="26">
        <v>545</v>
      </c>
      <c r="B71" s="19" t="s">
        <v>282</v>
      </c>
      <c r="C71" s="37">
        <v>45526</v>
      </c>
      <c r="D71" s="22">
        <v>0</v>
      </c>
      <c r="E71" s="22">
        <v>0</v>
      </c>
      <c r="F71" s="22">
        <v>0</v>
      </c>
      <c r="G71" s="22">
        <v>0</v>
      </c>
      <c r="H71" s="38"/>
      <c r="I71" s="22">
        <v>1</v>
      </c>
      <c r="J71" s="22">
        <v>0</v>
      </c>
      <c r="K71" s="22">
        <v>0</v>
      </c>
      <c r="L71" s="22">
        <v>0</v>
      </c>
      <c r="M71" s="38" t="s">
        <v>100</v>
      </c>
      <c r="N71" s="19" t="s">
        <v>91</v>
      </c>
      <c r="O71" s="19" t="s">
        <v>44</v>
      </c>
      <c r="P71" s="19"/>
      <c r="Q71" s="39" t="s">
        <v>260</v>
      </c>
    </row>
    <row r="72" spans="1:17" ht="14.4">
      <c r="A72" s="13">
        <v>545</v>
      </c>
      <c r="B72" s="14" t="s">
        <v>282</v>
      </c>
      <c r="C72" s="34">
        <v>45526</v>
      </c>
      <c r="D72" s="17">
        <v>2</v>
      </c>
      <c r="E72" s="17">
        <v>0</v>
      </c>
      <c r="F72" s="17">
        <v>0</v>
      </c>
      <c r="G72" s="17">
        <v>0</v>
      </c>
      <c r="H72" s="35"/>
      <c r="I72" s="17">
        <v>0</v>
      </c>
      <c r="J72" s="17">
        <v>0</v>
      </c>
      <c r="K72" s="17">
        <v>0</v>
      </c>
      <c r="L72" s="17">
        <v>0</v>
      </c>
      <c r="M72" s="35" t="s">
        <v>100</v>
      </c>
      <c r="N72" s="14" t="s">
        <v>91</v>
      </c>
      <c r="O72" s="14" t="s">
        <v>47</v>
      </c>
      <c r="P72" s="17">
        <v>1</v>
      </c>
      <c r="Q72" s="36" t="s">
        <v>259</v>
      </c>
    </row>
    <row r="73" spans="1:17" ht="14.4">
      <c r="A73" s="26">
        <v>545</v>
      </c>
      <c r="B73" s="19" t="s">
        <v>282</v>
      </c>
      <c r="C73" s="37">
        <v>45526</v>
      </c>
      <c r="D73" s="22">
        <v>0</v>
      </c>
      <c r="E73" s="22">
        <v>0</v>
      </c>
      <c r="F73" s="22">
        <v>0</v>
      </c>
      <c r="G73" s="22">
        <v>0</v>
      </c>
      <c r="H73" s="38"/>
      <c r="I73" s="22">
        <v>0</v>
      </c>
      <c r="J73" s="22">
        <v>1</v>
      </c>
      <c r="K73" s="22">
        <v>0</v>
      </c>
      <c r="L73" s="22">
        <v>0</v>
      </c>
      <c r="M73" s="19" t="s">
        <v>100</v>
      </c>
      <c r="N73" s="19" t="s">
        <v>91</v>
      </c>
      <c r="O73" s="19" t="s">
        <v>47</v>
      </c>
      <c r="P73" s="19"/>
      <c r="Q73" s="39" t="s">
        <v>263</v>
      </c>
    </row>
    <row r="74" spans="1:17" ht="14.4">
      <c r="A74" s="13">
        <v>545</v>
      </c>
      <c r="B74" s="14" t="s">
        <v>282</v>
      </c>
      <c r="C74" s="34">
        <v>45526</v>
      </c>
      <c r="D74" s="17">
        <v>0</v>
      </c>
      <c r="E74" s="17">
        <v>1</v>
      </c>
      <c r="F74" s="17">
        <v>0</v>
      </c>
      <c r="G74" s="17">
        <v>0</v>
      </c>
      <c r="H74" s="16" t="s">
        <v>283</v>
      </c>
      <c r="I74" s="17">
        <v>0</v>
      </c>
      <c r="J74" s="17">
        <v>0</v>
      </c>
      <c r="K74" s="17">
        <v>0</v>
      </c>
      <c r="L74" s="17">
        <v>0</v>
      </c>
      <c r="M74" s="35" t="s">
        <v>100</v>
      </c>
      <c r="N74" s="14" t="s">
        <v>91</v>
      </c>
      <c r="O74" s="14" t="s">
        <v>90</v>
      </c>
      <c r="P74" s="14"/>
      <c r="Q74" s="36" t="s">
        <v>262</v>
      </c>
    </row>
    <row r="75" spans="1:17" ht="14.4">
      <c r="A75" s="26">
        <v>545</v>
      </c>
      <c r="B75" s="19" t="s">
        <v>282</v>
      </c>
      <c r="C75" s="37">
        <v>45526</v>
      </c>
      <c r="D75" s="22">
        <v>1</v>
      </c>
      <c r="E75" s="22">
        <v>0</v>
      </c>
      <c r="F75" s="22">
        <v>0</v>
      </c>
      <c r="G75" s="22">
        <v>0</v>
      </c>
      <c r="H75" s="38"/>
      <c r="I75" s="22">
        <v>0</v>
      </c>
      <c r="J75" s="22">
        <v>0</v>
      </c>
      <c r="K75" s="22">
        <v>0</v>
      </c>
      <c r="L75" s="22">
        <v>0</v>
      </c>
      <c r="M75" s="38" t="s">
        <v>100</v>
      </c>
      <c r="N75" s="19" t="s">
        <v>87</v>
      </c>
      <c r="O75" s="19" t="s">
        <v>37</v>
      </c>
      <c r="P75" s="19"/>
      <c r="Q75" s="39" t="s">
        <v>259</v>
      </c>
    </row>
    <row r="76" spans="1:17" ht="14.4">
      <c r="A76" s="13">
        <v>545</v>
      </c>
      <c r="B76" s="14" t="s">
        <v>282</v>
      </c>
      <c r="C76" s="34">
        <v>45526</v>
      </c>
      <c r="D76" s="17">
        <v>0</v>
      </c>
      <c r="E76" s="17">
        <v>0</v>
      </c>
      <c r="F76" s="17">
        <v>0</v>
      </c>
      <c r="G76" s="17">
        <v>0</v>
      </c>
      <c r="H76" s="35"/>
      <c r="I76" s="17">
        <v>0</v>
      </c>
      <c r="J76" s="17">
        <v>1</v>
      </c>
      <c r="K76" s="17">
        <v>0</v>
      </c>
      <c r="L76" s="17">
        <v>0</v>
      </c>
      <c r="M76" s="35" t="s">
        <v>100</v>
      </c>
      <c r="N76" s="14" t="s">
        <v>87</v>
      </c>
      <c r="O76" s="14" t="s">
        <v>37</v>
      </c>
      <c r="P76" s="14"/>
      <c r="Q76" s="36" t="s">
        <v>263</v>
      </c>
    </row>
    <row r="77" spans="1:17" ht="14.4">
      <c r="A77" s="26">
        <v>545</v>
      </c>
      <c r="B77" s="19" t="s">
        <v>282</v>
      </c>
      <c r="C77" s="37">
        <v>45526</v>
      </c>
      <c r="D77" s="22">
        <v>5</v>
      </c>
      <c r="E77" s="22">
        <v>0</v>
      </c>
      <c r="F77" s="22">
        <v>0</v>
      </c>
      <c r="G77" s="22">
        <v>0</v>
      </c>
      <c r="H77" s="38"/>
      <c r="I77" s="22">
        <v>0</v>
      </c>
      <c r="J77" s="22">
        <v>0</v>
      </c>
      <c r="K77" s="22">
        <v>0</v>
      </c>
      <c r="L77" s="22">
        <v>0</v>
      </c>
      <c r="M77" s="38" t="s">
        <v>100</v>
      </c>
      <c r="N77" s="19" t="s">
        <v>87</v>
      </c>
      <c r="O77" s="19" t="s">
        <v>43</v>
      </c>
      <c r="P77" s="22">
        <v>3</v>
      </c>
      <c r="Q77" s="39" t="s">
        <v>259</v>
      </c>
    </row>
    <row r="78" spans="1:17" ht="14.4">
      <c r="A78" s="13">
        <v>545</v>
      </c>
      <c r="B78" s="14" t="s">
        <v>282</v>
      </c>
      <c r="C78" s="34">
        <v>45526</v>
      </c>
      <c r="D78" s="17">
        <v>0</v>
      </c>
      <c r="E78" s="17">
        <v>0</v>
      </c>
      <c r="F78" s="17">
        <v>0</v>
      </c>
      <c r="G78" s="17">
        <v>0</v>
      </c>
      <c r="H78" s="35"/>
      <c r="I78" s="17">
        <v>0</v>
      </c>
      <c r="J78" s="17">
        <v>1</v>
      </c>
      <c r="K78" s="17">
        <v>0</v>
      </c>
      <c r="L78" s="17">
        <v>0</v>
      </c>
      <c r="M78" s="35" t="s">
        <v>100</v>
      </c>
      <c r="N78" s="14" t="s">
        <v>87</v>
      </c>
      <c r="O78" s="14" t="s">
        <v>43</v>
      </c>
      <c r="P78" s="14"/>
      <c r="Q78" s="36" t="s">
        <v>263</v>
      </c>
    </row>
    <row r="79" spans="1:17" ht="14.4">
      <c r="A79" s="26">
        <v>545</v>
      </c>
      <c r="B79" s="19" t="s">
        <v>282</v>
      </c>
      <c r="C79" s="37">
        <v>45526</v>
      </c>
      <c r="D79" s="22">
        <v>1</v>
      </c>
      <c r="E79" s="22">
        <v>0</v>
      </c>
      <c r="F79" s="22">
        <v>0</v>
      </c>
      <c r="G79" s="22">
        <v>0</v>
      </c>
      <c r="H79" s="38"/>
      <c r="I79" s="22">
        <v>0</v>
      </c>
      <c r="J79" s="22">
        <v>0</v>
      </c>
      <c r="K79" s="22">
        <v>0</v>
      </c>
      <c r="L79" s="22">
        <v>0</v>
      </c>
      <c r="M79" s="38" t="s">
        <v>100</v>
      </c>
      <c r="N79" s="19" t="s">
        <v>87</v>
      </c>
      <c r="O79" s="19" t="s">
        <v>60</v>
      </c>
      <c r="P79" s="19"/>
      <c r="Q79" s="39" t="s">
        <v>259</v>
      </c>
    </row>
    <row r="80" spans="1:17" ht="14.4">
      <c r="A80" s="13">
        <v>545</v>
      </c>
      <c r="B80" s="14" t="s">
        <v>282</v>
      </c>
      <c r="C80" s="34">
        <v>45526</v>
      </c>
      <c r="D80" s="17">
        <v>1</v>
      </c>
      <c r="E80" s="17">
        <v>0</v>
      </c>
      <c r="F80" s="17">
        <v>0</v>
      </c>
      <c r="G80" s="17">
        <v>0</v>
      </c>
      <c r="H80" s="35"/>
      <c r="I80" s="17">
        <v>0</v>
      </c>
      <c r="J80" s="17">
        <v>0</v>
      </c>
      <c r="K80" s="17">
        <v>0</v>
      </c>
      <c r="L80" s="17">
        <v>0</v>
      </c>
      <c r="M80" s="14" t="s">
        <v>100</v>
      </c>
      <c r="N80" s="14" t="s">
        <v>87</v>
      </c>
      <c r="O80" s="14" t="s">
        <v>98</v>
      </c>
      <c r="P80" s="14"/>
      <c r="Q80" s="36" t="s">
        <v>259</v>
      </c>
    </row>
    <row r="81" spans="1:17" ht="14.4">
      <c r="A81" s="26">
        <v>545</v>
      </c>
      <c r="B81" s="19" t="s">
        <v>282</v>
      </c>
      <c r="C81" s="37">
        <v>45526</v>
      </c>
      <c r="D81" s="22">
        <v>0</v>
      </c>
      <c r="E81" s="22">
        <v>0</v>
      </c>
      <c r="F81" s="22">
        <v>0</v>
      </c>
      <c r="G81" s="22">
        <v>0</v>
      </c>
      <c r="H81" s="38"/>
      <c r="I81" s="22">
        <v>0</v>
      </c>
      <c r="J81" s="22">
        <v>0</v>
      </c>
      <c r="K81" s="22">
        <v>0</v>
      </c>
      <c r="L81" s="22">
        <v>1</v>
      </c>
      <c r="M81" s="38" t="s">
        <v>100</v>
      </c>
      <c r="N81" s="19" t="s">
        <v>87</v>
      </c>
      <c r="O81" s="19" t="s">
        <v>89</v>
      </c>
      <c r="P81" s="19"/>
      <c r="Q81" s="39" t="s">
        <v>284</v>
      </c>
    </row>
    <row r="82" spans="1:17" ht="14.4">
      <c r="A82" s="13">
        <v>545</v>
      </c>
      <c r="B82" s="14" t="s">
        <v>282</v>
      </c>
      <c r="C82" s="34">
        <v>45526</v>
      </c>
      <c r="D82" s="17">
        <v>1</v>
      </c>
      <c r="E82" s="17">
        <v>0</v>
      </c>
      <c r="F82" s="17">
        <v>0</v>
      </c>
      <c r="G82" s="17">
        <v>0</v>
      </c>
      <c r="H82" s="35"/>
      <c r="I82" s="17">
        <v>0</v>
      </c>
      <c r="J82" s="17">
        <v>0</v>
      </c>
      <c r="K82" s="17">
        <v>0</v>
      </c>
      <c r="L82" s="17">
        <v>0</v>
      </c>
      <c r="M82" s="35" t="s">
        <v>100</v>
      </c>
      <c r="N82" s="14" t="s">
        <v>87</v>
      </c>
      <c r="O82" s="14" t="s">
        <v>89</v>
      </c>
      <c r="P82" s="17">
        <v>1</v>
      </c>
      <c r="Q82" s="36" t="s">
        <v>259</v>
      </c>
    </row>
    <row r="83" spans="1:17" ht="14.4">
      <c r="A83" s="26">
        <v>545</v>
      </c>
      <c r="B83" s="19" t="s">
        <v>282</v>
      </c>
      <c r="C83" s="37">
        <v>45526</v>
      </c>
      <c r="D83" s="22">
        <v>0</v>
      </c>
      <c r="E83" s="22">
        <v>0</v>
      </c>
      <c r="F83" s="22">
        <v>0</v>
      </c>
      <c r="G83" s="22">
        <v>0</v>
      </c>
      <c r="H83" s="38"/>
      <c r="I83" s="22">
        <v>0</v>
      </c>
      <c r="J83" s="22">
        <v>1</v>
      </c>
      <c r="K83" s="22">
        <v>0</v>
      </c>
      <c r="L83" s="22">
        <v>0</v>
      </c>
      <c r="M83" s="38" t="s">
        <v>100</v>
      </c>
      <c r="N83" s="19" t="s">
        <v>87</v>
      </c>
      <c r="O83" s="19" t="s">
        <v>89</v>
      </c>
      <c r="P83" s="19"/>
      <c r="Q83" s="39" t="s">
        <v>263</v>
      </c>
    </row>
    <row r="84" spans="1:17" ht="14.4">
      <c r="A84" s="13">
        <v>545</v>
      </c>
      <c r="B84" s="14" t="s">
        <v>282</v>
      </c>
      <c r="C84" s="34">
        <v>45526</v>
      </c>
      <c r="D84" s="17">
        <v>0</v>
      </c>
      <c r="E84" s="17">
        <v>1</v>
      </c>
      <c r="F84" s="17">
        <v>0</v>
      </c>
      <c r="G84" s="17">
        <v>0</v>
      </c>
      <c r="H84" s="16" t="s">
        <v>261</v>
      </c>
      <c r="I84" s="17">
        <v>0</v>
      </c>
      <c r="J84" s="17">
        <v>0</v>
      </c>
      <c r="K84" s="17">
        <v>0</v>
      </c>
      <c r="L84" s="17">
        <v>0</v>
      </c>
      <c r="M84" s="35" t="s">
        <v>100</v>
      </c>
      <c r="N84" s="14" t="s">
        <v>87</v>
      </c>
      <c r="O84" s="14" t="s">
        <v>57</v>
      </c>
      <c r="P84" s="14"/>
      <c r="Q84" s="36" t="s">
        <v>262</v>
      </c>
    </row>
    <row r="85" spans="1:17" ht="14.4">
      <c r="A85" s="26">
        <v>545</v>
      </c>
      <c r="B85" s="19" t="s">
        <v>282</v>
      </c>
      <c r="C85" s="37">
        <v>45526</v>
      </c>
      <c r="D85" s="22">
        <v>1</v>
      </c>
      <c r="E85" s="22">
        <v>0</v>
      </c>
      <c r="F85" s="22">
        <v>0</v>
      </c>
      <c r="G85" s="22">
        <v>0</v>
      </c>
      <c r="H85" s="38"/>
      <c r="I85" s="22">
        <v>0</v>
      </c>
      <c r="J85" s="22">
        <v>0</v>
      </c>
      <c r="K85" s="22">
        <v>0</v>
      </c>
      <c r="L85" s="22">
        <v>0</v>
      </c>
      <c r="M85" s="19" t="s">
        <v>100</v>
      </c>
      <c r="N85" s="19" t="s">
        <v>87</v>
      </c>
      <c r="O85" s="19" t="s">
        <v>57</v>
      </c>
      <c r="P85" s="22">
        <v>1</v>
      </c>
      <c r="Q85" s="39" t="s">
        <v>259</v>
      </c>
    </row>
    <row r="86" spans="1:17" ht="14.4">
      <c r="A86" s="13">
        <v>545</v>
      </c>
      <c r="B86" s="14" t="s">
        <v>282</v>
      </c>
      <c r="C86" s="34">
        <v>45526</v>
      </c>
      <c r="D86" s="17">
        <v>0</v>
      </c>
      <c r="E86" s="17">
        <v>0</v>
      </c>
      <c r="F86" s="17">
        <v>0</v>
      </c>
      <c r="G86" s="17">
        <v>0</v>
      </c>
      <c r="H86" s="35"/>
      <c r="I86" s="17">
        <v>1</v>
      </c>
      <c r="J86" s="17">
        <v>0</v>
      </c>
      <c r="K86" s="17">
        <v>0</v>
      </c>
      <c r="L86" s="17">
        <v>0</v>
      </c>
      <c r="M86" s="35" t="s">
        <v>100</v>
      </c>
      <c r="N86" s="14" t="s">
        <v>87</v>
      </c>
      <c r="O86" s="14" t="s">
        <v>57</v>
      </c>
      <c r="P86" s="14"/>
      <c r="Q86" s="36" t="s">
        <v>260</v>
      </c>
    </row>
    <row r="87" spans="1:17" ht="14.4">
      <c r="A87" s="26">
        <v>545</v>
      </c>
      <c r="B87" s="19" t="s">
        <v>282</v>
      </c>
      <c r="C87" s="37">
        <v>45526</v>
      </c>
      <c r="D87" s="22">
        <v>0</v>
      </c>
      <c r="E87" s="22">
        <v>0</v>
      </c>
      <c r="F87" s="22">
        <v>0</v>
      </c>
      <c r="G87" s="22">
        <v>0</v>
      </c>
      <c r="H87" s="38"/>
      <c r="I87" s="22">
        <v>0</v>
      </c>
      <c r="J87" s="22">
        <v>0</v>
      </c>
      <c r="K87" s="22">
        <v>0</v>
      </c>
      <c r="L87" s="22">
        <v>1</v>
      </c>
      <c r="M87" s="19" t="s">
        <v>100</v>
      </c>
      <c r="N87" s="19" t="s">
        <v>87</v>
      </c>
      <c r="O87" s="19" t="s">
        <v>59</v>
      </c>
      <c r="P87" s="19"/>
      <c r="Q87" s="39" t="s">
        <v>284</v>
      </c>
    </row>
    <row r="88" spans="1:17" ht="14.4">
      <c r="A88" s="13">
        <v>545</v>
      </c>
      <c r="B88" s="14" t="s">
        <v>282</v>
      </c>
      <c r="C88" s="34">
        <v>45526</v>
      </c>
      <c r="D88" s="17">
        <v>0</v>
      </c>
      <c r="E88" s="17">
        <v>1</v>
      </c>
      <c r="F88" s="17">
        <v>0</v>
      </c>
      <c r="G88" s="17">
        <v>0</v>
      </c>
      <c r="H88" s="16" t="s">
        <v>275</v>
      </c>
      <c r="I88" s="17">
        <v>0</v>
      </c>
      <c r="J88" s="17">
        <v>0</v>
      </c>
      <c r="K88" s="17">
        <v>0</v>
      </c>
      <c r="L88" s="17">
        <v>0</v>
      </c>
      <c r="M88" s="35" t="s">
        <v>100</v>
      </c>
      <c r="N88" s="14" t="s">
        <v>87</v>
      </c>
      <c r="O88" s="14" t="s">
        <v>59</v>
      </c>
      <c r="P88" s="14"/>
      <c r="Q88" s="36" t="s">
        <v>262</v>
      </c>
    </row>
    <row r="89" spans="1:17" ht="14.4">
      <c r="A89" s="26">
        <v>545</v>
      </c>
      <c r="B89" s="19" t="s">
        <v>282</v>
      </c>
      <c r="C89" s="37">
        <v>45526</v>
      </c>
      <c r="D89" s="22">
        <v>3</v>
      </c>
      <c r="E89" s="22">
        <v>0</v>
      </c>
      <c r="F89" s="22">
        <v>0</v>
      </c>
      <c r="G89" s="22">
        <v>0</v>
      </c>
      <c r="H89" s="38"/>
      <c r="I89" s="22">
        <v>0</v>
      </c>
      <c r="J89" s="22">
        <v>0</v>
      </c>
      <c r="K89" s="22">
        <v>0</v>
      </c>
      <c r="L89" s="22">
        <v>0</v>
      </c>
      <c r="M89" s="38" t="s">
        <v>100</v>
      </c>
      <c r="N89" s="19" t="s">
        <v>87</v>
      </c>
      <c r="O89" s="19" t="s">
        <v>59</v>
      </c>
      <c r="P89" s="22">
        <v>2</v>
      </c>
      <c r="Q89" s="39" t="s">
        <v>259</v>
      </c>
    </row>
    <row r="90" spans="1:17" ht="14.4">
      <c r="A90" s="13">
        <v>545</v>
      </c>
      <c r="B90" s="14" t="s">
        <v>282</v>
      </c>
      <c r="C90" s="34">
        <v>45526</v>
      </c>
      <c r="D90" s="17">
        <v>0</v>
      </c>
      <c r="E90" s="17">
        <v>0</v>
      </c>
      <c r="F90" s="17">
        <v>0</v>
      </c>
      <c r="G90" s="17">
        <v>0</v>
      </c>
      <c r="H90" s="35"/>
      <c r="I90" s="17">
        <v>0</v>
      </c>
      <c r="J90" s="17">
        <v>1</v>
      </c>
      <c r="K90" s="17">
        <v>0</v>
      </c>
      <c r="L90" s="17">
        <v>0</v>
      </c>
      <c r="M90" s="35" t="s">
        <v>100</v>
      </c>
      <c r="N90" s="14" t="s">
        <v>87</v>
      </c>
      <c r="O90" s="14" t="s">
        <v>59</v>
      </c>
      <c r="P90" s="14"/>
      <c r="Q90" s="36" t="s">
        <v>263</v>
      </c>
    </row>
    <row r="91" spans="1:17" ht="14.4">
      <c r="A91" s="26">
        <v>636</v>
      </c>
      <c r="B91" s="19" t="s">
        <v>285</v>
      </c>
      <c r="C91" s="37">
        <v>45526</v>
      </c>
      <c r="D91" s="22">
        <v>2</v>
      </c>
      <c r="E91" s="22">
        <v>0</v>
      </c>
      <c r="F91" s="22">
        <v>0</v>
      </c>
      <c r="G91" s="22">
        <v>0</v>
      </c>
      <c r="H91" s="38"/>
      <c r="I91" s="22">
        <v>0</v>
      </c>
      <c r="J91" s="22">
        <v>0</v>
      </c>
      <c r="K91" s="22">
        <v>0</v>
      </c>
      <c r="L91" s="22">
        <v>0</v>
      </c>
      <c r="M91" s="38" t="s">
        <v>100</v>
      </c>
      <c r="N91" s="19" t="s">
        <v>87</v>
      </c>
      <c r="O91" s="19" t="s">
        <v>86</v>
      </c>
      <c r="P91" s="19"/>
      <c r="Q91" s="39" t="s">
        <v>259</v>
      </c>
    </row>
    <row r="92" spans="1:17" ht="14.4">
      <c r="A92" s="13">
        <v>435</v>
      </c>
      <c r="B92" s="14" t="s">
        <v>286</v>
      </c>
      <c r="C92" s="34">
        <v>45526</v>
      </c>
      <c r="D92" s="17">
        <v>0</v>
      </c>
      <c r="E92" s="17">
        <v>0</v>
      </c>
      <c r="F92" s="17">
        <v>0</v>
      </c>
      <c r="G92" s="17">
        <v>0</v>
      </c>
      <c r="H92" s="35"/>
      <c r="I92" s="17">
        <v>1</v>
      </c>
      <c r="J92" s="17">
        <v>0</v>
      </c>
      <c r="K92" s="17">
        <v>0</v>
      </c>
      <c r="L92" s="17">
        <v>0</v>
      </c>
      <c r="M92" s="14" t="s">
        <v>287</v>
      </c>
      <c r="N92" s="14" t="s">
        <v>91</v>
      </c>
      <c r="O92" s="14" t="s">
        <v>44</v>
      </c>
      <c r="P92" s="14"/>
      <c r="Q92" s="36" t="s">
        <v>260</v>
      </c>
    </row>
    <row r="93" spans="1:17" ht="14.4">
      <c r="A93" s="26">
        <v>435</v>
      </c>
      <c r="B93" s="19" t="s">
        <v>286</v>
      </c>
      <c r="C93" s="37">
        <v>45526</v>
      </c>
      <c r="D93" s="22">
        <v>0</v>
      </c>
      <c r="E93" s="22">
        <v>0</v>
      </c>
      <c r="F93" s="22">
        <v>0</v>
      </c>
      <c r="G93" s="22">
        <v>0</v>
      </c>
      <c r="H93" s="38"/>
      <c r="I93" s="22">
        <v>0</v>
      </c>
      <c r="J93" s="22">
        <v>1</v>
      </c>
      <c r="K93" s="22">
        <v>0</v>
      </c>
      <c r="L93" s="22">
        <v>0</v>
      </c>
      <c r="M93" s="38" t="s">
        <v>287</v>
      </c>
      <c r="N93" s="19" t="s">
        <v>91</v>
      </c>
      <c r="O93" s="19" t="s">
        <v>44</v>
      </c>
      <c r="P93" s="19"/>
      <c r="Q93" s="39" t="s">
        <v>263</v>
      </c>
    </row>
    <row r="94" spans="1:17" ht="14.4">
      <c r="A94" s="13">
        <v>435</v>
      </c>
      <c r="B94" s="14" t="s">
        <v>286</v>
      </c>
      <c r="C94" s="34">
        <v>45526</v>
      </c>
      <c r="D94" s="17">
        <v>1</v>
      </c>
      <c r="E94" s="17">
        <v>0</v>
      </c>
      <c r="F94" s="17">
        <v>0</v>
      </c>
      <c r="G94" s="17">
        <v>0</v>
      </c>
      <c r="H94" s="35"/>
      <c r="I94" s="17">
        <v>0</v>
      </c>
      <c r="J94" s="17">
        <v>0</v>
      </c>
      <c r="K94" s="17">
        <v>0</v>
      </c>
      <c r="L94" s="17">
        <v>0</v>
      </c>
      <c r="M94" s="14" t="s">
        <v>287</v>
      </c>
      <c r="N94" s="14" t="s">
        <v>91</v>
      </c>
      <c r="O94" s="14" t="s">
        <v>47</v>
      </c>
      <c r="P94" s="14"/>
      <c r="Q94" s="36" t="s">
        <v>259</v>
      </c>
    </row>
    <row r="95" spans="1:17" ht="14.4">
      <c r="A95" s="26">
        <v>435</v>
      </c>
      <c r="B95" s="19" t="s">
        <v>286</v>
      </c>
      <c r="C95" s="37">
        <v>45526</v>
      </c>
      <c r="D95" s="22">
        <v>0</v>
      </c>
      <c r="E95" s="22">
        <v>0</v>
      </c>
      <c r="F95" s="22">
        <v>1</v>
      </c>
      <c r="G95" s="22">
        <v>0</v>
      </c>
      <c r="H95" s="38"/>
      <c r="I95" s="22">
        <v>0</v>
      </c>
      <c r="J95" s="22">
        <v>0</v>
      </c>
      <c r="K95" s="22">
        <v>0</v>
      </c>
      <c r="L95" s="22">
        <v>0</v>
      </c>
      <c r="M95" s="19" t="s">
        <v>287</v>
      </c>
      <c r="N95" s="19" t="s">
        <v>87</v>
      </c>
      <c r="O95" s="19" t="s">
        <v>37</v>
      </c>
      <c r="P95" s="19"/>
      <c r="Q95" s="39" t="s">
        <v>262</v>
      </c>
    </row>
    <row r="96" spans="1:17" ht="14.4">
      <c r="A96" s="13">
        <v>435</v>
      </c>
      <c r="B96" s="14" t="s">
        <v>286</v>
      </c>
      <c r="C96" s="34">
        <v>45526</v>
      </c>
      <c r="D96" s="17">
        <v>1</v>
      </c>
      <c r="E96" s="17">
        <v>0</v>
      </c>
      <c r="F96" s="17">
        <v>0</v>
      </c>
      <c r="G96" s="17">
        <v>0</v>
      </c>
      <c r="H96" s="35"/>
      <c r="I96" s="17">
        <v>0</v>
      </c>
      <c r="J96" s="17">
        <v>0</v>
      </c>
      <c r="K96" s="17">
        <v>0</v>
      </c>
      <c r="L96" s="17">
        <v>0</v>
      </c>
      <c r="M96" s="14" t="s">
        <v>287</v>
      </c>
      <c r="N96" s="14" t="s">
        <v>87</v>
      </c>
      <c r="O96" s="14" t="s">
        <v>60</v>
      </c>
      <c r="P96" s="17">
        <v>1</v>
      </c>
      <c r="Q96" s="36" t="s">
        <v>259</v>
      </c>
    </row>
    <row r="97" spans="1:17" ht="14.4">
      <c r="A97" s="26">
        <v>435</v>
      </c>
      <c r="B97" s="19" t="s">
        <v>286</v>
      </c>
      <c r="C97" s="37">
        <v>45526</v>
      </c>
      <c r="D97" s="22">
        <v>0</v>
      </c>
      <c r="E97" s="22">
        <v>0</v>
      </c>
      <c r="F97" s="22">
        <v>0</v>
      </c>
      <c r="G97" s="22">
        <v>0</v>
      </c>
      <c r="H97" s="38"/>
      <c r="I97" s="22">
        <v>1</v>
      </c>
      <c r="J97" s="22">
        <v>0</v>
      </c>
      <c r="K97" s="22">
        <v>0</v>
      </c>
      <c r="L97" s="22">
        <v>0</v>
      </c>
      <c r="M97" s="38" t="s">
        <v>287</v>
      </c>
      <c r="N97" s="19" t="s">
        <v>87</v>
      </c>
      <c r="O97" s="19" t="s">
        <v>60</v>
      </c>
      <c r="P97" s="19"/>
      <c r="Q97" s="39" t="s">
        <v>260</v>
      </c>
    </row>
    <row r="98" spans="1:17" ht="14.4">
      <c r="A98" s="13">
        <v>435</v>
      </c>
      <c r="B98" s="14" t="s">
        <v>286</v>
      </c>
      <c r="C98" s="34">
        <v>45526</v>
      </c>
      <c r="D98" s="17">
        <v>7</v>
      </c>
      <c r="E98" s="17">
        <v>0</v>
      </c>
      <c r="F98" s="17">
        <v>0</v>
      </c>
      <c r="G98" s="17">
        <v>0</v>
      </c>
      <c r="H98" s="35"/>
      <c r="I98" s="17">
        <v>0</v>
      </c>
      <c r="J98" s="17">
        <v>0</v>
      </c>
      <c r="K98" s="17">
        <v>0</v>
      </c>
      <c r="L98" s="17">
        <v>0</v>
      </c>
      <c r="M98" s="35" t="s">
        <v>287</v>
      </c>
      <c r="N98" s="14" t="s">
        <v>87</v>
      </c>
      <c r="O98" s="14" t="s">
        <v>89</v>
      </c>
      <c r="P98" s="14"/>
      <c r="Q98" s="36" t="s">
        <v>259</v>
      </c>
    </row>
    <row r="99" spans="1:17" ht="14.4">
      <c r="A99" s="26">
        <v>435</v>
      </c>
      <c r="B99" s="19" t="s">
        <v>286</v>
      </c>
      <c r="C99" s="37">
        <v>45526</v>
      </c>
      <c r="D99" s="22">
        <v>0</v>
      </c>
      <c r="E99" s="22">
        <v>0</v>
      </c>
      <c r="F99" s="22">
        <v>0</v>
      </c>
      <c r="G99" s="22">
        <v>0</v>
      </c>
      <c r="H99" s="38"/>
      <c r="I99" s="22">
        <v>0</v>
      </c>
      <c r="J99" s="22">
        <v>0</v>
      </c>
      <c r="K99" s="22">
        <v>1</v>
      </c>
      <c r="L99" s="22">
        <v>0</v>
      </c>
      <c r="M99" s="38" t="s">
        <v>287</v>
      </c>
      <c r="N99" s="19" t="s">
        <v>87</v>
      </c>
      <c r="O99" s="19" t="s">
        <v>57</v>
      </c>
      <c r="P99" s="19"/>
      <c r="Q99" s="39" t="s">
        <v>263</v>
      </c>
    </row>
    <row r="100" spans="1:17" ht="14.4">
      <c r="A100" s="13">
        <v>435</v>
      </c>
      <c r="B100" s="14" t="s">
        <v>286</v>
      </c>
      <c r="C100" s="34">
        <v>45526</v>
      </c>
      <c r="D100" s="17">
        <v>0</v>
      </c>
      <c r="E100" s="17">
        <v>1</v>
      </c>
      <c r="F100" s="17">
        <v>0</v>
      </c>
      <c r="G100" s="17">
        <v>0</v>
      </c>
      <c r="H100" s="16" t="s">
        <v>288</v>
      </c>
      <c r="I100" s="17">
        <v>0</v>
      </c>
      <c r="J100" s="17">
        <v>0</v>
      </c>
      <c r="K100" s="17">
        <v>0</v>
      </c>
      <c r="L100" s="17">
        <v>0</v>
      </c>
      <c r="M100" s="14" t="s">
        <v>287</v>
      </c>
      <c r="N100" s="14" t="s">
        <v>87</v>
      </c>
      <c r="O100" s="14" t="s">
        <v>86</v>
      </c>
      <c r="P100" s="14"/>
      <c r="Q100" s="36" t="s">
        <v>262</v>
      </c>
    </row>
    <row r="101" spans="1:17" ht="14.4">
      <c r="A101" s="26">
        <v>435</v>
      </c>
      <c r="B101" s="19" t="s">
        <v>286</v>
      </c>
      <c r="C101" s="37">
        <v>45526</v>
      </c>
      <c r="D101" s="22">
        <v>0</v>
      </c>
      <c r="E101" s="22">
        <v>0</v>
      </c>
      <c r="F101" s="22">
        <v>0</v>
      </c>
      <c r="G101" s="22">
        <v>0</v>
      </c>
      <c r="H101" s="38"/>
      <c r="I101" s="22">
        <v>0</v>
      </c>
      <c r="J101" s="22">
        <v>0</v>
      </c>
      <c r="K101" s="22">
        <v>1</v>
      </c>
      <c r="L101" s="22">
        <v>0</v>
      </c>
      <c r="M101" s="19" t="s">
        <v>287</v>
      </c>
      <c r="N101" s="19" t="s">
        <v>87</v>
      </c>
      <c r="O101" s="19" t="s">
        <v>86</v>
      </c>
      <c r="P101" s="19"/>
      <c r="Q101" s="39" t="s">
        <v>263</v>
      </c>
    </row>
    <row r="102" spans="1:17" ht="14.4">
      <c r="A102" s="13">
        <v>435</v>
      </c>
      <c r="B102" s="14" t="s">
        <v>286</v>
      </c>
      <c r="C102" s="34">
        <v>45526</v>
      </c>
      <c r="D102" s="17">
        <v>3</v>
      </c>
      <c r="E102" s="17">
        <v>0</v>
      </c>
      <c r="F102" s="17">
        <v>0</v>
      </c>
      <c r="G102" s="17">
        <v>0</v>
      </c>
      <c r="H102" s="35"/>
      <c r="I102" s="17">
        <v>0</v>
      </c>
      <c r="J102" s="17">
        <v>0</v>
      </c>
      <c r="K102" s="17">
        <v>0</v>
      </c>
      <c r="L102" s="17">
        <v>0</v>
      </c>
      <c r="M102" s="14" t="s">
        <v>287</v>
      </c>
      <c r="N102" s="14" t="s">
        <v>87</v>
      </c>
      <c r="O102" s="14" t="s">
        <v>59</v>
      </c>
      <c r="P102" s="17">
        <v>2</v>
      </c>
      <c r="Q102" s="36" t="s">
        <v>259</v>
      </c>
    </row>
    <row r="103" spans="1:17" ht="14.4">
      <c r="A103" s="26">
        <v>435</v>
      </c>
      <c r="B103" s="19" t="s">
        <v>286</v>
      </c>
      <c r="C103" s="37">
        <v>45526</v>
      </c>
      <c r="D103" s="22">
        <v>0</v>
      </c>
      <c r="E103" s="22">
        <v>0</v>
      </c>
      <c r="F103" s="22">
        <v>0</v>
      </c>
      <c r="G103" s="22">
        <v>0</v>
      </c>
      <c r="H103" s="38"/>
      <c r="I103" s="22">
        <v>3</v>
      </c>
      <c r="J103" s="22">
        <v>0</v>
      </c>
      <c r="K103" s="22">
        <v>0</v>
      </c>
      <c r="L103" s="22">
        <v>0</v>
      </c>
      <c r="M103" s="38" t="s">
        <v>287</v>
      </c>
      <c r="N103" s="19" t="s">
        <v>87</v>
      </c>
      <c r="O103" s="19" t="s">
        <v>59</v>
      </c>
      <c r="P103" s="19"/>
      <c r="Q103" s="39" t="s">
        <v>260</v>
      </c>
    </row>
    <row r="104" spans="1:17" ht="14.4">
      <c r="A104" s="13">
        <v>447</v>
      </c>
      <c r="B104" s="14" t="s">
        <v>289</v>
      </c>
      <c r="C104" s="34">
        <v>45526</v>
      </c>
      <c r="D104" s="17">
        <v>1</v>
      </c>
      <c r="E104" s="17">
        <v>0</v>
      </c>
      <c r="F104" s="17">
        <v>0</v>
      </c>
      <c r="G104" s="17">
        <v>0</v>
      </c>
      <c r="H104" s="35"/>
      <c r="I104" s="17">
        <v>0</v>
      </c>
      <c r="J104" s="17">
        <v>0</v>
      </c>
      <c r="K104" s="17">
        <v>0</v>
      </c>
      <c r="L104" s="17">
        <v>0</v>
      </c>
      <c r="M104" s="35" t="s">
        <v>290</v>
      </c>
      <c r="N104" s="14" t="s">
        <v>91</v>
      </c>
      <c r="O104" s="14" t="s">
        <v>47</v>
      </c>
      <c r="P104" s="17">
        <v>1</v>
      </c>
      <c r="Q104" s="36" t="s">
        <v>259</v>
      </c>
    </row>
    <row r="105" spans="1:17" ht="14.4">
      <c r="A105" s="26">
        <v>447</v>
      </c>
      <c r="B105" s="19" t="s">
        <v>289</v>
      </c>
      <c r="C105" s="37">
        <v>45526</v>
      </c>
      <c r="D105" s="22">
        <v>0</v>
      </c>
      <c r="E105" s="22">
        <v>0</v>
      </c>
      <c r="F105" s="22">
        <v>0</v>
      </c>
      <c r="G105" s="22">
        <v>0</v>
      </c>
      <c r="H105" s="38"/>
      <c r="I105" s="22">
        <v>1</v>
      </c>
      <c r="J105" s="22">
        <v>0</v>
      </c>
      <c r="K105" s="22">
        <v>0</v>
      </c>
      <c r="L105" s="22">
        <v>0</v>
      </c>
      <c r="M105" s="19" t="s">
        <v>290</v>
      </c>
      <c r="N105" s="19" t="s">
        <v>91</v>
      </c>
      <c r="O105" s="19" t="s">
        <v>47</v>
      </c>
      <c r="P105" s="19"/>
      <c r="Q105" s="39" t="s">
        <v>260</v>
      </c>
    </row>
    <row r="106" spans="1:17" ht="14.4">
      <c r="A106" s="13">
        <v>447</v>
      </c>
      <c r="B106" s="14" t="s">
        <v>289</v>
      </c>
      <c r="C106" s="34">
        <v>45526</v>
      </c>
      <c r="D106" s="17">
        <v>0</v>
      </c>
      <c r="E106" s="17">
        <v>0</v>
      </c>
      <c r="F106" s="17">
        <v>0</v>
      </c>
      <c r="G106" s="17">
        <v>0</v>
      </c>
      <c r="H106" s="35"/>
      <c r="I106" s="17">
        <v>0</v>
      </c>
      <c r="J106" s="17">
        <v>1</v>
      </c>
      <c r="K106" s="17">
        <v>0</v>
      </c>
      <c r="L106" s="17">
        <v>0</v>
      </c>
      <c r="M106" s="14" t="s">
        <v>290</v>
      </c>
      <c r="N106" s="14" t="s">
        <v>91</v>
      </c>
      <c r="O106" s="14" t="s">
        <v>90</v>
      </c>
      <c r="P106" s="14"/>
      <c r="Q106" s="36" t="s">
        <v>263</v>
      </c>
    </row>
    <row r="107" spans="1:17" ht="14.4">
      <c r="A107" s="26">
        <v>447</v>
      </c>
      <c r="B107" s="19" t="s">
        <v>289</v>
      </c>
      <c r="C107" s="37">
        <v>45526</v>
      </c>
      <c r="D107" s="22">
        <v>0</v>
      </c>
      <c r="E107" s="22">
        <v>2</v>
      </c>
      <c r="F107" s="22">
        <v>0</v>
      </c>
      <c r="G107" s="22">
        <v>0</v>
      </c>
      <c r="H107" s="21" t="s">
        <v>291</v>
      </c>
      <c r="I107" s="22">
        <v>0</v>
      </c>
      <c r="J107" s="22">
        <v>0</v>
      </c>
      <c r="K107" s="22">
        <v>0</v>
      </c>
      <c r="L107" s="22">
        <v>0</v>
      </c>
      <c r="M107" s="19" t="s">
        <v>290</v>
      </c>
      <c r="N107" s="19" t="s">
        <v>87</v>
      </c>
      <c r="O107" s="19" t="s">
        <v>46</v>
      </c>
      <c r="P107" s="19"/>
      <c r="Q107" s="39" t="s">
        <v>262</v>
      </c>
    </row>
    <row r="108" spans="1:17" ht="14.4">
      <c r="A108" s="13">
        <v>447</v>
      </c>
      <c r="B108" s="14" t="s">
        <v>289</v>
      </c>
      <c r="C108" s="34">
        <v>45526</v>
      </c>
      <c r="D108" s="17">
        <v>0</v>
      </c>
      <c r="E108" s="17">
        <v>0</v>
      </c>
      <c r="F108" s="17">
        <v>1</v>
      </c>
      <c r="G108" s="17">
        <v>0</v>
      </c>
      <c r="H108" s="35"/>
      <c r="I108" s="17">
        <v>0</v>
      </c>
      <c r="J108" s="17">
        <v>0</v>
      </c>
      <c r="K108" s="17">
        <v>0</v>
      </c>
      <c r="L108" s="17">
        <v>0</v>
      </c>
      <c r="M108" s="35" t="s">
        <v>290</v>
      </c>
      <c r="N108" s="14" t="s">
        <v>87</v>
      </c>
      <c r="O108" s="14" t="s">
        <v>89</v>
      </c>
      <c r="P108" s="14"/>
      <c r="Q108" s="36" t="s">
        <v>262</v>
      </c>
    </row>
    <row r="109" spans="1:17" ht="14.4">
      <c r="A109" s="26">
        <v>447</v>
      </c>
      <c r="B109" s="19" t="s">
        <v>289</v>
      </c>
      <c r="C109" s="37">
        <v>45526</v>
      </c>
      <c r="D109" s="22">
        <v>0</v>
      </c>
      <c r="E109" s="22">
        <v>0</v>
      </c>
      <c r="F109" s="22">
        <v>2</v>
      </c>
      <c r="G109" s="22">
        <v>0</v>
      </c>
      <c r="H109" s="38"/>
      <c r="I109" s="22">
        <v>0</v>
      </c>
      <c r="J109" s="22">
        <v>0</v>
      </c>
      <c r="K109" s="22">
        <v>0</v>
      </c>
      <c r="L109" s="22">
        <v>0</v>
      </c>
      <c r="M109" s="38" t="s">
        <v>290</v>
      </c>
      <c r="N109" s="19" t="s">
        <v>87</v>
      </c>
      <c r="O109" s="19" t="s">
        <v>57</v>
      </c>
      <c r="P109" s="19"/>
      <c r="Q109" s="39" t="s">
        <v>262</v>
      </c>
    </row>
    <row r="110" spans="1:17" ht="14.4">
      <c r="A110" s="13">
        <v>447</v>
      </c>
      <c r="B110" s="14" t="s">
        <v>289</v>
      </c>
      <c r="C110" s="34">
        <v>45526</v>
      </c>
      <c r="D110" s="17">
        <v>9</v>
      </c>
      <c r="E110" s="17">
        <v>0</v>
      </c>
      <c r="F110" s="17">
        <v>0</v>
      </c>
      <c r="G110" s="17">
        <v>0</v>
      </c>
      <c r="H110" s="35"/>
      <c r="I110" s="17">
        <v>0</v>
      </c>
      <c r="J110" s="17">
        <v>0</v>
      </c>
      <c r="K110" s="17">
        <v>0</v>
      </c>
      <c r="L110" s="17">
        <v>0</v>
      </c>
      <c r="M110" s="14" t="s">
        <v>290</v>
      </c>
      <c r="N110" s="14" t="s">
        <v>87</v>
      </c>
      <c r="O110" s="14" t="s">
        <v>57</v>
      </c>
      <c r="P110" s="17">
        <v>1</v>
      </c>
      <c r="Q110" s="36" t="s">
        <v>259</v>
      </c>
    </row>
    <row r="111" spans="1:17" ht="14.4">
      <c r="A111" s="26">
        <v>447</v>
      </c>
      <c r="B111" s="19" t="s">
        <v>289</v>
      </c>
      <c r="C111" s="37">
        <v>45526</v>
      </c>
      <c r="D111" s="22">
        <v>0</v>
      </c>
      <c r="E111" s="22">
        <v>0</v>
      </c>
      <c r="F111" s="22">
        <v>0</v>
      </c>
      <c r="G111" s="22">
        <v>0</v>
      </c>
      <c r="H111" s="38"/>
      <c r="I111" s="22">
        <v>1</v>
      </c>
      <c r="J111" s="22">
        <v>0</v>
      </c>
      <c r="K111" s="22">
        <v>0</v>
      </c>
      <c r="L111" s="22">
        <v>0</v>
      </c>
      <c r="M111" s="19" t="s">
        <v>290</v>
      </c>
      <c r="N111" s="19" t="s">
        <v>87</v>
      </c>
      <c r="O111" s="19" t="s">
        <v>57</v>
      </c>
      <c r="P111" s="19"/>
      <c r="Q111" s="39" t="s">
        <v>260</v>
      </c>
    </row>
    <row r="112" spans="1:17" ht="14.4">
      <c r="A112" s="13">
        <v>447</v>
      </c>
      <c r="B112" s="14" t="s">
        <v>289</v>
      </c>
      <c r="C112" s="34">
        <v>45526</v>
      </c>
      <c r="D112" s="17">
        <v>0</v>
      </c>
      <c r="E112" s="17">
        <v>0</v>
      </c>
      <c r="F112" s="17">
        <v>0</v>
      </c>
      <c r="G112" s="17">
        <v>0</v>
      </c>
      <c r="H112" s="35"/>
      <c r="I112" s="17">
        <v>0</v>
      </c>
      <c r="J112" s="17">
        <v>1</v>
      </c>
      <c r="K112" s="17">
        <v>2</v>
      </c>
      <c r="L112" s="17">
        <v>0</v>
      </c>
      <c r="M112" s="14" t="s">
        <v>290</v>
      </c>
      <c r="N112" s="14" t="s">
        <v>87</v>
      </c>
      <c r="O112" s="14" t="s">
        <v>57</v>
      </c>
      <c r="P112" s="14"/>
      <c r="Q112" s="36" t="s">
        <v>263</v>
      </c>
    </row>
    <row r="113" spans="1:17" ht="14.4">
      <c r="A113" s="26">
        <v>447</v>
      </c>
      <c r="B113" s="19" t="s">
        <v>289</v>
      </c>
      <c r="C113" s="37">
        <v>45526</v>
      </c>
      <c r="D113" s="22">
        <v>5</v>
      </c>
      <c r="E113" s="22">
        <v>0</v>
      </c>
      <c r="F113" s="22">
        <v>0</v>
      </c>
      <c r="G113" s="22">
        <v>0</v>
      </c>
      <c r="H113" s="38"/>
      <c r="I113" s="22">
        <v>0</v>
      </c>
      <c r="J113" s="22">
        <v>0</v>
      </c>
      <c r="K113" s="22">
        <v>0</v>
      </c>
      <c r="L113" s="22">
        <v>0</v>
      </c>
      <c r="M113" s="19" t="s">
        <v>290</v>
      </c>
      <c r="N113" s="19" t="s">
        <v>87</v>
      </c>
      <c r="O113" s="19" t="s">
        <v>86</v>
      </c>
      <c r="P113" s="22">
        <v>1</v>
      </c>
      <c r="Q113" s="39" t="s">
        <v>259</v>
      </c>
    </row>
    <row r="114" spans="1:17" ht="14.4">
      <c r="A114" s="13">
        <v>447</v>
      </c>
      <c r="B114" s="14" t="s">
        <v>289</v>
      </c>
      <c r="C114" s="34">
        <v>45526</v>
      </c>
      <c r="D114" s="17">
        <v>0</v>
      </c>
      <c r="E114" s="17">
        <v>0</v>
      </c>
      <c r="F114" s="17">
        <v>0</v>
      </c>
      <c r="G114" s="17">
        <v>0</v>
      </c>
      <c r="H114" s="35"/>
      <c r="I114" s="17">
        <v>0</v>
      </c>
      <c r="J114" s="17">
        <v>7</v>
      </c>
      <c r="K114" s="17">
        <v>0</v>
      </c>
      <c r="L114" s="17">
        <v>0</v>
      </c>
      <c r="M114" s="35" t="s">
        <v>290</v>
      </c>
      <c r="N114" s="14" t="s">
        <v>87</v>
      </c>
      <c r="O114" s="14" t="s">
        <v>86</v>
      </c>
      <c r="P114" s="14"/>
      <c r="Q114" s="36" t="s">
        <v>263</v>
      </c>
    </row>
    <row r="115" spans="1:17" ht="14.4">
      <c r="A115" s="26">
        <v>275</v>
      </c>
      <c r="B115" s="19" t="s">
        <v>292</v>
      </c>
      <c r="C115" s="37">
        <v>45526</v>
      </c>
      <c r="D115" s="22">
        <v>3</v>
      </c>
      <c r="E115" s="22">
        <v>0</v>
      </c>
      <c r="F115" s="22">
        <v>0</v>
      </c>
      <c r="G115" s="22">
        <v>0</v>
      </c>
      <c r="H115" s="38"/>
      <c r="I115" s="22">
        <v>0</v>
      </c>
      <c r="J115" s="22">
        <v>0</v>
      </c>
      <c r="K115" s="22">
        <v>0</v>
      </c>
      <c r="L115" s="22">
        <v>0</v>
      </c>
      <c r="M115" s="19" t="s">
        <v>100</v>
      </c>
      <c r="N115" s="19" t="s">
        <v>87</v>
      </c>
      <c r="O115" s="19" t="s">
        <v>98</v>
      </c>
      <c r="P115" s="22">
        <v>1</v>
      </c>
      <c r="Q115" s="39" t="s">
        <v>259</v>
      </c>
    </row>
    <row r="116" spans="1:17" ht="14.4">
      <c r="A116" s="13">
        <v>275</v>
      </c>
      <c r="B116" s="14" t="s">
        <v>292</v>
      </c>
      <c r="C116" s="34">
        <v>45526</v>
      </c>
      <c r="D116" s="17">
        <v>1</v>
      </c>
      <c r="E116" s="17">
        <v>0</v>
      </c>
      <c r="F116" s="17">
        <v>0</v>
      </c>
      <c r="G116" s="17">
        <v>0</v>
      </c>
      <c r="H116" s="35"/>
      <c r="I116" s="17">
        <v>0</v>
      </c>
      <c r="J116" s="17">
        <v>0</v>
      </c>
      <c r="K116" s="17">
        <v>0</v>
      </c>
      <c r="L116" s="17">
        <v>0</v>
      </c>
      <c r="M116" s="14" t="s">
        <v>100</v>
      </c>
      <c r="N116" s="14" t="s">
        <v>87</v>
      </c>
      <c r="O116" s="14" t="s">
        <v>89</v>
      </c>
      <c r="P116" s="17">
        <v>1</v>
      </c>
      <c r="Q116" s="36" t="s">
        <v>259</v>
      </c>
    </row>
    <row r="117" spans="1:17" ht="14.4">
      <c r="A117" s="26">
        <v>275</v>
      </c>
      <c r="B117" s="19" t="s">
        <v>292</v>
      </c>
      <c r="C117" s="37">
        <v>45526</v>
      </c>
      <c r="D117" s="22">
        <v>1</v>
      </c>
      <c r="E117" s="22">
        <v>0</v>
      </c>
      <c r="F117" s="22">
        <v>0</v>
      </c>
      <c r="G117" s="22">
        <v>0</v>
      </c>
      <c r="H117" s="38"/>
      <c r="I117" s="22">
        <v>0</v>
      </c>
      <c r="J117" s="22">
        <v>0</v>
      </c>
      <c r="K117" s="22">
        <v>0</v>
      </c>
      <c r="L117" s="22">
        <v>0</v>
      </c>
      <c r="M117" s="19" t="s">
        <v>100</v>
      </c>
      <c r="N117" s="19" t="s">
        <v>87</v>
      </c>
      <c r="O117" s="19" t="s">
        <v>57</v>
      </c>
      <c r="P117" s="22">
        <v>1</v>
      </c>
      <c r="Q117" s="39" t="s">
        <v>259</v>
      </c>
    </row>
    <row r="118" spans="1:17" ht="14.4">
      <c r="A118" s="13">
        <v>600</v>
      </c>
      <c r="B118" s="14" t="s">
        <v>293</v>
      </c>
      <c r="C118" s="34">
        <v>45526</v>
      </c>
      <c r="D118" s="17">
        <v>1</v>
      </c>
      <c r="E118" s="17">
        <v>0</v>
      </c>
      <c r="F118" s="17">
        <v>0</v>
      </c>
      <c r="G118" s="17">
        <v>0</v>
      </c>
      <c r="H118" s="35"/>
      <c r="I118" s="17">
        <v>0</v>
      </c>
      <c r="J118" s="17">
        <v>0</v>
      </c>
      <c r="K118" s="17">
        <v>0</v>
      </c>
      <c r="L118" s="17">
        <v>0</v>
      </c>
      <c r="M118" s="14" t="s">
        <v>100</v>
      </c>
      <c r="N118" s="14" t="s">
        <v>91</v>
      </c>
      <c r="O118" s="14" t="s">
        <v>90</v>
      </c>
      <c r="P118" s="14"/>
      <c r="Q118" s="36" t="s">
        <v>259</v>
      </c>
    </row>
    <row r="119" spans="1:17" ht="14.4">
      <c r="A119" s="26">
        <v>600</v>
      </c>
      <c r="B119" s="19" t="s">
        <v>293</v>
      </c>
      <c r="C119" s="37">
        <v>45526</v>
      </c>
      <c r="D119" s="22">
        <v>0</v>
      </c>
      <c r="E119" s="22">
        <v>1</v>
      </c>
      <c r="F119" s="22">
        <v>0</v>
      </c>
      <c r="G119" s="22">
        <v>0</v>
      </c>
      <c r="H119" s="21" t="s">
        <v>294</v>
      </c>
      <c r="I119" s="22">
        <v>0</v>
      </c>
      <c r="J119" s="22">
        <v>0</v>
      </c>
      <c r="K119" s="22">
        <v>0</v>
      </c>
      <c r="L119" s="22">
        <v>0</v>
      </c>
      <c r="M119" s="19" t="s">
        <v>100</v>
      </c>
      <c r="N119" s="19" t="s">
        <v>87</v>
      </c>
      <c r="O119" s="19" t="s">
        <v>60</v>
      </c>
      <c r="P119" s="19"/>
      <c r="Q119" s="39" t="s">
        <v>262</v>
      </c>
    </row>
    <row r="120" spans="1:17" ht="14.4">
      <c r="A120" s="13">
        <v>600</v>
      </c>
      <c r="B120" s="14" t="s">
        <v>293</v>
      </c>
      <c r="C120" s="34">
        <v>45526</v>
      </c>
      <c r="D120" s="17">
        <v>1</v>
      </c>
      <c r="E120" s="17">
        <v>0</v>
      </c>
      <c r="F120" s="17">
        <v>0</v>
      </c>
      <c r="G120" s="17">
        <v>0</v>
      </c>
      <c r="H120" s="35"/>
      <c r="I120" s="17">
        <v>0</v>
      </c>
      <c r="J120" s="17">
        <v>0</v>
      </c>
      <c r="K120" s="17">
        <v>0</v>
      </c>
      <c r="L120" s="17">
        <v>0</v>
      </c>
      <c r="M120" s="14" t="s">
        <v>100</v>
      </c>
      <c r="N120" s="14" t="s">
        <v>87</v>
      </c>
      <c r="O120" s="14" t="s">
        <v>60</v>
      </c>
      <c r="P120" s="17">
        <v>1</v>
      </c>
      <c r="Q120" s="36" t="s">
        <v>259</v>
      </c>
    </row>
    <row r="121" spans="1:17" ht="14.4">
      <c r="A121" s="26">
        <v>600</v>
      </c>
      <c r="B121" s="19" t="s">
        <v>293</v>
      </c>
      <c r="C121" s="37">
        <v>45526</v>
      </c>
      <c r="D121" s="22">
        <v>0</v>
      </c>
      <c r="E121" s="22">
        <v>0</v>
      </c>
      <c r="F121" s="22">
        <v>0</v>
      </c>
      <c r="G121" s="22">
        <v>0</v>
      </c>
      <c r="H121" s="38"/>
      <c r="I121" s="22">
        <v>0</v>
      </c>
      <c r="J121" s="22">
        <v>0</v>
      </c>
      <c r="K121" s="22">
        <v>2</v>
      </c>
      <c r="L121" s="22">
        <v>0</v>
      </c>
      <c r="M121" s="19" t="s">
        <v>100</v>
      </c>
      <c r="N121" s="19" t="s">
        <v>87</v>
      </c>
      <c r="O121" s="19" t="s">
        <v>60</v>
      </c>
      <c r="P121" s="19"/>
      <c r="Q121" s="39" t="s">
        <v>263</v>
      </c>
    </row>
    <row r="122" spans="1:17" ht="14.4">
      <c r="A122" s="13">
        <v>600</v>
      </c>
      <c r="B122" s="14" t="s">
        <v>293</v>
      </c>
      <c r="C122" s="34">
        <v>45526</v>
      </c>
      <c r="D122" s="17">
        <v>1</v>
      </c>
      <c r="E122" s="17">
        <v>0</v>
      </c>
      <c r="F122" s="17">
        <v>0</v>
      </c>
      <c r="G122" s="17">
        <v>0</v>
      </c>
      <c r="H122" s="35"/>
      <c r="I122" s="17">
        <v>0</v>
      </c>
      <c r="J122" s="17">
        <v>0</v>
      </c>
      <c r="K122" s="17">
        <v>0</v>
      </c>
      <c r="L122" s="17">
        <v>0</v>
      </c>
      <c r="M122" s="14" t="s">
        <v>100</v>
      </c>
      <c r="N122" s="14" t="s">
        <v>87</v>
      </c>
      <c r="O122" s="14" t="s">
        <v>86</v>
      </c>
      <c r="P122" s="14"/>
      <c r="Q122" s="36" t="s">
        <v>259</v>
      </c>
    </row>
    <row r="123" spans="1:17" ht="14.4">
      <c r="A123" s="26">
        <v>105</v>
      </c>
      <c r="B123" s="19" t="s">
        <v>295</v>
      </c>
      <c r="C123" s="37">
        <v>45526</v>
      </c>
      <c r="D123" s="22">
        <v>22</v>
      </c>
      <c r="E123" s="22">
        <v>0</v>
      </c>
      <c r="F123" s="22">
        <v>0</v>
      </c>
      <c r="G123" s="22">
        <v>0</v>
      </c>
      <c r="H123" s="38"/>
      <c r="I123" s="22">
        <v>0</v>
      </c>
      <c r="J123" s="22">
        <v>0</v>
      </c>
      <c r="K123" s="22">
        <v>0</v>
      </c>
      <c r="L123" s="22">
        <v>0</v>
      </c>
      <c r="M123" s="19" t="s">
        <v>296</v>
      </c>
      <c r="N123" s="19" t="s">
        <v>91</v>
      </c>
      <c r="O123" s="19" t="s">
        <v>38</v>
      </c>
      <c r="P123" s="19"/>
      <c r="Q123" s="39" t="s">
        <v>259</v>
      </c>
    </row>
    <row r="124" spans="1:17" ht="14.4">
      <c r="A124" s="13">
        <v>105</v>
      </c>
      <c r="B124" s="14" t="s">
        <v>295</v>
      </c>
      <c r="C124" s="34">
        <v>45526</v>
      </c>
      <c r="D124" s="17">
        <v>1</v>
      </c>
      <c r="E124" s="17">
        <v>0</v>
      </c>
      <c r="F124" s="17">
        <v>0</v>
      </c>
      <c r="G124" s="17">
        <v>0</v>
      </c>
      <c r="H124" s="35"/>
      <c r="I124" s="17">
        <v>0</v>
      </c>
      <c r="J124" s="17">
        <v>0</v>
      </c>
      <c r="K124" s="17">
        <v>0</v>
      </c>
      <c r="L124" s="17">
        <v>0</v>
      </c>
      <c r="M124" s="35" t="s">
        <v>296</v>
      </c>
      <c r="N124" s="14" t="s">
        <v>91</v>
      </c>
      <c r="O124" s="14" t="s">
        <v>44</v>
      </c>
      <c r="P124" s="14"/>
      <c r="Q124" s="36" t="s">
        <v>259</v>
      </c>
    </row>
    <row r="125" spans="1:17" ht="14.4">
      <c r="A125" s="26">
        <v>105</v>
      </c>
      <c r="B125" s="19" t="s">
        <v>295</v>
      </c>
      <c r="C125" s="37">
        <v>45526</v>
      </c>
      <c r="D125" s="22">
        <v>0</v>
      </c>
      <c r="E125" s="22">
        <v>0</v>
      </c>
      <c r="F125" s="22">
        <v>0</v>
      </c>
      <c r="G125" s="22">
        <v>0</v>
      </c>
      <c r="H125" s="38"/>
      <c r="I125" s="22">
        <v>2</v>
      </c>
      <c r="J125" s="22">
        <v>0</v>
      </c>
      <c r="K125" s="22">
        <v>0</v>
      </c>
      <c r="L125" s="22">
        <v>0</v>
      </c>
      <c r="M125" s="38" t="s">
        <v>296</v>
      </c>
      <c r="N125" s="19" t="s">
        <v>91</v>
      </c>
      <c r="O125" s="19" t="s">
        <v>44</v>
      </c>
      <c r="P125" s="19"/>
      <c r="Q125" s="39" t="s">
        <v>260</v>
      </c>
    </row>
    <row r="126" spans="1:17" ht="14.4">
      <c r="A126" s="13">
        <v>105</v>
      </c>
      <c r="B126" s="14" t="s">
        <v>295</v>
      </c>
      <c r="C126" s="34">
        <v>45526</v>
      </c>
      <c r="D126" s="17">
        <v>3</v>
      </c>
      <c r="E126" s="17">
        <v>0</v>
      </c>
      <c r="F126" s="17">
        <v>0</v>
      </c>
      <c r="G126" s="17">
        <v>0</v>
      </c>
      <c r="H126" s="35"/>
      <c r="I126" s="17">
        <v>0</v>
      </c>
      <c r="J126" s="17">
        <v>0</v>
      </c>
      <c r="K126" s="17">
        <v>0</v>
      </c>
      <c r="L126" s="17">
        <v>0</v>
      </c>
      <c r="M126" s="14" t="s">
        <v>296</v>
      </c>
      <c r="N126" s="14" t="s">
        <v>91</v>
      </c>
      <c r="O126" s="14" t="s">
        <v>47</v>
      </c>
      <c r="P126" s="17">
        <v>2</v>
      </c>
      <c r="Q126" s="36" t="s">
        <v>259</v>
      </c>
    </row>
    <row r="127" spans="1:17" ht="14.4">
      <c r="A127" s="26">
        <v>105</v>
      </c>
      <c r="B127" s="19" t="s">
        <v>295</v>
      </c>
      <c r="C127" s="37">
        <v>45526</v>
      </c>
      <c r="D127" s="22">
        <v>0</v>
      </c>
      <c r="E127" s="22">
        <v>0</v>
      </c>
      <c r="F127" s="22">
        <v>0</v>
      </c>
      <c r="G127" s="22">
        <v>0</v>
      </c>
      <c r="H127" s="38"/>
      <c r="I127" s="22">
        <v>1</v>
      </c>
      <c r="J127" s="22">
        <v>0</v>
      </c>
      <c r="K127" s="22">
        <v>0</v>
      </c>
      <c r="L127" s="22">
        <v>0</v>
      </c>
      <c r="M127" s="19" t="s">
        <v>296</v>
      </c>
      <c r="N127" s="19" t="s">
        <v>91</v>
      </c>
      <c r="O127" s="19" t="s">
        <v>47</v>
      </c>
      <c r="P127" s="19"/>
      <c r="Q127" s="39" t="s">
        <v>260</v>
      </c>
    </row>
    <row r="128" spans="1:17" ht="14.4">
      <c r="A128" s="13">
        <v>105</v>
      </c>
      <c r="B128" s="14" t="s">
        <v>295</v>
      </c>
      <c r="C128" s="34">
        <v>45526</v>
      </c>
      <c r="D128" s="17">
        <v>0</v>
      </c>
      <c r="E128" s="17">
        <v>0</v>
      </c>
      <c r="F128" s="17">
        <v>0</v>
      </c>
      <c r="G128" s="17">
        <v>0</v>
      </c>
      <c r="H128" s="35"/>
      <c r="I128" s="17">
        <v>0</v>
      </c>
      <c r="J128" s="17">
        <v>1</v>
      </c>
      <c r="K128" s="17">
        <v>0</v>
      </c>
      <c r="L128" s="17">
        <v>0</v>
      </c>
      <c r="M128" s="14" t="s">
        <v>296</v>
      </c>
      <c r="N128" s="14" t="s">
        <v>91</v>
      </c>
      <c r="O128" s="14" t="s">
        <v>47</v>
      </c>
      <c r="P128" s="14"/>
      <c r="Q128" s="36" t="s">
        <v>263</v>
      </c>
    </row>
    <row r="129" spans="1:17" ht="14.4">
      <c r="A129" s="26">
        <v>105</v>
      </c>
      <c r="B129" s="19" t="s">
        <v>295</v>
      </c>
      <c r="C129" s="37">
        <v>45526</v>
      </c>
      <c r="D129" s="22">
        <v>1</v>
      </c>
      <c r="E129" s="22">
        <v>0</v>
      </c>
      <c r="F129" s="22">
        <v>0</v>
      </c>
      <c r="G129" s="22">
        <v>0</v>
      </c>
      <c r="H129" s="38"/>
      <c r="I129" s="22">
        <v>0</v>
      </c>
      <c r="J129" s="22">
        <v>0</v>
      </c>
      <c r="K129" s="22">
        <v>0</v>
      </c>
      <c r="L129" s="22">
        <v>0</v>
      </c>
      <c r="M129" s="19" t="s">
        <v>296</v>
      </c>
      <c r="N129" s="19" t="s">
        <v>91</v>
      </c>
      <c r="O129" s="19" t="s">
        <v>90</v>
      </c>
      <c r="P129" s="19"/>
      <c r="Q129" s="39" t="s">
        <v>259</v>
      </c>
    </row>
    <row r="130" spans="1:17" ht="14.4">
      <c r="A130" s="13">
        <v>105</v>
      </c>
      <c r="B130" s="14" t="s">
        <v>295</v>
      </c>
      <c r="C130" s="34">
        <v>45526</v>
      </c>
      <c r="D130" s="17">
        <v>1</v>
      </c>
      <c r="E130" s="17">
        <v>0</v>
      </c>
      <c r="F130" s="17">
        <v>0</v>
      </c>
      <c r="G130" s="17">
        <v>0</v>
      </c>
      <c r="H130" s="35"/>
      <c r="I130" s="17">
        <v>0</v>
      </c>
      <c r="J130" s="17">
        <v>0</v>
      </c>
      <c r="K130" s="17">
        <v>0</v>
      </c>
      <c r="L130" s="17">
        <v>0</v>
      </c>
      <c r="M130" s="14" t="s">
        <v>296</v>
      </c>
      <c r="N130" s="14" t="s">
        <v>87</v>
      </c>
      <c r="O130" s="14" t="s">
        <v>37</v>
      </c>
      <c r="P130" s="17">
        <v>1</v>
      </c>
      <c r="Q130" s="36" t="s">
        <v>259</v>
      </c>
    </row>
    <row r="131" spans="1:17" ht="14.4">
      <c r="A131" s="26">
        <v>105</v>
      </c>
      <c r="B131" s="19" t="s">
        <v>295</v>
      </c>
      <c r="C131" s="37">
        <v>45526</v>
      </c>
      <c r="D131" s="22">
        <v>0</v>
      </c>
      <c r="E131" s="22">
        <v>0</v>
      </c>
      <c r="F131" s="22">
        <v>0</v>
      </c>
      <c r="G131" s="22">
        <v>0</v>
      </c>
      <c r="H131" s="38"/>
      <c r="I131" s="22">
        <v>0</v>
      </c>
      <c r="J131" s="22">
        <v>1</v>
      </c>
      <c r="K131" s="22">
        <v>0</v>
      </c>
      <c r="L131" s="22">
        <v>0</v>
      </c>
      <c r="M131" s="19" t="s">
        <v>296</v>
      </c>
      <c r="N131" s="19" t="s">
        <v>87</v>
      </c>
      <c r="O131" s="19" t="s">
        <v>37</v>
      </c>
      <c r="P131" s="19"/>
      <c r="Q131" s="39" t="s">
        <v>263</v>
      </c>
    </row>
    <row r="132" spans="1:17" ht="14.4">
      <c r="A132" s="13">
        <v>105</v>
      </c>
      <c r="B132" s="14" t="s">
        <v>295</v>
      </c>
      <c r="C132" s="34">
        <v>45526</v>
      </c>
      <c r="D132" s="17">
        <v>0</v>
      </c>
      <c r="E132" s="17">
        <v>1</v>
      </c>
      <c r="F132" s="17">
        <v>0</v>
      </c>
      <c r="G132" s="17">
        <v>0</v>
      </c>
      <c r="H132" s="16" t="s">
        <v>297</v>
      </c>
      <c r="I132" s="17">
        <v>0</v>
      </c>
      <c r="J132" s="17">
        <v>0</v>
      </c>
      <c r="K132" s="17">
        <v>0</v>
      </c>
      <c r="L132" s="17">
        <v>0</v>
      </c>
      <c r="M132" s="14" t="s">
        <v>296</v>
      </c>
      <c r="N132" s="14" t="s">
        <v>87</v>
      </c>
      <c r="O132" s="14" t="s">
        <v>43</v>
      </c>
      <c r="P132" s="14"/>
      <c r="Q132" s="36" t="s">
        <v>262</v>
      </c>
    </row>
    <row r="133" spans="1:17" ht="14.4">
      <c r="A133" s="26">
        <v>105</v>
      </c>
      <c r="B133" s="19" t="s">
        <v>295</v>
      </c>
      <c r="C133" s="37">
        <v>45526</v>
      </c>
      <c r="D133" s="22">
        <v>9</v>
      </c>
      <c r="E133" s="22">
        <v>0</v>
      </c>
      <c r="F133" s="22">
        <v>0</v>
      </c>
      <c r="G133" s="22">
        <v>0</v>
      </c>
      <c r="H133" s="38"/>
      <c r="I133" s="22">
        <v>0</v>
      </c>
      <c r="J133" s="22">
        <v>0</v>
      </c>
      <c r="K133" s="22">
        <v>0</v>
      </c>
      <c r="L133" s="22">
        <v>0</v>
      </c>
      <c r="M133" s="19" t="s">
        <v>296</v>
      </c>
      <c r="N133" s="19" t="s">
        <v>87</v>
      </c>
      <c r="O133" s="19" t="s">
        <v>43</v>
      </c>
      <c r="P133" s="19"/>
      <c r="Q133" s="39" t="s">
        <v>259</v>
      </c>
    </row>
    <row r="134" spans="1:17" ht="14.4">
      <c r="A134" s="13">
        <v>105</v>
      </c>
      <c r="B134" s="14" t="s">
        <v>295</v>
      </c>
      <c r="C134" s="34">
        <v>45526</v>
      </c>
      <c r="D134" s="17">
        <v>0</v>
      </c>
      <c r="E134" s="17">
        <v>0</v>
      </c>
      <c r="F134" s="17">
        <v>0</v>
      </c>
      <c r="G134" s="17">
        <v>0</v>
      </c>
      <c r="H134" s="35"/>
      <c r="I134" s="17">
        <v>0</v>
      </c>
      <c r="J134" s="17">
        <v>1</v>
      </c>
      <c r="K134" s="17">
        <v>0</v>
      </c>
      <c r="L134" s="17">
        <v>0</v>
      </c>
      <c r="M134" s="14" t="s">
        <v>296</v>
      </c>
      <c r="N134" s="14" t="s">
        <v>87</v>
      </c>
      <c r="O134" s="14" t="s">
        <v>43</v>
      </c>
      <c r="P134" s="14"/>
      <c r="Q134" s="36" t="s">
        <v>263</v>
      </c>
    </row>
    <row r="135" spans="1:17" ht="14.4">
      <c r="A135" s="26">
        <v>105</v>
      </c>
      <c r="B135" s="19" t="s">
        <v>295</v>
      </c>
      <c r="C135" s="37">
        <v>45526</v>
      </c>
      <c r="D135" s="22">
        <v>3</v>
      </c>
      <c r="E135" s="22">
        <v>0</v>
      </c>
      <c r="F135" s="22">
        <v>0</v>
      </c>
      <c r="G135" s="22">
        <v>0</v>
      </c>
      <c r="H135" s="38"/>
      <c r="I135" s="22">
        <v>0</v>
      </c>
      <c r="J135" s="22">
        <v>0</v>
      </c>
      <c r="K135" s="22">
        <v>0</v>
      </c>
      <c r="L135" s="22">
        <v>0</v>
      </c>
      <c r="M135" s="19" t="s">
        <v>296</v>
      </c>
      <c r="N135" s="19" t="s">
        <v>87</v>
      </c>
      <c r="O135" s="19" t="s">
        <v>60</v>
      </c>
      <c r="P135" s="19"/>
      <c r="Q135" s="39" t="s">
        <v>259</v>
      </c>
    </row>
    <row r="136" spans="1:17" ht="14.4">
      <c r="A136" s="13">
        <v>105</v>
      </c>
      <c r="B136" s="14" t="s">
        <v>295</v>
      </c>
      <c r="C136" s="34">
        <v>45526</v>
      </c>
      <c r="D136" s="17">
        <v>0</v>
      </c>
      <c r="E136" s="17">
        <v>0</v>
      </c>
      <c r="F136" s="17">
        <v>0</v>
      </c>
      <c r="G136" s="17">
        <v>0</v>
      </c>
      <c r="H136" s="35"/>
      <c r="I136" s="17">
        <v>1</v>
      </c>
      <c r="J136" s="17">
        <v>0</v>
      </c>
      <c r="K136" s="17">
        <v>0</v>
      </c>
      <c r="L136" s="17">
        <v>0</v>
      </c>
      <c r="M136" s="14" t="s">
        <v>296</v>
      </c>
      <c r="N136" s="14" t="s">
        <v>87</v>
      </c>
      <c r="O136" s="14" t="s">
        <v>60</v>
      </c>
      <c r="P136" s="14"/>
      <c r="Q136" s="36" t="s">
        <v>260</v>
      </c>
    </row>
    <row r="137" spans="1:17" ht="14.4">
      <c r="A137" s="26">
        <v>105</v>
      </c>
      <c r="B137" s="19" t="s">
        <v>295</v>
      </c>
      <c r="C137" s="37">
        <v>45526</v>
      </c>
      <c r="D137" s="22">
        <v>0</v>
      </c>
      <c r="E137" s="22">
        <v>0</v>
      </c>
      <c r="F137" s="22">
        <v>0</v>
      </c>
      <c r="G137" s="22">
        <v>0</v>
      </c>
      <c r="H137" s="38"/>
      <c r="I137" s="22">
        <v>0</v>
      </c>
      <c r="J137" s="22">
        <v>2</v>
      </c>
      <c r="K137" s="22">
        <v>0</v>
      </c>
      <c r="L137" s="22">
        <v>0</v>
      </c>
      <c r="M137" s="38" t="s">
        <v>296</v>
      </c>
      <c r="N137" s="19" t="s">
        <v>87</v>
      </c>
      <c r="O137" s="19" t="s">
        <v>60</v>
      </c>
      <c r="P137" s="19"/>
      <c r="Q137" s="39" t="s">
        <v>263</v>
      </c>
    </row>
    <row r="138" spans="1:17" ht="14.4">
      <c r="A138" s="13">
        <v>105</v>
      </c>
      <c r="B138" s="14" t="s">
        <v>295</v>
      </c>
      <c r="C138" s="34">
        <v>45526</v>
      </c>
      <c r="D138" s="17">
        <v>0</v>
      </c>
      <c r="E138" s="17">
        <v>1</v>
      </c>
      <c r="F138" s="17">
        <v>0</v>
      </c>
      <c r="G138" s="17">
        <v>0</v>
      </c>
      <c r="H138" s="16" t="s">
        <v>298</v>
      </c>
      <c r="I138" s="17">
        <v>0</v>
      </c>
      <c r="J138" s="17">
        <v>0</v>
      </c>
      <c r="K138" s="17">
        <v>0</v>
      </c>
      <c r="L138" s="17">
        <v>0</v>
      </c>
      <c r="M138" s="14" t="s">
        <v>296</v>
      </c>
      <c r="N138" s="14" t="s">
        <v>87</v>
      </c>
      <c r="O138" s="14" t="s">
        <v>51</v>
      </c>
      <c r="P138" s="14"/>
      <c r="Q138" s="36" t="s">
        <v>262</v>
      </c>
    </row>
    <row r="139" spans="1:17" ht="14.4">
      <c r="A139" s="26">
        <v>105</v>
      </c>
      <c r="B139" s="19" t="s">
        <v>295</v>
      </c>
      <c r="C139" s="37">
        <v>45526</v>
      </c>
      <c r="D139" s="22">
        <v>29</v>
      </c>
      <c r="E139" s="22">
        <v>0</v>
      </c>
      <c r="F139" s="22">
        <v>0</v>
      </c>
      <c r="G139" s="22">
        <v>0</v>
      </c>
      <c r="H139" s="38"/>
      <c r="I139" s="22">
        <v>0</v>
      </c>
      <c r="J139" s="22">
        <v>0</v>
      </c>
      <c r="K139" s="22">
        <v>0</v>
      </c>
      <c r="L139" s="22">
        <v>0</v>
      </c>
      <c r="M139" s="19" t="s">
        <v>296</v>
      </c>
      <c r="N139" s="19" t="s">
        <v>87</v>
      </c>
      <c r="O139" s="19" t="s">
        <v>98</v>
      </c>
      <c r="P139" s="22">
        <v>3</v>
      </c>
      <c r="Q139" s="39" t="s">
        <v>259</v>
      </c>
    </row>
    <row r="140" spans="1:17" ht="14.4">
      <c r="A140" s="13">
        <v>105</v>
      </c>
      <c r="B140" s="14" t="s">
        <v>295</v>
      </c>
      <c r="C140" s="34">
        <v>45526</v>
      </c>
      <c r="D140" s="17">
        <v>0</v>
      </c>
      <c r="E140" s="17">
        <v>0</v>
      </c>
      <c r="F140" s="17">
        <v>0</v>
      </c>
      <c r="G140" s="17">
        <v>0</v>
      </c>
      <c r="H140" s="35"/>
      <c r="I140" s="17">
        <v>1</v>
      </c>
      <c r="J140" s="17">
        <v>0</v>
      </c>
      <c r="K140" s="17">
        <v>0</v>
      </c>
      <c r="L140" s="17">
        <v>0</v>
      </c>
      <c r="M140" s="14" t="s">
        <v>296</v>
      </c>
      <c r="N140" s="14" t="s">
        <v>87</v>
      </c>
      <c r="O140" s="14" t="s">
        <v>98</v>
      </c>
      <c r="P140" s="14"/>
      <c r="Q140" s="36" t="s">
        <v>260</v>
      </c>
    </row>
    <row r="141" spans="1:17" ht="14.4">
      <c r="A141" s="26">
        <v>105</v>
      </c>
      <c r="B141" s="19" t="s">
        <v>295</v>
      </c>
      <c r="C141" s="37">
        <v>45526</v>
      </c>
      <c r="D141" s="22">
        <v>0</v>
      </c>
      <c r="E141" s="22">
        <v>1</v>
      </c>
      <c r="F141" s="22">
        <v>0</v>
      </c>
      <c r="G141" s="22">
        <v>0</v>
      </c>
      <c r="H141" s="21" t="s">
        <v>299</v>
      </c>
      <c r="I141" s="22">
        <v>0</v>
      </c>
      <c r="J141" s="22">
        <v>0</v>
      </c>
      <c r="K141" s="22">
        <v>0</v>
      </c>
      <c r="L141" s="22">
        <v>0</v>
      </c>
      <c r="M141" s="38" t="s">
        <v>296</v>
      </c>
      <c r="N141" s="19" t="s">
        <v>87</v>
      </c>
      <c r="O141" s="19" t="s">
        <v>89</v>
      </c>
      <c r="P141" s="19"/>
      <c r="Q141" s="39" t="s">
        <v>262</v>
      </c>
    </row>
    <row r="142" spans="1:17" ht="14.4">
      <c r="A142" s="13">
        <v>105</v>
      </c>
      <c r="B142" s="14" t="s">
        <v>295</v>
      </c>
      <c r="C142" s="34">
        <v>45526</v>
      </c>
      <c r="D142" s="17">
        <v>34</v>
      </c>
      <c r="E142" s="17">
        <v>0</v>
      </c>
      <c r="F142" s="17">
        <v>0</v>
      </c>
      <c r="G142" s="17">
        <v>0</v>
      </c>
      <c r="H142" s="35"/>
      <c r="I142" s="17">
        <v>0</v>
      </c>
      <c r="J142" s="17">
        <v>0</v>
      </c>
      <c r="K142" s="17">
        <v>0</v>
      </c>
      <c r="L142" s="17">
        <v>0</v>
      </c>
      <c r="M142" s="14" t="s">
        <v>296</v>
      </c>
      <c r="N142" s="14" t="s">
        <v>87</v>
      </c>
      <c r="O142" s="14" t="s">
        <v>89</v>
      </c>
      <c r="P142" s="17">
        <v>2</v>
      </c>
      <c r="Q142" s="36" t="s">
        <v>259</v>
      </c>
    </row>
    <row r="143" spans="1:17" ht="14.4">
      <c r="A143" s="26">
        <v>105</v>
      </c>
      <c r="B143" s="19" t="s">
        <v>295</v>
      </c>
      <c r="C143" s="37">
        <v>45526</v>
      </c>
      <c r="D143" s="22">
        <v>0</v>
      </c>
      <c r="E143" s="22">
        <v>0</v>
      </c>
      <c r="F143" s="22">
        <v>0</v>
      </c>
      <c r="G143" s="22">
        <v>0</v>
      </c>
      <c r="H143" s="38"/>
      <c r="I143" s="22">
        <v>2</v>
      </c>
      <c r="J143" s="22">
        <v>0</v>
      </c>
      <c r="K143" s="22">
        <v>0</v>
      </c>
      <c r="L143" s="22">
        <v>0</v>
      </c>
      <c r="M143" s="38" t="s">
        <v>296</v>
      </c>
      <c r="N143" s="19" t="s">
        <v>87</v>
      </c>
      <c r="O143" s="19" t="s">
        <v>89</v>
      </c>
      <c r="P143" s="19"/>
      <c r="Q143" s="39" t="s">
        <v>260</v>
      </c>
    </row>
    <row r="144" spans="1:17" ht="14.4">
      <c r="A144" s="13">
        <v>105</v>
      </c>
      <c r="B144" s="14" t="s">
        <v>295</v>
      </c>
      <c r="C144" s="34">
        <v>45526</v>
      </c>
      <c r="D144" s="17">
        <v>0</v>
      </c>
      <c r="E144" s="17">
        <v>0</v>
      </c>
      <c r="F144" s="17">
        <v>0</v>
      </c>
      <c r="G144" s="17">
        <v>0</v>
      </c>
      <c r="H144" s="35"/>
      <c r="I144" s="17">
        <v>0</v>
      </c>
      <c r="J144" s="17">
        <v>1</v>
      </c>
      <c r="K144" s="17">
        <v>1</v>
      </c>
      <c r="L144" s="17">
        <v>0</v>
      </c>
      <c r="M144" s="14" t="s">
        <v>296</v>
      </c>
      <c r="N144" s="14" t="s">
        <v>87</v>
      </c>
      <c r="O144" s="14" t="s">
        <v>89</v>
      </c>
      <c r="P144" s="14"/>
      <c r="Q144" s="36" t="s">
        <v>263</v>
      </c>
    </row>
    <row r="145" spans="1:17" ht="14.4">
      <c r="A145" s="26">
        <v>105</v>
      </c>
      <c r="B145" s="19" t="s">
        <v>295</v>
      </c>
      <c r="C145" s="37">
        <v>45526</v>
      </c>
      <c r="D145" s="22">
        <v>1</v>
      </c>
      <c r="E145" s="22">
        <v>0</v>
      </c>
      <c r="F145" s="22">
        <v>0</v>
      </c>
      <c r="G145" s="22">
        <v>0</v>
      </c>
      <c r="H145" s="38"/>
      <c r="I145" s="22">
        <v>0</v>
      </c>
      <c r="J145" s="22">
        <v>0</v>
      </c>
      <c r="K145" s="22">
        <v>0</v>
      </c>
      <c r="L145" s="22">
        <v>0</v>
      </c>
      <c r="M145" s="19" t="s">
        <v>296</v>
      </c>
      <c r="N145" s="19" t="s">
        <v>87</v>
      </c>
      <c r="O145" s="19" t="s">
        <v>57</v>
      </c>
      <c r="P145" s="19"/>
      <c r="Q145" s="39" t="s">
        <v>259</v>
      </c>
    </row>
    <row r="146" spans="1:17" ht="14.4">
      <c r="A146" s="13">
        <v>105</v>
      </c>
      <c r="B146" s="14" t="s">
        <v>295</v>
      </c>
      <c r="C146" s="34">
        <v>45526</v>
      </c>
      <c r="D146" s="17">
        <v>1</v>
      </c>
      <c r="E146" s="17">
        <v>0</v>
      </c>
      <c r="F146" s="17">
        <v>0</v>
      </c>
      <c r="G146" s="17">
        <v>0</v>
      </c>
      <c r="H146" s="35"/>
      <c r="I146" s="17">
        <v>0</v>
      </c>
      <c r="J146" s="17">
        <v>0</v>
      </c>
      <c r="K146" s="17">
        <v>0</v>
      </c>
      <c r="L146" s="17">
        <v>0</v>
      </c>
      <c r="M146" s="14" t="s">
        <v>296</v>
      </c>
      <c r="N146" s="14" t="s">
        <v>87</v>
      </c>
      <c r="O146" s="14" t="s">
        <v>86</v>
      </c>
      <c r="P146" s="14"/>
      <c r="Q146" s="36" t="s">
        <v>259</v>
      </c>
    </row>
    <row r="147" spans="1:17" ht="14.4">
      <c r="A147" s="26">
        <v>105</v>
      </c>
      <c r="B147" s="19" t="s">
        <v>295</v>
      </c>
      <c r="C147" s="37">
        <v>45526</v>
      </c>
      <c r="D147" s="22">
        <v>15</v>
      </c>
      <c r="E147" s="22">
        <v>0</v>
      </c>
      <c r="F147" s="22">
        <v>0</v>
      </c>
      <c r="G147" s="22">
        <v>0</v>
      </c>
      <c r="H147" s="38"/>
      <c r="I147" s="22">
        <v>0</v>
      </c>
      <c r="J147" s="22">
        <v>0</v>
      </c>
      <c r="K147" s="22">
        <v>0</v>
      </c>
      <c r="L147" s="22">
        <v>0</v>
      </c>
      <c r="M147" s="19" t="s">
        <v>296</v>
      </c>
      <c r="N147" s="19" t="s">
        <v>87</v>
      </c>
      <c r="O147" s="19" t="s">
        <v>59</v>
      </c>
      <c r="P147" s="19"/>
      <c r="Q147" s="39" t="s">
        <v>259</v>
      </c>
    </row>
    <row r="148" spans="1:17" ht="14.4">
      <c r="A148" s="13">
        <v>105</v>
      </c>
      <c r="B148" s="14" t="s">
        <v>295</v>
      </c>
      <c r="C148" s="34">
        <v>45526</v>
      </c>
      <c r="D148" s="17">
        <v>0</v>
      </c>
      <c r="E148" s="17">
        <v>0</v>
      </c>
      <c r="F148" s="17">
        <v>0</v>
      </c>
      <c r="G148" s="17">
        <v>0</v>
      </c>
      <c r="H148" s="35"/>
      <c r="I148" s="17">
        <v>1</v>
      </c>
      <c r="J148" s="17">
        <v>0</v>
      </c>
      <c r="K148" s="17">
        <v>0</v>
      </c>
      <c r="L148" s="17">
        <v>0</v>
      </c>
      <c r="M148" s="14" t="s">
        <v>296</v>
      </c>
      <c r="N148" s="14" t="s">
        <v>87</v>
      </c>
      <c r="O148" s="14" t="s">
        <v>59</v>
      </c>
      <c r="P148" s="14"/>
      <c r="Q148" s="36" t="s">
        <v>260</v>
      </c>
    </row>
    <row r="149" spans="1:17" ht="14.4">
      <c r="A149" s="26">
        <v>190</v>
      </c>
      <c r="B149" s="19" t="s">
        <v>300</v>
      </c>
      <c r="C149" s="37">
        <v>45526</v>
      </c>
      <c r="D149" s="22">
        <v>3</v>
      </c>
      <c r="E149" s="22">
        <v>0</v>
      </c>
      <c r="F149" s="22">
        <v>0</v>
      </c>
      <c r="G149" s="22">
        <v>0</v>
      </c>
      <c r="H149" s="38"/>
      <c r="I149" s="22">
        <v>0</v>
      </c>
      <c r="J149" s="22">
        <v>0</v>
      </c>
      <c r="K149" s="22">
        <v>0</v>
      </c>
      <c r="L149" s="22">
        <v>0</v>
      </c>
      <c r="M149" s="19" t="s">
        <v>296</v>
      </c>
      <c r="N149" s="19" t="s">
        <v>91</v>
      </c>
      <c r="O149" s="19" t="s">
        <v>38</v>
      </c>
      <c r="P149" s="22">
        <v>2</v>
      </c>
      <c r="Q149" s="39" t="s">
        <v>259</v>
      </c>
    </row>
    <row r="150" spans="1:17" ht="14.4">
      <c r="A150" s="13">
        <v>190</v>
      </c>
      <c r="B150" s="14" t="s">
        <v>300</v>
      </c>
      <c r="C150" s="34">
        <v>45526</v>
      </c>
      <c r="D150" s="17">
        <v>0</v>
      </c>
      <c r="E150" s="17">
        <v>0</v>
      </c>
      <c r="F150" s="17">
        <v>0</v>
      </c>
      <c r="G150" s="17">
        <v>0</v>
      </c>
      <c r="H150" s="35"/>
      <c r="I150" s="17">
        <v>2</v>
      </c>
      <c r="J150" s="17">
        <v>0</v>
      </c>
      <c r="K150" s="17">
        <v>0</v>
      </c>
      <c r="L150" s="17">
        <v>0</v>
      </c>
      <c r="M150" s="14" t="s">
        <v>296</v>
      </c>
      <c r="N150" s="14" t="s">
        <v>91</v>
      </c>
      <c r="O150" s="14" t="s">
        <v>38</v>
      </c>
      <c r="P150" s="14"/>
      <c r="Q150" s="36" t="s">
        <v>260</v>
      </c>
    </row>
    <row r="151" spans="1:17" ht="14.4">
      <c r="A151" s="26">
        <v>190</v>
      </c>
      <c r="B151" s="19" t="s">
        <v>300</v>
      </c>
      <c r="C151" s="37">
        <v>45526</v>
      </c>
      <c r="D151" s="22">
        <v>0</v>
      </c>
      <c r="E151" s="22">
        <v>0</v>
      </c>
      <c r="F151" s="22">
        <v>0</v>
      </c>
      <c r="G151" s="22">
        <v>0</v>
      </c>
      <c r="H151" s="38"/>
      <c r="I151" s="22">
        <v>0</v>
      </c>
      <c r="J151" s="22">
        <v>1</v>
      </c>
      <c r="K151" s="22">
        <v>0</v>
      </c>
      <c r="L151" s="22">
        <v>0</v>
      </c>
      <c r="M151" s="19" t="s">
        <v>296</v>
      </c>
      <c r="N151" s="19" t="s">
        <v>91</v>
      </c>
      <c r="O151" s="19" t="s">
        <v>38</v>
      </c>
      <c r="P151" s="19"/>
      <c r="Q151" s="39" t="s">
        <v>263</v>
      </c>
    </row>
    <row r="152" spans="1:17" ht="14.4">
      <c r="A152" s="13">
        <v>190</v>
      </c>
      <c r="B152" s="14" t="s">
        <v>300</v>
      </c>
      <c r="C152" s="34">
        <v>45526</v>
      </c>
      <c r="D152" s="17">
        <v>1</v>
      </c>
      <c r="E152" s="17">
        <v>0</v>
      </c>
      <c r="F152" s="17">
        <v>0</v>
      </c>
      <c r="G152" s="17">
        <v>0</v>
      </c>
      <c r="H152" s="35"/>
      <c r="I152" s="17">
        <v>0</v>
      </c>
      <c r="J152" s="17">
        <v>0</v>
      </c>
      <c r="K152" s="17">
        <v>0</v>
      </c>
      <c r="L152" s="17">
        <v>0</v>
      </c>
      <c r="M152" s="14" t="s">
        <v>296</v>
      </c>
      <c r="N152" s="14" t="s">
        <v>91</v>
      </c>
      <c r="O152" s="14" t="s">
        <v>44</v>
      </c>
      <c r="P152" s="17">
        <v>1</v>
      </c>
      <c r="Q152" s="36" t="s">
        <v>259</v>
      </c>
    </row>
    <row r="153" spans="1:17" ht="14.4">
      <c r="A153" s="26">
        <v>190</v>
      </c>
      <c r="B153" s="19" t="s">
        <v>300</v>
      </c>
      <c r="C153" s="37">
        <v>45526</v>
      </c>
      <c r="D153" s="22">
        <v>0</v>
      </c>
      <c r="E153" s="22">
        <v>0</v>
      </c>
      <c r="F153" s="22">
        <v>0</v>
      </c>
      <c r="G153" s="22">
        <v>0</v>
      </c>
      <c r="H153" s="38"/>
      <c r="I153" s="22">
        <v>0</v>
      </c>
      <c r="J153" s="22">
        <v>1</v>
      </c>
      <c r="K153" s="22">
        <v>0</v>
      </c>
      <c r="L153" s="22">
        <v>0</v>
      </c>
      <c r="M153" s="19" t="s">
        <v>296</v>
      </c>
      <c r="N153" s="19" t="s">
        <v>91</v>
      </c>
      <c r="O153" s="19" t="s">
        <v>44</v>
      </c>
      <c r="P153" s="19"/>
      <c r="Q153" s="39" t="s">
        <v>263</v>
      </c>
    </row>
    <row r="154" spans="1:17" ht="14.4">
      <c r="A154" s="13">
        <v>190</v>
      </c>
      <c r="B154" s="14" t="s">
        <v>300</v>
      </c>
      <c r="C154" s="34">
        <v>45526</v>
      </c>
      <c r="D154" s="17">
        <v>0</v>
      </c>
      <c r="E154" s="17">
        <v>1</v>
      </c>
      <c r="F154" s="17">
        <v>0</v>
      </c>
      <c r="G154" s="17">
        <v>0</v>
      </c>
      <c r="H154" s="16" t="s">
        <v>301</v>
      </c>
      <c r="I154" s="17">
        <v>0</v>
      </c>
      <c r="J154" s="17">
        <v>0</v>
      </c>
      <c r="K154" s="17">
        <v>0</v>
      </c>
      <c r="L154" s="17">
        <v>0</v>
      </c>
      <c r="M154" s="14" t="s">
        <v>296</v>
      </c>
      <c r="N154" s="14" t="s">
        <v>91</v>
      </c>
      <c r="O154" s="14" t="s">
        <v>47</v>
      </c>
      <c r="P154" s="14"/>
      <c r="Q154" s="36" t="s">
        <v>262</v>
      </c>
    </row>
    <row r="155" spans="1:17" ht="14.4">
      <c r="A155" s="26">
        <v>190</v>
      </c>
      <c r="B155" s="19" t="s">
        <v>300</v>
      </c>
      <c r="C155" s="37">
        <v>45526</v>
      </c>
      <c r="D155" s="22">
        <v>3</v>
      </c>
      <c r="E155" s="22">
        <v>0</v>
      </c>
      <c r="F155" s="22">
        <v>0</v>
      </c>
      <c r="G155" s="22">
        <v>0</v>
      </c>
      <c r="H155" s="38"/>
      <c r="I155" s="22">
        <v>0</v>
      </c>
      <c r="J155" s="22">
        <v>0</v>
      </c>
      <c r="K155" s="22">
        <v>0</v>
      </c>
      <c r="L155" s="22">
        <v>0</v>
      </c>
      <c r="M155" s="19" t="s">
        <v>296</v>
      </c>
      <c r="N155" s="19" t="s">
        <v>91</v>
      </c>
      <c r="O155" s="19" t="s">
        <v>47</v>
      </c>
      <c r="P155" s="22">
        <v>2</v>
      </c>
      <c r="Q155" s="39" t="s">
        <v>259</v>
      </c>
    </row>
    <row r="156" spans="1:17" ht="14.4">
      <c r="A156" s="13">
        <v>190</v>
      </c>
      <c r="B156" s="14" t="s">
        <v>300</v>
      </c>
      <c r="C156" s="34">
        <v>45526</v>
      </c>
      <c r="D156" s="17">
        <v>0</v>
      </c>
      <c r="E156" s="17">
        <v>0</v>
      </c>
      <c r="F156" s="17">
        <v>0</v>
      </c>
      <c r="G156" s="17">
        <v>0</v>
      </c>
      <c r="H156" s="35"/>
      <c r="I156" s="17">
        <v>2</v>
      </c>
      <c r="J156" s="17">
        <v>0</v>
      </c>
      <c r="K156" s="17">
        <v>0</v>
      </c>
      <c r="L156" s="17">
        <v>0</v>
      </c>
      <c r="M156" s="14" t="s">
        <v>296</v>
      </c>
      <c r="N156" s="14" t="s">
        <v>91</v>
      </c>
      <c r="O156" s="14" t="s">
        <v>47</v>
      </c>
      <c r="P156" s="14"/>
      <c r="Q156" s="36" t="s">
        <v>260</v>
      </c>
    </row>
    <row r="157" spans="1:17" ht="14.4">
      <c r="A157" s="26">
        <v>190</v>
      </c>
      <c r="B157" s="19" t="s">
        <v>300</v>
      </c>
      <c r="C157" s="37">
        <v>45526</v>
      </c>
      <c r="D157" s="22">
        <v>0</v>
      </c>
      <c r="E157" s="22">
        <v>0</v>
      </c>
      <c r="F157" s="22">
        <v>0</v>
      </c>
      <c r="G157" s="22">
        <v>0</v>
      </c>
      <c r="H157" s="38"/>
      <c r="I157" s="22">
        <v>0</v>
      </c>
      <c r="J157" s="22">
        <v>1</v>
      </c>
      <c r="K157" s="22">
        <v>0</v>
      </c>
      <c r="L157" s="22">
        <v>0</v>
      </c>
      <c r="M157" s="38" t="s">
        <v>296</v>
      </c>
      <c r="N157" s="19" t="s">
        <v>91</v>
      </c>
      <c r="O157" s="19" t="s">
        <v>47</v>
      </c>
      <c r="P157" s="19"/>
      <c r="Q157" s="39" t="s">
        <v>263</v>
      </c>
    </row>
    <row r="158" spans="1:17" ht="14.4">
      <c r="A158" s="13">
        <v>190</v>
      </c>
      <c r="B158" s="14" t="s">
        <v>300</v>
      </c>
      <c r="C158" s="34">
        <v>45526</v>
      </c>
      <c r="D158" s="17">
        <v>2</v>
      </c>
      <c r="E158" s="17">
        <v>0</v>
      </c>
      <c r="F158" s="17">
        <v>0</v>
      </c>
      <c r="G158" s="17">
        <v>0</v>
      </c>
      <c r="H158" s="35"/>
      <c r="I158" s="17">
        <v>0</v>
      </c>
      <c r="J158" s="17">
        <v>0</v>
      </c>
      <c r="K158" s="17">
        <v>0</v>
      </c>
      <c r="L158" s="17">
        <v>0</v>
      </c>
      <c r="M158" s="14" t="s">
        <v>296</v>
      </c>
      <c r="N158" s="14" t="s">
        <v>87</v>
      </c>
      <c r="O158" s="14" t="s">
        <v>43</v>
      </c>
      <c r="P158" s="17">
        <v>1</v>
      </c>
      <c r="Q158" s="36" t="s">
        <v>259</v>
      </c>
    </row>
    <row r="159" spans="1:17" ht="14.4">
      <c r="A159" s="26">
        <v>190</v>
      </c>
      <c r="B159" s="19" t="s">
        <v>300</v>
      </c>
      <c r="C159" s="37">
        <v>45526</v>
      </c>
      <c r="D159" s="22">
        <v>0</v>
      </c>
      <c r="E159" s="22">
        <v>0</v>
      </c>
      <c r="F159" s="22">
        <v>0</v>
      </c>
      <c r="G159" s="22">
        <v>0</v>
      </c>
      <c r="H159" s="38"/>
      <c r="I159" s="22">
        <v>2</v>
      </c>
      <c r="J159" s="22">
        <v>0</v>
      </c>
      <c r="K159" s="22">
        <v>0</v>
      </c>
      <c r="L159" s="22">
        <v>0</v>
      </c>
      <c r="M159" s="19" t="s">
        <v>296</v>
      </c>
      <c r="N159" s="19" t="s">
        <v>87</v>
      </c>
      <c r="O159" s="19" t="s">
        <v>43</v>
      </c>
      <c r="P159" s="19"/>
      <c r="Q159" s="39" t="s">
        <v>260</v>
      </c>
    </row>
    <row r="160" spans="1:17" ht="14.4">
      <c r="A160" s="13">
        <v>190</v>
      </c>
      <c r="B160" s="14" t="s">
        <v>300</v>
      </c>
      <c r="C160" s="34">
        <v>45526</v>
      </c>
      <c r="D160" s="17">
        <v>0</v>
      </c>
      <c r="E160" s="17">
        <v>0</v>
      </c>
      <c r="F160" s="17">
        <v>0</v>
      </c>
      <c r="G160" s="17">
        <v>0</v>
      </c>
      <c r="H160" s="35"/>
      <c r="I160" s="17">
        <v>0</v>
      </c>
      <c r="J160" s="17">
        <v>2</v>
      </c>
      <c r="K160" s="17">
        <v>0</v>
      </c>
      <c r="L160" s="17">
        <v>0</v>
      </c>
      <c r="M160" s="14" t="s">
        <v>296</v>
      </c>
      <c r="N160" s="14" t="s">
        <v>87</v>
      </c>
      <c r="O160" s="14" t="s">
        <v>43</v>
      </c>
      <c r="P160" s="14"/>
      <c r="Q160" s="36" t="s">
        <v>263</v>
      </c>
    </row>
    <row r="161" spans="1:17" ht="14.4">
      <c r="A161" s="26">
        <v>190</v>
      </c>
      <c r="B161" s="19" t="s">
        <v>300</v>
      </c>
      <c r="C161" s="37">
        <v>45526</v>
      </c>
      <c r="D161" s="22">
        <v>1</v>
      </c>
      <c r="E161" s="22">
        <v>0</v>
      </c>
      <c r="F161" s="22">
        <v>0</v>
      </c>
      <c r="G161" s="22">
        <v>0</v>
      </c>
      <c r="H161" s="38"/>
      <c r="I161" s="22">
        <v>0</v>
      </c>
      <c r="J161" s="22">
        <v>0</v>
      </c>
      <c r="K161" s="22">
        <v>0</v>
      </c>
      <c r="L161" s="22">
        <v>0</v>
      </c>
      <c r="M161" s="19" t="s">
        <v>296</v>
      </c>
      <c r="N161" s="19" t="s">
        <v>87</v>
      </c>
      <c r="O161" s="19" t="s">
        <v>46</v>
      </c>
      <c r="P161" s="19"/>
      <c r="Q161" s="39" t="s">
        <v>259</v>
      </c>
    </row>
    <row r="162" spans="1:17" ht="14.4">
      <c r="A162" s="13">
        <v>190</v>
      </c>
      <c r="B162" s="14" t="s">
        <v>300</v>
      </c>
      <c r="C162" s="34">
        <v>45526</v>
      </c>
      <c r="D162" s="17">
        <v>0</v>
      </c>
      <c r="E162" s="17">
        <v>0</v>
      </c>
      <c r="F162" s="17">
        <v>0</v>
      </c>
      <c r="G162" s="17">
        <v>0</v>
      </c>
      <c r="H162" s="35"/>
      <c r="I162" s="17">
        <v>0</v>
      </c>
      <c r="J162" s="17">
        <v>0</v>
      </c>
      <c r="K162" s="17">
        <v>1</v>
      </c>
      <c r="L162" s="17">
        <v>0</v>
      </c>
      <c r="M162" s="14" t="s">
        <v>296</v>
      </c>
      <c r="N162" s="14" t="s">
        <v>87</v>
      </c>
      <c r="O162" s="14" t="s">
        <v>46</v>
      </c>
      <c r="P162" s="14"/>
      <c r="Q162" s="36" t="s">
        <v>263</v>
      </c>
    </row>
    <row r="163" spans="1:17" ht="14.4">
      <c r="A163" s="26">
        <v>190</v>
      </c>
      <c r="B163" s="19" t="s">
        <v>300</v>
      </c>
      <c r="C163" s="37">
        <v>45526</v>
      </c>
      <c r="D163" s="22">
        <v>0</v>
      </c>
      <c r="E163" s="22">
        <v>1</v>
      </c>
      <c r="F163" s="22">
        <v>0</v>
      </c>
      <c r="G163" s="22">
        <v>0</v>
      </c>
      <c r="H163" s="21" t="s">
        <v>302</v>
      </c>
      <c r="I163" s="22">
        <v>0</v>
      </c>
      <c r="J163" s="22">
        <v>0</v>
      </c>
      <c r="K163" s="22">
        <v>0</v>
      </c>
      <c r="L163" s="22">
        <v>0</v>
      </c>
      <c r="M163" s="19" t="s">
        <v>296</v>
      </c>
      <c r="N163" s="19" t="s">
        <v>87</v>
      </c>
      <c r="O163" s="19" t="s">
        <v>60</v>
      </c>
      <c r="P163" s="19"/>
      <c r="Q163" s="39" t="s">
        <v>262</v>
      </c>
    </row>
    <row r="164" spans="1:17" ht="14.4">
      <c r="A164" s="13">
        <v>190</v>
      </c>
      <c r="B164" s="14" t="s">
        <v>300</v>
      </c>
      <c r="C164" s="34">
        <v>45526</v>
      </c>
      <c r="D164" s="17">
        <v>1</v>
      </c>
      <c r="E164" s="17">
        <v>0</v>
      </c>
      <c r="F164" s="17">
        <v>0</v>
      </c>
      <c r="G164" s="17">
        <v>0</v>
      </c>
      <c r="H164" s="35"/>
      <c r="I164" s="17">
        <v>0</v>
      </c>
      <c r="J164" s="17">
        <v>0</v>
      </c>
      <c r="K164" s="17">
        <v>0</v>
      </c>
      <c r="L164" s="17">
        <v>0</v>
      </c>
      <c r="M164" s="14" t="s">
        <v>296</v>
      </c>
      <c r="N164" s="14" t="s">
        <v>87</v>
      </c>
      <c r="O164" s="14" t="s">
        <v>60</v>
      </c>
      <c r="P164" s="17">
        <v>1</v>
      </c>
      <c r="Q164" s="36" t="s">
        <v>259</v>
      </c>
    </row>
    <row r="165" spans="1:17" ht="14.4">
      <c r="A165" s="26">
        <v>190</v>
      </c>
      <c r="B165" s="19" t="s">
        <v>300</v>
      </c>
      <c r="C165" s="37">
        <v>45526</v>
      </c>
      <c r="D165" s="22">
        <v>0</v>
      </c>
      <c r="E165" s="22">
        <v>0</v>
      </c>
      <c r="F165" s="22">
        <v>0</v>
      </c>
      <c r="G165" s="22">
        <v>0</v>
      </c>
      <c r="H165" s="38"/>
      <c r="I165" s="22">
        <v>0</v>
      </c>
      <c r="J165" s="22">
        <v>2</v>
      </c>
      <c r="K165" s="22">
        <v>1</v>
      </c>
      <c r="L165" s="22">
        <v>0</v>
      </c>
      <c r="M165" s="19" t="s">
        <v>296</v>
      </c>
      <c r="N165" s="19" t="s">
        <v>87</v>
      </c>
      <c r="O165" s="19" t="s">
        <v>60</v>
      </c>
      <c r="P165" s="19"/>
      <c r="Q165" s="39" t="s">
        <v>263</v>
      </c>
    </row>
    <row r="166" spans="1:17" ht="14.4">
      <c r="A166" s="13">
        <v>190</v>
      </c>
      <c r="B166" s="14" t="s">
        <v>300</v>
      </c>
      <c r="C166" s="34">
        <v>45526</v>
      </c>
      <c r="D166" s="17">
        <v>4</v>
      </c>
      <c r="E166" s="17">
        <v>0</v>
      </c>
      <c r="F166" s="17">
        <v>0</v>
      </c>
      <c r="G166" s="17">
        <v>0</v>
      </c>
      <c r="H166" s="35"/>
      <c r="I166" s="17">
        <v>0</v>
      </c>
      <c r="J166" s="17">
        <v>0</v>
      </c>
      <c r="K166" s="17">
        <v>0</v>
      </c>
      <c r="L166" s="17">
        <v>0</v>
      </c>
      <c r="M166" s="14" t="s">
        <v>296</v>
      </c>
      <c r="N166" s="14" t="s">
        <v>87</v>
      </c>
      <c r="O166" s="14" t="s">
        <v>98</v>
      </c>
      <c r="P166" s="17">
        <v>1</v>
      </c>
      <c r="Q166" s="36" t="s">
        <v>259</v>
      </c>
    </row>
    <row r="167" spans="1:17" ht="14.4">
      <c r="A167" s="26">
        <v>190</v>
      </c>
      <c r="B167" s="19" t="s">
        <v>300</v>
      </c>
      <c r="C167" s="37">
        <v>45526</v>
      </c>
      <c r="D167" s="22">
        <v>0</v>
      </c>
      <c r="E167" s="22">
        <v>0</v>
      </c>
      <c r="F167" s="22">
        <v>0</v>
      </c>
      <c r="G167" s="22">
        <v>1</v>
      </c>
      <c r="H167" s="38"/>
      <c r="I167" s="22">
        <v>0</v>
      </c>
      <c r="J167" s="22">
        <v>0</v>
      </c>
      <c r="K167" s="22">
        <v>0</v>
      </c>
      <c r="L167" s="22">
        <v>0</v>
      </c>
      <c r="M167" s="19" t="s">
        <v>296</v>
      </c>
      <c r="N167" s="19" t="s">
        <v>87</v>
      </c>
      <c r="O167" s="19" t="s">
        <v>89</v>
      </c>
      <c r="P167" s="19"/>
      <c r="Q167" s="39" t="s">
        <v>262</v>
      </c>
    </row>
    <row r="168" spans="1:17" ht="14.4">
      <c r="A168" s="13">
        <v>190</v>
      </c>
      <c r="B168" s="14" t="s">
        <v>300</v>
      </c>
      <c r="C168" s="34">
        <v>45526</v>
      </c>
      <c r="D168" s="17">
        <v>3</v>
      </c>
      <c r="E168" s="17">
        <v>0</v>
      </c>
      <c r="F168" s="17">
        <v>0</v>
      </c>
      <c r="G168" s="17">
        <v>0</v>
      </c>
      <c r="H168" s="35"/>
      <c r="I168" s="17">
        <v>0</v>
      </c>
      <c r="J168" s="17">
        <v>0</v>
      </c>
      <c r="K168" s="17">
        <v>0</v>
      </c>
      <c r="L168" s="17">
        <v>0</v>
      </c>
      <c r="M168" s="14" t="s">
        <v>296</v>
      </c>
      <c r="N168" s="14" t="s">
        <v>87</v>
      </c>
      <c r="O168" s="14" t="s">
        <v>89</v>
      </c>
      <c r="P168" s="17">
        <v>1</v>
      </c>
      <c r="Q168" s="36" t="s">
        <v>259</v>
      </c>
    </row>
    <row r="169" spans="1:17" ht="14.4">
      <c r="A169" s="26">
        <v>190</v>
      </c>
      <c r="B169" s="19" t="s">
        <v>300</v>
      </c>
      <c r="C169" s="37">
        <v>45526</v>
      </c>
      <c r="D169" s="22">
        <v>0</v>
      </c>
      <c r="E169" s="22">
        <v>0</v>
      </c>
      <c r="F169" s="22">
        <v>0</v>
      </c>
      <c r="G169" s="22">
        <v>0</v>
      </c>
      <c r="H169" s="38"/>
      <c r="I169" s="22">
        <v>0</v>
      </c>
      <c r="J169" s="22">
        <v>2</v>
      </c>
      <c r="K169" s="22">
        <v>0</v>
      </c>
      <c r="L169" s="22">
        <v>0</v>
      </c>
      <c r="M169" s="19" t="s">
        <v>296</v>
      </c>
      <c r="N169" s="19" t="s">
        <v>87</v>
      </c>
      <c r="O169" s="19" t="s">
        <v>89</v>
      </c>
      <c r="P169" s="19"/>
      <c r="Q169" s="39" t="s">
        <v>263</v>
      </c>
    </row>
    <row r="170" spans="1:17" ht="14.4">
      <c r="A170" s="13">
        <v>190</v>
      </c>
      <c r="B170" s="14" t="s">
        <v>300</v>
      </c>
      <c r="C170" s="34">
        <v>45526</v>
      </c>
      <c r="D170" s="17">
        <v>0</v>
      </c>
      <c r="E170" s="17">
        <v>1</v>
      </c>
      <c r="F170" s="17">
        <v>0</v>
      </c>
      <c r="G170" s="17">
        <v>0</v>
      </c>
      <c r="H170" s="16" t="s">
        <v>303</v>
      </c>
      <c r="I170" s="17">
        <v>0</v>
      </c>
      <c r="J170" s="17">
        <v>0</v>
      </c>
      <c r="K170" s="17">
        <v>0</v>
      </c>
      <c r="L170" s="17">
        <v>0</v>
      </c>
      <c r="M170" s="14" t="s">
        <v>296</v>
      </c>
      <c r="N170" s="14" t="s">
        <v>87</v>
      </c>
      <c r="O170" s="14" t="s">
        <v>57</v>
      </c>
      <c r="P170" s="14"/>
      <c r="Q170" s="36" t="s">
        <v>262</v>
      </c>
    </row>
    <row r="171" spans="1:17" ht="14.4">
      <c r="A171" s="26">
        <v>190</v>
      </c>
      <c r="B171" s="19" t="s">
        <v>300</v>
      </c>
      <c r="C171" s="37">
        <v>45526</v>
      </c>
      <c r="D171" s="22">
        <v>8</v>
      </c>
      <c r="E171" s="22">
        <v>0</v>
      </c>
      <c r="F171" s="22">
        <v>0</v>
      </c>
      <c r="G171" s="22">
        <v>0</v>
      </c>
      <c r="H171" s="38"/>
      <c r="I171" s="22">
        <v>0</v>
      </c>
      <c r="J171" s="22">
        <v>0</v>
      </c>
      <c r="K171" s="22">
        <v>0</v>
      </c>
      <c r="L171" s="22">
        <v>0</v>
      </c>
      <c r="M171" s="19" t="s">
        <v>296</v>
      </c>
      <c r="N171" s="19" t="s">
        <v>87</v>
      </c>
      <c r="O171" s="19" t="s">
        <v>57</v>
      </c>
      <c r="P171" s="22">
        <v>2</v>
      </c>
      <c r="Q171" s="39" t="s">
        <v>259</v>
      </c>
    </row>
    <row r="172" spans="1:17" ht="14.4">
      <c r="A172" s="13">
        <v>190</v>
      </c>
      <c r="B172" s="14" t="s">
        <v>300</v>
      </c>
      <c r="C172" s="34">
        <v>45526</v>
      </c>
      <c r="D172" s="17">
        <v>0</v>
      </c>
      <c r="E172" s="17">
        <v>0</v>
      </c>
      <c r="F172" s="17">
        <v>0</v>
      </c>
      <c r="G172" s="17">
        <v>0</v>
      </c>
      <c r="H172" s="35"/>
      <c r="I172" s="17">
        <v>0</v>
      </c>
      <c r="J172" s="17">
        <v>1</v>
      </c>
      <c r="K172" s="17">
        <v>0</v>
      </c>
      <c r="L172" s="17">
        <v>0</v>
      </c>
      <c r="M172" s="14" t="s">
        <v>296</v>
      </c>
      <c r="N172" s="14" t="s">
        <v>87</v>
      </c>
      <c r="O172" s="14" t="s">
        <v>57</v>
      </c>
      <c r="P172" s="14"/>
      <c r="Q172" s="36" t="s">
        <v>263</v>
      </c>
    </row>
    <row r="173" spans="1:17" ht="14.4">
      <c r="A173" s="26">
        <v>190</v>
      </c>
      <c r="B173" s="19" t="s">
        <v>300</v>
      </c>
      <c r="C173" s="37">
        <v>45526</v>
      </c>
      <c r="D173" s="22">
        <v>1</v>
      </c>
      <c r="E173" s="22">
        <v>0</v>
      </c>
      <c r="F173" s="22">
        <v>0</v>
      </c>
      <c r="G173" s="22">
        <v>0</v>
      </c>
      <c r="H173" s="38"/>
      <c r="I173" s="22">
        <v>0</v>
      </c>
      <c r="J173" s="22">
        <v>0</v>
      </c>
      <c r="K173" s="22">
        <v>0</v>
      </c>
      <c r="L173" s="22">
        <v>0</v>
      </c>
      <c r="M173" s="19" t="s">
        <v>296</v>
      </c>
      <c r="N173" s="19" t="s">
        <v>87</v>
      </c>
      <c r="O173" s="19" t="s">
        <v>86</v>
      </c>
      <c r="P173" s="19"/>
      <c r="Q173" s="39" t="s">
        <v>259</v>
      </c>
    </row>
    <row r="174" spans="1:17" ht="14.4">
      <c r="A174" s="13">
        <v>190</v>
      </c>
      <c r="B174" s="14" t="s">
        <v>300</v>
      </c>
      <c r="C174" s="34">
        <v>45526</v>
      </c>
      <c r="D174" s="17">
        <v>0</v>
      </c>
      <c r="E174" s="17">
        <v>1</v>
      </c>
      <c r="F174" s="17">
        <v>0</v>
      </c>
      <c r="G174" s="17">
        <v>0</v>
      </c>
      <c r="H174" s="16" t="s">
        <v>304</v>
      </c>
      <c r="I174" s="17">
        <v>0</v>
      </c>
      <c r="J174" s="17">
        <v>0</v>
      </c>
      <c r="K174" s="17">
        <v>0</v>
      </c>
      <c r="L174" s="17">
        <v>0</v>
      </c>
      <c r="M174" s="14" t="s">
        <v>296</v>
      </c>
      <c r="N174" s="14" t="s">
        <v>87</v>
      </c>
      <c r="O174" s="14" t="s">
        <v>59</v>
      </c>
      <c r="P174" s="14"/>
      <c r="Q174" s="36" t="s">
        <v>262</v>
      </c>
    </row>
    <row r="175" spans="1:17" ht="14.4">
      <c r="A175" s="26">
        <v>190</v>
      </c>
      <c r="B175" s="19" t="s">
        <v>300</v>
      </c>
      <c r="C175" s="37">
        <v>45526</v>
      </c>
      <c r="D175" s="22">
        <v>6</v>
      </c>
      <c r="E175" s="22">
        <v>0</v>
      </c>
      <c r="F175" s="22">
        <v>0</v>
      </c>
      <c r="G175" s="22">
        <v>0</v>
      </c>
      <c r="H175" s="38"/>
      <c r="I175" s="22">
        <v>0</v>
      </c>
      <c r="J175" s="22">
        <v>0</v>
      </c>
      <c r="K175" s="22">
        <v>0</v>
      </c>
      <c r="L175" s="22">
        <v>0</v>
      </c>
      <c r="M175" s="19" t="s">
        <v>296</v>
      </c>
      <c r="N175" s="19" t="s">
        <v>87</v>
      </c>
      <c r="O175" s="19" t="s">
        <v>59</v>
      </c>
      <c r="P175" s="22">
        <v>2</v>
      </c>
      <c r="Q175" s="39" t="s">
        <v>259</v>
      </c>
    </row>
    <row r="176" spans="1:17" ht="14.4">
      <c r="A176" s="13">
        <v>190</v>
      </c>
      <c r="B176" s="14" t="s">
        <v>300</v>
      </c>
      <c r="C176" s="34">
        <v>45526</v>
      </c>
      <c r="D176" s="17">
        <v>0</v>
      </c>
      <c r="E176" s="17">
        <v>0</v>
      </c>
      <c r="F176" s="17">
        <v>0</v>
      </c>
      <c r="G176" s="17">
        <v>0</v>
      </c>
      <c r="H176" s="35"/>
      <c r="I176" s="17">
        <v>1</v>
      </c>
      <c r="J176" s="17">
        <v>0</v>
      </c>
      <c r="K176" s="17">
        <v>0</v>
      </c>
      <c r="L176" s="17">
        <v>0</v>
      </c>
      <c r="M176" s="14" t="s">
        <v>296</v>
      </c>
      <c r="N176" s="14" t="s">
        <v>87</v>
      </c>
      <c r="O176" s="14" t="s">
        <v>59</v>
      </c>
      <c r="P176" s="14"/>
      <c r="Q176" s="36" t="s">
        <v>260</v>
      </c>
    </row>
    <row r="177" spans="1:17" ht="14.4">
      <c r="A177" s="26">
        <v>190</v>
      </c>
      <c r="B177" s="19" t="s">
        <v>300</v>
      </c>
      <c r="C177" s="37">
        <v>45526</v>
      </c>
      <c r="D177" s="22">
        <v>0</v>
      </c>
      <c r="E177" s="22">
        <v>0</v>
      </c>
      <c r="F177" s="22">
        <v>0</v>
      </c>
      <c r="G177" s="22">
        <v>0</v>
      </c>
      <c r="H177" s="38"/>
      <c r="I177" s="22">
        <v>0</v>
      </c>
      <c r="J177" s="22">
        <v>0</v>
      </c>
      <c r="K177" s="22">
        <v>1</v>
      </c>
      <c r="L177" s="22">
        <v>0</v>
      </c>
      <c r="M177" s="38" t="s">
        <v>296</v>
      </c>
      <c r="N177" s="19" t="s">
        <v>87</v>
      </c>
      <c r="O177" s="19" t="s">
        <v>59</v>
      </c>
      <c r="P177" s="19"/>
      <c r="Q177" s="39" t="s">
        <v>263</v>
      </c>
    </row>
    <row r="178" spans="1:17" ht="14.4">
      <c r="A178" s="13">
        <v>191</v>
      </c>
      <c r="B178" s="14" t="s">
        <v>305</v>
      </c>
      <c r="C178" s="34">
        <v>45526</v>
      </c>
      <c r="D178" s="17">
        <v>0</v>
      </c>
      <c r="E178" s="17">
        <v>0</v>
      </c>
      <c r="F178" s="17">
        <v>0</v>
      </c>
      <c r="G178" s="17">
        <v>0</v>
      </c>
      <c r="H178" s="35"/>
      <c r="I178" s="17">
        <v>1</v>
      </c>
      <c r="J178" s="17">
        <v>0</v>
      </c>
      <c r="K178" s="17">
        <v>0</v>
      </c>
      <c r="L178" s="17">
        <v>0</v>
      </c>
      <c r="M178" s="14" t="s">
        <v>296</v>
      </c>
      <c r="N178" s="14" t="s">
        <v>91</v>
      </c>
      <c r="O178" s="14" t="s">
        <v>38</v>
      </c>
      <c r="P178" s="14"/>
      <c r="Q178" s="36" t="s">
        <v>260</v>
      </c>
    </row>
    <row r="179" spans="1:17" ht="14.4">
      <c r="A179" s="26">
        <v>191</v>
      </c>
      <c r="B179" s="19" t="s">
        <v>305</v>
      </c>
      <c r="C179" s="37">
        <v>45526</v>
      </c>
      <c r="D179" s="22">
        <v>0</v>
      </c>
      <c r="E179" s="22">
        <v>1</v>
      </c>
      <c r="F179" s="22">
        <v>0</v>
      </c>
      <c r="G179" s="22">
        <v>0</v>
      </c>
      <c r="H179" s="21" t="s">
        <v>306</v>
      </c>
      <c r="I179" s="22">
        <v>0</v>
      </c>
      <c r="J179" s="22">
        <v>0</v>
      </c>
      <c r="K179" s="22">
        <v>0</v>
      </c>
      <c r="L179" s="22">
        <v>0</v>
      </c>
      <c r="M179" s="19" t="s">
        <v>296</v>
      </c>
      <c r="N179" s="19" t="s">
        <v>91</v>
      </c>
      <c r="O179" s="19" t="s">
        <v>47</v>
      </c>
      <c r="P179" s="19"/>
      <c r="Q179" s="39" t="s">
        <v>262</v>
      </c>
    </row>
    <row r="180" spans="1:17" ht="14.4">
      <c r="A180" s="13">
        <v>191</v>
      </c>
      <c r="B180" s="14" t="s">
        <v>305</v>
      </c>
      <c r="C180" s="34">
        <v>45526</v>
      </c>
      <c r="D180" s="17">
        <v>1</v>
      </c>
      <c r="E180" s="17">
        <v>0</v>
      </c>
      <c r="F180" s="17">
        <v>0</v>
      </c>
      <c r="G180" s="17">
        <v>0</v>
      </c>
      <c r="H180" s="35"/>
      <c r="I180" s="17">
        <v>0</v>
      </c>
      <c r="J180" s="17">
        <v>0</v>
      </c>
      <c r="K180" s="17">
        <v>0</v>
      </c>
      <c r="L180" s="17">
        <v>0</v>
      </c>
      <c r="M180" s="14" t="s">
        <v>296</v>
      </c>
      <c r="N180" s="14" t="s">
        <v>91</v>
      </c>
      <c r="O180" s="14" t="s">
        <v>47</v>
      </c>
      <c r="P180" s="17">
        <v>1</v>
      </c>
      <c r="Q180" s="36" t="s">
        <v>259</v>
      </c>
    </row>
    <row r="181" spans="1:17" ht="14.4">
      <c r="A181" s="26">
        <v>191</v>
      </c>
      <c r="B181" s="19" t="s">
        <v>305</v>
      </c>
      <c r="C181" s="37">
        <v>45526</v>
      </c>
      <c r="D181" s="22">
        <v>0</v>
      </c>
      <c r="E181" s="22">
        <v>0</v>
      </c>
      <c r="F181" s="22">
        <v>0</v>
      </c>
      <c r="G181" s="22">
        <v>0</v>
      </c>
      <c r="H181" s="38"/>
      <c r="I181" s="22">
        <v>0</v>
      </c>
      <c r="J181" s="22">
        <v>1</v>
      </c>
      <c r="K181" s="22">
        <v>0</v>
      </c>
      <c r="L181" s="22">
        <v>0</v>
      </c>
      <c r="M181" s="19" t="s">
        <v>296</v>
      </c>
      <c r="N181" s="19" t="s">
        <v>91</v>
      </c>
      <c r="O181" s="19" t="s">
        <v>47</v>
      </c>
      <c r="P181" s="19"/>
      <c r="Q181" s="39" t="s">
        <v>263</v>
      </c>
    </row>
    <row r="182" spans="1:17" ht="14.4">
      <c r="A182" s="13">
        <v>191</v>
      </c>
      <c r="B182" s="14" t="s">
        <v>305</v>
      </c>
      <c r="C182" s="34">
        <v>45526</v>
      </c>
      <c r="D182" s="17">
        <v>0</v>
      </c>
      <c r="E182" s="17">
        <v>0</v>
      </c>
      <c r="F182" s="17">
        <v>1</v>
      </c>
      <c r="G182" s="17">
        <v>0</v>
      </c>
      <c r="H182" s="35"/>
      <c r="I182" s="17">
        <v>0</v>
      </c>
      <c r="J182" s="17">
        <v>0</v>
      </c>
      <c r="K182" s="17">
        <v>0</v>
      </c>
      <c r="L182" s="17">
        <v>0</v>
      </c>
      <c r="M182" s="14" t="s">
        <v>296</v>
      </c>
      <c r="N182" s="14" t="s">
        <v>91</v>
      </c>
      <c r="O182" s="14" t="s">
        <v>90</v>
      </c>
      <c r="P182" s="14"/>
      <c r="Q182" s="36" t="s">
        <v>262</v>
      </c>
    </row>
    <row r="183" spans="1:17" ht="14.4">
      <c r="A183" s="26">
        <v>191</v>
      </c>
      <c r="B183" s="19" t="s">
        <v>305</v>
      </c>
      <c r="C183" s="37">
        <v>45526</v>
      </c>
      <c r="D183" s="22">
        <v>2</v>
      </c>
      <c r="E183" s="22">
        <v>0</v>
      </c>
      <c r="F183" s="22">
        <v>0</v>
      </c>
      <c r="G183" s="22">
        <v>0</v>
      </c>
      <c r="H183" s="38"/>
      <c r="I183" s="22">
        <v>0</v>
      </c>
      <c r="J183" s="22">
        <v>0</v>
      </c>
      <c r="K183" s="22">
        <v>0</v>
      </c>
      <c r="L183" s="22">
        <v>0</v>
      </c>
      <c r="M183" s="19" t="s">
        <v>296</v>
      </c>
      <c r="N183" s="19" t="s">
        <v>91</v>
      </c>
      <c r="O183" s="19" t="s">
        <v>90</v>
      </c>
      <c r="P183" s="22">
        <v>2</v>
      </c>
      <c r="Q183" s="39" t="s">
        <v>259</v>
      </c>
    </row>
    <row r="184" spans="1:17" ht="14.4">
      <c r="A184" s="13">
        <v>191</v>
      </c>
      <c r="B184" s="14" t="s">
        <v>305</v>
      </c>
      <c r="C184" s="34">
        <v>45526</v>
      </c>
      <c r="D184" s="17">
        <v>0</v>
      </c>
      <c r="E184" s="17">
        <v>0</v>
      </c>
      <c r="F184" s="17">
        <v>0</v>
      </c>
      <c r="G184" s="17">
        <v>0</v>
      </c>
      <c r="H184" s="35"/>
      <c r="I184" s="17">
        <v>0</v>
      </c>
      <c r="J184" s="17">
        <v>1</v>
      </c>
      <c r="K184" s="17">
        <v>0</v>
      </c>
      <c r="L184" s="17">
        <v>0</v>
      </c>
      <c r="M184" s="14" t="s">
        <v>296</v>
      </c>
      <c r="N184" s="14" t="s">
        <v>91</v>
      </c>
      <c r="O184" s="14" t="s">
        <v>90</v>
      </c>
      <c r="P184" s="14"/>
      <c r="Q184" s="36" t="s">
        <v>263</v>
      </c>
    </row>
    <row r="185" spans="1:17" ht="14.4">
      <c r="A185" s="26">
        <v>191</v>
      </c>
      <c r="B185" s="19" t="s">
        <v>305</v>
      </c>
      <c r="C185" s="37">
        <v>45526</v>
      </c>
      <c r="D185" s="22">
        <v>2</v>
      </c>
      <c r="E185" s="22">
        <v>0</v>
      </c>
      <c r="F185" s="22">
        <v>0</v>
      </c>
      <c r="G185" s="22">
        <v>0</v>
      </c>
      <c r="H185" s="38"/>
      <c r="I185" s="22">
        <v>0</v>
      </c>
      <c r="J185" s="22">
        <v>0</v>
      </c>
      <c r="K185" s="22">
        <v>0</v>
      </c>
      <c r="L185" s="22">
        <v>0</v>
      </c>
      <c r="M185" s="19" t="s">
        <v>296</v>
      </c>
      <c r="N185" s="19" t="s">
        <v>87</v>
      </c>
      <c r="O185" s="19" t="s">
        <v>43</v>
      </c>
      <c r="P185" s="22">
        <v>2</v>
      </c>
      <c r="Q185" s="39" t="s">
        <v>259</v>
      </c>
    </row>
    <row r="186" spans="1:17" ht="14.4">
      <c r="A186" s="13">
        <v>191</v>
      </c>
      <c r="B186" s="14" t="s">
        <v>305</v>
      </c>
      <c r="C186" s="34">
        <v>45526</v>
      </c>
      <c r="D186" s="17">
        <v>0</v>
      </c>
      <c r="E186" s="17">
        <v>0</v>
      </c>
      <c r="F186" s="17">
        <v>0</v>
      </c>
      <c r="G186" s="17">
        <v>0</v>
      </c>
      <c r="H186" s="35"/>
      <c r="I186" s="17">
        <v>0</v>
      </c>
      <c r="J186" s="17">
        <v>1</v>
      </c>
      <c r="K186" s="17">
        <v>0</v>
      </c>
      <c r="L186" s="17">
        <v>0</v>
      </c>
      <c r="M186" s="14" t="s">
        <v>296</v>
      </c>
      <c r="N186" s="14" t="s">
        <v>87</v>
      </c>
      <c r="O186" s="14" t="s">
        <v>43</v>
      </c>
      <c r="P186" s="14"/>
      <c r="Q186" s="36" t="s">
        <v>263</v>
      </c>
    </row>
    <row r="187" spans="1:17" ht="14.4">
      <c r="A187" s="26">
        <v>191</v>
      </c>
      <c r="B187" s="19" t="s">
        <v>305</v>
      </c>
      <c r="C187" s="37">
        <v>45526</v>
      </c>
      <c r="D187" s="22">
        <v>0</v>
      </c>
      <c r="E187" s="22">
        <v>0</v>
      </c>
      <c r="F187" s="22">
        <v>0</v>
      </c>
      <c r="G187" s="22">
        <v>0</v>
      </c>
      <c r="H187" s="38"/>
      <c r="I187" s="22">
        <v>0</v>
      </c>
      <c r="J187" s="22">
        <v>1</v>
      </c>
      <c r="K187" s="22">
        <v>0</v>
      </c>
      <c r="L187" s="22">
        <v>0</v>
      </c>
      <c r="M187" s="19" t="s">
        <v>296</v>
      </c>
      <c r="N187" s="19" t="s">
        <v>87</v>
      </c>
      <c r="O187" s="19" t="s">
        <v>46</v>
      </c>
      <c r="P187" s="19"/>
      <c r="Q187" s="39" t="s">
        <v>263</v>
      </c>
    </row>
    <row r="188" spans="1:17" ht="14.4">
      <c r="A188" s="13">
        <v>191</v>
      </c>
      <c r="B188" s="14" t="s">
        <v>305</v>
      </c>
      <c r="C188" s="34">
        <v>45526</v>
      </c>
      <c r="D188" s="17">
        <v>0</v>
      </c>
      <c r="E188" s="17">
        <v>2</v>
      </c>
      <c r="F188" s="17">
        <v>1</v>
      </c>
      <c r="G188" s="17">
        <v>0</v>
      </c>
      <c r="H188" s="16" t="s">
        <v>272</v>
      </c>
      <c r="I188" s="17">
        <v>0</v>
      </c>
      <c r="J188" s="17">
        <v>0</v>
      </c>
      <c r="K188" s="17">
        <v>0</v>
      </c>
      <c r="L188" s="17">
        <v>0</v>
      </c>
      <c r="M188" s="35" t="s">
        <v>296</v>
      </c>
      <c r="N188" s="14" t="s">
        <v>87</v>
      </c>
      <c r="O188" s="14" t="s">
        <v>60</v>
      </c>
      <c r="P188" s="14"/>
      <c r="Q188" s="36" t="s">
        <v>262</v>
      </c>
    </row>
    <row r="189" spans="1:17" ht="14.4">
      <c r="A189" s="26">
        <v>191</v>
      </c>
      <c r="B189" s="19" t="s">
        <v>305</v>
      </c>
      <c r="C189" s="37">
        <v>45526</v>
      </c>
      <c r="D189" s="22">
        <v>0</v>
      </c>
      <c r="E189" s="22">
        <v>3</v>
      </c>
      <c r="F189" s="22">
        <v>0</v>
      </c>
      <c r="G189" s="22">
        <v>0</v>
      </c>
      <c r="H189" s="21" t="s">
        <v>307</v>
      </c>
      <c r="I189" s="22">
        <v>0</v>
      </c>
      <c r="J189" s="22">
        <v>0</v>
      </c>
      <c r="K189" s="22">
        <v>0</v>
      </c>
      <c r="L189" s="22">
        <v>0</v>
      </c>
      <c r="M189" s="19" t="s">
        <v>296</v>
      </c>
      <c r="N189" s="19" t="s">
        <v>87</v>
      </c>
      <c r="O189" s="19" t="s">
        <v>89</v>
      </c>
      <c r="P189" s="19"/>
      <c r="Q189" s="39" t="s">
        <v>262</v>
      </c>
    </row>
    <row r="190" spans="1:17" ht="14.4">
      <c r="A190" s="13">
        <v>191</v>
      </c>
      <c r="B190" s="14" t="s">
        <v>305</v>
      </c>
      <c r="C190" s="34">
        <v>45526</v>
      </c>
      <c r="D190" s="17">
        <v>1</v>
      </c>
      <c r="E190" s="17">
        <v>0</v>
      </c>
      <c r="F190" s="17">
        <v>0</v>
      </c>
      <c r="G190" s="17">
        <v>0</v>
      </c>
      <c r="H190" s="35"/>
      <c r="I190" s="17">
        <v>0</v>
      </c>
      <c r="J190" s="17">
        <v>0</v>
      </c>
      <c r="K190" s="17">
        <v>0</v>
      </c>
      <c r="L190" s="17">
        <v>0</v>
      </c>
      <c r="M190" s="14" t="s">
        <v>296</v>
      </c>
      <c r="N190" s="14" t="s">
        <v>87</v>
      </c>
      <c r="O190" s="14" t="s">
        <v>89</v>
      </c>
      <c r="P190" s="17">
        <v>1</v>
      </c>
      <c r="Q190" s="36" t="s">
        <v>259</v>
      </c>
    </row>
    <row r="191" spans="1:17" ht="14.4">
      <c r="A191" s="26">
        <v>191</v>
      </c>
      <c r="B191" s="19" t="s">
        <v>305</v>
      </c>
      <c r="C191" s="37">
        <v>45526</v>
      </c>
      <c r="D191" s="22">
        <v>0</v>
      </c>
      <c r="E191" s="22">
        <v>0</v>
      </c>
      <c r="F191" s="22">
        <v>0</v>
      </c>
      <c r="G191" s="22">
        <v>0</v>
      </c>
      <c r="H191" s="38"/>
      <c r="I191" s="22">
        <v>1</v>
      </c>
      <c r="J191" s="22">
        <v>0</v>
      </c>
      <c r="K191" s="22">
        <v>0</v>
      </c>
      <c r="L191" s="22">
        <v>0</v>
      </c>
      <c r="M191" s="19" t="s">
        <v>296</v>
      </c>
      <c r="N191" s="19" t="s">
        <v>87</v>
      </c>
      <c r="O191" s="19" t="s">
        <v>89</v>
      </c>
      <c r="P191" s="19"/>
      <c r="Q191" s="39" t="s">
        <v>260</v>
      </c>
    </row>
    <row r="192" spans="1:17" ht="14.4">
      <c r="A192" s="13">
        <v>191</v>
      </c>
      <c r="B192" s="14" t="s">
        <v>305</v>
      </c>
      <c r="C192" s="34">
        <v>45526</v>
      </c>
      <c r="D192" s="17">
        <v>0</v>
      </c>
      <c r="E192" s="17">
        <v>0</v>
      </c>
      <c r="F192" s="17">
        <v>0</v>
      </c>
      <c r="G192" s="17">
        <v>0</v>
      </c>
      <c r="H192" s="35"/>
      <c r="I192" s="17">
        <v>0</v>
      </c>
      <c r="J192" s="17">
        <v>1</v>
      </c>
      <c r="K192" s="17">
        <v>0</v>
      </c>
      <c r="L192" s="17">
        <v>0</v>
      </c>
      <c r="M192" s="35" t="s">
        <v>296</v>
      </c>
      <c r="N192" s="14" t="s">
        <v>87</v>
      </c>
      <c r="O192" s="14" t="s">
        <v>89</v>
      </c>
      <c r="P192" s="14"/>
      <c r="Q192" s="36" t="s">
        <v>263</v>
      </c>
    </row>
    <row r="193" spans="1:17" ht="14.4">
      <c r="A193" s="26">
        <v>191</v>
      </c>
      <c r="B193" s="19" t="s">
        <v>305</v>
      </c>
      <c r="C193" s="37">
        <v>45526</v>
      </c>
      <c r="D193" s="22">
        <v>1</v>
      </c>
      <c r="E193" s="22">
        <v>0</v>
      </c>
      <c r="F193" s="22">
        <v>0</v>
      </c>
      <c r="G193" s="22">
        <v>0</v>
      </c>
      <c r="H193" s="38"/>
      <c r="I193" s="22">
        <v>0</v>
      </c>
      <c r="J193" s="22">
        <v>0</v>
      </c>
      <c r="K193" s="22">
        <v>0</v>
      </c>
      <c r="L193" s="22">
        <v>0</v>
      </c>
      <c r="M193" s="19" t="s">
        <v>296</v>
      </c>
      <c r="N193" s="19" t="s">
        <v>87</v>
      </c>
      <c r="O193" s="19" t="s">
        <v>57</v>
      </c>
      <c r="P193" s="22">
        <v>1</v>
      </c>
      <c r="Q193" s="39" t="s">
        <v>259</v>
      </c>
    </row>
    <row r="194" spans="1:17" ht="14.4">
      <c r="A194" s="13">
        <v>191</v>
      </c>
      <c r="B194" s="14" t="s">
        <v>305</v>
      </c>
      <c r="C194" s="34">
        <v>45526</v>
      </c>
      <c r="D194" s="17">
        <v>0</v>
      </c>
      <c r="E194" s="17">
        <v>0</v>
      </c>
      <c r="F194" s="17">
        <v>0</v>
      </c>
      <c r="G194" s="17">
        <v>0</v>
      </c>
      <c r="H194" s="35"/>
      <c r="I194" s="17">
        <v>1</v>
      </c>
      <c r="J194" s="17">
        <v>0</v>
      </c>
      <c r="K194" s="17">
        <v>0</v>
      </c>
      <c r="L194" s="17">
        <v>0</v>
      </c>
      <c r="M194" s="14" t="s">
        <v>296</v>
      </c>
      <c r="N194" s="14" t="s">
        <v>87</v>
      </c>
      <c r="O194" s="14" t="s">
        <v>57</v>
      </c>
      <c r="P194" s="14"/>
      <c r="Q194" s="36" t="s">
        <v>260</v>
      </c>
    </row>
    <row r="195" spans="1:17" ht="14.4">
      <c r="A195" s="26">
        <v>191</v>
      </c>
      <c r="B195" s="19" t="s">
        <v>305</v>
      </c>
      <c r="C195" s="37">
        <v>45526</v>
      </c>
      <c r="D195" s="22">
        <v>0</v>
      </c>
      <c r="E195" s="22">
        <v>1</v>
      </c>
      <c r="F195" s="22">
        <v>0</v>
      </c>
      <c r="G195" s="22">
        <v>0</v>
      </c>
      <c r="H195" s="21" t="s">
        <v>272</v>
      </c>
      <c r="I195" s="22">
        <v>0</v>
      </c>
      <c r="J195" s="22">
        <v>0</v>
      </c>
      <c r="K195" s="22">
        <v>0</v>
      </c>
      <c r="L195" s="22">
        <v>0</v>
      </c>
      <c r="M195" s="19" t="s">
        <v>296</v>
      </c>
      <c r="N195" s="19" t="s">
        <v>87</v>
      </c>
      <c r="O195" s="19" t="s">
        <v>86</v>
      </c>
      <c r="P195" s="19"/>
      <c r="Q195" s="39" t="s">
        <v>262</v>
      </c>
    </row>
    <row r="196" spans="1:17" ht="14.4">
      <c r="A196" s="13">
        <v>191</v>
      </c>
      <c r="B196" s="14" t="s">
        <v>305</v>
      </c>
      <c r="C196" s="34">
        <v>45526</v>
      </c>
      <c r="D196" s="17">
        <v>2</v>
      </c>
      <c r="E196" s="17">
        <v>0</v>
      </c>
      <c r="F196" s="17">
        <v>0</v>
      </c>
      <c r="G196" s="17">
        <v>0</v>
      </c>
      <c r="H196" s="35"/>
      <c r="I196" s="17">
        <v>0</v>
      </c>
      <c r="J196" s="17">
        <v>0</v>
      </c>
      <c r="K196" s="17">
        <v>0</v>
      </c>
      <c r="L196" s="17">
        <v>0</v>
      </c>
      <c r="M196" s="14" t="s">
        <v>296</v>
      </c>
      <c r="N196" s="14" t="s">
        <v>87</v>
      </c>
      <c r="O196" s="14" t="s">
        <v>59</v>
      </c>
      <c r="P196" s="17">
        <v>1</v>
      </c>
      <c r="Q196" s="36" t="s">
        <v>259</v>
      </c>
    </row>
    <row r="197" spans="1:17" ht="14.4">
      <c r="A197" s="26">
        <v>191</v>
      </c>
      <c r="B197" s="19" t="s">
        <v>305</v>
      </c>
      <c r="C197" s="37">
        <v>45526</v>
      </c>
      <c r="D197" s="22">
        <v>0</v>
      </c>
      <c r="E197" s="22">
        <v>0</v>
      </c>
      <c r="F197" s="22">
        <v>0</v>
      </c>
      <c r="G197" s="22">
        <v>0</v>
      </c>
      <c r="H197" s="38"/>
      <c r="I197" s="22">
        <v>0</v>
      </c>
      <c r="J197" s="22">
        <v>1</v>
      </c>
      <c r="K197" s="22">
        <v>0</v>
      </c>
      <c r="L197" s="22">
        <v>0</v>
      </c>
      <c r="M197" s="19" t="s">
        <v>296</v>
      </c>
      <c r="N197" s="19" t="s">
        <v>87</v>
      </c>
      <c r="O197" s="19" t="s">
        <v>59</v>
      </c>
      <c r="P197" s="19"/>
      <c r="Q197" s="39" t="s">
        <v>263</v>
      </c>
    </row>
    <row r="198" spans="1:17" ht="14.4">
      <c r="A198" s="13">
        <v>107</v>
      </c>
      <c r="B198" s="14" t="s">
        <v>308</v>
      </c>
      <c r="C198" s="34">
        <v>45526</v>
      </c>
      <c r="D198" s="17">
        <v>1</v>
      </c>
      <c r="E198" s="17">
        <v>0</v>
      </c>
      <c r="F198" s="17">
        <v>0</v>
      </c>
      <c r="G198" s="17">
        <v>0</v>
      </c>
      <c r="H198" s="35"/>
      <c r="I198" s="17">
        <v>0</v>
      </c>
      <c r="J198" s="17">
        <v>0</v>
      </c>
      <c r="K198" s="17">
        <v>0</v>
      </c>
      <c r="L198" s="17">
        <v>0</v>
      </c>
      <c r="M198" s="14" t="s">
        <v>296</v>
      </c>
      <c r="N198" s="14" t="s">
        <v>91</v>
      </c>
      <c r="O198" s="14" t="s">
        <v>38</v>
      </c>
      <c r="P198" s="14"/>
      <c r="Q198" s="36" t="s">
        <v>259</v>
      </c>
    </row>
    <row r="199" spans="1:17" ht="14.4">
      <c r="A199" s="26">
        <v>107</v>
      </c>
      <c r="B199" s="19" t="s">
        <v>308</v>
      </c>
      <c r="C199" s="37">
        <v>45526</v>
      </c>
      <c r="D199" s="22">
        <v>0</v>
      </c>
      <c r="E199" s="22">
        <v>1</v>
      </c>
      <c r="F199" s="22">
        <v>0</v>
      </c>
      <c r="G199" s="22">
        <v>0</v>
      </c>
      <c r="H199" s="21" t="s">
        <v>273</v>
      </c>
      <c r="I199" s="22">
        <v>0</v>
      </c>
      <c r="J199" s="22">
        <v>0</v>
      </c>
      <c r="K199" s="22">
        <v>0</v>
      </c>
      <c r="L199" s="22">
        <v>0</v>
      </c>
      <c r="M199" s="19" t="s">
        <v>296</v>
      </c>
      <c r="N199" s="19" t="s">
        <v>91</v>
      </c>
      <c r="O199" s="19" t="s">
        <v>47</v>
      </c>
      <c r="P199" s="19"/>
      <c r="Q199" s="39" t="s">
        <v>262</v>
      </c>
    </row>
    <row r="200" spans="1:17" ht="14.4">
      <c r="A200" s="13">
        <v>107</v>
      </c>
      <c r="B200" s="14" t="s">
        <v>308</v>
      </c>
      <c r="C200" s="34">
        <v>45526</v>
      </c>
      <c r="D200" s="17">
        <v>1</v>
      </c>
      <c r="E200" s="17">
        <v>0</v>
      </c>
      <c r="F200" s="17">
        <v>0</v>
      </c>
      <c r="G200" s="17">
        <v>0</v>
      </c>
      <c r="H200" s="35"/>
      <c r="I200" s="17">
        <v>0</v>
      </c>
      <c r="J200" s="17">
        <v>0</v>
      </c>
      <c r="K200" s="17">
        <v>0</v>
      </c>
      <c r="L200" s="17">
        <v>0</v>
      </c>
      <c r="M200" s="35" t="s">
        <v>296</v>
      </c>
      <c r="N200" s="14" t="s">
        <v>91</v>
      </c>
      <c r="O200" s="14" t="s">
        <v>90</v>
      </c>
      <c r="P200" s="14"/>
      <c r="Q200" s="36" t="s">
        <v>259</v>
      </c>
    </row>
    <row r="201" spans="1:17" ht="14.4">
      <c r="A201" s="26">
        <v>107</v>
      </c>
      <c r="B201" s="19" t="s">
        <v>308</v>
      </c>
      <c r="C201" s="37">
        <v>45526</v>
      </c>
      <c r="D201" s="22">
        <v>0</v>
      </c>
      <c r="E201" s="22">
        <v>0</v>
      </c>
      <c r="F201" s="22">
        <v>0</v>
      </c>
      <c r="G201" s="22">
        <v>0</v>
      </c>
      <c r="H201" s="38"/>
      <c r="I201" s="22">
        <v>0</v>
      </c>
      <c r="J201" s="22">
        <v>0</v>
      </c>
      <c r="K201" s="22">
        <v>2</v>
      </c>
      <c r="L201" s="22">
        <v>0</v>
      </c>
      <c r="M201" s="19" t="s">
        <v>296</v>
      </c>
      <c r="N201" s="19" t="s">
        <v>91</v>
      </c>
      <c r="O201" s="19" t="s">
        <v>309</v>
      </c>
      <c r="P201" s="19"/>
      <c r="Q201" s="39" t="s">
        <v>263</v>
      </c>
    </row>
    <row r="202" spans="1:17" ht="14.4">
      <c r="A202" s="13">
        <v>107</v>
      </c>
      <c r="B202" s="14" t="s">
        <v>308</v>
      </c>
      <c r="C202" s="34">
        <v>45526</v>
      </c>
      <c r="D202" s="17">
        <v>0</v>
      </c>
      <c r="E202" s="17">
        <v>1</v>
      </c>
      <c r="F202" s="17">
        <v>0</v>
      </c>
      <c r="G202" s="17">
        <v>0</v>
      </c>
      <c r="H202" s="16" t="s">
        <v>270</v>
      </c>
      <c r="I202" s="17">
        <v>0</v>
      </c>
      <c r="J202" s="17">
        <v>0</v>
      </c>
      <c r="K202" s="17">
        <v>0</v>
      </c>
      <c r="L202" s="17">
        <v>0</v>
      </c>
      <c r="M202" s="14" t="s">
        <v>296</v>
      </c>
      <c r="N202" s="14" t="s">
        <v>87</v>
      </c>
      <c r="O202" s="14" t="s">
        <v>60</v>
      </c>
      <c r="P202" s="14"/>
      <c r="Q202" s="36" t="s">
        <v>262</v>
      </c>
    </row>
    <row r="203" spans="1:17" ht="14.4">
      <c r="A203" s="26">
        <v>107</v>
      </c>
      <c r="B203" s="19" t="s">
        <v>308</v>
      </c>
      <c r="C203" s="37">
        <v>45526</v>
      </c>
      <c r="D203" s="22">
        <v>3</v>
      </c>
      <c r="E203" s="22">
        <v>0</v>
      </c>
      <c r="F203" s="22">
        <v>0</v>
      </c>
      <c r="G203" s="22">
        <v>0</v>
      </c>
      <c r="H203" s="38"/>
      <c r="I203" s="22">
        <v>0</v>
      </c>
      <c r="J203" s="22">
        <v>0</v>
      </c>
      <c r="K203" s="22">
        <v>0</v>
      </c>
      <c r="L203" s="22">
        <v>0</v>
      </c>
      <c r="M203" s="19" t="s">
        <v>296</v>
      </c>
      <c r="N203" s="19" t="s">
        <v>87</v>
      </c>
      <c r="O203" s="19" t="s">
        <v>60</v>
      </c>
      <c r="P203" s="22">
        <v>1</v>
      </c>
      <c r="Q203" s="39" t="s">
        <v>259</v>
      </c>
    </row>
    <row r="204" spans="1:17" ht="14.4">
      <c r="A204" s="13">
        <v>107</v>
      </c>
      <c r="B204" s="14" t="s">
        <v>308</v>
      </c>
      <c r="C204" s="34">
        <v>45526</v>
      </c>
      <c r="D204" s="17">
        <v>0</v>
      </c>
      <c r="E204" s="17">
        <v>0</v>
      </c>
      <c r="F204" s="17">
        <v>0</v>
      </c>
      <c r="G204" s="17">
        <v>0</v>
      </c>
      <c r="H204" s="35"/>
      <c r="I204" s="17">
        <v>0</v>
      </c>
      <c r="J204" s="17">
        <v>0</v>
      </c>
      <c r="K204" s="17">
        <v>1</v>
      </c>
      <c r="L204" s="17">
        <v>0</v>
      </c>
      <c r="M204" s="35" t="s">
        <v>296</v>
      </c>
      <c r="N204" s="14" t="s">
        <v>87</v>
      </c>
      <c r="O204" s="14" t="s">
        <v>60</v>
      </c>
      <c r="P204" s="14"/>
      <c r="Q204" s="36" t="s">
        <v>263</v>
      </c>
    </row>
    <row r="205" spans="1:17" ht="14.4">
      <c r="A205" s="26">
        <v>107</v>
      </c>
      <c r="B205" s="19" t="s">
        <v>308</v>
      </c>
      <c r="C205" s="37">
        <v>45526</v>
      </c>
      <c r="D205" s="22">
        <v>4</v>
      </c>
      <c r="E205" s="22">
        <v>0</v>
      </c>
      <c r="F205" s="22">
        <v>0</v>
      </c>
      <c r="G205" s="22">
        <v>0</v>
      </c>
      <c r="H205" s="38"/>
      <c r="I205" s="22">
        <v>0</v>
      </c>
      <c r="J205" s="22">
        <v>0</v>
      </c>
      <c r="K205" s="22">
        <v>0</v>
      </c>
      <c r="L205" s="22">
        <v>0</v>
      </c>
      <c r="M205" s="38" t="s">
        <v>296</v>
      </c>
      <c r="N205" s="19" t="s">
        <v>87</v>
      </c>
      <c r="O205" s="19" t="s">
        <v>98</v>
      </c>
      <c r="P205" s="22">
        <v>2</v>
      </c>
      <c r="Q205" s="39" t="s">
        <v>259</v>
      </c>
    </row>
    <row r="206" spans="1:17" ht="14.4">
      <c r="A206" s="13">
        <v>107</v>
      </c>
      <c r="B206" s="14" t="s">
        <v>308</v>
      </c>
      <c r="C206" s="34">
        <v>45526</v>
      </c>
      <c r="D206" s="17">
        <v>0</v>
      </c>
      <c r="E206" s="17">
        <v>0</v>
      </c>
      <c r="F206" s="17">
        <v>0</v>
      </c>
      <c r="G206" s="17">
        <v>0</v>
      </c>
      <c r="H206" s="35"/>
      <c r="I206" s="17">
        <v>1</v>
      </c>
      <c r="J206" s="17">
        <v>0</v>
      </c>
      <c r="K206" s="17">
        <v>0</v>
      </c>
      <c r="L206" s="17">
        <v>0</v>
      </c>
      <c r="M206" s="35" t="s">
        <v>296</v>
      </c>
      <c r="N206" s="14" t="s">
        <v>87</v>
      </c>
      <c r="O206" s="14" t="s">
        <v>98</v>
      </c>
      <c r="P206" s="14"/>
      <c r="Q206" s="36" t="s">
        <v>260</v>
      </c>
    </row>
    <row r="207" spans="1:17" ht="14.4">
      <c r="A207" s="26">
        <v>107</v>
      </c>
      <c r="B207" s="19" t="s">
        <v>308</v>
      </c>
      <c r="C207" s="37">
        <v>45526</v>
      </c>
      <c r="D207" s="22">
        <v>0</v>
      </c>
      <c r="E207" s="22">
        <v>1</v>
      </c>
      <c r="F207" s="22">
        <v>0</v>
      </c>
      <c r="G207" s="22">
        <v>0</v>
      </c>
      <c r="H207" s="21" t="s">
        <v>310</v>
      </c>
      <c r="I207" s="22">
        <v>0</v>
      </c>
      <c r="J207" s="22">
        <v>0</v>
      </c>
      <c r="K207" s="22">
        <v>0</v>
      </c>
      <c r="L207" s="22">
        <v>0</v>
      </c>
      <c r="M207" s="19" t="s">
        <v>296</v>
      </c>
      <c r="N207" s="19" t="s">
        <v>87</v>
      </c>
      <c r="O207" s="19" t="s">
        <v>89</v>
      </c>
      <c r="P207" s="19"/>
      <c r="Q207" s="39" t="s">
        <v>262</v>
      </c>
    </row>
    <row r="208" spans="1:17" ht="14.4">
      <c r="A208" s="13">
        <v>107</v>
      </c>
      <c r="B208" s="14" t="s">
        <v>308</v>
      </c>
      <c r="C208" s="34">
        <v>45526</v>
      </c>
      <c r="D208" s="17">
        <v>1</v>
      </c>
      <c r="E208" s="17">
        <v>0</v>
      </c>
      <c r="F208" s="17">
        <v>0</v>
      </c>
      <c r="G208" s="17">
        <v>0</v>
      </c>
      <c r="H208" s="35"/>
      <c r="I208" s="17">
        <v>0</v>
      </c>
      <c r="J208" s="17">
        <v>0</v>
      </c>
      <c r="K208" s="17">
        <v>0</v>
      </c>
      <c r="L208" s="17">
        <v>0</v>
      </c>
      <c r="M208" s="14" t="s">
        <v>296</v>
      </c>
      <c r="N208" s="14" t="s">
        <v>87</v>
      </c>
      <c r="O208" s="14" t="s">
        <v>89</v>
      </c>
      <c r="P208" s="17">
        <v>1</v>
      </c>
      <c r="Q208" s="36" t="s">
        <v>259</v>
      </c>
    </row>
    <row r="209" spans="1:17" ht="14.4">
      <c r="A209" s="26">
        <v>107</v>
      </c>
      <c r="B209" s="19" t="s">
        <v>308</v>
      </c>
      <c r="C209" s="37">
        <v>45526</v>
      </c>
      <c r="D209" s="22">
        <v>0</v>
      </c>
      <c r="E209" s="22">
        <v>0</v>
      </c>
      <c r="F209" s="22">
        <v>0</v>
      </c>
      <c r="G209" s="22">
        <v>0</v>
      </c>
      <c r="H209" s="38"/>
      <c r="I209" s="22">
        <v>0</v>
      </c>
      <c r="J209" s="22">
        <v>0</v>
      </c>
      <c r="K209" s="22">
        <v>2</v>
      </c>
      <c r="L209" s="22">
        <v>0</v>
      </c>
      <c r="M209" s="19" t="s">
        <v>296</v>
      </c>
      <c r="N209" s="19" t="s">
        <v>87</v>
      </c>
      <c r="O209" s="19" t="s">
        <v>89</v>
      </c>
      <c r="P209" s="19"/>
      <c r="Q209" s="39" t="s">
        <v>263</v>
      </c>
    </row>
    <row r="210" spans="1:17" ht="14.4">
      <c r="A210" s="13">
        <v>107</v>
      </c>
      <c r="B210" s="14" t="s">
        <v>308</v>
      </c>
      <c r="C210" s="34">
        <v>45526</v>
      </c>
      <c r="D210" s="17">
        <v>3</v>
      </c>
      <c r="E210" s="17">
        <v>0</v>
      </c>
      <c r="F210" s="17">
        <v>0</v>
      </c>
      <c r="G210" s="17">
        <v>0</v>
      </c>
      <c r="H210" s="35"/>
      <c r="I210" s="17">
        <v>0</v>
      </c>
      <c r="J210" s="17">
        <v>0</v>
      </c>
      <c r="K210" s="17">
        <v>0</v>
      </c>
      <c r="L210" s="17">
        <v>0</v>
      </c>
      <c r="M210" s="14" t="s">
        <v>296</v>
      </c>
      <c r="N210" s="14" t="s">
        <v>87</v>
      </c>
      <c r="O210" s="14" t="s">
        <v>86</v>
      </c>
      <c r="P210" s="17">
        <v>2</v>
      </c>
      <c r="Q210" s="36" t="s">
        <v>259</v>
      </c>
    </row>
    <row r="211" spans="1:17" ht="14.4">
      <c r="A211" s="26">
        <v>107</v>
      </c>
      <c r="B211" s="19" t="s">
        <v>308</v>
      </c>
      <c r="C211" s="37">
        <v>45526</v>
      </c>
      <c r="D211" s="22">
        <v>0</v>
      </c>
      <c r="E211" s="22">
        <v>0</v>
      </c>
      <c r="F211" s="22">
        <v>0</v>
      </c>
      <c r="G211" s="22">
        <v>0</v>
      </c>
      <c r="H211" s="38"/>
      <c r="I211" s="22">
        <v>0</v>
      </c>
      <c r="J211" s="22">
        <v>1</v>
      </c>
      <c r="K211" s="22">
        <v>0</v>
      </c>
      <c r="L211" s="22">
        <v>0</v>
      </c>
      <c r="M211" s="19" t="s">
        <v>296</v>
      </c>
      <c r="N211" s="19" t="s">
        <v>87</v>
      </c>
      <c r="O211" s="19" t="s">
        <v>86</v>
      </c>
      <c r="P211" s="19"/>
      <c r="Q211" s="39" t="s">
        <v>263</v>
      </c>
    </row>
    <row r="212" spans="1:17" ht="14.4">
      <c r="A212" s="13">
        <v>107</v>
      </c>
      <c r="B212" s="14" t="s">
        <v>308</v>
      </c>
      <c r="C212" s="34">
        <v>45526</v>
      </c>
      <c r="D212" s="17">
        <v>1</v>
      </c>
      <c r="E212" s="17">
        <v>0</v>
      </c>
      <c r="F212" s="17">
        <v>0</v>
      </c>
      <c r="G212" s="17">
        <v>0</v>
      </c>
      <c r="H212" s="35"/>
      <c r="I212" s="17">
        <v>0</v>
      </c>
      <c r="J212" s="17">
        <v>0</v>
      </c>
      <c r="K212" s="17">
        <v>0</v>
      </c>
      <c r="L212" s="17">
        <v>0</v>
      </c>
      <c r="M212" s="14" t="s">
        <v>296</v>
      </c>
      <c r="N212" s="14" t="s">
        <v>87</v>
      </c>
      <c r="O212" s="14" t="s">
        <v>59</v>
      </c>
      <c r="P212" s="17">
        <v>1</v>
      </c>
      <c r="Q212" s="36" t="s">
        <v>259</v>
      </c>
    </row>
    <row r="213" spans="1:17" ht="14.4">
      <c r="A213" s="26">
        <v>107</v>
      </c>
      <c r="B213" s="19" t="s">
        <v>308</v>
      </c>
      <c r="C213" s="37">
        <v>45526</v>
      </c>
      <c r="D213" s="22">
        <v>0</v>
      </c>
      <c r="E213" s="22">
        <v>0</v>
      </c>
      <c r="F213" s="22">
        <v>0</v>
      </c>
      <c r="G213" s="22">
        <v>0</v>
      </c>
      <c r="H213" s="38"/>
      <c r="I213" s="22">
        <v>0</v>
      </c>
      <c r="J213" s="22">
        <v>1</v>
      </c>
      <c r="K213" s="22">
        <v>0</v>
      </c>
      <c r="L213" s="22">
        <v>0</v>
      </c>
      <c r="M213" s="19" t="s">
        <v>296</v>
      </c>
      <c r="N213" s="19" t="s">
        <v>87</v>
      </c>
      <c r="O213" s="19" t="s">
        <v>59</v>
      </c>
      <c r="P213" s="19"/>
      <c r="Q213" s="39" t="s">
        <v>263</v>
      </c>
    </row>
    <row r="214" spans="1:17" ht="14.4">
      <c r="A214" s="13">
        <v>536</v>
      </c>
      <c r="B214" s="14" t="s">
        <v>311</v>
      </c>
      <c r="C214" s="34">
        <v>45526</v>
      </c>
      <c r="D214" s="17">
        <v>0</v>
      </c>
      <c r="E214" s="17">
        <v>0</v>
      </c>
      <c r="F214" s="17">
        <v>1</v>
      </c>
      <c r="G214" s="17">
        <v>0</v>
      </c>
      <c r="H214" s="35"/>
      <c r="I214" s="17">
        <v>0</v>
      </c>
      <c r="J214" s="17">
        <v>0</v>
      </c>
      <c r="K214" s="17">
        <v>0</v>
      </c>
      <c r="L214" s="17">
        <v>0</v>
      </c>
      <c r="M214" s="14" t="s">
        <v>100</v>
      </c>
      <c r="N214" s="14" t="s">
        <v>91</v>
      </c>
      <c r="O214" s="14" t="s">
        <v>38</v>
      </c>
      <c r="P214" s="14"/>
      <c r="Q214" s="36" t="s">
        <v>262</v>
      </c>
    </row>
    <row r="215" spans="1:17" ht="14.4">
      <c r="A215" s="26">
        <v>536</v>
      </c>
      <c r="B215" s="19" t="s">
        <v>311</v>
      </c>
      <c r="C215" s="37">
        <v>45526</v>
      </c>
      <c r="D215" s="22">
        <v>2</v>
      </c>
      <c r="E215" s="22">
        <v>0</v>
      </c>
      <c r="F215" s="22">
        <v>0</v>
      </c>
      <c r="G215" s="22">
        <v>0</v>
      </c>
      <c r="H215" s="38"/>
      <c r="I215" s="22">
        <v>0</v>
      </c>
      <c r="J215" s="22">
        <v>0</v>
      </c>
      <c r="K215" s="22">
        <v>0</v>
      </c>
      <c r="L215" s="22">
        <v>0</v>
      </c>
      <c r="M215" s="19" t="s">
        <v>100</v>
      </c>
      <c r="N215" s="19" t="s">
        <v>91</v>
      </c>
      <c r="O215" s="19" t="s">
        <v>47</v>
      </c>
      <c r="P215" s="22">
        <v>2</v>
      </c>
      <c r="Q215" s="39" t="s">
        <v>259</v>
      </c>
    </row>
    <row r="216" spans="1:17" ht="14.4">
      <c r="A216" s="13">
        <v>536</v>
      </c>
      <c r="B216" s="14" t="s">
        <v>311</v>
      </c>
      <c r="C216" s="34">
        <v>45526</v>
      </c>
      <c r="D216" s="17">
        <v>0</v>
      </c>
      <c r="E216" s="17">
        <v>0</v>
      </c>
      <c r="F216" s="17">
        <v>0</v>
      </c>
      <c r="G216" s="17">
        <v>0</v>
      </c>
      <c r="H216" s="35"/>
      <c r="I216" s="17">
        <v>0</v>
      </c>
      <c r="J216" s="17">
        <v>2</v>
      </c>
      <c r="K216" s="17">
        <v>0</v>
      </c>
      <c r="L216" s="17">
        <v>0</v>
      </c>
      <c r="M216" s="14" t="s">
        <v>100</v>
      </c>
      <c r="N216" s="14" t="s">
        <v>91</v>
      </c>
      <c r="O216" s="14" t="s">
        <v>47</v>
      </c>
      <c r="P216" s="14"/>
      <c r="Q216" s="36" t="s">
        <v>263</v>
      </c>
    </row>
    <row r="217" spans="1:17" ht="14.4">
      <c r="A217" s="26">
        <v>536</v>
      </c>
      <c r="B217" s="19" t="s">
        <v>311</v>
      </c>
      <c r="C217" s="37">
        <v>45526</v>
      </c>
      <c r="D217" s="22">
        <v>2</v>
      </c>
      <c r="E217" s="22">
        <v>0</v>
      </c>
      <c r="F217" s="22">
        <v>0</v>
      </c>
      <c r="G217" s="22">
        <v>0</v>
      </c>
      <c r="H217" s="38"/>
      <c r="I217" s="22">
        <v>0</v>
      </c>
      <c r="J217" s="22">
        <v>0</v>
      </c>
      <c r="K217" s="22">
        <v>0</v>
      </c>
      <c r="L217" s="22">
        <v>0</v>
      </c>
      <c r="M217" s="19" t="s">
        <v>100</v>
      </c>
      <c r="N217" s="19" t="s">
        <v>87</v>
      </c>
      <c r="O217" s="19" t="s">
        <v>43</v>
      </c>
      <c r="P217" s="22">
        <v>2</v>
      </c>
      <c r="Q217" s="39" t="s">
        <v>259</v>
      </c>
    </row>
    <row r="218" spans="1:17" ht="14.4">
      <c r="A218" s="13">
        <v>536</v>
      </c>
      <c r="B218" s="14" t="s">
        <v>311</v>
      </c>
      <c r="C218" s="34">
        <v>45526</v>
      </c>
      <c r="D218" s="17">
        <v>0</v>
      </c>
      <c r="E218" s="17">
        <v>0</v>
      </c>
      <c r="F218" s="17">
        <v>0</v>
      </c>
      <c r="G218" s="17">
        <v>0</v>
      </c>
      <c r="H218" s="35"/>
      <c r="I218" s="17">
        <v>2</v>
      </c>
      <c r="J218" s="17">
        <v>0</v>
      </c>
      <c r="K218" s="17">
        <v>0</v>
      </c>
      <c r="L218" s="17">
        <v>0</v>
      </c>
      <c r="M218" s="14" t="s">
        <v>100</v>
      </c>
      <c r="N218" s="14" t="s">
        <v>87</v>
      </c>
      <c r="O218" s="14" t="s">
        <v>43</v>
      </c>
      <c r="P218" s="14"/>
      <c r="Q218" s="36" t="s">
        <v>260</v>
      </c>
    </row>
    <row r="219" spans="1:17" ht="14.4">
      <c r="A219" s="26">
        <v>536</v>
      </c>
      <c r="B219" s="19" t="s">
        <v>311</v>
      </c>
      <c r="C219" s="37">
        <v>45526</v>
      </c>
      <c r="D219" s="22">
        <v>1</v>
      </c>
      <c r="E219" s="22">
        <v>0</v>
      </c>
      <c r="F219" s="22">
        <v>0</v>
      </c>
      <c r="G219" s="22">
        <v>0</v>
      </c>
      <c r="H219" s="38"/>
      <c r="I219" s="22">
        <v>0</v>
      </c>
      <c r="J219" s="22">
        <v>0</v>
      </c>
      <c r="K219" s="22">
        <v>0</v>
      </c>
      <c r="L219" s="22">
        <v>0</v>
      </c>
      <c r="M219" s="19" t="s">
        <v>100</v>
      </c>
      <c r="N219" s="19" t="s">
        <v>87</v>
      </c>
      <c r="O219" s="19" t="s">
        <v>89</v>
      </c>
      <c r="P219" s="22">
        <v>1</v>
      </c>
      <c r="Q219" s="39" t="s">
        <v>259</v>
      </c>
    </row>
    <row r="220" spans="1:17" ht="14.4">
      <c r="A220" s="13">
        <v>536</v>
      </c>
      <c r="B220" s="14" t="s">
        <v>311</v>
      </c>
      <c r="C220" s="34">
        <v>45526</v>
      </c>
      <c r="D220" s="17">
        <v>0</v>
      </c>
      <c r="E220" s="17">
        <v>1</v>
      </c>
      <c r="F220" s="17">
        <v>0</v>
      </c>
      <c r="G220" s="17">
        <v>0</v>
      </c>
      <c r="H220" s="16" t="s">
        <v>272</v>
      </c>
      <c r="I220" s="17">
        <v>0</v>
      </c>
      <c r="J220" s="17">
        <v>0</v>
      </c>
      <c r="K220" s="17">
        <v>0</v>
      </c>
      <c r="L220" s="17">
        <v>0</v>
      </c>
      <c r="M220" s="14" t="s">
        <v>100</v>
      </c>
      <c r="N220" s="14" t="s">
        <v>87</v>
      </c>
      <c r="O220" s="14" t="s">
        <v>86</v>
      </c>
      <c r="P220" s="14"/>
      <c r="Q220" s="36" t="s">
        <v>262</v>
      </c>
    </row>
    <row r="221" spans="1:17" ht="14.4">
      <c r="A221" s="26">
        <v>536</v>
      </c>
      <c r="B221" s="19" t="s">
        <v>311</v>
      </c>
      <c r="C221" s="37">
        <v>45526</v>
      </c>
      <c r="D221" s="22">
        <v>1</v>
      </c>
      <c r="E221" s="22">
        <v>0</v>
      </c>
      <c r="F221" s="22">
        <v>0</v>
      </c>
      <c r="G221" s="22">
        <v>0</v>
      </c>
      <c r="H221" s="38"/>
      <c r="I221" s="22">
        <v>0</v>
      </c>
      <c r="J221" s="22">
        <v>0</v>
      </c>
      <c r="K221" s="22">
        <v>0</v>
      </c>
      <c r="L221" s="22">
        <v>0</v>
      </c>
      <c r="M221" s="19" t="s">
        <v>100</v>
      </c>
      <c r="N221" s="19" t="s">
        <v>87</v>
      </c>
      <c r="O221" s="19" t="s">
        <v>86</v>
      </c>
      <c r="P221" s="22">
        <v>1</v>
      </c>
      <c r="Q221" s="39" t="s">
        <v>259</v>
      </c>
    </row>
    <row r="222" spans="1:17" ht="14.4">
      <c r="A222" s="13">
        <v>536</v>
      </c>
      <c r="B222" s="14" t="s">
        <v>311</v>
      </c>
      <c r="C222" s="34">
        <v>45526</v>
      </c>
      <c r="D222" s="17">
        <v>0</v>
      </c>
      <c r="E222" s="17">
        <v>0</v>
      </c>
      <c r="F222" s="17">
        <v>0</v>
      </c>
      <c r="G222" s="17">
        <v>0</v>
      </c>
      <c r="H222" s="35"/>
      <c r="I222" s="17">
        <v>1</v>
      </c>
      <c r="J222" s="17">
        <v>0</v>
      </c>
      <c r="K222" s="17">
        <v>0</v>
      </c>
      <c r="L222" s="17">
        <v>0</v>
      </c>
      <c r="M222" s="14" t="s">
        <v>100</v>
      </c>
      <c r="N222" s="14" t="s">
        <v>87</v>
      </c>
      <c r="O222" s="14" t="s">
        <v>86</v>
      </c>
      <c r="P222" s="14"/>
      <c r="Q222" s="36" t="s">
        <v>260</v>
      </c>
    </row>
    <row r="223" spans="1:17" ht="14.4">
      <c r="A223" s="26">
        <v>596</v>
      </c>
      <c r="B223" s="19" t="s">
        <v>312</v>
      </c>
      <c r="C223" s="37">
        <v>45526</v>
      </c>
      <c r="D223" s="22">
        <v>0</v>
      </c>
      <c r="E223" s="22">
        <v>0</v>
      </c>
      <c r="F223" s="22">
        <v>1</v>
      </c>
      <c r="G223" s="22">
        <v>0</v>
      </c>
      <c r="H223" s="38"/>
      <c r="I223" s="22">
        <v>0</v>
      </c>
      <c r="J223" s="22">
        <v>0</v>
      </c>
      <c r="K223" s="22">
        <v>0</v>
      </c>
      <c r="L223" s="22">
        <v>0</v>
      </c>
      <c r="M223" s="19" t="s">
        <v>100</v>
      </c>
      <c r="N223" s="19" t="s">
        <v>87</v>
      </c>
      <c r="O223" s="19" t="s">
        <v>89</v>
      </c>
      <c r="P223" s="19"/>
      <c r="Q223" s="39" t="s">
        <v>262</v>
      </c>
    </row>
    <row r="224" spans="1:17" ht="14.4">
      <c r="A224" s="13">
        <v>596</v>
      </c>
      <c r="B224" s="14" t="s">
        <v>312</v>
      </c>
      <c r="C224" s="34">
        <v>45526</v>
      </c>
      <c r="D224" s="17">
        <v>1</v>
      </c>
      <c r="E224" s="17">
        <v>0</v>
      </c>
      <c r="F224" s="17">
        <v>0</v>
      </c>
      <c r="G224" s="17">
        <v>0</v>
      </c>
      <c r="H224" s="35"/>
      <c r="I224" s="17">
        <v>0</v>
      </c>
      <c r="J224" s="17">
        <v>0</v>
      </c>
      <c r="K224" s="17">
        <v>0</v>
      </c>
      <c r="L224" s="17">
        <v>0</v>
      </c>
      <c r="M224" s="14" t="s">
        <v>100</v>
      </c>
      <c r="N224" s="14" t="s">
        <v>87</v>
      </c>
      <c r="O224" s="14" t="s">
        <v>57</v>
      </c>
      <c r="P224" s="17">
        <v>1</v>
      </c>
      <c r="Q224" s="36" t="s">
        <v>259</v>
      </c>
    </row>
    <row r="225" spans="1:17" ht="14.4">
      <c r="A225" s="26">
        <v>596</v>
      </c>
      <c r="B225" s="19" t="s">
        <v>312</v>
      </c>
      <c r="C225" s="37">
        <v>45526</v>
      </c>
      <c r="D225" s="22">
        <v>0</v>
      </c>
      <c r="E225" s="22">
        <v>0</v>
      </c>
      <c r="F225" s="22">
        <v>0</v>
      </c>
      <c r="G225" s="22">
        <v>0</v>
      </c>
      <c r="H225" s="38"/>
      <c r="I225" s="22">
        <v>1</v>
      </c>
      <c r="J225" s="22">
        <v>0</v>
      </c>
      <c r="K225" s="22">
        <v>0</v>
      </c>
      <c r="L225" s="22">
        <v>0</v>
      </c>
      <c r="M225" s="19" t="s">
        <v>100</v>
      </c>
      <c r="N225" s="19" t="s">
        <v>87</v>
      </c>
      <c r="O225" s="19" t="s">
        <v>57</v>
      </c>
      <c r="P225" s="19"/>
      <c r="Q225" s="39" t="s">
        <v>260</v>
      </c>
    </row>
    <row r="226" spans="1:17" ht="14.4">
      <c r="A226" s="13">
        <v>440</v>
      </c>
      <c r="B226" s="14" t="s">
        <v>313</v>
      </c>
      <c r="C226" s="34">
        <v>45526</v>
      </c>
      <c r="D226" s="17">
        <v>0</v>
      </c>
      <c r="E226" s="17">
        <v>0</v>
      </c>
      <c r="F226" s="17">
        <v>0</v>
      </c>
      <c r="G226" s="17">
        <v>0</v>
      </c>
      <c r="H226" s="35"/>
      <c r="I226" s="17">
        <v>0</v>
      </c>
      <c r="J226" s="17">
        <v>1</v>
      </c>
      <c r="K226" s="17">
        <v>0</v>
      </c>
      <c r="L226" s="17">
        <v>0</v>
      </c>
      <c r="M226" s="14" t="s">
        <v>287</v>
      </c>
      <c r="N226" s="14" t="s">
        <v>91</v>
      </c>
      <c r="O226" s="14" t="s">
        <v>38</v>
      </c>
      <c r="P226" s="14"/>
      <c r="Q226" s="36" t="s">
        <v>263</v>
      </c>
    </row>
    <row r="227" spans="1:17" ht="14.4">
      <c r="A227" s="26">
        <v>440</v>
      </c>
      <c r="B227" s="19" t="s">
        <v>313</v>
      </c>
      <c r="C227" s="37">
        <v>45526</v>
      </c>
      <c r="D227" s="22">
        <v>0</v>
      </c>
      <c r="E227" s="22">
        <v>0</v>
      </c>
      <c r="F227" s="22">
        <v>0</v>
      </c>
      <c r="G227" s="22">
        <v>0</v>
      </c>
      <c r="H227" s="38"/>
      <c r="I227" s="22">
        <v>1</v>
      </c>
      <c r="J227" s="22">
        <v>0</v>
      </c>
      <c r="K227" s="22">
        <v>0</v>
      </c>
      <c r="L227" s="22">
        <v>0</v>
      </c>
      <c r="M227" s="19" t="s">
        <v>287</v>
      </c>
      <c r="N227" s="19" t="s">
        <v>91</v>
      </c>
      <c r="O227" s="19" t="s">
        <v>44</v>
      </c>
      <c r="P227" s="19"/>
      <c r="Q227" s="39" t="s">
        <v>260</v>
      </c>
    </row>
    <row r="228" spans="1:17" ht="14.4">
      <c r="A228" s="13">
        <v>440</v>
      </c>
      <c r="B228" s="14" t="s">
        <v>313</v>
      </c>
      <c r="C228" s="34">
        <v>45526</v>
      </c>
      <c r="D228" s="17">
        <v>4</v>
      </c>
      <c r="E228" s="17">
        <v>0</v>
      </c>
      <c r="F228" s="17">
        <v>0</v>
      </c>
      <c r="G228" s="17">
        <v>0</v>
      </c>
      <c r="H228" s="35"/>
      <c r="I228" s="17">
        <v>0</v>
      </c>
      <c r="J228" s="17">
        <v>0</v>
      </c>
      <c r="K228" s="17">
        <v>0</v>
      </c>
      <c r="L228" s="17">
        <v>0</v>
      </c>
      <c r="M228" s="14" t="s">
        <v>287</v>
      </c>
      <c r="N228" s="14" t="s">
        <v>91</v>
      </c>
      <c r="O228" s="14" t="s">
        <v>47</v>
      </c>
      <c r="P228" s="17">
        <v>2</v>
      </c>
      <c r="Q228" s="36" t="s">
        <v>259</v>
      </c>
    </row>
    <row r="229" spans="1:17" ht="14.4">
      <c r="A229" s="26">
        <v>440</v>
      </c>
      <c r="B229" s="19" t="s">
        <v>313</v>
      </c>
      <c r="C229" s="37">
        <v>45526</v>
      </c>
      <c r="D229" s="22">
        <v>3</v>
      </c>
      <c r="E229" s="22">
        <v>0</v>
      </c>
      <c r="F229" s="22">
        <v>0</v>
      </c>
      <c r="G229" s="22">
        <v>0</v>
      </c>
      <c r="H229" s="38"/>
      <c r="I229" s="22">
        <v>0</v>
      </c>
      <c r="J229" s="22">
        <v>0</v>
      </c>
      <c r="K229" s="22">
        <v>0</v>
      </c>
      <c r="L229" s="22">
        <v>0</v>
      </c>
      <c r="M229" s="19" t="s">
        <v>287</v>
      </c>
      <c r="N229" s="19" t="s">
        <v>91</v>
      </c>
      <c r="O229" s="19" t="s">
        <v>90</v>
      </c>
      <c r="P229" s="22">
        <v>2</v>
      </c>
      <c r="Q229" s="39" t="s">
        <v>259</v>
      </c>
    </row>
    <row r="230" spans="1:17" ht="14.4">
      <c r="A230" s="13">
        <v>440</v>
      </c>
      <c r="B230" s="14" t="s">
        <v>313</v>
      </c>
      <c r="C230" s="34">
        <v>45526</v>
      </c>
      <c r="D230" s="17">
        <v>0</v>
      </c>
      <c r="E230" s="17">
        <v>0</v>
      </c>
      <c r="F230" s="17">
        <v>0</v>
      </c>
      <c r="G230" s="17">
        <v>0</v>
      </c>
      <c r="H230" s="35"/>
      <c r="I230" s="17">
        <v>1</v>
      </c>
      <c r="J230" s="17">
        <v>0</v>
      </c>
      <c r="K230" s="17">
        <v>0</v>
      </c>
      <c r="L230" s="17">
        <v>0</v>
      </c>
      <c r="M230" s="14" t="s">
        <v>287</v>
      </c>
      <c r="N230" s="14" t="s">
        <v>91</v>
      </c>
      <c r="O230" s="14" t="s">
        <v>90</v>
      </c>
      <c r="P230" s="14"/>
      <c r="Q230" s="36" t="s">
        <v>260</v>
      </c>
    </row>
    <row r="231" spans="1:17" ht="14.4">
      <c r="A231" s="26">
        <v>440</v>
      </c>
      <c r="B231" s="19" t="s">
        <v>313</v>
      </c>
      <c r="C231" s="37">
        <v>45526</v>
      </c>
      <c r="D231" s="22">
        <v>0</v>
      </c>
      <c r="E231" s="22">
        <v>1</v>
      </c>
      <c r="F231" s="22">
        <v>0</v>
      </c>
      <c r="G231" s="22">
        <v>0</v>
      </c>
      <c r="H231" s="21" t="s">
        <v>314</v>
      </c>
      <c r="I231" s="22">
        <v>0</v>
      </c>
      <c r="J231" s="22">
        <v>0</v>
      </c>
      <c r="K231" s="22">
        <v>0</v>
      </c>
      <c r="L231" s="22">
        <v>0</v>
      </c>
      <c r="M231" s="19" t="s">
        <v>287</v>
      </c>
      <c r="N231" s="19" t="s">
        <v>87</v>
      </c>
      <c r="O231" s="19" t="s">
        <v>37</v>
      </c>
      <c r="P231" s="19"/>
      <c r="Q231" s="39" t="s">
        <v>262</v>
      </c>
    </row>
    <row r="232" spans="1:17" ht="14.4">
      <c r="A232" s="13">
        <v>440</v>
      </c>
      <c r="B232" s="14" t="s">
        <v>313</v>
      </c>
      <c r="C232" s="34">
        <v>45526</v>
      </c>
      <c r="D232" s="17">
        <v>2</v>
      </c>
      <c r="E232" s="17">
        <v>0</v>
      </c>
      <c r="F232" s="17">
        <v>0</v>
      </c>
      <c r="G232" s="17">
        <v>0</v>
      </c>
      <c r="H232" s="35"/>
      <c r="I232" s="17">
        <v>0</v>
      </c>
      <c r="J232" s="17">
        <v>0</v>
      </c>
      <c r="K232" s="17">
        <v>0</v>
      </c>
      <c r="L232" s="17">
        <v>0</v>
      </c>
      <c r="M232" s="14" t="s">
        <v>287</v>
      </c>
      <c r="N232" s="14" t="s">
        <v>87</v>
      </c>
      <c r="O232" s="14" t="s">
        <v>37</v>
      </c>
      <c r="P232" s="17">
        <v>1</v>
      </c>
      <c r="Q232" s="36" t="s">
        <v>259</v>
      </c>
    </row>
    <row r="233" spans="1:17" ht="14.4">
      <c r="A233" s="26">
        <v>440</v>
      </c>
      <c r="B233" s="19" t="s">
        <v>313</v>
      </c>
      <c r="C233" s="37">
        <v>45526</v>
      </c>
      <c r="D233" s="22">
        <v>0</v>
      </c>
      <c r="E233" s="22">
        <v>0</v>
      </c>
      <c r="F233" s="22">
        <v>0</v>
      </c>
      <c r="G233" s="22">
        <v>0</v>
      </c>
      <c r="H233" s="38"/>
      <c r="I233" s="22">
        <v>0</v>
      </c>
      <c r="J233" s="22">
        <v>0</v>
      </c>
      <c r="K233" s="22">
        <v>1</v>
      </c>
      <c r="L233" s="22">
        <v>0</v>
      </c>
      <c r="M233" s="19" t="s">
        <v>287</v>
      </c>
      <c r="N233" s="19" t="s">
        <v>87</v>
      </c>
      <c r="O233" s="19" t="s">
        <v>37</v>
      </c>
      <c r="P233" s="19"/>
      <c r="Q233" s="39" t="s">
        <v>263</v>
      </c>
    </row>
    <row r="234" spans="1:17" ht="14.4">
      <c r="A234" s="13">
        <v>440</v>
      </c>
      <c r="B234" s="14" t="s">
        <v>313</v>
      </c>
      <c r="C234" s="34">
        <v>45526</v>
      </c>
      <c r="D234" s="17">
        <v>2</v>
      </c>
      <c r="E234" s="17">
        <v>0</v>
      </c>
      <c r="F234" s="17">
        <v>0</v>
      </c>
      <c r="G234" s="17">
        <v>0</v>
      </c>
      <c r="H234" s="35"/>
      <c r="I234" s="17">
        <v>0</v>
      </c>
      <c r="J234" s="17">
        <v>0</v>
      </c>
      <c r="K234" s="17">
        <v>0</v>
      </c>
      <c r="L234" s="17">
        <v>0</v>
      </c>
      <c r="M234" s="14" t="s">
        <v>287</v>
      </c>
      <c r="N234" s="14" t="s">
        <v>87</v>
      </c>
      <c r="O234" s="14" t="s">
        <v>43</v>
      </c>
      <c r="P234" s="17">
        <v>2</v>
      </c>
      <c r="Q234" s="36" t="s">
        <v>259</v>
      </c>
    </row>
    <row r="235" spans="1:17" ht="14.4">
      <c r="A235" s="26">
        <v>440</v>
      </c>
      <c r="B235" s="19" t="s">
        <v>313</v>
      </c>
      <c r="C235" s="37">
        <v>45526</v>
      </c>
      <c r="D235" s="22">
        <v>0</v>
      </c>
      <c r="E235" s="22">
        <v>0</v>
      </c>
      <c r="F235" s="22">
        <v>0</v>
      </c>
      <c r="G235" s="22">
        <v>0</v>
      </c>
      <c r="H235" s="38"/>
      <c r="I235" s="22">
        <v>0</v>
      </c>
      <c r="J235" s="22">
        <v>1</v>
      </c>
      <c r="K235" s="22">
        <v>0</v>
      </c>
      <c r="L235" s="22">
        <v>0</v>
      </c>
      <c r="M235" s="19" t="s">
        <v>287</v>
      </c>
      <c r="N235" s="19" t="s">
        <v>87</v>
      </c>
      <c r="O235" s="19" t="s">
        <v>43</v>
      </c>
      <c r="P235" s="19"/>
      <c r="Q235" s="39" t="s">
        <v>263</v>
      </c>
    </row>
    <row r="236" spans="1:17" ht="14.4">
      <c r="A236" s="13">
        <v>440</v>
      </c>
      <c r="B236" s="14" t="s">
        <v>313</v>
      </c>
      <c r="C236" s="34">
        <v>45526</v>
      </c>
      <c r="D236" s="17">
        <v>1</v>
      </c>
      <c r="E236" s="17">
        <v>0</v>
      </c>
      <c r="F236" s="17">
        <v>0</v>
      </c>
      <c r="G236" s="17">
        <v>0</v>
      </c>
      <c r="H236" s="35"/>
      <c r="I236" s="17">
        <v>0</v>
      </c>
      <c r="J236" s="17">
        <v>0</v>
      </c>
      <c r="K236" s="17">
        <v>0</v>
      </c>
      <c r="L236" s="17">
        <v>0</v>
      </c>
      <c r="M236" s="14" t="s">
        <v>287</v>
      </c>
      <c r="N236" s="14" t="s">
        <v>87</v>
      </c>
      <c r="O236" s="14" t="s">
        <v>60</v>
      </c>
      <c r="P236" s="17">
        <v>1</v>
      </c>
      <c r="Q236" s="36" t="s">
        <v>259</v>
      </c>
    </row>
    <row r="237" spans="1:17" ht="14.4">
      <c r="A237" s="26">
        <v>440</v>
      </c>
      <c r="B237" s="19" t="s">
        <v>313</v>
      </c>
      <c r="C237" s="37">
        <v>45526</v>
      </c>
      <c r="D237" s="22">
        <v>0</v>
      </c>
      <c r="E237" s="22">
        <v>0</v>
      </c>
      <c r="F237" s="22">
        <v>0</v>
      </c>
      <c r="G237" s="22">
        <v>0</v>
      </c>
      <c r="H237" s="38"/>
      <c r="I237" s="22">
        <v>0</v>
      </c>
      <c r="J237" s="22">
        <v>1</v>
      </c>
      <c r="K237" s="22">
        <v>0</v>
      </c>
      <c r="L237" s="22">
        <v>0</v>
      </c>
      <c r="M237" s="19" t="s">
        <v>287</v>
      </c>
      <c r="N237" s="19" t="s">
        <v>87</v>
      </c>
      <c r="O237" s="19" t="s">
        <v>60</v>
      </c>
      <c r="P237" s="19"/>
      <c r="Q237" s="39" t="s">
        <v>263</v>
      </c>
    </row>
    <row r="238" spans="1:17" ht="14.4">
      <c r="A238" s="13">
        <v>440</v>
      </c>
      <c r="B238" s="14" t="s">
        <v>313</v>
      </c>
      <c r="C238" s="34">
        <v>45526</v>
      </c>
      <c r="D238" s="17">
        <v>0</v>
      </c>
      <c r="E238" s="17">
        <v>2</v>
      </c>
      <c r="F238" s="17">
        <v>0</v>
      </c>
      <c r="G238" s="17">
        <v>0</v>
      </c>
      <c r="H238" s="16" t="s">
        <v>315</v>
      </c>
      <c r="I238" s="17">
        <v>0</v>
      </c>
      <c r="J238" s="17">
        <v>0</v>
      </c>
      <c r="K238" s="17">
        <v>0</v>
      </c>
      <c r="L238" s="17">
        <v>0</v>
      </c>
      <c r="M238" s="14" t="s">
        <v>287</v>
      </c>
      <c r="N238" s="14" t="s">
        <v>87</v>
      </c>
      <c r="O238" s="14" t="s">
        <v>51</v>
      </c>
      <c r="P238" s="14"/>
      <c r="Q238" s="36" t="s">
        <v>262</v>
      </c>
    </row>
    <row r="239" spans="1:17" ht="14.4">
      <c r="A239" s="26">
        <v>440</v>
      </c>
      <c r="B239" s="19" t="s">
        <v>313</v>
      </c>
      <c r="C239" s="37">
        <v>45526</v>
      </c>
      <c r="D239" s="22">
        <v>0</v>
      </c>
      <c r="E239" s="22">
        <v>0</v>
      </c>
      <c r="F239" s="22">
        <v>0</v>
      </c>
      <c r="G239" s="22">
        <v>0</v>
      </c>
      <c r="H239" s="38"/>
      <c r="I239" s="22">
        <v>0</v>
      </c>
      <c r="J239" s="22">
        <v>0</v>
      </c>
      <c r="K239" s="22">
        <v>1</v>
      </c>
      <c r="L239" s="22">
        <v>0</v>
      </c>
      <c r="M239" s="19" t="s">
        <v>287</v>
      </c>
      <c r="N239" s="19" t="s">
        <v>87</v>
      </c>
      <c r="O239" s="19" t="s">
        <v>57</v>
      </c>
      <c r="P239" s="19"/>
      <c r="Q239" s="39" t="s">
        <v>263</v>
      </c>
    </row>
    <row r="240" spans="1:17" ht="14.4">
      <c r="A240" s="13">
        <v>440</v>
      </c>
      <c r="B240" s="14" t="s">
        <v>313</v>
      </c>
      <c r="C240" s="34">
        <v>45526</v>
      </c>
      <c r="D240" s="17">
        <v>0</v>
      </c>
      <c r="E240" s="17">
        <v>1</v>
      </c>
      <c r="F240" s="17">
        <v>0</v>
      </c>
      <c r="G240" s="17">
        <v>0</v>
      </c>
      <c r="H240" s="16" t="s">
        <v>303</v>
      </c>
      <c r="I240" s="17">
        <v>0</v>
      </c>
      <c r="J240" s="17">
        <v>0</v>
      </c>
      <c r="K240" s="17">
        <v>0</v>
      </c>
      <c r="L240" s="17">
        <v>0</v>
      </c>
      <c r="M240" s="14" t="s">
        <v>287</v>
      </c>
      <c r="N240" s="14" t="s">
        <v>87</v>
      </c>
      <c r="O240" s="14" t="s">
        <v>86</v>
      </c>
      <c r="P240" s="14"/>
      <c r="Q240" s="36" t="s">
        <v>262</v>
      </c>
    </row>
    <row r="241" spans="1:17" ht="14.4">
      <c r="A241" s="26">
        <v>440</v>
      </c>
      <c r="B241" s="19" t="s">
        <v>313</v>
      </c>
      <c r="C241" s="37">
        <v>45526</v>
      </c>
      <c r="D241" s="22">
        <v>1</v>
      </c>
      <c r="E241" s="22">
        <v>0</v>
      </c>
      <c r="F241" s="22">
        <v>0</v>
      </c>
      <c r="G241" s="22">
        <v>0</v>
      </c>
      <c r="H241" s="38"/>
      <c r="I241" s="22">
        <v>0</v>
      </c>
      <c r="J241" s="22">
        <v>0</v>
      </c>
      <c r="K241" s="22">
        <v>0</v>
      </c>
      <c r="L241" s="22">
        <v>0</v>
      </c>
      <c r="M241" s="19" t="s">
        <v>287</v>
      </c>
      <c r="N241" s="19" t="s">
        <v>87</v>
      </c>
      <c r="O241" s="19" t="s">
        <v>86</v>
      </c>
      <c r="P241" s="22">
        <v>1</v>
      </c>
      <c r="Q241" s="39" t="s">
        <v>259</v>
      </c>
    </row>
    <row r="242" spans="1:17" ht="14.4">
      <c r="A242" s="13">
        <v>440</v>
      </c>
      <c r="B242" s="14" t="s">
        <v>313</v>
      </c>
      <c r="C242" s="34">
        <v>45526</v>
      </c>
      <c r="D242" s="17">
        <v>0</v>
      </c>
      <c r="E242" s="17">
        <v>0</v>
      </c>
      <c r="F242" s="17">
        <v>0</v>
      </c>
      <c r="G242" s="17">
        <v>0</v>
      </c>
      <c r="H242" s="35"/>
      <c r="I242" s="17">
        <v>0</v>
      </c>
      <c r="J242" s="17">
        <v>1</v>
      </c>
      <c r="K242" s="17">
        <v>0</v>
      </c>
      <c r="L242" s="17">
        <v>0</v>
      </c>
      <c r="M242" s="14" t="s">
        <v>287</v>
      </c>
      <c r="N242" s="14" t="s">
        <v>87</v>
      </c>
      <c r="O242" s="14" t="s">
        <v>86</v>
      </c>
      <c r="P242" s="14"/>
      <c r="Q242" s="36" t="s">
        <v>263</v>
      </c>
    </row>
    <row r="243" spans="1:17" ht="14.4">
      <c r="A243" s="26">
        <v>440</v>
      </c>
      <c r="B243" s="19" t="s">
        <v>313</v>
      </c>
      <c r="C243" s="37">
        <v>45526</v>
      </c>
      <c r="D243" s="22">
        <v>0</v>
      </c>
      <c r="E243" s="22">
        <v>0</v>
      </c>
      <c r="F243" s="22">
        <v>0</v>
      </c>
      <c r="G243" s="22">
        <v>0</v>
      </c>
      <c r="H243" s="38"/>
      <c r="I243" s="22">
        <v>0</v>
      </c>
      <c r="J243" s="22">
        <v>0</v>
      </c>
      <c r="K243" s="22">
        <v>1</v>
      </c>
      <c r="L243" s="22">
        <v>0</v>
      </c>
      <c r="M243" s="19" t="s">
        <v>287</v>
      </c>
      <c r="N243" s="19" t="s">
        <v>87</v>
      </c>
      <c r="O243" s="19" t="s">
        <v>59</v>
      </c>
      <c r="P243" s="19"/>
      <c r="Q243" s="39" t="s">
        <v>263</v>
      </c>
    </row>
    <row r="244" spans="1:17" ht="14.4">
      <c r="A244" s="13">
        <v>591</v>
      </c>
      <c r="B244" s="14" t="s">
        <v>316</v>
      </c>
      <c r="C244" s="34">
        <v>45526</v>
      </c>
      <c r="D244" s="17">
        <v>0</v>
      </c>
      <c r="E244" s="17">
        <v>1</v>
      </c>
      <c r="F244" s="17">
        <v>0</v>
      </c>
      <c r="G244" s="17">
        <v>0</v>
      </c>
      <c r="H244" s="16" t="s">
        <v>317</v>
      </c>
      <c r="I244" s="17">
        <v>0</v>
      </c>
      <c r="J244" s="17">
        <v>0</v>
      </c>
      <c r="K244" s="17">
        <v>0</v>
      </c>
      <c r="L244" s="17">
        <v>0</v>
      </c>
      <c r="M244" s="14" t="s">
        <v>318</v>
      </c>
      <c r="N244" s="14" t="s">
        <v>91</v>
      </c>
      <c r="O244" s="14" t="s">
        <v>38</v>
      </c>
      <c r="P244" s="14"/>
      <c r="Q244" s="36" t="s">
        <v>262</v>
      </c>
    </row>
    <row r="245" spans="1:17" ht="14.4">
      <c r="A245" s="26">
        <v>591</v>
      </c>
      <c r="B245" s="19" t="s">
        <v>316</v>
      </c>
      <c r="C245" s="37">
        <v>45526</v>
      </c>
      <c r="D245" s="22">
        <v>1</v>
      </c>
      <c r="E245" s="22">
        <v>0</v>
      </c>
      <c r="F245" s="22">
        <v>0</v>
      </c>
      <c r="G245" s="22">
        <v>0</v>
      </c>
      <c r="H245" s="38"/>
      <c r="I245" s="22">
        <v>0</v>
      </c>
      <c r="J245" s="22">
        <v>0</v>
      </c>
      <c r="K245" s="22">
        <v>0</v>
      </c>
      <c r="L245" s="22">
        <v>0</v>
      </c>
      <c r="M245" s="19" t="s">
        <v>318</v>
      </c>
      <c r="N245" s="19" t="s">
        <v>91</v>
      </c>
      <c r="O245" s="19" t="s">
        <v>38</v>
      </c>
      <c r="P245" s="22">
        <v>1</v>
      </c>
      <c r="Q245" s="39" t="s">
        <v>259</v>
      </c>
    </row>
    <row r="246" spans="1:17" ht="14.4">
      <c r="A246" s="13">
        <v>591</v>
      </c>
      <c r="B246" s="14" t="s">
        <v>316</v>
      </c>
      <c r="C246" s="34">
        <v>45526</v>
      </c>
      <c r="D246" s="17">
        <v>0</v>
      </c>
      <c r="E246" s="17">
        <v>0</v>
      </c>
      <c r="F246" s="17">
        <v>0</v>
      </c>
      <c r="G246" s="17">
        <v>0</v>
      </c>
      <c r="H246" s="35"/>
      <c r="I246" s="17">
        <v>0</v>
      </c>
      <c r="J246" s="17">
        <v>0</v>
      </c>
      <c r="K246" s="17">
        <v>1</v>
      </c>
      <c r="L246" s="17">
        <v>0</v>
      </c>
      <c r="M246" s="14" t="s">
        <v>318</v>
      </c>
      <c r="N246" s="14" t="s">
        <v>91</v>
      </c>
      <c r="O246" s="14" t="s">
        <v>38</v>
      </c>
      <c r="P246" s="14"/>
      <c r="Q246" s="36" t="s">
        <v>263</v>
      </c>
    </row>
    <row r="247" spans="1:17" ht="14.4">
      <c r="A247" s="26">
        <v>591</v>
      </c>
      <c r="B247" s="19" t="s">
        <v>316</v>
      </c>
      <c r="C247" s="37">
        <v>45526</v>
      </c>
      <c r="D247" s="22">
        <v>0</v>
      </c>
      <c r="E247" s="22">
        <v>1</v>
      </c>
      <c r="F247" s="22">
        <v>0</v>
      </c>
      <c r="G247" s="22">
        <v>0</v>
      </c>
      <c r="H247" s="21" t="s">
        <v>261</v>
      </c>
      <c r="I247" s="22">
        <v>0</v>
      </c>
      <c r="J247" s="22">
        <v>0</v>
      </c>
      <c r="K247" s="22">
        <v>0</v>
      </c>
      <c r="L247" s="22">
        <v>0</v>
      </c>
      <c r="M247" s="19" t="s">
        <v>318</v>
      </c>
      <c r="N247" s="19" t="s">
        <v>87</v>
      </c>
      <c r="O247" s="19" t="s">
        <v>37</v>
      </c>
      <c r="P247" s="19"/>
      <c r="Q247" s="39" t="s">
        <v>262</v>
      </c>
    </row>
    <row r="248" spans="1:17" ht="14.4">
      <c r="A248" s="13">
        <v>591</v>
      </c>
      <c r="B248" s="14" t="s">
        <v>316</v>
      </c>
      <c r="C248" s="34">
        <v>45526</v>
      </c>
      <c r="D248" s="17">
        <v>0</v>
      </c>
      <c r="E248" s="17">
        <v>1</v>
      </c>
      <c r="F248" s="17">
        <v>0</v>
      </c>
      <c r="G248" s="17">
        <v>0</v>
      </c>
      <c r="H248" s="16" t="s">
        <v>261</v>
      </c>
      <c r="I248" s="17">
        <v>0</v>
      </c>
      <c r="J248" s="17">
        <v>0</v>
      </c>
      <c r="K248" s="17">
        <v>0</v>
      </c>
      <c r="L248" s="17">
        <v>0</v>
      </c>
      <c r="M248" s="14" t="s">
        <v>318</v>
      </c>
      <c r="N248" s="14" t="s">
        <v>87</v>
      </c>
      <c r="O248" s="14" t="s">
        <v>60</v>
      </c>
      <c r="P248" s="14"/>
      <c r="Q248" s="36" t="s">
        <v>262</v>
      </c>
    </row>
    <row r="249" spans="1:17" ht="14.4">
      <c r="A249" s="26">
        <v>591</v>
      </c>
      <c r="B249" s="19" t="s">
        <v>316</v>
      </c>
      <c r="C249" s="37">
        <v>45526</v>
      </c>
      <c r="D249" s="22">
        <v>1</v>
      </c>
      <c r="E249" s="22">
        <v>0</v>
      </c>
      <c r="F249" s="22">
        <v>0</v>
      </c>
      <c r="G249" s="22">
        <v>0</v>
      </c>
      <c r="H249" s="38"/>
      <c r="I249" s="22">
        <v>0</v>
      </c>
      <c r="J249" s="22">
        <v>0</v>
      </c>
      <c r="K249" s="22">
        <v>0</v>
      </c>
      <c r="L249" s="22">
        <v>0</v>
      </c>
      <c r="M249" s="19" t="s">
        <v>318</v>
      </c>
      <c r="N249" s="19" t="s">
        <v>87</v>
      </c>
      <c r="O249" s="19" t="s">
        <v>57</v>
      </c>
      <c r="P249" s="19"/>
      <c r="Q249" s="39" t="s">
        <v>259</v>
      </c>
    </row>
    <row r="250" spans="1:17" ht="14.4">
      <c r="A250" s="13">
        <v>261</v>
      </c>
      <c r="B250" s="14" t="s">
        <v>319</v>
      </c>
      <c r="C250" s="34">
        <v>45526</v>
      </c>
      <c r="D250" s="17">
        <v>0</v>
      </c>
      <c r="E250" s="17">
        <v>1</v>
      </c>
      <c r="F250" s="17">
        <v>0</v>
      </c>
      <c r="G250" s="17">
        <v>0</v>
      </c>
      <c r="H250" s="16" t="s">
        <v>261</v>
      </c>
      <c r="I250" s="17">
        <v>0</v>
      </c>
      <c r="J250" s="17">
        <v>0</v>
      </c>
      <c r="K250" s="17">
        <v>0</v>
      </c>
      <c r="L250" s="17">
        <v>0</v>
      </c>
      <c r="M250" s="14" t="s">
        <v>100</v>
      </c>
      <c r="N250" s="14" t="s">
        <v>87</v>
      </c>
      <c r="O250" s="14" t="s">
        <v>43</v>
      </c>
      <c r="P250" s="14"/>
      <c r="Q250" s="36" t="s">
        <v>262</v>
      </c>
    </row>
    <row r="251" spans="1:17" ht="14.4">
      <c r="A251" s="26">
        <v>261</v>
      </c>
      <c r="B251" s="19" t="s">
        <v>319</v>
      </c>
      <c r="C251" s="37">
        <v>45526</v>
      </c>
      <c r="D251" s="22">
        <v>2</v>
      </c>
      <c r="E251" s="22">
        <v>0</v>
      </c>
      <c r="F251" s="22">
        <v>0</v>
      </c>
      <c r="G251" s="22">
        <v>0</v>
      </c>
      <c r="H251" s="38"/>
      <c r="I251" s="22">
        <v>0</v>
      </c>
      <c r="J251" s="22">
        <v>0</v>
      </c>
      <c r="K251" s="22">
        <v>0</v>
      </c>
      <c r="L251" s="22">
        <v>0</v>
      </c>
      <c r="M251" s="19" t="s">
        <v>100</v>
      </c>
      <c r="N251" s="19" t="s">
        <v>87</v>
      </c>
      <c r="O251" s="19" t="s">
        <v>98</v>
      </c>
      <c r="P251" s="22">
        <v>1</v>
      </c>
      <c r="Q251" s="39" t="s">
        <v>259</v>
      </c>
    </row>
    <row r="252" spans="1:17" ht="14.4">
      <c r="A252" s="13">
        <v>261</v>
      </c>
      <c r="B252" s="14" t="s">
        <v>319</v>
      </c>
      <c r="C252" s="34">
        <v>45526</v>
      </c>
      <c r="D252" s="17">
        <v>1</v>
      </c>
      <c r="E252" s="17">
        <v>0</v>
      </c>
      <c r="F252" s="17">
        <v>0</v>
      </c>
      <c r="G252" s="17">
        <v>0</v>
      </c>
      <c r="H252" s="35"/>
      <c r="I252" s="17">
        <v>0</v>
      </c>
      <c r="J252" s="17">
        <v>0</v>
      </c>
      <c r="K252" s="17">
        <v>0</v>
      </c>
      <c r="L252" s="17">
        <v>0</v>
      </c>
      <c r="M252" s="14" t="s">
        <v>100</v>
      </c>
      <c r="N252" s="14" t="s">
        <v>87</v>
      </c>
      <c r="O252" s="14" t="s">
        <v>89</v>
      </c>
      <c r="P252" s="14"/>
      <c r="Q252" s="36" t="s">
        <v>259</v>
      </c>
    </row>
    <row r="253" spans="1:17" ht="14.4">
      <c r="A253" s="26">
        <v>261</v>
      </c>
      <c r="B253" s="19" t="s">
        <v>319</v>
      </c>
      <c r="C253" s="37">
        <v>45526</v>
      </c>
      <c r="D253" s="22">
        <v>0</v>
      </c>
      <c r="E253" s="22">
        <v>0</v>
      </c>
      <c r="F253" s="22">
        <v>0</v>
      </c>
      <c r="G253" s="22">
        <v>0</v>
      </c>
      <c r="H253" s="38"/>
      <c r="I253" s="22">
        <v>0</v>
      </c>
      <c r="J253" s="22">
        <v>1</v>
      </c>
      <c r="K253" s="22">
        <v>0</v>
      </c>
      <c r="L253" s="22">
        <v>0</v>
      </c>
      <c r="M253" s="19" t="s">
        <v>100</v>
      </c>
      <c r="N253" s="19" t="s">
        <v>87</v>
      </c>
      <c r="O253" s="19" t="s">
        <v>57</v>
      </c>
      <c r="P253" s="19"/>
      <c r="Q253" s="39" t="s">
        <v>263</v>
      </c>
    </row>
    <row r="254" spans="1:17" ht="14.4">
      <c r="A254" s="13">
        <v>517</v>
      </c>
      <c r="B254" s="14" t="s">
        <v>320</v>
      </c>
      <c r="C254" s="34">
        <v>45526</v>
      </c>
      <c r="D254" s="17">
        <v>2</v>
      </c>
      <c r="E254" s="17">
        <v>0</v>
      </c>
      <c r="F254" s="17">
        <v>0</v>
      </c>
      <c r="G254" s="17">
        <v>0</v>
      </c>
      <c r="H254" s="35"/>
      <c r="I254" s="17">
        <v>0</v>
      </c>
      <c r="J254" s="17">
        <v>0</v>
      </c>
      <c r="K254" s="17">
        <v>0</v>
      </c>
      <c r="L254" s="17">
        <v>0</v>
      </c>
      <c r="M254" s="14" t="s">
        <v>100</v>
      </c>
      <c r="N254" s="14" t="s">
        <v>87</v>
      </c>
      <c r="O254" s="14" t="s">
        <v>86</v>
      </c>
      <c r="P254" s="17">
        <v>1</v>
      </c>
      <c r="Q254" s="36" t="s">
        <v>259</v>
      </c>
    </row>
    <row r="255" spans="1:17" ht="14.4">
      <c r="A255" s="26">
        <v>629</v>
      </c>
      <c r="B255" s="19" t="s">
        <v>321</v>
      </c>
      <c r="C255" s="37">
        <v>45526</v>
      </c>
      <c r="D255" s="22">
        <v>0</v>
      </c>
      <c r="E255" s="22">
        <v>1</v>
      </c>
      <c r="F255" s="22">
        <v>0</v>
      </c>
      <c r="G255" s="22">
        <v>0</v>
      </c>
      <c r="H255" s="21" t="s">
        <v>273</v>
      </c>
      <c r="I255" s="22">
        <v>0</v>
      </c>
      <c r="J255" s="22">
        <v>0</v>
      </c>
      <c r="K255" s="22">
        <v>0</v>
      </c>
      <c r="L255" s="22">
        <v>0</v>
      </c>
      <c r="M255" s="19" t="s">
        <v>100</v>
      </c>
      <c r="N255" s="19" t="s">
        <v>87</v>
      </c>
      <c r="O255" s="19" t="s">
        <v>37</v>
      </c>
      <c r="P255" s="19"/>
      <c r="Q255" s="39" t="s">
        <v>262</v>
      </c>
    </row>
    <row r="256" spans="1:17" ht="14.4">
      <c r="A256" s="13">
        <v>629</v>
      </c>
      <c r="B256" s="14" t="s">
        <v>321</v>
      </c>
      <c r="C256" s="34">
        <v>45526</v>
      </c>
      <c r="D256" s="17">
        <v>1</v>
      </c>
      <c r="E256" s="17">
        <v>0</v>
      </c>
      <c r="F256" s="17">
        <v>0</v>
      </c>
      <c r="G256" s="17">
        <v>0</v>
      </c>
      <c r="H256" s="35"/>
      <c r="I256" s="17">
        <v>0</v>
      </c>
      <c r="J256" s="17">
        <v>0</v>
      </c>
      <c r="K256" s="17">
        <v>0</v>
      </c>
      <c r="L256" s="17">
        <v>0</v>
      </c>
      <c r="M256" s="14" t="s">
        <v>100</v>
      </c>
      <c r="N256" s="14" t="s">
        <v>87</v>
      </c>
      <c r="O256" s="14" t="s">
        <v>98</v>
      </c>
      <c r="P256" s="17">
        <v>1</v>
      </c>
      <c r="Q256" s="36" t="s">
        <v>259</v>
      </c>
    </row>
    <row r="257" spans="1:17" ht="14.4">
      <c r="A257" s="26">
        <v>629</v>
      </c>
      <c r="B257" s="19" t="s">
        <v>321</v>
      </c>
      <c r="C257" s="37">
        <v>45526</v>
      </c>
      <c r="D257" s="22">
        <v>0</v>
      </c>
      <c r="E257" s="22">
        <v>0</v>
      </c>
      <c r="F257" s="22">
        <v>0</v>
      </c>
      <c r="G257" s="22">
        <v>0</v>
      </c>
      <c r="H257" s="38"/>
      <c r="I257" s="22">
        <v>1</v>
      </c>
      <c r="J257" s="22">
        <v>0</v>
      </c>
      <c r="K257" s="22">
        <v>0</v>
      </c>
      <c r="L257" s="22">
        <v>0</v>
      </c>
      <c r="M257" s="19" t="s">
        <v>100</v>
      </c>
      <c r="N257" s="19" t="s">
        <v>87</v>
      </c>
      <c r="O257" s="19" t="s">
        <v>98</v>
      </c>
      <c r="P257" s="19"/>
      <c r="Q257" s="39" t="s">
        <v>260</v>
      </c>
    </row>
    <row r="258" spans="1:17" ht="14.4">
      <c r="A258" s="13">
        <v>629</v>
      </c>
      <c r="B258" s="14" t="s">
        <v>321</v>
      </c>
      <c r="C258" s="34">
        <v>45526</v>
      </c>
      <c r="D258" s="17">
        <v>5</v>
      </c>
      <c r="E258" s="17">
        <v>0</v>
      </c>
      <c r="F258" s="17">
        <v>0</v>
      </c>
      <c r="G258" s="17">
        <v>0</v>
      </c>
      <c r="H258" s="35"/>
      <c r="I258" s="17">
        <v>0</v>
      </c>
      <c r="J258" s="17">
        <v>0</v>
      </c>
      <c r="K258" s="17">
        <v>0</v>
      </c>
      <c r="L258" s="17">
        <v>0</v>
      </c>
      <c r="M258" s="14" t="s">
        <v>100</v>
      </c>
      <c r="N258" s="14" t="s">
        <v>87</v>
      </c>
      <c r="O258" s="14" t="s">
        <v>89</v>
      </c>
      <c r="P258" s="17">
        <v>2</v>
      </c>
      <c r="Q258" s="36" t="s">
        <v>259</v>
      </c>
    </row>
    <row r="259" spans="1:17" ht="14.4">
      <c r="A259" s="26">
        <v>629</v>
      </c>
      <c r="B259" s="19" t="s">
        <v>321</v>
      </c>
      <c r="C259" s="37">
        <v>45526</v>
      </c>
      <c r="D259" s="22">
        <v>0</v>
      </c>
      <c r="E259" s="22">
        <v>0</v>
      </c>
      <c r="F259" s="22">
        <v>0</v>
      </c>
      <c r="G259" s="22">
        <v>0</v>
      </c>
      <c r="H259" s="38"/>
      <c r="I259" s="22">
        <v>0</v>
      </c>
      <c r="J259" s="22">
        <v>1</v>
      </c>
      <c r="K259" s="22">
        <v>0</v>
      </c>
      <c r="L259" s="22">
        <v>0</v>
      </c>
      <c r="M259" s="19" t="s">
        <v>100</v>
      </c>
      <c r="N259" s="19" t="s">
        <v>87</v>
      </c>
      <c r="O259" s="19" t="s">
        <v>89</v>
      </c>
      <c r="P259" s="19"/>
      <c r="Q259" s="39" t="s">
        <v>263</v>
      </c>
    </row>
    <row r="260" spans="1:17" ht="14.4">
      <c r="A260" s="13">
        <v>241</v>
      </c>
      <c r="B260" s="14" t="s">
        <v>322</v>
      </c>
      <c r="C260" s="34">
        <v>45526</v>
      </c>
      <c r="D260" s="17">
        <v>0</v>
      </c>
      <c r="E260" s="17">
        <v>1</v>
      </c>
      <c r="F260" s="17">
        <v>0</v>
      </c>
      <c r="G260" s="17">
        <v>0</v>
      </c>
      <c r="H260" s="16" t="s">
        <v>283</v>
      </c>
      <c r="I260" s="17">
        <v>0</v>
      </c>
      <c r="J260" s="17">
        <v>0</v>
      </c>
      <c r="K260" s="17">
        <v>0</v>
      </c>
      <c r="L260" s="17">
        <v>0</v>
      </c>
      <c r="M260" s="14" t="s">
        <v>100</v>
      </c>
      <c r="N260" s="14" t="s">
        <v>87</v>
      </c>
      <c r="O260" s="14" t="s">
        <v>46</v>
      </c>
      <c r="P260" s="14"/>
      <c r="Q260" s="36" t="s">
        <v>262</v>
      </c>
    </row>
    <row r="261" spans="1:17" ht="14.4">
      <c r="A261" s="26">
        <v>241</v>
      </c>
      <c r="B261" s="19" t="s">
        <v>322</v>
      </c>
      <c r="C261" s="37">
        <v>45526</v>
      </c>
      <c r="D261" s="22">
        <v>1</v>
      </c>
      <c r="E261" s="22">
        <v>0</v>
      </c>
      <c r="F261" s="22">
        <v>0</v>
      </c>
      <c r="G261" s="22">
        <v>0</v>
      </c>
      <c r="H261" s="38"/>
      <c r="I261" s="22">
        <v>0</v>
      </c>
      <c r="J261" s="22">
        <v>0</v>
      </c>
      <c r="K261" s="22">
        <v>0</v>
      </c>
      <c r="L261" s="22">
        <v>0</v>
      </c>
      <c r="M261" s="19" t="s">
        <v>100</v>
      </c>
      <c r="N261" s="19" t="s">
        <v>87</v>
      </c>
      <c r="O261" s="19" t="s">
        <v>86</v>
      </c>
      <c r="P261" s="22">
        <v>1</v>
      </c>
      <c r="Q261" s="39" t="s">
        <v>259</v>
      </c>
    </row>
    <row r="262" spans="1:17" ht="14.4">
      <c r="A262" s="13">
        <v>241</v>
      </c>
      <c r="B262" s="14" t="s">
        <v>322</v>
      </c>
      <c r="C262" s="34">
        <v>45526</v>
      </c>
      <c r="D262" s="17">
        <v>0</v>
      </c>
      <c r="E262" s="17">
        <v>0</v>
      </c>
      <c r="F262" s="17">
        <v>0</v>
      </c>
      <c r="G262" s="17">
        <v>0</v>
      </c>
      <c r="H262" s="35"/>
      <c r="I262" s="17">
        <v>1</v>
      </c>
      <c r="J262" s="17">
        <v>0</v>
      </c>
      <c r="K262" s="17">
        <v>0</v>
      </c>
      <c r="L262" s="17">
        <v>0</v>
      </c>
      <c r="M262" s="14" t="s">
        <v>100</v>
      </c>
      <c r="N262" s="14" t="s">
        <v>87</v>
      </c>
      <c r="O262" s="14" t="s">
        <v>86</v>
      </c>
      <c r="P262" s="14"/>
      <c r="Q262" s="36" t="s">
        <v>260</v>
      </c>
    </row>
    <row r="263" spans="1:17" ht="14.4">
      <c r="A263" s="26">
        <v>324</v>
      </c>
      <c r="B263" s="19" t="s">
        <v>323</v>
      </c>
      <c r="C263" s="37">
        <v>45526</v>
      </c>
      <c r="D263" s="22">
        <v>1</v>
      </c>
      <c r="E263" s="22">
        <v>0</v>
      </c>
      <c r="F263" s="22">
        <v>0</v>
      </c>
      <c r="G263" s="22">
        <v>0</v>
      </c>
      <c r="H263" s="38"/>
      <c r="I263" s="22">
        <v>0</v>
      </c>
      <c r="J263" s="22">
        <v>0</v>
      </c>
      <c r="K263" s="22">
        <v>0</v>
      </c>
      <c r="L263" s="22">
        <v>0</v>
      </c>
      <c r="M263" s="19" t="s">
        <v>100</v>
      </c>
      <c r="N263" s="19" t="s">
        <v>91</v>
      </c>
      <c r="O263" s="19" t="s">
        <v>47</v>
      </c>
      <c r="P263" s="22">
        <v>1</v>
      </c>
      <c r="Q263" s="39" t="s">
        <v>259</v>
      </c>
    </row>
    <row r="264" spans="1:17" ht="14.4">
      <c r="A264" s="13">
        <v>324</v>
      </c>
      <c r="B264" s="14" t="s">
        <v>323</v>
      </c>
      <c r="C264" s="34">
        <v>45526</v>
      </c>
      <c r="D264" s="17">
        <v>0</v>
      </c>
      <c r="E264" s="17">
        <v>0</v>
      </c>
      <c r="F264" s="17">
        <v>0</v>
      </c>
      <c r="G264" s="17">
        <v>0</v>
      </c>
      <c r="H264" s="35"/>
      <c r="I264" s="17">
        <v>1</v>
      </c>
      <c r="J264" s="17">
        <v>0</v>
      </c>
      <c r="K264" s="17">
        <v>0</v>
      </c>
      <c r="L264" s="17">
        <v>0</v>
      </c>
      <c r="M264" s="14" t="s">
        <v>100</v>
      </c>
      <c r="N264" s="14" t="s">
        <v>91</v>
      </c>
      <c r="O264" s="14" t="s">
        <v>47</v>
      </c>
      <c r="P264" s="14"/>
      <c r="Q264" s="36" t="s">
        <v>260</v>
      </c>
    </row>
    <row r="265" spans="1:17" ht="14.4">
      <c r="A265" s="26">
        <v>324</v>
      </c>
      <c r="B265" s="19" t="s">
        <v>323</v>
      </c>
      <c r="C265" s="37">
        <v>45526</v>
      </c>
      <c r="D265" s="22">
        <v>1</v>
      </c>
      <c r="E265" s="22">
        <v>0</v>
      </c>
      <c r="F265" s="22">
        <v>0</v>
      </c>
      <c r="G265" s="22">
        <v>0</v>
      </c>
      <c r="H265" s="38"/>
      <c r="I265" s="22">
        <v>0</v>
      </c>
      <c r="J265" s="22">
        <v>0</v>
      </c>
      <c r="K265" s="22">
        <v>0</v>
      </c>
      <c r="L265" s="22">
        <v>0</v>
      </c>
      <c r="M265" s="19" t="s">
        <v>100</v>
      </c>
      <c r="N265" s="19" t="s">
        <v>87</v>
      </c>
      <c r="O265" s="19" t="s">
        <v>43</v>
      </c>
      <c r="P265" s="22">
        <v>1</v>
      </c>
      <c r="Q265" s="39" t="s">
        <v>259</v>
      </c>
    </row>
    <row r="266" spans="1:17" ht="14.4">
      <c r="A266" s="13">
        <v>324</v>
      </c>
      <c r="B266" s="14" t="s">
        <v>323</v>
      </c>
      <c r="C266" s="34">
        <v>45526</v>
      </c>
      <c r="D266" s="17">
        <v>0</v>
      </c>
      <c r="E266" s="17">
        <v>0</v>
      </c>
      <c r="F266" s="17">
        <v>0</v>
      </c>
      <c r="G266" s="17">
        <v>0</v>
      </c>
      <c r="H266" s="35"/>
      <c r="I266" s="17">
        <v>1</v>
      </c>
      <c r="J266" s="17">
        <v>0</v>
      </c>
      <c r="K266" s="17">
        <v>0</v>
      </c>
      <c r="L266" s="17">
        <v>0</v>
      </c>
      <c r="M266" s="14" t="s">
        <v>100</v>
      </c>
      <c r="N266" s="14" t="s">
        <v>87</v>
      </c>
      <c r="O266" s="14" t="s">
        <v>43</v>
      </c>
      <c r="P266" s="14"/>
      <c r="Q266" s="36" t="s">
        <v>260</v>
      </c>
    </row>
    <row r="267" spans="1:17" ht="14.4">
      <c r="A267" s="26">
        <v>671</v>
      </c>
      <c r="B267" s="19" t="s">
        <v>324</v>
      </c>
      <c r="C267" s="37">
        <v>45526</v>
      </c>
      <c r="D267" s="22">
        <v>1</v>
      </c>
      <c r="E267" s="22">
        <v>0</v>
      </c>
      <c r="F267" s="22">
        <v>0</v>
      </c>
      <c r="G267" s="22">
        <v>0</v>
      </c>
      <c r="H267" s="38"/>
      <c r="I267" s="22">
        <v>0</v>
      </c>
      <c r="J267" s="22">
        <v>0</v>
      </c>
      <c r="K267" s="22">
        <v>0</v>
      </c>
      <c r="L267" s="22">
        <v>0</v>
      </c>
      <c r="M267" s="19" t="s">
        <v>100</v>
      </c>
      <c r="N267" s="19" t="s">
        <v>91</v>
      </c>
      <c r="O267" s="19" t="s">
        <v>38</v>
      </c>
      <c r="P267" s="22">
        <v>1</v>
      </c>
      <c r="Q267" s="39" t="s">
        <v>259</v>
      </c>
    </row>
    <row r="268" spans="1:17" ht="14.4">
      <c r="A268" s="13">
        <v>671</v>
      </c>
      <c r="B268" s="14" t="s">
        <v>324</v>
      </c>
      <c r="C268" s="34">
        <v>45526</v>
      </c>
      <c r="D268" s="17">
        <v>0</v>
      </c>
      <c r="E268" s="17">
        <v>0</v>
      </c>
      <c r="F268" s="17">
        <v>0</v>
      </c>
      <c r="G268" s="17">
        <v>0</v>
      </c>
      <c r="H268" s="35"/>
      <c r="I268" s="17">
        <v>0</v>
      </c>
      <c r="J268" s="17">
        <v>1</v>
      </c>
      <c r="K268" s="17">
        <v>0</v>
      </c>
      <c r="L268" s="17">
        <v>0</v>
      </c>
      <c r="M268" s="14" t="s">
        <v>100</v>
      </c>
      <c r="N268" s="14" t="s">
        <v>91</v>
      </c>
      <c r="O268" s="14" t="s">
        <v>38</v>
      </c>
      <c r="P268" s="14"/>
      <c r="Q268" s="36" t="s">
        <v>263</v>
      </c>
    </row>
    <row r="269" spans="1:17" ht="14.4">
      <c r="A269" s="26">
        <v>123</v>
      </c>
      <c r="B269" s="19" t="s">
        <v>325</v>
      </c>
      <c r="C269" s="37">
        <v>45526</v>
      </c>
      <c r="D269" s="22">
        <v>0</v>
      </c>
      <c r="E269" s="22">
        <v>0</v>
      </c>
      <c r="F269" s="22">
        <v>0</v>
      </c>
      <c r="G269" s="22">
        <v>0</v>
      </c>
      <c r="H269" s="38"/>
      <c r="I269" s="22">
        <v>0</v>
      </c>
      <c r="J269" s="22">
        <v>1</v>
      </c>
      <c r="K269" s="22">
        <v>2</v>
      </c>
      <c r="L269" s="22">
        <v>0</v>
      </c>
      <c r="M269" s="19" t="s">
        <v>100</v>
      </c>
      <c r="N269" s="19" t="s">
        <v>87</v>
      </c>
      <c r="O269" s="19" t="s">
        <v>43</v>
      </c>
      <c r="P269" s="19"/>
      <c r="Q269" s="39" t="s">
        <v>263</v>
      </c>
    </row>
    <row r="270" spans="1:17" ht="14.4">
      <c r="A270" s="13">
        <v>302</v>
      </c>
      <c r="B270" s="14" t="s">
        <v>326</v>
      </c>
      <c r="C270" s="34">
        <v>45526</v>
      </c>
      <c r="D270" s="17">
        <v>1</v>
      </c>
      <c r="E270" s="17">
        <v>0</v>
      </c>
      <c r="F270" s="17">
        <v>0</v>
      </c>
      <c r="G270" s="17">
        <v>0</v>
      </c>
      <c r="H270" s="35"/>
      <c r="I270" s="17">
        <v>0</v>
      </c>
      <c r="J270" s="17">
        <v>0</v>
      </c>
      <c r="K270" s="17">
        <v>0</v>
      </c>
      <c r="L270" s="17">
        <v>0</v>
      </c>
      <c r="M270" s="14" t="s">
        <v>100</v>
      </c>
      <c r="N270" s="14" t="s">
        <v>87</v>
      </c>
      <c r="O270" s="14" t="s">
        <v>89</v>
      </c>
      <c r="P270" s="14"/>
      <c r="Q270" s="36" t="s">
        <v>259</v>
      </c>
    </row>
    <row r="271" spans="1:17" ht="14.4">
      <c r="A271" s="26">
        <v>306</v>
      </c>
      <c r="B271" s="19" t="s">
        <v>327</v>
      </c>
      <c r="C271" s="37">
        <v>45526</v>
      </c>
      <c r="D271" s="22">
        <v>2</v>
      </c>
      <c r="E271" s="22">
        <v>0</v>
      </c>
      <c r="F271" s="22">
        <v>0</v>
      </c>
      <c r="G271" s="22">
        <v>0</v>
      </c>
      <c r="H271" s="38"/>
      <c r="I271" s="22">
        <v>0</v>
      </c>
      <c r="J271" s="22">
        <v>0</v>
      </c>
      <c r="K271" s="22">
        <v>0</v>
      </c>
      <c r="L271" s="22">
        <v>0</v>
      </c>
      <c r="M271" s="19" t="s">
        <v>100</v>
      </c>
      <c r="N271" s="19" t="s">
        <v>87</v>
      </c>
      <c r="O271" s="19" t="s">
        <v>89</v>
      </c>
      <c r="P271" s="19"/>
      <c r="Q271" s="39" t="s">
        <v>259</v>
      </c>
    </row>
    <row r="272" spans="1:17" ht="14.4">
      <c r="A272" s="13">
        <v>251</v>
      </c>
      <c r="B272" s="14" t="s">
        <v>328</v>
      </c>
      <c r="C272" s="34">
        <v>45526</v>
      </c>
      <c r="D272" s="17">
        <v>0</v>
      </c>
      <c r="E272" s="17">
        <v>0</v>
      </c>
      <c r="F272" s="17">
        <v>0</v>
      </c>
      <c r="G272" s="17">
        <v>0</v>
      </c>
      <c r="H272" s="35"/>
      <c r="I272" s="17">
        <v>0</v>
      </c>
      <c r="J272" s="17">
        <v>1</v>
      </c>
      <c r="K272" s="17">
        <v>1</v>
      </c>
      <c r="L272" s="17">
        <v>0</v>
      </c>
      <c r="M272" s="14" t="s">
        <v>100</v>
      </c>
      <c r="N272" s="14" t="s">
        <v>91</v>
      </c>
      <c r="O272" s="14" t="s">
        <v>90</v>
      </c>
      <c r="P272" s="14"/>
      <c r="Q272" s="36" t="s">
        <v>263</v>
      </c>
    </row>
    <row r="273" spans="1:17" ht="14.4">
      <c r="A273" s="26">
        <v>251</v>
      </c>
      <c r="B273" s="19" t="s">
        <v>328</v>
      </c>
      <c r="C273" s="37">
        <v>45526</v>
      </c>
      <c r="D273" s="22">
        <v>1</v>
      </c>
      <c r="E273" s="22">
        <v>0</v>
      </c>
      <c r="F273" s="22">
        <v>0</v>
      </c>
      <c r="G273" s="22">
        <v>0</v>
      </c>
      <c r="H273" s="38"/>
      <c r="I273" s="22">
        <v>0</v>
      </c>
      <c r="J273" s="22">
        <v>0</v>
      </c>
      <c r="K273" s="22">
        <v>0</v>
      </c>
      <c r="L273" s="22">
        <v>0</v>
      </c>
      <c r="M273" s="19" t="s">
        <v>100</v>
      </c>
      <c r="N273" s="19" t="s">
        <v>87</v>
      </c>
      <c r="O273" s="19" t="s">
        <v>89</v>
      </c>
      <c r="P273" s="22">
        <v>1</v>
      </c>
      <c r="Q273" s="39" t="s">
        <v>259</v>
      </c>
    </row>
    <row r="274" spans="1:17" ht="14.4">
      <c r="A274" s="13">
        <v>251</v>
      </c>
      <c r="B274" s="14" t="s">
        <v>328</v>
      </c>
      <c r="C274" s="34">
        <v>45526</v>
      </c>
      <c r="D274" s="17">
        <v>0</v>
      </c>
      <c r="E274" s="17">
        <v>1</v>
      </c>
      <c r="F274" s="17">
        <v>0</v>
      </c>
      <c r="G274" s="17">
        <v>0</v>
      </c>
      <c r="H274" s="16" t="s">
        <v>329</v>
      </c>
      <c r="I274" s="17">
        <v>0</v>
      </c>
      <c r="J274" s="17">
        <v>0</v>
      </c>
      <c r="K274" s="17">
        <v>0</v>
      </c>
      <c r="L274" s="17">
        <v>0</v>
      </c>
      <c r="M274" s="14" t="s">
        <v>100</v>
      </c>
      <c r="N274" s="14" t="s">
        <v>87</v>
      </c>
      <c r="O274" s="14" t="s">
        <v>57</v>
      </c>
      <c r="P274" s="14"/>
      <c r="Q274" s="36" t="s">
        <v>262</v>
      </c>
    </row>
    <row r="275" spans="1:17" ht="14.4">
      <c r="A275" s="26">
        <v>251</v>
      </c>
      <c r="B275" s="19" t="s">
        <v>328</v>
      </c>
      <c r="C275" s="37">
        <v>45526</v>
      </c>
      <c r="D275" s="22">
        <v>0</v>
      </c>
      <c r="E275" s="22">
        <v>1</v>
      </c>
      <c r="F275" s="22">
        <v>0</v>
      </c>
      <c r="G275" s="22">
        <v>0</v>
      </c>
      <c r="H275" s="21" t="s">
        <v>303</v>
      </c>
      <c r="I275" s="22">
        <v>0</v>
      </c>
      <c r="J275" s="22">
        <v>0</v>
      </c>
      <c r="K275" s="22">
        <v>0</v>
      </c>
      <c r="L275" s="22">
        <v>0</v>
      </c>
      <c r="M275" s="19" t="s">
        <v>100</v>
      </c>
      <c r="N275" s="19" t="s">
        <v>87</v>
      </c>
      <c r="O275" s="19" t="s">
        <v>86</v>
      </c>
      <c r="P275" s="19"/>
      <c r="Q275" s="39" t="s">
        <v>262</v>
      </c>
    </row>
    <row r="276" spans="1:17" ht="14.4">
      <c r="A276" s="13">
        <v>251</v>
      </c>
      <c r="B276" s="14" t="s">
        <v>328</v>
      </c>
      <c r="C276" s="34">
        <v>45526</v>
      </c>
      <c r="D276" s="17">
        <v>0</v>
      </c>
      <c r="E276" s="17">
        <v>0</v>
      </c>
      <c r="F276" s="17">
        <v>0</v>
      </c>
      <c r="G276" s="17">
        <v>0</v>
      </c>
      <c r="H276" s="35"/>
      <c r="I276" s="17">
        <v>0</v>
      </c>
      <c r="J276" s="17">
        <v>1</v>
      </c>
      <c r="K276" s="17">
        <v>0</v>
      </c>
      <c r="L276" s="17">
        <v>0</v>
      </c>
      <c r="M276" s="14" t="s">
        <v>100</v>
      </c>
      <c r="N276" s="14" t="s">
        <v>87</v>
      </c>
      <c r="O276" s="14" t="s">
        <v>86</v>
      </c>
      <c r="P276" s="14"/>
      <c r="Q276" s="36" t="s">
        <v>263</v>
      </c>
    </row>
    <row r="277" spans="1:17" ht="14.4">
      <c r="A277" s="26">
        <v>170</v>
      </c>
      <c r="B277" s="19" t="s">
        <v>330</v>
      </c>
      <c r="C277" s="37">
        <v>45526</v>
      </c>
      <c r="D277" s="22">
        <v>1</v>
      </c>
      <c r="E277" s="22">
        <v>0</v>
      </c>
      <c r="F277" s="22">
        <v>0</v>
      </c>
      <c r="G277" s="22">
        <v>0</v>
      </c>
      <c r="H277" s="38"/>
      <c r="I277" s="22">
        <v>0</v>
      </c>
      <c r="J277" s="22">
        <v>0</v>
      </c>
      <c r="K277" s="22">
        <v>0</v>
      </c>
      <c r="L277" s="22">
        <v>0</v>
      </c>
      <c r="M277" s="19" t="s">
        <v>100</v>
      </c>
      <c r="N277" s="19" t="s">
        <v>91</v>
      </c>
      <c r="O277" s="19" t="s">
        <v>38</v>
      </c>
      <c r="P277" s="22">
        <v>1</v>
      </c>
      <c r="Q277" s="39" t="s">
        <v>259</v>
      </c>
    </row>
    <row r="278" spans="1:17" ht="14.4">
      <c r="A278" s="13">
        <v>170</v>
      </c>
      <c r="B278" s="14" t="s">
        <v>330</v>
      </c>
      <c r="C278" s="34">
        <v>45526</v>
      </c>
      <c r="D278" s="17">
        <v>0</v>
      </c>
      <c r="E278" s="17">
        <v>0</v>
      </c>
      <c r="F278" s="17">
        <v>0</v>
      </c>
      <c r="G278" s="17">
        <v>0</v>
      </c>
      <c r="H278" s="35"/>
      <c r="I278" s="17">
        <v>1</v>
      </c>
      <c r="J278" s="17">
        <v>0</v>
      </c>
      <c r="K278" s="17">
        <v>0</v>
      </c>
      <c r="L278" s="17">
        <v>0</v>
      </c>
      <c r="M278" s="14" t="s">
        <v>100</v>
      </c>
      <c r="N278" s="14" t="s">
        <v>91</v>
      </c>
      <c r="O278" s="14" t="s">
        <v>38</v>
      </c>
      <c r="P278" s="14"/>
      <c r="Q278" s="36" t="s">
        <v>260</v>
      </c>
    </row>
    <row r="279" spans="1:17" ht="14.4">
      <c r="A279" s="26">
        <v>170</v>
      </c>
      <c r="B279" s="19" t="s">
        <v>330</v>
      </c>
      <c r="C279" s="37">
        <v>45526</v>
      </c>
      <c r="D279" s="22">
        <v>0</v>
      </c>
      <c r="E279" s="22">
        <v>0</v>
      </c>
      <c r="F279" s="22">
        <v>0</v>
      </c>
      <c r="G279" s="22">
        <v>0</v>
      </c>
      <c r="H279" s="38"/>
      <c r="I279" s="22">
        <v>2</v>
      </c>
      <c r="J279" s="22">
        <v>0</v>
      </c>
      <c r="K279" s="22">
        <v>0</v>
      </c>
      <c r="L279" s="22">
        <v>0</v>
      </c>
      <c r="M279" s="19" t="s">
        <v>100</v>
      </c>
      <c r="N279" s="19" t="s">
        <v>91</v>
      </c>
      <c r="O279" s="19" t="s">
        <v>44</v>
      </c>
      <c r="P279" s="19"/>
      <c r="Q279" s="39" t="s">
        <v>260</v>
      </c>
    </row>
    <row r="280" spans="1:17" ht="14.4">
      <c r="A280" s="13">
        <v>170</v>
      </c>
      <c r="B280" s="14" t="s">
        <v>330</v>
      </c>
      <c r="C280" s="34">
        <v>45526</v>
      </c>
      <c r="D280" s="17">
        <v>0</v>
      </c>
      <c r="E280" s="17">
        <v>2</v>
      </c>
      <c r="F280" s="17">
        <v>0</v>
      </c>
      <c r="G280" s="17">
        <v>1</v>
      </c>
      <c r="H280" s="16" t="s">
        <v>331</v>
      </c>
      <c r="I280" s="17">
        <v>0</v>
      </c>
      <c r="J280" s="17">
        <v>0</v>
      </c>
      <c r="K280" s="17">
        <v>0</v>
      </c>
      <c r="L280" s="17">
        <v>0</v>
      </c>
      <c r="M280" s="14" t="s">
        <v>100</v>
      </c>
      <c r="N280" s="14" t="s">
        <v>91</v>
      </c>
      <c r="O280" s="14" t="s">
        <v>47</v>
      </c>
      <c r="P280" s="14"/>
      <c r="Q280" s="36" t="s">
        <v>262</v>
      </c>
    </row>
    <row r="281" spans="1:17" ht="14.4">
      <c r="A281" s="26">
        <v>170</v>
      </c>
      <c r="B281" s="19" t="s">
        <v>330</v>
      </c>
      <c r="C281" s="37">
        <v>45526</v>
      </c>
      <c r="D281" s="22">
        <v>6</v>
      </c>
      <c r="E281" s="22">
        <v>0</v>
      </c>
      <c r="F281" s="22">
        <v>0</v>
      </c>
      <c r="G281" s="22">
        <v>0</v>
      </c>
      <c r="H281" s="38"/>
      <c r="I281" s="22">
        <v>0</v>
      </c>
      <c r="J281" s="22">
        <v>0</v>
      </c>
      <c r="K281" s="22">
        <v>0</v>
      </c>
      <c r="L281" s="22">
        <v>0</v>
      </c>
      <c r="M281" s="19" t="s">
        <v>100</v>
      </c>
      <c r="N281" s="19" t="s">
        <v>91</v>
      </c>
      <c r="O281" s="19" t="s">
        <v>47</v>
      </c>
      <c r="P281" s="22">
        <v>1</v>
      </c>
      <c r="Q281" s="39" t="s">
        <v>259</v>
      </c>
    </row>
    <row r="282" spans="1:17" ht="14.4">
      <c r="A282" s="13">
        <v>170</v>
      </c>
      <c r="B282" s="14" t="s">
        <v>330</v>
      </c>
      <c r="C282" s="34">
        <v>45526</v>
      </c>
      <c r="D282" s="17">
        <v>0</v>
      </c>
      <c r="E282" s="17">
        <v>0</v>
      </c>
      <c r="F282" s="17">
        <v>0</v>
      </c>
      <c r="G282" s="17">
        <v>0</v>
      </c>
      <c r="H282" s="35"/>
      <c r="I282" s="17">
        <v>0</v>
      </c>
      <c r="J282" s="17">
        <v>1</v>
      </c>
      <c r="K282" s="17">
        <v>1</v>
      </c>
      <c r="L282" s="17">
        <v>0</v>
      </c>
      <c r="M282" s="14" t="s">
        <v>100</v>
      </c>
      <c r="N282" s="14" t="s">
        <v>91</v>
      </c>
      <c r="O282" s="14" t="s">
        <v>47</v>
      </c>
      <c r="P282" s="14"/>
      <c r="Q282" s="36" t="s">
        <v>263</v>
      </c>
    </row>
    <row r="283" spans="1:17" ht="14.4">
      <c r="A283" s="26">
        <v>170</v>
      </c>
      <c r="B283" s="19" t="s">
        <v>330</v>
      </c>
      <c r="C283" s="37">
        <v>45526</v>
      </c>
      <c r="D283" s="22">
        <v>1</v>
      </c>
      <c r="E283" s="22">
        <v>0</v>
      </c>
      <c r="F283" s="22">
        <v>0</v>
      </c>
      <c r="G283" s="22">
        <v>0</v>
      </c>
      <c r="H283" s="38"/>
      <c r="I283" s="22">
        <v>0</v>
      </c>
      <c r="J283" s="22">
        <v>0</v>
      </c>
      <c r="K283" s="22">
        <v>0</v>
      </c>
      <c r="L283" s="22">
        <v>0</v>
      </c>
      <c r="M283" s="19" t="s">
        <v>100</v>
      </c>
      <c r="N283" s="19" t="s">
        <v>91</v>
      </c>
      <c r="O283" s="19" t="s">
        <v>90</v>
      </c>
      <c r="P283" s="22">
        <v>1</v>
      </c>
      <c r="Q283" s="39" t="s">
        <v>259</v>
      </c>
    </row>
    <row r="284" spans="1:17" ht="14.4">
      <c r="A284" s="13">
        <v>170</v>
      </c>
      <c r="B284" s="14" t="s">
        <v>330</v>
      </c>
      <c r="C284" s="34">
        <v>45526</v>
      </c>
      <c r="D284" s="17">
        <v>0</v>
      </c>
      <c r="E284" s="17">
        <v>0</v>
      </c>
      <c r="F284" s="17">
        <v>0</v>
      </c>
      <c r="G284" s="17">
        <v>0</v>
      </c>
      <c r="H284" s="35"/>
      <c r="I284" s="17">
        <v>1</v>
      </c>
      <c r="J284" s="17">
        <v>0</v>
      </c>
      <c r="K284" s="17">
        <v>0</v>
      </c>
      <c r="L284" s="17">
        <v>0</v>
      </c>
      <c r="M284" s="14" t="s">
        <v>100</v>
      </c>
      <c r="N284" s="14" t="s">
        <v>91</v>
      </c>
      <c r="O284" s="14" t="s">
        <v>90</v>
      </c>
      <c r="P284" s="14"/>
      <c r="Q284" s="36" t="s">
        <v>260</v>
      </c>
    </row>
    <row r="285" spans="1:17" ht="14.4">
      <c r="A285" s="26">
        <v>170</v>
      </c>
      <c r="B285" s="19" t="s">
        <v>330</v>
      </c>
      <c r="C285" s="37">
        <v>45526</v>
      </c>
      <c r="D285" s="22">
        <v>0</v>
      </c>
      <c r="E285" s="22">
        <v>0</v>
      </c>
      <c r="F285" s="22">
        <v>0</v>
      </c>
      <c r="G285" s="22">
        <v>0</v>
      </c>
      <c r="H285" s="38"/>
      <c r="I285" s="22">
        <v>0</v>
      </c>
      <c r="J285" s="22">
        <v>2</v>
      </c>
      <c r="K285" s="22">
        <v>0</v>
      </c>
      <c r="L285" s="22">
        <v>0</v>
      </c>
      <c r="M285" s="19" t="s">
        <v>100</v>
      </c>
      <c r="N285" s="19" t="s">
        <v>91</v>
      </c>
      <c r="O285" s="19" t="s">
        <v>90</v>
      </c>
      <c r="P285" s="19"/>
      <c r="Q285" s="39" t="s">
        <v>263</v>
      </c>
    </row>
    <row r="286" spans="1:17" ht="14.4">
      <c r="A286" s="13">
        <v>170</v>
      </c>
      <c r="B286" s="14" t="s">
        <v>330</v>
      </c>
      <c r="C286" s="34">
        <v>45526</v>
      </c>
      <c r="D286" s="17">
        <v>5</v>
      </c>
      <c r="E286" s="17">
        <v>0</v>
      </c>
      <c r="F286" s="17">
        <v>0</v>
      </c>
      <c r="G286" s="17">
        <v>0</v>
      </c>
      <c r="H286" s="35"/>
      <c r="I286" s="17">
        <v>0</v>
      </c>
      <c r="J286" s="17">
        <v>0</v>
      </c>
      <c r="K286" s="17">
        <v>0</v>
      </c>
      <c r="L286" s="17">
        <v>0</v>
      </c>
      <c r="M286" s="14" t="s">
        <v>100</v>
      </c>
      <c r="N286" s="14" t="s">
        <v>87</v>
      </c>
      <c r="O286" s="14" t="s">
        <v>43</v>
      </c>
      <c r="P286" s="17">
        <v>4</v>
      </c>
      <c r="Q286" s="36" t="s">
        <v>259</v>
      </c>
    </row>
    <row r="287" spans="1:17" ht="14.4">
      <c r="A287" s="26">
        <v>170</v>
      </c>
      <c r="B287" s="19" t="s">
        <v>330</v>
      </c>
      <c r="C287" s="37">
        <v>45526</v>
      </c>
      <c r="D287" s="22">
        <v>0</v>
      </c>
      <c r="E287" s="22">
        <v>0</v>
      </c>
      <c r="F287" s="22">
        <v>0</v>
      </c>
      <c r="G287" s="22">
        <v>0</v>
      </c>
      <c r="H287" s="38"/>
      <c r="I287" s="22">
        <v>1</v>
      </c>
      <c r="J287" s="22">
        <v>0</v>
      </c>
      <c r="K287" s="22">
        <v>0</v>
      </c>
      <c r="L287" s="22">
        <v>0</v>
      </c>
      <c r="M287" s="19" t="s">
        <v>100</v>
      </c>
      <c r="N287" s="19" t="s">
        <v>87</v>
      </c>
      <c r="O287" s="19" t="s">
        <v>43</v>
      </c>
      <c r="P287" s="19"/>
      <c r="Q287" s="39" t="s">
        <v>260</v>
      </c>
    </row>
    <row r="288" spans="1:17" ht="14.4">
      <c r="A288" s="13">
        <v>170</v>
      </c>
      <c r="B288" s="14" t="s">
        <v>330</v>
      </c>
      <c r="C288" s="34">
        <v>45526</v>
      </c>
      <c r="D288" s="17">
        <v>0</v>
      </c>
      <c r="E288" s="17">
        <v>0</v>
      </c>
      <c r="F288" s="17">
        <v>0</v>
      </c>
      <c r="G288" s="17">
        <v>0</v>
      </c>
      <c r="H288" s="35"/>
      <c r="I288" s="17">
        <v>0</v>
      </c>
      <c r="J288" s="17">
        <v>1</v>
      </c>
      <c r="K288" s="17">
        <v>0</v>
      </c>
      <c r="L288" s="17">
        <v>0</v>
      </c>
      <c r="M288" s="14" t="s">
        <v>100</v>
      </c>
      <c r="N288" s="14" t="s">
        <v>87</v>
      </c>
      <c r="O288" s="14" t="s">
        <v>43</v>
      </c>
      <c r="P288" s="14"/>
      <c r="Q288" s="36" t="s">
        <v>263</v>
      </c>
    </row>
    <row r="289" spans="1:17" ht="14.4">
      <c r="A289" s="26">
        <v>170</v>
      </c>
      <c r="B289" s="19" t="s">
        <v>330</v>
      </c>
      <c r="C289" s="37">
        <v>45526</v>
      </c>
      <c r="D289" s="22">
        <v>4</v>
      </c>
      <c r="E289" s="22">
        <v>0</v>
      </c>
      <c r="F289" s="22">
        <v>0</v>
      </c>
      <c r="G289" s="22">
        <v>0</v>
      </c>
      <c r="H289" s="38"/>
      <c r="I289" s="22">
        <v>0</v>
      </c>
      <c r="J289" s="22">
        <v>0</v>
      </c>
      <c r="K289" s="22">
        <v>0</v>
      </c>
      <c r="L289" s="22">
        <v>0</v>
      </c>
      <c r="M289" s="19" t="s">
        <v>100</v>
      </c>
      <c r="N289" s="19" t="s">
        <v>87</v>
      </c>
      <c r="O289" s="19" t="s">
        <v>46</v>
      </c>
      <c r="P289" s="22">
        <v>1</v>
      </c>
      <c r="Q289" s="39" t="s">
        <v>259</v>
      </c>
    </row>
    <row r="290" spans="1:17" ht="14.4">
      <c r="A290" s="13">
        <v>170</v>
      </c>
      <c r="B290" s="14" t="s">
        <v>330</v>
      </c>
      <c r="C290" s="34">
        <v>45526</v>
      </c>
      <c r="D290" s="17">
        <v>0</v>
      </c>
      <c r="E290" s="17">
        <v>0</v>
      </c>
      <c r="F290" s="17">
        <v>0</v>
      </c>
      <c r="G290" s="17">
        <v>0</v>
      </c>
      <c r="H290" s="35"/>
      <c r="I290" s="17">
        <v>0</v>
      </c>
      <c r="J290" s="17">
        <v>1</v>
      </c>
      <c r="K290" s="17">
        <v>0</v>
      </c>
      <c r="L290" s="17">
        <v>0</v>
      </c>
      <c r="M290" s="14" t="s">
        <v>100</v>
      </c>
      <c r="N290" s="14" t="s">
        <v>87</v>
      </c>
      <c r="O290" s="14" t="s">
        <v>46</v>
      </c>
      <c r="P290" s="14"/>
      <c r="Q290" s="36" t="s">
        <v>263</v>
      </c>
    </row>
    <row r="291" spans="1:17" ht="14.4">
      <c r="A291" s="26">
        <v>170</v>
      </c>
      <c r="B291" s="19" t="s">
        <v>330</v>
      </c>
      <c r="C291" s="37">
        <v>45526</v>
      </c>
      <c r="D291" s="22">
        <v>0</v>
      </c>
      <c r="E291" s="22">
        <v>3</v>
      </c>
      <c r="F291" s="22">
        <v>1</v>
      </c>
      <c r="G291" s="22">
        <v>0</v>
      </c>
      <c r="H291" s="21" t="s">
        <v>332</v>
      </c>
      <c r="I291" s="22">
        <v>0</v>
      </c>
      <c r="J291" s="22">
        <v>0</v>
      </c>
      <c r="K291" s="22">
        <v>0</v>
      </c>
      <c r="L291" s="22">
        <v>0</v>
      </c>
      <c r="M291" s="19" t="s">
        <v>100</v>
      </c>
      <c r="N291" s="19" t="s">
        <v>87</v>
      </c>
      <c r="O291" s="19" t="s">
        <v>60</v>
      </c>
      <c r="P291" s="19"/>
      <c r="Q291" s="39" t="s">
        <v>262</v>
      </c>
    </row>
    <row r="292" spans="1:17" ht="14.4">
      <c r="A292" s="13">
        <v>170</v>
      </c>
      <c r="B292" s="14" t="s">
        <v>330</v>
      </c>
      <c r="C292" s="34">
        <v>45526</v>
      </c>
      <c r="D292" s="17">
        <v>2</v>
      </c>
      <c r="E292" s="17">
        <v>0</v>
      </c>
      <c r="F292" s="17">
        <v>0</v>
      </c>
      <c r="G292" s="17">
        <v>0</v>
      </c>
      <c r="H292" s="35"/>
      <c r="I292" s="17">
        <v>0</v>
      </c>
      <c r="J292" s="17">
        <v>0</v>
      </c>
      <c r="K292" s="17">
        <v>0</v>
      </c>
      <c r="L292" s="17">
        <v>0</v>
      </c>
      <c r="M292" s="14" t="s">
        <v>100</v>
      </c>
      <c r="N292" s="14" t="s">
        <v>87</v>
      </c>
      <c r="O292" s="14" t="s">
        <v>60</v>
      </c>
      <c r="P292" s="17">
        <v>1</v>
      </c>
      <c r="Q292" s="36" t="s">
        <v>259</v>
      </c>
    </row>
    <row r="293" spans="1:17" ht="14.4">
      <c r="A293" s="26">
        <v>170</v>
      </c>
      <c r="B293" s="19" t="s">
        <v>330</v>
      </c>
      <c r="C293" s="37">
        <v>45526</v>
      </c>
      <c r="D293" s="22">
        <v>0</v>
      </c>
      <c r="E293" s="22">
        <v>0</v>
      </c>
      <c r="F293" s="22">
        <v>0</v>
      </c>
      <c r="G293" s="22">
        <v>0</v>
      </c>
      <c r="H293" s="38"/>
      <c r="I293" s="22">
        <v>1</v>
      </c>
      <c r="J293" s="22">
        <v>0</v>
      </c>
      <c r="K293" s="22">
        <v>0</v>
      </c>
      <c r="L293" s="22">
        <v>0</v>
      </c>
      <c r="M293" s="19" t="s">
        <v>100</v>
      </c>
      <c r="N293" s="19" t="s">
        <v>87</v>
      </c>
      <c r="O293" s="19" t="s">
        <v>60</v>
      </c>
      <c r="P293" s="19"/>
      <c r="Q293" s="39" t="s">
        <v>260</v>
      </c>
    </row>
    <row r="294" spans="1:17" ht="14.4">
      <c r="A294" s="13">
        <v>170</v>
      </c>
      <c r="B294" s="14" t="s">
        <v>330</v>
      </c>
      <c r="C294" s="34">
        <v>45526</v>
      </c>
      <c r="D294" s="17">
        <v>0</v>
      </c>
      <c r="E294" s="17">
        <v>0</v>
      </c>
      <c r="F294" s="17">
        <v>0</v>
      </c>
      <c r="G294" s="17">
        <v>0</v>
      </c>
      <c r="H294" s="35"/>
      <c r="I294" s="17">
        <v>0</v>
      </c>
      <c r="J294" s="17">
        <v>1</v>
      </c>
      <c r="K294" s="17">
        <v>1</v>
      </c>
      <c r="L294" s="17">
        <v>0</v>
      </c>
      <c r="M294" s="14" t="s">
        <v>100</v>
      </c>
      <c r="N294" s="14" t="s">
        <v>87</v>
      </c>
      <c r="O294" s="14" t="s">
        <v>60</v>
      </c>
      <c r="P294" s="14"/>
      <c r="Q294" s="36" t="s">
        <v>263</v>
      </c>
    </row>
    <row r="295" spans="1:17" ht="14.4">
      <c r="A295" s="26">
        <v>170</v>
      </c>
      <c r="B295" s="19" t="s">
        <v>330</v>
      </c>
      <c r="C295" s="37">
        <v>45526</v>
      </c>
      <c r="D295" s="22">
        <v>0</v>
      </c>
      <c r="E295" s="22">
        <v>3</v>
      </c>
      <c r="F295" s="22">
        <v>0</v>
      </c>
      <c r="G295" s="22">
        <v>1</v>
      </c>
      <c r="H295" s="21" t="s">
        <v>333</v>
      </c>
      <c r="I295" s="22">
        <v>0</v>
      </c>
      <c r="J295" s="22">
        <v>0</v>
      </c>
      <c r="K295" s="22">
        <v>0</v>
      </c>
      <c r="L295" s="22">
        <v>0</v>
      </c>
      <c r="M295" s="19" t="s">
        <v>100</v>
      </c>
      <c r="N295" s="19" t="s">
        <v>87</v>
      </c>
      <c r="O295" s="19" t="s">
        <v>89</v>
      </c>
      <c r="P295" s="19"/>
      <c r="Q295" s="39" t="s">
        <v>262</v>
      </c>
    </row>
    <row r="296" spans="1:17" ht="14.4">
      <c r="A296" s="13">
        <v>170</v>
      </c>
      <c r="B296" s="14" t="s">
        <v>330</v>
      </c>
      <c r="C296" s="34">
        <v>45526</v>
      </c>
      <c r="D296" s="17">
        <v>12</v>
      </c>
      <c r="E296" s="17">
        <v>0</v>
      </c>
      <c r="F296" s="17">
        <v>0</v>
      </c>
      <c r="G296" s="17">
        <v>0</v>
      </c>
      <c r="H296" s="35"/>
      <c r="I296" s="17">
        <v>0</v>
      </c>
      <c r="J296" s="17">
        <v>0</v>
      </c>
      <c r="K296" s="17">
        <v>0</v>
      </c>
      <c r="L296" s="17">
        <v>0</v>
      </c>
      <c r="M296" s="14" t="s">
        <v>100</v>
      </c>
      <c r="N296" s="14" t="s">
        <v>87</v>
      </c>
      <c r="O296" s="14" t="s">
        <v>89</v>
      </c>
      <c r="P296" s="17">
        <v>1</v>
      </c>
      <c r="Q296" s="36" t="s">
        <v>259</v>
      </c>
    </row>
    <row r="297" spans="1:17" ht="14.4">
      <c r="A297" s="26">
        <v>170</v>
      </c>
      <c r="B297" s="19" t="s">
        <v>330</v>
      </c>
      <c r="C297" s="37">
        <v>45526</v>
      </c>
      <c r="D297" s="22">
        <v>0</v>
      </c>
      <c r="E297" s="22">
        <v>0</v>
      </c>
      <c r="F297" s="22">
        <v>0</v>
      </c>
      <c r="G297" s="22">
        <v>0</v>
      </c>
      <c r="H297" s="38"/>
      <c r="I297" s="22">
        <v>0</v>
      </c>
      <c r="J297" s="22">
        <v>1</v>
      </c>
      <c r="K297" s="22">
        <v>1</v>
      </c>
      <c r="L297" s="22">
        <v>0</v>
      </c>
      <c r="M297" s="19" t="s">
        <v>100</v>
      </c>
      <c r="N297" s="19" t="s">
        <v>87</v>
      </c>
      <c r="O297" s="19" t="s">
        <v>89</v>
      </c>
      <c r="P297" s="19"/>
      <c r="Q297" s="39" t="s">
        <v>263</v>
      </c>
    </row>
    <row r="298" spans="1:17" ht="14.4">
      <c r="A298" s="13">
        <v>170</v>
      </c>
      <c r="B298" s="14" t="s">
        <v>330</v>
      </c>
      <c r="C298" s="34">
        <v>45526</v>
      </c>
      <c r="D298" s="17">
        <v>0</v>
      </c>
      <c r="E298" s="17">
        <v>1</v>
      </c>
      <c r="F298" s="17">
        <v>0</v>
      </c>
      <c r="G298" s="17">
        <v>1</v>
      </c>
      <c r="H298" s="16" t="s">
        <v>334</v>
      </c>
      <c r="I298" s="17">
        <v>0</v>
      </c>
      <c r="J298" s="17">
        <v>0</v>
      </c>
      <c r="K298" s="17">
        <v>0</v>
      </c>
      <c r="L298" s="17">
        <v>0</v>
      </c>
      <c r="M298" s="14" t="s">
        <v>100</v>
      </c>
      <c r="N298" s="14" t="s">
        <v>87</v>
      </c>
      <c r="O298" s="14" t="s">
        <v>57</v>
      </c>
      <c r="P298" s="14"/>
      <c r="Q298" s="36" t="s">
        <v>262</v>
      </c>
    </row>
    <row r="299" spans="1:17" ht="14.4">
      <c r="A299" s="26">
        <v>170</v>
      </c>
      <c r="B299" s="19" t="s">
        <v>330</v>
      </c>
      <c r="C299" s="37">
        <v>45526</v>
      </c>
      <c r="D299" s="22">
        <v>4</v>
      </c>
      <c r="E299" s="22">
        <v>0</v>
      </c>
      <c r="F299" s="22">
        <v>0</v>
      </c>
      <c r="G299" s="22">
        <v>0</v>
      </c>
      <c r="H299" s="38"/>
      <c r="I299" s="22">
        <v>0</v>
      </c>
      <c r="J299" s="22">
        <v>0</v>
      </c>
      <c r="K299" s="22">
        <v>0</v>
      </c>
      <c r="L299" s="22">
        <v>0</v>
      </c>
      <c r="M299" s="19" t="s">
        <v>100</v>
      </c>
      <c r="N299" s="19" t="s">
        <v>87</v>
      </c>
      <c r="O299" s="19" t="s">
        <v>57</v>
      </c>
      <c r="P299" s="22">
        <v>2</v>
      </c>
      <c r="Q299" s="39" t="s">
        <v>259</v>
      </c>
    </row>
    <row r="300" spans="1:17" ht="14.4">
      <c r="A300" s="13">
        <v>170</v>
      </c>
      <c r="B300" s="14" t="s">
        <v>330</v>
      </c>
      <c r="C300" s="34">
        <v>45526</v>
      </c>
      <c r="D300" s="17">
        <v>0</v>
      </c>
      <c r="E300" s="17">
        <v>0</v>
      </c>
      <c r="F300" s="17">
        <v>0</v>
      </c>
      <c r="G300" s="17">
        <v>0</v>
      </c>
      <c r="H300" s="35"/>
      <c r="I300" s="17">
        <v>1</v>
      </c>
      <c r="J300" s="17">
        <v>0</v>
      </c>
      <c r="K300" s="17">
        <v>0</v>
      </c>
      <c r="L300" s="17">
        <v>0</v>
      </c>
      <c r="M300" s="14" t="s">
        <v>100</v>
      </c>
      <c r="N300" s="14" t="s">
        <v>87</v>
      </c>
      <c r="O300" s="14" t="s">
        <v>57</v>
      </c>
      <c r="P300" s="14"/>
      <c r="Q300" s="36" t="s">
        <v>260</v>
      </c>
    </row>
    <row r="301" spans="1:17" ht="14.4">
      <c r="A301" s="26">
        <v>170</v>
      </c>
      <c r="B301" s="19" t="s">
        <v>330</v>
      </c>
      <c r="C301" s="37">
        <v>45526</v>
      </c>
      <c r="D301" s="22">
        <v>0</v>
      </c>
      <c r="E301" s="22">
        <v>0</v>
      </c>
      <c r="F301" s="22">
        <v>0</v>
      </c>
      <c r="G301" s="22">
        <v>0</v>
      </c>
      <c r="H301" s="38"/>
      <c r="I301" s="22">
        <v>0</v>
      </c>
      <c r="J301" s="22">
        <v>2</v>
      </c>
      <c r="K301" s="22">
        <v>0</v>
      </c>
      <c r="L301" s="22">
        <v>0</v>
      </c>
      <c r="M301" s="19" t="s">
        <v>100</v>
      </c>
      <c r="N301" s="19" t="s">
        <v>87</v>
      </c>
      <c r="O301" s="19" t="s">
        <v>57</v>
      </c>
      <c r="P301" s="19"/>
      <c r="Q301" s="39" t="s">
        <v>263</v>
      </c>
    </row>
    <row r="302" spans="1:17" ht="14.4">
      <c r="A302" s="13">
        <v>170</v>
      </c>
      <c r="B302" s="14" t="s">
        <v>330</v>
      </c>
      <c r="C302" s="34">
        <v>45526</v>
      </c>
      <c r="D302" s="17">
        <v>0</v>
      </c>
      <c r="E302" s="17">
        <v>0</v>
      </c>
      <c r="F302" s="17">
        <v>2</v>
      </c>
      <c r="G302" s="17">
        <v>0</v>
      </c>
      <c r="H302" s="35"/>
      <c r="I302" s="17">
        <v>0</v>
      </c>
      <c r="J302" s="17">
        <v>0</v>
      </c>
      <c r="K302" s="17">
        <v>0</v>
      </c>
      <c r="L302" s="17">
        <v>0</v>
      </c>
      <c r="M302" s="14" t="s">
        <v>100</v>
      </c>
      <c r="N302" s="14" t="s">
        <v>87</v>
      </c>
      <c r="O302" s="14" t="s">
        <v>86</v>
      </c>
      <c r="P302" s="14"/>
      <c r="Q302" s="36" t="s">
        <v>262</v>
      </c>
    </row>
    <row r="303" spans="1:17" ht="14.4">
      <c r="A303" s="26">
        <v>170</v>
      </c>
      <c r="B303" s="19" t="s">
        <v>330</v>
      </c>
      <c r="C303" s="37">
        <v>45526</v>
      </c>
      <c r="D303" s="22">
        <v>3</v>
      </c>
      <c r="E303" s="22">
        <v>0</v>
      </c>
      <c r="F303" s="22">
        <v>0</v>
      </c>
      <c r="G303" s="22">
        <v>0</v>
      </c>
      <c r="H303" s="38"/>
      <c r="I303" s="22">
        <v>0</v>
      </c>
      <c r="J303" s="22">
        <v>0</v>
      </c>
      <c r="K303" s="22">
        <v>0</v>
      </c>
      <c r="L303" s="22">
        <v>0</v>
      </c>
      <c r="M303" s="19" t="s">
        <v>100</v>
      </c>
      <c r="N303" s="19" t="s">
        <v>87</v>
      </c>
      <c r="O303" s="19" t="s">
        <v>86</v>
      </c>
      <c r="P303" s="19"/>
      <c r="Q303" s="39" t="s">
        <v>259</v>
      </c>
    </row>
    <row r="304" spans="1:17" ht="14.4">
      <c r="A304" s="13">
        <v>170</v>
      </c>
      <c r="B304" s="14" t="s">
        <v>330</v>
      </c>
      <c r="C304" s="34">
        <v>45526</v>
      </c>
      <c r="D304" s="17">
        <v>0</v>
      </c>
      <c r="E304" s="17">
        <v>1</v>
      </c>
      <c r="F304" s="17">
        <v>0</v>
      </c>
      <c r="G304" s="17">
        <v>0</v>
      </c>
      <c r="H304" s="16" t="s">
        <v>335</v>
      </c>
      <c r="I304" s="17">
        <v>0</v>
      </c>
      <c r="J304" s="17">
        <v>0</v>
      </c>
      <c r="K304" s="17">
        <v>0</v>
      </c>
      <c r="L304" s="17">
        <v>0</v>
      </c>
      <c r="M304" s="14" t="s">
        <v>100</v>
      </c>
      <c r="N304" s="14" t="s">
        <v>87</v>
      </c>
      <c r="O304" s="14" t="s">
        <v>59</v>
      </c>
      <c r="P304" s="14"/>
      <c r="Q304" s="36" t="s">
        <v>262</v>
      </c>
    </row>
    <row r="305" spans="1:17" ht="14.4">
      <c r="A305" s="26">
        <v>170</v>
      </c>
      <c r="B305" s="19" t="s">
        <v>330</v>
      </c>
      <c r="C305" s="37">
        <v>45526</v>
      </c>
      <c r="D305" s="22">
        <v>6</v>
      </c>
      <c r="E305" s="22">
        <v>0</v>
      </c>
      <c r="F305" s="22">
        <v>0</v>
      </c>
      <c r="G305" s="22">
        <v>0</v>
      </c>
      <c r="H305" s="38"/>
      <c r="I305" s="22">
        <v>0</v>
      </c>
      <c r="J305" s="22">
        <v>0</v>
      </c>
      <c r="K305" s="22">
        <v>0</v>
      </c>
      <c r="L305" s="22">
        <v>0</v>
      </c>
      <c r="M305" s="19" t="s">
        <v>100</v>
      </c>
      <c r="N305" s="19" t="s">
        <v>87</v>
      </c>
      <c r="O305" s="19" t="s">
        <v>59</v>
      </c>
      <c r="P305" s="22">
        <v>2</v>
      </c>
      <c r="Q305" s="39" t="s">
        <v>259</v>
      </c>
    </row>
    <row r="306" spans="1:17" ht="14.4">
      <c r="A306" s="13">
        <v>170</v>
      </c>
      <c r="B306" s="14" t="s">
        <v>330</v>
      </c>
      <c r="C306" s="34">
        <v>45526</v>
      </c>
      <c r="D306" s="17">
        <v>0</v>
      </c>
      <c r="E306" s="17">
        <v>0</v>
      </c>
      <c r="F306" s="17">
        <v>0</v>
      </c>
      <c r="G306" s="17">
        <v>0</v>
      </c>
      <c r="H306" s="35"/>
      <c r="I306" s="17">
        <v>1</v>
      </c>
      <c r="J306" s="17">
        <v>0</v>
      </c>
      <c r="K306" s="17">
        <v>0</v>
      </c>
      <c r="L306" s="17">
        <v>0</v>
      </c>
      <c r="M306" s="14" t="s">
        <v>100</v>
      </c>
      <c r="N306" s="14" t="s">
        <v>87</v>
      </c>
      <c r="O306" s="14" t="s">
        <v>59</v>
      </c>
      <c r="P306" s="14"/>
      <c r="Q306" s="36" t="s">
        <v>260</v>
      </c>
    </row>
    <row r="307" spans="1:17" ht="14.4">
      <c r="A307" s="26">
        <v>170</v>
      </c>
      <c r="B307" s="19" t="s">
        <v>330</v>
      </c>
      <c r="C307" s="37">
        <v>45526</v>
      </c>
      <c r="D307" s="22">
        <v>0</v>
      </c>
      <c r="E307" s="22">
        <v>0</v>
      </c>
      <c r="F307" s="22">
        <v>0</v>
      </c>
      <c r="G307" s="22">
        <v>0</v>
      </c>
      <c r="H307" s="38"/>
      <c r="I307" s="22">
        <v>0</v>
      </c>
      <c r="J307" s="22">
        <v>0</v>
      </c>
      <c r="K307" s="22">
        <v>2</v>
      </c>
      <c r="L307" s="22">
        <v>0</v>
      </c>
      <c r="M307" s="19" t="s">
        <v>100</v>
      </c>
      <c r="N307" s="19" t="s">
        <v>87</v>
      </c>
      <c r="O307" s="19" t="s">
        <v>59</v>
      </c>
      <c r="P307" s="19"/>
      <c r="Q307" s="39" t="s">
        <v>263</v>
      </c>
    </row>
    <row r="308" spans="1:17" ht="14.4">
      <c r="A308" s="13">
        <v>120</v>
      </c>
      <c r="B308" s="14" t="s">
        <v>336</v>
      </c>
      <c r="C308" s="34">
        <v>45526</v>
      </c>
      <c r="D308" s="17">
        <v>0</v>
      </c>
      <c r="E308" s="17">
        <v>1</v>
      </c>
      <c r="F308" s="17">
        <v>0</v>
      </c>
      <c r="G308" s="17">
        <v>0</v>
      </c>
      <c r="H308" s="16" t="s">
        <v>337</v>
      </c>
      <c r="I308" s="17">
        <v>0</v>
      </c>
      <c r="J308" s="17">
        <v>0</v>
      </c>
      <c r="K308" s="17">
        <v>0</v>
      </c>
      <c r="L308" s="17">
        <v>0</v>
      </c>
      <c r="M308" s="14" t="s">
        <v>296</v>
      </c>
      <c r="N308" s="14" t="s">
        <v>91</v>
      </c>
      <c r="O308" s="14" t="s">
        <v>38</v>
      </c>
      <c r="P308" s="14"/>
      <c r="Q308" s="36" t="s">
        <v>262</v>
      </c>
    </row>
    <row r="309" spans="1:17" ht="14.4">
      <c r="A309" s="26">
        <v>120</v>
      </c>
      <c r="B309" s="19" t="s">
        <v>336</v>
      </c>
      <c r="C309" s="37">
        <v>45526</v>
      </c>
      <c r="D309" s="22">
        <v>13</v>
      </c>
      <c r="E309" s="22">
        <v>0</v>
      </c>
      <c r="F309" s="22">
        <v>0</v>
      </c>
      <c r="G309" s="22">
        <v>0</v>
      </c>
      <c r="H309" s="38"/>
      <c r="I309" s="22">
        <v>0</v>
      </c>
      <c r="J309" s="22">
        <v>0</v>
      </c>
      <c r="K309" s="22">
        <v>0</v>
      </c>
      <c r="L309" s="22">
        <v>0</v>
      </c>
      <c r="M309" s="19" t="s">
        <v>296</v>
      </c>
      <c r="N309" s="19" t="s">
        <v>91</v>
      </c>
      <c r="O309" s="19" t="s">
        <v>38</v>
      </c>
      <c r="P309" s="22">
        <v>6</v>
      </c>
      <c r="Q309" s="39" t="s">
        <v>259</v>
      </c>
    </row>
    <row r="310" spans="1:17" ht="14.4">
      <c r="A310" s="13">
        <v>120</v>
      </c>
      <c r="B310" s="14" t="s">
        <v>336</v>
      </c>
      <c r="C310" s="34">
        <v>45526</v>
      </c>
      <c r="D310" s="17">
        <v>0</v>
      </c>
      <c r="E310" s="17">
        <v>0</v>
      </c>
      <c r="F310" s="17">
        <v>0</v>
      </c>
      <c r="G310" s="17">
        <v>0</v>
      </c>
      <c r="H310" s="35"/>
      <c r="I310" s="17">
        <v>2</v>
      </c>
      <c r="J310" s="17">
        <v>0</v>
      </c>
      <c r="K310" s="17">
        <v>0</v>
      </c>
      <c r="L310" s="17">
        <v>0</v>
      </c>
      <c r="M310" s="14" t="s">
        <v>296</v>
      </c>
      <c r="N310" s="14" t="s">
        <v>91</v>
      </c>
      <c r="O310" s="14" t="s">
        <v>38</v>
      </c>
      <c r="P310" s="14"/>
      <c r="Q310" s="36" t="s">
        <v>260</v>
      </c>
    </row>
    <row r="311" spans="1:17" ht="14.4">
      <c r="A311" s="26">
        <v>120</v>
      </c>
      <c r="B311" s="19" t="s">
        <v>336</v>
      </c>
      <c r="C311" s="37">
        <v>45526</v>
      </c>
      <c r="D311" s="22">
        <v>0</v>
      </c>
      <c r="E311" s="22">
        <v>0</v>
      </c>
      <c r="F311" s="22">
        <v>0</v>
      </c>
      <c r="G311" s="22">
        <v>0</v>
      </c>
      <c r="H311" s="38"/>
      <c r="I311" s="22">
        <v>0</v>
      </c>
      <c r="J311" s="22">
        <v>4</v>
      </c>
      <c r="K311" s="22">
        <v>0</v>
      </c>
      <c r="L311" s="22">
        <v>0</v>
      </c>
      <c r="M311" s="19" t="s">
        <v>296</v>
      </c>
      <c r="N311" s="19" t="s">
        <v>91</v>
      </c>
      <c r="O311" s="19" t="s">
        <v>38</v>
      </c>
      <c r="P311" s="19"/>
      <c r="Q311" s="39" t="s">
        <v>263</v>
      </c>
    </row>
    <row r="312" spans="1:17" ht="14.4">
      <c r="A312" s="13">
        <v>120</v>
      </c>
      <c r="B312" s="14" t="s">
        <v>336</v>
      </c>
      <c r="C312" s="34">
        <v>45526</v>
      </c>
      <c r="D312" s="17">
        <v>0</v>
      </c>
      <c r="E312" s="17">
        <v>2</v>
      </c>
      <c r="F312" s="17">
        <v>0</v>
      </c>
      <c r="G312" s="17">
        <v>0</v>
      </c>
      <c r="H312" s="16" t="s">
        <v>338</v>
      </c>
      <c r="I312" s="17">
        <v>0</v>
      </c>
      <c r="J312" s="17">
        <v>0</v>
      </c>
      <c r="K312" s="17">
        <v>0</v>
      </c>
      <c r="L312" s="17">
        <v>0</v>
      </c>
      <c r="M312" s="14" t="s">
        <v>296</v>
      </c>
      <c r="N312" s="14" t="s">
        <v>91</v>
      </c>
      <c r="O312" s="14" t="s">
        <v>44</v>
      </c>
      <c r="P312" s="14"/>
      <c r="Q312" s="36" t="s">
        <v>262</v>
      </c>
    </row>
    <row r="313" spans="1:17" ht="14.4">
      <c r="A313" s="26">
        <v>120</v>
      </c>
      <c r="B313" s="19" t="s">
        <v>336</v>
      </c>
      <c r="C313" s="37">
        <v>45526</v>
      </c>
      <c r="D313" s="22">
        <v>5</v>
      </c>
      <c r="E313" s="22">
        <v>0</v>
      </c>
      <c r="F313" s="22">
        <v>0</v>
      </c>
      <c r="G313" s="22">
        <v>0</v>
      </c>
      <c r="H313" s="38"/>
      <c r="I313" s="22">
        <v>0</v>
      </c>
      <c r="J313" s="22">
        <v>0</v>
      </c>
      <c r="K313" s="22">
        <v>0</v>
      </c>
      <c r="L313" s="22">
        <v>0</v>
      </c>
      <c r="M313" s="19" t="s">
        <v>296</v>
      </c>
      <c r="N313" s="19" t="s">
        <v>91</v>
      </c>
      <c r="O313" s="19" t="s">
        <v>44</v>
      </c>
      <c r="P313" s="22">
        <v>1</v>
      </c>
      <c r="Q313" s="39" t="s">
        <v>259</v>
      </c>
    </row>
    <row r="314" spans="1:17" ht="14.4">
      <c r="A314" s="13">
        <v>120</v>
      </c>
      <c r="B314" s="14" t="s">
        <v>336</v>
      </c>
      <c r="C314" s="34">
        <v>45526</v>
      </c>
      <c r="D314" s="17">
        <v>0</v>
      </c>
      <c r="E314" s="17">
        <v>0</v>
      </c>
      <c r="F314" s="17">
        <v>0</v>
      </c>
      <c r="G314" s="17">
        <v>0</v>
      </c>
      <c r="H314" s="35"/>
      <c r="I314" s="17">
        <v>1</v>
      </c>
      <c r="J314" s="17">
        <v>0</v>
      </c>
      <c r="K314" s="17">
        <v>0</v>
      </c>
      <c r="L314" s="17">
        <v>0</v>
      </c>
      <c r="M314" s="14" t="s">
        <v>296</v>
      </c>
      <c r="N314" s="14" t="s">
        <v>91</v>
      </c>
      <c r="O314" s="14" t="s">
        <v>44</v>
      </c>
      <c r="P314" s="14"/>
      <c r="Q314" s="36" t="s">
        <v>260</v>
      </c>
    </row>
    <row r="315" spans="1:17" ht="14.4">
      <c r="A315" s="26">
        <v>120</v>
      </c>
      <c r="B315" s="19" t="s">
        <v>336</v>
      </c>
      <c r="C315" s="37">
        <v>45526</v>
      </c>
      <c r="D315" s="22">
        <v>0</v>
      </c>
      <c r="E315" s="22">
        <v>0</v>
      </c>
      <c r="F315" s="22">
        <v>0</v>
      </c>
      <c r="G315" s="22">
        <v>0</v>
      </c>
      <c r="H315" s="38"/>
      <c r="I315" s="22">
        <v>0</v>
      </c>
      <c r="J315" s="22">
        <v>1</v>
      </c>
      <c r="K315" s="22">
        <v>1</v>
      </c>
      <c r="L315" s="22">
        <v>0</v>
      </c>
      <c r="M315" s="19" t="s">
        <v>296</v>
      </c>
      <c r="N315" s="19" t="s">
        <v>91</v>
      </c>
      <c r="O315" s="19" t="s">
        <v>44</v>
      </c>
      <c r="P315" s="19"/>
      <c r="Q315" s="39" t="s">
        <v>263</v>
      </c>
    </row>
    <row r="316" spans="1:17" ht="14.4">
      <c r="A316" s="13">
        <v>120</v>
      </c>
      <c r="B316" s="14" t="s">
        <v>336</v>
      </c>
      <c r="C316" s="34">
        <v>45526</v>
      </c>
      <c r="D316" s="17">
        <v>4</v>
      </c>
      <c r="E316" s="17">
        <v>0</v>
      </c>
      <c r="F316" s="17">
        <v>0</v>
      </c>
      <c r="G316" s="17">
        <v>0</v>
      </c>
      <c r="H316" s="35"/>
      <c r="I316" s="17">
        <v>0</v>
      </c>
      <c r="J316" s="17">
        <v>0</v>
      </c>
      <c r="K316" s="17">
        <v>0</v>
      </c>
      <c r="L316" s="17">
        <v>0</v>
      </c>
      <c r="M316" s="14" t="s">
        <v>296</v>
      </c>
      <c r="N316" s="14" t="s">
        <v>91</v>
      </c>
      <c r="O316" s="14" t="s">
        <v>47</v>
      </c>
      <c r="P316" s="17">
        <v>3</v>
      </c>
      <c r="Q316" s="36" t="s">
        <v>259</v>
      </c>
    </row>
    <row r="317" spans="1:17" ht="14.4">
      <c r="A317" s="26">
        <v>120</v>
      </c>
      <c r="B317" s="19" t="s">
        <v>336</v>
      </c>
      <c r="C317" s="37">
        <v>45526</v>
      </c>
      <c r="D317" s="22">
        <v>0</v>
      </c>
      <c r="E317" s="22">
        <v>0</v>
      </c>
      <c r="F317" s="22">
        <v>0</v>
      </c>
      <c r="G317" s="22">
        <v>0</v>
      </c>
      <c r="H317" s="38"/>
      <c r="I317" s="22">
        <v>1</v>
      </c>
      <c r="J317" s="22">
        <v>0</v>
      </c>
      <c r="K317" s="22">
        <v>0</v>
      </c>
      <c r="L317" s="22">
        <v>0</v>
      </c>
      <c r="M317" s="19" t="s">
        <v>296</v>
      </c>
      <c r="N317" s="19" t="s">
        <v>91</v>
      </c>
      <c r="O317" s="19" t="s">
        <v>47</v>
      </c>
      <c r="P317" s="19"/>
      <c r="Q317" s="39" t="s">
        <v>260</v>
      </c>
    </row>
    <row r="318" spans="1:17" ht="14.4">
      <c r="A318" s="13">
        <v>120</v>
      </c>
      <c r="B318" s="14" t="s">
        <v>336</v>
      </c>
      <c r="C318" s="34">
        <v>45526</v>
      </c>
      <c r="D318" s="17">
        <v>0</v>
      </c>
      <c r="E318" s="17">
        <v>0</v>
      </c>
      <c r="F318" s="17">
        <v>0</v>
      </c>
      <c r="G318" s="17">
        <v>0</v>
      </c>
      <c r="H318" s="35"/>
      <c r="I318" s="17">
        <v>0</v>
      </c>
      <c r="J318" s="17">
        <v>2</v>
      </c>
      <c r="K318" s="17">
        <v>0</v>
      </c>
      <c r="L318" s="17">
        <v>0</v>
      </c>
      <c r="M318" s="14" t="s">
        <v>296</v>
      </c>
      <c r="N318" s="14" t="s">
        <v>91</v>
      </c>
      <c r="O318" s="14" t="s">
        <v>47</v>
      </c>
      <c r="P318" s="14"/>
      <c r="Q318" s="36" t="s">
        <v>263</v>
      </c>
    </row>
    <row r="319" spans="1:17" ht="14.4">
      <c r="A319" s="26">
        <v>120</v>
      </c>
      <c r="B319" s="19" t="s">
        <v>336</v>
      </c>
      <c r="C319" s="37">
        <v>45526</v>
      </c>
      <c r="D319" s="22">
        <v>3</v>
      </c>
      <c r="E319" s="22">
        <v>0</v>
      </c>
      <c r="F319" s="22">
        <v>0</v>
      </c>
      <c r="G319" s="22">
        <v>0</v>
      </c>
      <c r="H319" s="38"/>
      <c r="I319" s="22">
        <v>0</v>
      </c>
      <c r="J319" s="22">
        <v>0</v>
      </c>
      <c r="K319" s="22">
        <v>0</v>
      </c>
      <c r="L319" s="22">
        <v>0</v>
      </c>
      <c r="M319" s="19" t="s">
        <v>296</v>
      </c>
      <c r="N319" s="19" t="s">
        <v>91</v>
      </c>
      <c r="O319" s="19" t="s">
        <v>90</v>
      </c>
      <c r="P319" s="22">
        <v>1</v>
      </c>
      <c r="Q319" s="39" t="s">
        <v>259</v>
      </c>
    </row>
    <row r="320" spans="1:17" ht="14.4">
      <c r="A320" s="13">
        <v>120</v>
      </c>
      <c r="B320" s="14" t="s">
        <v>336</v>
      </c>
      <c r="C320" s="34">
        <v>45526</v>
      </c>
      <c r="D320" s="17">
        <v>0</v>
      </c>
      <c r="E320" s="17">
        <v>0</v>
      </c>
      <c r="F320" s="17">
        <v>0</v>
      </c>
      <c r="G320" s="17">
        <v>0</v>
      </c>
      <c r="H320" s="35"/>
      <c r="I320" s="17">
        <v>2</v>
      </c>
      <c r="J320" s="17">
        <v>0</v>
      </c>
      <c r="K320" s="17">
        <v>0</v>
      </c>
      <c r="L320" s="17">
        <v>0</v>
      </c>
      <c r="M320" s="14" t="s">
        <v>296</v>
      </c>
      <c r="N320" s="14" t="s">
        <v>91</v>
      </c>
      <c r="O320" s="14" t="s">
        <v>90</v>
      </c>
      <c r="P320" s="14"/>
      <c r="Q320" s="36" t="s">
        <v>260</v>
      </c>
    </row>
    <row r="321" spans="1:17" ht="14.4">
      <c r="A321" s="26">
        <v>120</v>
      </c>
      <c r="B321" s="19" t="s">
        <v>336</v>
      </c>
      <c r="C321" s="37">
        <v>45526</v>
      </c>
      <c r="D321" s="22">
        <v>0</v>
      </c>
      <c r="E321" s="22">
        <v>0</v>
      </c>
      <c r="F321" s="22">
        <v>0</v>
      </c>
      <c r="G321" s="22">
        <v>0</v>
      </c>
      <c r="H321" s="38"/>
      <c r="I321" s="22">
        <v>0</v>
      </c>
      <c r="J321" s="22">
        <v>0</v>
      </c>
      <c r="K321" s="22">
        <v>0</v>
      </c>
      <c r="L321" s="22">
        <v>1</v>
      </c>
      <c r="M321" s="19" t="s">
        <v>296</v>
      </c>
      <c r="N321" s="19" t="s">
        <v>87</v>
      </c>
      <c r="O321" s="19" t="s">
        <v>37</v>
      </c>
      <c r="P321" s="19"/>
      <c r="Q321" s="39" t="s">
        <v>284</v>
      </c>
    </row>
    <row r="322" spans="1:17" ht="14.4">
      <c r="A322" s="13">
        <v>120</v>
      </c>
      <c r="B322" s="14" t="s">
        <v>336</v>
      </c>
      <c r="C322" s="34">
        <v>45526</v>
      </c>
      <c r="D322" s="17">
        <v>0</v>
      </c>
      <c r="E322" s="17">
        <v>1</v>
      </c>
      <c r="F322" s="17">
        <v>0</v>
      </c>
      <c r="G322" s="17">
        <v>0</v>
      </c>
      <c r="H322" s="16" t="s">
        <v>272</v>
      </c>
      <c r="I322" s="17">
        <v>0</v>
      </c>
      <c r="J322" s="17">
        <v>0</v>
      </c>
      <c r="K322" s="17">
        <v>0</v>
      </c>
      <c r="L322" s="17">
        <v>0</v>
      </c>
      <c r="M322" s="14" t="s">
        <v>296</v>
      </c>
      <c r="N322" s="14" t="s">
        <v>87</v>
      </c>
      <c r="O322" s="14" t="s">
        <v>37</v>
      </c>
      <c r="P322" s="14"/>
      <c r="Q322" s="36" t="s">
        <v>262</v>
      </c>
    </row>
    <row r="323" spans="1:17" ht="14.4">
      <c r="A323" s="26">
        <v>120</v>
      </c>
      <c r="B323" s="19" t="s">
        <v>336</v>
      </c>
      <c r="C323" s="37">
        <v>45526</v>
      </c>
      <c r="D323" s="22">
        <v>1</v>
      </c>
      <c r="E323" s="22">
        <v>0</v>
      </c>
      <c r="F323" s="22">
        <v>0</v>
      </c>
      <c r="G323" s="22">
        <v>0</v>
      </c>
      <c r="H323" s="38"/>
      <c r="I323" s="22">
        <v>0</v>
      </c>
      <c r="J323" s="22">
        <v>0</v>
      </c>
      <c r="K323" s="22">
        <v>0</v>
      </c>
      <c r="L323" s="22">
        <v>0</v>
      </c>
      <c r="M323" s="19" t="s">
        <v>296</v>
      </c>
      <c r="N323" s="19" t="s">
        <v>87</v>
      </c>
      <c r="O323" s="19" t="s">
        <v>37</v>
      </c>
      <c r="P323" s="22">
        <v>1</v>
      </c>
      <c r="Q323" s="39" t="s">
        <v>259</v>
      </c>
    </row>
    <row r="324" spans="1:17" ht="14.4">
      <c r="A324" s="13">
        <v>120</v>
      </c>
      <c r="B324" s="14" t="s">
        <v>336</v>
      </c>
      <c r="C324" s="34">
        <v>45526</v>
      </c>
      <c r="D324" s="17">
        <v>0</v>
      </c>
      <c r="E324" s="17">
        <v>0</v>
      </c>
      <c r="F324" s="17">
        <v>0</v>
      </c>
      <c r="G324" s="17">
        <v>0</v>
      </c>
      <c r="H324" s="35"/>
      <c r="I324" s="17">
        <v>0</v>
      </c>
      <c r="J324" s="17">
        <v>1</v>
      </c>
      <c r="K324" s="17">
        <v>0</v>
      </c>
      <c r="L324" s="17">
        <v>0</v>
      </c>
      <c r="M324" s="14" t="s">
        <v>296</v>
      </c>
      <c r="N324" s="14" t="s">
        <v>87</v>
      </c>
      <c r="O324" s="14" t="s">
        <v>37</v>
      </c>
      <c r="P324" s="14"/>
      <c r="Q324" s="36" t="s">
        <v>263</v>
      </c>
    </row>
    <row r="325" spans="1:17" ht="14.4">
      <c r="A325" s="26">
        <v>120</v>
      </c>
      <c r="B325" s="19" t="s">
        <v>336</v>
      </c>
      <c r="C325" s="37">
        <v>45526</v>
      </c>
      <c r="D325" s="22">
        <v>0</v>
      </c>
      <c r="E325" s="22">
        <v>1</v>
      </c>
      <c r="F325" s="22">
        <v>1</v>
      </c>
      <c r="G325" s="22">
        <v>0</v>
      </c>
      <c r="H325" s="21" t="s">
        <v>275</v>
      </c>
      <c r="I325" s="22">
        <v>0</v>
      </c>
      <c r="J325" s="22">
        <v>0</v>
      </c>
      <c r="K325" s="22">
        <v>0</v>
      </c>
      <c r="L325" s="22">
        <v>0</v>
      </c>
      <c r="M325" s="19" t="s">
        <v>296</v>
      </c>
      <c r="N325" s="19" t="s">
        <v>87</v>
      </c>
      <c r="O325" s="19" t="s">
        <v>43</v>
      </c>
      <c r="P325" s="19"/>
      <c r="Q325" s="39" t="s">
        <v>262</v>
      </c>
    </row>
    <row r="326" spans="1:17" ht="14.4">
      <c r="A326" s="13">
        <v>120</v>
      </c>
      <c r="B326" s="14" t="s">
        <v>336</v>
      </c>
      <c r="C326" s="34">
        <v>45526</v>
      </c>
      <c r="D326" s="17">
        <v>11</v>
      </c>
      <c r="E326" s="17">
        <v>0</v>
      </c>
      <c r="F326" s="17">
        <v>0</v>
      </c>
      <c r="G326" s="17">
        <v>0</v>
      </c>
      <c r="H326" s="35"/>
      <c r="I326" s="17">
        <v>0</v>
      </c>
      <c r="J326" s="17">
        <v>0</v>
      </c>
      <c r="K326" s="17">
        <v>0</v>
      </c>
      <c r="L326" s="17">
        <v>0</v>
      </c>
      <c r="M326" s="14" t="s">
        <v>296</v>
      </c>
      <c r="N326" s="14" t="s">
        <v>87</v>
      </c>
      <c r="O326" s="14" t="s">
        <v>43</v>
      </c>
      <c r="P326" s="17">
        <v>4</v>
      </c>
      <c r="Q326" s="36" t="s">
        <v>259</v>
      </c>
    </row>
    <row r="327" spans="1:17" ht="14.4">
      <c r="A327" s="26">
        <v>120</v>
      </c>
      <c r="B327" s="19" t="s">
        <v>336</v>
      </c>
      <c r="C327" s="37">
        <v>45526</v>
      </c>
      <c r="D327" s="22">
        <v>0</v>
      </c>
      <c r="E327" s="22">
        <v>2</v>
      </c>
      <c r="F327" s="22">
        <v>0</v>
      </c>
      <c r="G327" s="22">
        <v>0</v>
      </c>
      <c r="H327" s="21" t="s">
        <v>339</v>
      </c>
      <c r="I327" s="22">
        <v>0</v>
      </c>
      <c r="J327" s="22">
        <v>0</v>
      </c>
      <c r="K327" s="22">
        <v>0</v>
      </c>
      <c r="L327" s="22">
        <v>0</v>
      </c>
      <c r="M327" s="19" t="s">
        <v>296</v>
      </c>
      <c r="N327" s="19" t="s">
        <v>87</v>
      </c>
      <c r="O327" s="19" t="s">
        <v>46</v>
      </c>
      <c r="P327" s="19"/>
      <c r="Q327" s="39" t="s">
        <v>262</v>
      </c>
    </row>
    <row r="328" spans="1:17" ht="14.4">
      <c r="A328" s="13">
        <v>120</v>
      </c>
      <c r="B328" s="14" t="s">
        <v>336</v>
      </c>
      <c r="C328" s="34">
        <v>45526</v>
      </c>
      <c r="D328" s="17">
        <v>1</v>
      </c>
      <c r="E328" s="17">
        <v>0</v>
      </c>
      <c r="F328" s="17">
        <v>0</v>
      </c>
      <c r="G328" s="17">
        <v>0</v>
      </c>
      <c r="H328" s="35"/>
      <c r="I328" s="17">
        <v>0</v>
      </c>
      <c r="J328" s="17">
        <v>0</v>
      </c>
      <c r="K328" s="17">
        <v>0</v>
      </c>
      <c r="L328" s="17">
        <v>0</v>
      </c>
      <c r="M328" s="14" t="s">
        <v>296</v>
      </c>
      <c r="N328" s="14" t="s">
        <v>87</v>
      </c>
      <c r="O328" s="14" t="s">
        <v>46</v>
      </c>
      <c r="P328" s="17">
        <v>1</v>
      </c>
      <c r="Q328" s="36" t="s">
        <v>259</v>
      </c>
    </row>
    <row r="329" spans="1:17" ht="14.4">
      <c r="A329" s="26">
        <v>120</v>
      </c>
      <c r="B329" s="19" t="s">
        <v>336</v>
      </c>
      <c r="C329" s="37">
        <v>45526</v>
      </c>
      <c r="D329" s="22">
        <v>0</v>
      </c>
      <c r="E329" s="22">
        <v>0</v>
      </c>
      <c r="F329" s="22">
        <v>0</v>
      </c>
      <c r="G329" s="22">
        <v>0</v>
      </c>
      <c r="H329" s="38"/>
      <c r="I329" s="22">
        <v>0</v>
      </c>
      <c r="J329" s="22">
        <v>0</v>
      </c>
      <c r="K329" s="22">
        <v>4</v>
      </c>
      <c r="L329" s="22">
        <v>0</v>
      </c>
      <c r="M329" s="19" t="s">
        <v>296</v>
      </c>
      <c r="N329" s="19" t="s">
        <v>87</v>
      </c>
      <c r="O329" s="19" t="s">
        <v>46</v>
      </c>
      <c r="P329" s="19"/>
      <c r="Q329" s="39" t="s">
        <v>263</v>
      </c>
    </row>
    <row r="330" spans="1:17" ht="14.4">
      <c r="A330" s="13">
        <v>120</v>
      </c>
      <c r="B330" s="14" t="s">
        <v>336</v>
      </c>
      <c r="C330" s="34">
        <v>45526</v>
      </c>
      <c r="D330" s="17">
        <v>0</v>
      </c>
      <c r="E330" s="17">
        <v>1</v>
      </c>
      <c r="F330" s="17">
        <v>0</v>
      </c>
      <c r="G330" s="17">
        <v>1</v>
      </c>
      <c r="H330" s="16" t="s">
        <v>340</v>
      </c>
      <c r="I330" s="17">
        <v>0</v>
      </c>
      <c r="J330" s="17">
        <v>0</v>
      </c>
      <c r="K330" s="17">
        <v>0</v>
      </c>
      <c r="L330" s="17">
        <v>0</v>
      </c>
      <c r="M330" s="14" t="s">
        <v>296</v>
      </c>
      <c r="N330" s="14" t="s">
        <v>87</v>
      </c>
      <c r="O330" s="14" t="s">
        <v>60</v>
      </c>
      <c r="P330" s="14"/>
      <c r="Q330" s="36" t="s">
        <v>262</v>
      </c>
    </row>
    <row r="331" spans="1:17" ht="14.4">
      <c r="A331" s="26">
        <v>120</v>
      </c>
      <c r="B331" s="19" t="s">
        <v>336</v>
      </c>
      <c r="C331" s="37">
        <v>45526</v>
      </c>
      <c r="D331" s="22">
        <v>2</v>
      </c>
      <c r="E331" s="22">
        <v>0</v>
      </c>
      <c r="F331" s="22">
        <v>0</v>
      </c>
      <c r="G331" s="22">
        <v>0</v>
      </c>
      <c r="H331" s="38"/>
      <c r="I331" s="22">
        <v>0</v>
      </c>
      <c r="J331" s="22">
        <v>0</v>
      </c>
      <c r="K331" s="22">
        <v>0</v>
      </c>
      <c r="L331" s="22">
        <v>0</v>
      </c>
      <c r="M331" s="19" t="s">
        <v>296</v>
      </c>
      <c r="N331" s="19" t="s">
        <v>87</v>
      </c>
      <c r="O331" s="19" t="s">
        <v>60</v>
      </c>
      <c r="P331" s="22">
        <v>1</v>
      </c>
      <c r="Q331" s="39" t="s">
        <v>259</v>
      </c>
    </row>
    <row r="332" spans="1:17" ht="14.4">
      <c r="A332" s="13">
        <v>120</v>
      </c>
      <c r="B332" s="14" t="s">
        <v>336</v>
      </c>
      <c r="C332" s="34">
        <v>45526</v>
      </c>
      <c r="D332" s="17">
        <v>0</v>
      </c>
      <c r="E332" s="17">
        <v>0</v>
      </c>
      <c r="F332" s="17">
        <v>0</v>
      </c>
      <c r="G332" s="17">
        <v>0</v>
      </c>
      <c r="H332" s="35"/>
      <c r="I332" s="17">
        <v>1</v>
      </c>
      <c r="J332" s="17">
        <v>0</v>
      </c>
      <c r="K332" s="17">
        <v>0</v>
      </c>
      <c r="L332" s="17">
        <v>0</v>
      </c>
      <c r="M332" s="14" t="s">
        <v>296</v>
      </c>
      <c r="N332" s="14" t="s">
        <v>87</v>
      </c>
      <c r="O332" s="14" t="s">
        <v>60</v>
      </c>
      <c r="P332" s="14"/>
      <c r="Q332" s="36" t="s">
        <v>260</v>
      </c>
    </row>
    <row r="333" spans="1:17" ht="14.4">
      <c r="A333" s="26">
        <v>120</v>
      </c>
      <c r="B333" s="19" t="s">
        <v>336</v>
      </c>
      <c r="C333" s="37">
        <v>45526</v>
      </c>
      <c r="D333" s="22">
        <v>0</v>
      </c>
      <c r="E333" s="22">
        <v>0</v>
      </c>
      <c r="F333" s="22">
        <v>0</v>
      </c>
      <c r="G333" s="22">
        <v>0</v>
      </c>
      <c r="H333" s="38"/>
      <c r="I333" s="22">
        <v>0</v>
      </c>
      <c r="J333" s="22">
        <v>0</v>
      </c>
      <c r="K333" s="22">
        <v>1</v>
      </c>
      <c r="L333" s="22">
        <v>0</v>
      </c>
      <c r="M333" s="19" t="s">
        <v>296</v>
      </c>
      <c r="N333" s="19" t="s">
        <v>87</v>
      </c>
      <c r="O333" s="19" t="s">
        <v>60</v>
      </c>
      <c r="P333" s="19"/>
      <c r="Q333" s="39" t="s">
        <v>263</v>
      </c>
    </row>
    <row r="334" spans="1:17" ht="14.4">
      <c r="A334" s="13">
        <v>120</v>
      </c>
      <c r="B334" s="14" t="s">
        <v>336</v>
      </c>
      <c r="C334" s="34">
        <v>45526</v>
      </c>
      <c r="D334" s="17">
        <v>0</v>
      </c>
      <c r="E334" s="17">
        <v>0</v>
      </c>
      <c r="F334" s="17">
        <v>0</v>
      </c>
      <c r="G334" s="17">
        <v>1</v>
      </c>
      <c r="H334" s="35"/>
      <c r="I334" s="17">
        <v>0</v>
      </c>
      <c r="J334" s="17">
        <v>0</v>
      </c>
      <c r="K334" s="17">
        <v>0</v>
      </c>
      <c r="L334" s="17">
        <v>0</v>
      </c>
      <c r="M334" s="14" t="s">
        <v>296</v>
      </c>
      <c r="N334" s="14" t="s">
        <v>87</v>
      </c>
      <c r="O334" s="14" t="s">
        <v>51</v>
      </c>
      <c r="P334" s="14"/>
      <c r="Q334" s="36" t="s">
        <v>262</v>
      </c>
    </row>
    <row r="335" spans="1:17" ht="14.4">
      <c r="A335" s="26">
        <v>120</v>
      </c>
      <c r="B335" s="19" t="s">
        <v>336</v>
      </c>
      <c r="C335" s="37">
        <v>45526</v>
      </c>
      <c r="D335" s="22">
        <v>0</v>
      </c>
      <c r="E335" s="22">
        <v>0</v>
      </c>
      <c r="F335" s="22">
        <v>0</v>
      </c>
      <c r="G335" s="22">
        <v>0</v>
      </c>
      <c r="H335" s="38"/>
      <c r="I335" s="22">
        <v>0</v>
      </c>
      <c r="J335" s="22">
        <v>2</v>
      </c>
      <c r="K335" s="22">
        <v>1</v>
      </c>
      <c r="L335" s="22">
        <v>0</v>
      </c>
      <c r="M335" s="19" t="s">
        <v>296</v>
      </c>
      <c r="N335" s="19" t="s">
        <v>87</v>
      </c>
      <c r="O335" s="19" t="s">
        <v>51</v>
      </c>
      <c r="P335" s="19"/>
      <c r="Q335" s="39" t="s">
        <v>263</v>
      </c>
    </row>
    <row r="336" spans="1:17" ht="14.4">
      <c r="A336" s="13">
        <v>120</v>
      </c>
      <c r="B336" s="14" t="s">
        <v>336</v>
      </c>
      <c r="C336" s="34">
        <v>45526</v>
      </c>
      <c r="D336" s="17">
        <v>5</v>
      </c>
      <c r="E336" s="17">
        <v>0</v>
      </c>
      <c r="F336" s="17">
        <v>0</v>
      </c>
      <c r="G336" s="17">
        <v>0</v>
      </c>
      <c r="H336" s="35"/>
      <c r="I336" s="17">
        <v>0</v>
      </c>
      <c r="J336" s="17">
        <v>0</v>
      </c>
      <c r="K336" s="17">
        <v>0</v>
      </c>
      <c r="L336" s="17">
        <v>0</v>
      </c>
      <c r="M336" s="14" t="s">
        <v>296</v>
      </c>
      <c r="N336" s="14" t="s">
        <v>87</v>
      </c>
      <c r="O336" s="14" t="s">
        <v>98</v>
      </c>
      <c r="P336" s="17">
        <v>3</v>
      </c>
      <c r="Q336" s="36" t="s">
        <v>259</v>
      </c>
    </row>
    <row r="337" spans="1:17" ht="14.4">
      <c r="A337" s="26">
        <v>120</v>
      </c>
      <c r="B337" s="19" t="s">
        <v>336</v>
      </c>
      <c r="C337" s="37">
        <v>45526</v>
      </c>
      <c r="D337" s="22">
        <v>0</v>
      </c>
      <c r="E337" s="22">
        <v>0</v>
      </c>
      <c r="F337" s="22">
        <v>0</v>
      </c>
      <c r="G337" s="22">
        <v>0</v>
      </c>
      <c r="H337" s="38"/>
      <c r="I337" s="22">
        <v>2</v>
      </c>
      <c r="J337" s="22">
        <v>0</v>
      </c>
      <c r="K337" s="22">
        <v>0</v>
      </c>
      <c r="L337" s="22">
        <v>0</v>
      </c>
      <c r="M337" s="19" t="s">
        <v>296</v>
      </c>
      <c r="N337" s="19" t="s">
        <v>87</v>
      </c>
      <c r="O337" s="19" t="s">
        <v>98</v>
      </c>
      <c r="P337" s="19"/>
      <c r="Q337" s="39" t="s">
        <v>260</v>
      </c>
    </row>
    <row r="338" spans="1:17" ht="14.4">
      <c r="A338" s="13">
        <v>120</v>
      </c>
      <c r="B338" s="14" t="s">
        <v>336</v>
      </c>
      <c r="C338" s="34">
        <v>45526</v>
      </c>
      <c r="D338" s="17">
        <v>0</v>
      </c>
      <c r="E338" s="17">
        <v>1</v>
      </c>
      <c r="F338" s="17">
        <v>0</v>
      </c>
      <c r="G338" s="17">
        <v>0</v>
      </c>
      <c r="H338" s="16" t="s">
        <v>341</v>
      </c>
      <c r="I338" s="17">
        <v>0</v>
      </c>
      <c r="J338" s="17">
        <v>0</v>
      </c>
      <c r="K338" s="17">
        <v>0</v>
      </c>
      <c r="L338" s="17">
        <v>0</v>
      </c>
      <c r="M338" s="14" t="s">
        <v>296</v>
      </c>
      <c r="N338" s="14" t="s">
        <v>87</v>
      </c>
      <c r="O338" s="14" t="s">
        <v>57</v>
      </c>
      <c r="P338" s="14"/>
      <c r="Q338" s="36" t="s">
        <v>262</v>
      </c>
    </row>
    <row r="339" spans="1:17" ht="14.4">
      <c r="A339" s="26">
        <v>120</v>
      </c>
      <c r="B339" s="19" t="s">
        <v>336</v>
      </c>
      <c r="C339" s="37">
        <v>45526</v>
      </c>
      <c r="D339" s="22">
        <v>10</v>
      </c>
      <c r="E339" s="22">
        <v>0</v>
      </c>
      <c r="F339" s="22">
        <v>0</v>
      </c>
      <c r="G339" s="22">
        <v>0</v>
      </c>
      <c r="H339" s="38"/>
      <c r="I339" s="22">
        <v>0</v>
      </c>
      <c r="J339" s="22">
        <v>0</v>
      </c>
      <c r="K339" s="22">
        <v>0</v>
      </c>
      <c r="L339" s="22">
        <v>0</v>
      </c>
      <c r="M339" s="19" t="s">
        <v>296</v>
      </c>
      <c r="N339" s="19" t="s">
        <v>87</v>
      </c>
      <c r="O339" s="19" t="s">
        <v>57</v>
      </c>
      <c r="P339" s="22">
        <v>9</v>
      </c>
      <c r="Q339" s="39" t="s">
        <v>259</v>
      </c>
    </row>
    <row r="340" spans="1:17" ht="14.4">
      <c r="A340" s="13">
        <v>120</v>
      </c>
      <c r="B340" s="14" t="s">
        <v>336</v>
      </c>
      <c r="C340" s="34">
        <v>45526</v>
      </c>
      <c r="D340" s="17">
        <v>0</v>
      </c>
      <c r="E340" s="17">
        <v>0</v>
      </c>
      <c r="F340" s="17">
        <v>0</v>
      </c>
      <c r="G340" s="17">
        <v>0</v>
      </c>
      <c r="H340" s="35"/>
      <c r="I340" s="17">
        <v>2</v>
      </c>
      <c r="J340" s="17">
        <v>0</v>
      </c>
      <c r="K340" s="17">
        <v>0</v>
      </c>
      <c r="L340" s="17">
        <v>0</v>
      </c>
      <c r="M340" s="14" t="s">
        <v>296</v>
      </c>
      <c r="N340" s="14" t="s">
        <v>87</v>
      </c>
      <c r="O340" s="14" t="s">
        <v>57</v>
      </c>
      <c r="P340" s="14"/>
      <c r="Q340" s="36" t="s">
        <v>260</v>
      </c>
    </row>
    <row r="341" spans="1:17" ht="14.4">
      <c r="A341" s="26">
        <v>120</v>
      </c>
      <c r="B341" s="19" t="s">
        <v>336</v>
      </c>
      <c r="C341" s="37">
        <v>45526</v>
      </c>
      <c r="D341" s="22">
        <v>0</v>
      </c>
      <c r="E341" s="22">
        <v>0</v>
      </c>
      <c r="F341" s="22">
        <v>0</v>
      </c>
      <c r="G341" s="22">
        <v>0</v>
      </c>
      <c r="H341" s="38"/>
      <c r="I341" s="22">
        <v>0</v>
      </c>
      <c r="J341" s="22">
        <v>5</v>
      </c>
      <c r="K341" s="22">
        <v>0</v>
      </c>
      <c r="L341" s="22">
        <v>0</v>
      </c>
      <c r="M341" s="19" t="s">
        <v>296</v>
      </c>
      <c r="N341" s="19" t="s">
        <v>87</v>
      </c>
      <c r="O341" s="19" t="s">
        <v>57</v>
      </c>
      <c r="P341" s="19"/>
      <c r="Q341" s="39" t="s">
        <v>263</v>
      </c>
    </row>
    <row r="342" spans="1:17" ht="14.4">
      <c r="A342" s="13">
        <v>120</v>
      </c>
      <c r="B342" s="14" t="s">
        <v>336</v>
      </c>
      <c r="C342" s="34">
        <v>45526</v>
      </c>
      <c r="D342" s="17">
        <v>0</v>
      </c>
      <c r="E342" s="17">
        <v>1</v>
      </c>
      <c r="F342" s="17">
        <v>0</v>
      </c>
      <c r="G342" s="17">
        <v>0</v>
      </c>
      <c r="H342" s="16" t="s">
        <v>342</v>
      </c>
      <c r="I342" s="17">
        <v>0</v>
      </c>
      <c r="J342" s="17">
        <v>0</v>
      </c>
      <c r="K342" s="17">
        <v>0</v>
      </c>
      <c r="L342" s="17">
        <v>0</v>
      </c>
      <c r="M342" s="14" t="s">
        <v>296</v>
      </c>
      <c r="N342" s="14" t="s">
        <v>87</v>
      </c>
      <c r="O342" s="14" t="s">
        <v>86</v>
      </c>
      <c r="P342" s="14"/>
      <c r="Q342" s="36" t="s">
        <v>262</v>
      </c>
    </row>
    <row r="343" spans="1:17" ht="14.4">
      <c r="A343" s="26">
        <v>120</v>
      </c>
      <c r="B343" s="19" t="s">
        <v>336</v>
      </c>
      <c r="C343" s="37">
        <v>45526</v>
      </c>
      <c r="D343" s="22">
        <v>1</v>
      </c>
      <c r="E343" s="22">
        <v>0</v>
      </c>
      <c r="F343" s="22">
        <v>0</v>
      </c>
      <c r="G343" s="22">
        <v>0</v>
      </c>
      <c r="H343" s="38"/>
      <c r="I343" s="22">
        <v>0</v>
      </c>
      <c r="J343" s="22">
        <v>0</v>
      </c>
      <c r="K343" s="22">
        <v>0</v>
      </c>
      <c r="L343" s="22">
        <v>0</v>
      </c>
      <c r="M343" s="19" t="s">
        <v>296</v>
      </c>
      <c r="N343" s="19" t="s">
        <v>87</v>
      </c>
      <c r="O343" s="19" t="s">
        <v>86</v>
      </c>
      <c r="P343" s="19"/>
      <c r="Q343" s="39" t="s">
        <v>259</v>
      </c>
    </row>
    <row r="344" spans="1:17" ht="14.4">
      <c r="A344" s="13">
        <v>120</v>
      </c>
      <c r="B344" s="14" t="s">
        <v>336</v>
      </c>
      <c r="C344" s="34">
        <v>45526</v>
      </c>
      <c r="D344" s="17">
        <v>0</v>
      </c>
      <c r="E344" s="17">
        <v>1</v>
      </c>
      <c r="F344" s="17">
        <v>0</v>
      </c>
      <c r="G344" s="17">
        <v>0</v>
      </c>
      <c r="H344" s="16" t="s">
        <v>329</v>
      </c>
      <c r="I344" s="17">
        <v>0</v>
      </c>
      <c r="J344" s="17">
        <v>0</v>
      </c>
      <c r="K344" s="17">
        <v>0</v>
      </c>
      <c r="L344" s="17">
        <v>0</v>
      </c>
      <c r="M344" s="14" t="s">
        <v>296</v>
      </c>
      <c r="N344" s="14" t="s">
        <v>87</v>
      </c>
      <c r="O344" s="14" t="s">
        <v>59</v>
      </c>
      <c r="P344" s="14"/>
      <c r="Q344" s="36" t="s">
        <v>262</v>
      </c>
    </row>
    <row r="345" spans="1:17" ht="14.4">
      <c r="A345" s="26">
        <v>120</v>
      </c>
      <c r="B345" s="19" t="s">
        <v>336</v>
      </c>
      <c r="C345" s="37">
        <v>45526</v>
      </c>
      <c r="D345" s="22">
        <v>10</v>
      </c>
      <c r="E345" s="22">
        <v>0</v>
      </c>
      <c r="F345" s="22">
        <v>0</v>
      </c>
      <c r="G345" s="22">
        <v>0</v>
      </c>
      <c r="H345" s="38"/>
      <c r="I345" s="22">
        <v>0</v>
      </c>
      <c r="J345" s="22">
        <v>0</v>
      </c>
      <c r="K345" s="22">
        <v>0</v>
      </c>
      <c r="L345" s="22">
        <v>0</v>
      </c>
      <c r="M345" s="19" t="s">
        <v>296</v>
      </c>
      <c r="N345" s="19" t="s">
        <v>87</v>
      </c>
      <c r="O345" s="19" t="s">
        <v>59</v>
      </c>
      <c r="P345" s="22">
        <v>8</v>
      </c>
      <c r="Q345" s="39" t="s">
        <v>259</v>
      </c>
    </row>
    <row r="346" spans="1:17" ht="14.4">
      <c r="A346" s="13">
        <v>120</v>
      </c>
      <c r="B346" s="14" t="s">
        <v>336</v>
      </c>
      <c r="C346" s="34">
        <v>45526</v>
      </c>
      <c r="D346" s="17">
        <v>0</v>
      </c>
      <c r="E346" s="17">
        <v>0</v>
      </c>
      <c r="F346" s="17">
        <v>0</v>
      </c>
      <c r="G346" s="17">
        <v>0</v>
      </c>
      <c r="H346" s="35"/>
      <c r="I346" s="17">
        <v>5</v>
      </c>
      <c r="J346" s="17">
        <v>0</v>
      </c>
      <c r="K346" s="17">
        <v>0</v>
      </c>
      <c r="L346" s="17">
        <v>0</v>
      </c>
      <c r="M346" s="14" t="s">
        <v>296</v>
      </c>
      <c r="N346" s="14" t="s">
        <v>87</v>
      </c>
      <c r="O346" s="14" t="s">
        <v>59</v>
      </c>
      <c r="P346" s="14"/>
      <c r="Q346" s="36" t="s">
        <v>260</v>
      </c>
    </row>
    <row r="347" spans="1:17" ht="14.4">
      <c r="A347" s="26">
        <v>120</v>
      </c>
      <c r="B347" s="19" t="s">
        <v>336</v>
      </c>
      <c r="C347" s="37">
        <v>45526</v>
      </c>
      <c r="D347" s="22">
        <v>0</v>
      </c>
      <c r="E347" s="22">
        <v>0</v>
      </c>
      <c r="F347" s="22">
        <v>0</v>
      </c>
      <c r="G347" s="22">
        <v>0</v>
      </c>
      <c r="H347" s="38"/>
      <c r="I347" s="22">
        <v>0</v>
      </c>
      <c r="J347" s="22">
        <v>1</v>
      </c>
      <c r="K347" s="22">
        <v>1</v>
      </c>
      <c r="L347" s="22">
        <v>0</v>
      </c>
      <c r="M347" s="19" t="s">
        <v>296</v>
      </c>
      <c r="N347" s="19" t="s">
        <v>87</v>
      </c>
      <c r="O347" s="19" t="s">
        <v>59</v>
      </c>
      <c r="P347" s="19"/>
      <c r="Q347" s="39" t="s">
        <v>263</v>
      </c>
    </row>
    <row r="348" spans="1:17" ht="14.4">
      <c r="A348" s="13">
        <v>277</v>
      </c>
      <c r="B348" s="14" t="s">
        <v>343</v>
      </c>
      <c r="C348" s="34">
        <v>45526</v>
      </c>
      <c r="D348" s="17">
        <v>1</v>
      </c>
      <c r="E348" s="17">
        <v>0</v>
      </c>
      <c r="F348" s="17">
        <v>0</v>
      </c>
      <c r="G348" s="17">
        <v>0</v>
      </c>
      <c r="H348" s="35"/>
      <c r="I348" s="17">
        <v>0</v>
      </c>
      <c r="J348" s="17">
        <v>0</v>
      </c>
      <c r="K348" s="17">
        <v>0</v>
      </c>
      <c r="L348" s="17">
        <v>0</v>
      </c>
      <c r="M348" s="14" t="s">
        <v>100</v>
      </c>
      <c r="N348" s="14" t="s">
        <v>91</v>
      </c>
      <c r="O348" s="14" t="s">
        <v>38</v>
      </c>
      <c r="P348" s="17">
        <v>1</v>
      </c>
      <c r="Q348" s="36" t="s">
        <v>259</v>
      </c>
    </row>
    <row r="349" spans="1:17" ht="14.4">
      <c r="A349" s="26">
        <v>277</v>
      </c>
      <c r="B349" s="19" t="s">
        <v>343</v>
      </c>
      <c r="C349" s="37">
        <v>45526</v>
      </c>
      <c r="D349" s="22">
        <v>0</v>
      </c>
      <c r="E349" s="22">
        <v>0</v>
      </c>
      <c r="F349" s="22">
        <v>0</v>
      </c>
      <c r="G349" s="22">
        <v>0</v>
      </c>
      <c r="H349" s="38"/>
      <c r="I349" s="22">
        <v>2</v>
      </c>
      <c r="J349" s="22">
        <v>0</v>
      </c>
      <c r="K349" s="22">
        <v>0</v>
      </c>
      <c r="L349" s="22">
        <v>0</v>
      </c>
      <c r="M349" s="19" t="s">
        <v>100</v>
      </c>
      <c r="N349" s="19" t="s">
        <v>91</v>
      </c>
      <c r="O349" s="19" t="s">
        <v>38</v>
      </c>
      <c r="P349" s="19"/>
      <c r="Q349" s="39" t="s">
        <v>260</v>
      </c>
    </row>
    <row r="350" spans="1:17" ht="14.4">
      <c r="A350" s="13">
        <v>277</v>
      </c>
      <c r="B350" s="14" t="s">
        <v>343</v>
      </c>
      <c r="C350" s="34">
        <v>45526</v>
      </c>
      <c r="D350" s="17">
        <v>2</v>
      </c>
      <c r="E350" s="17">
        <v>0</v>
      </c>
      <c r="F350" s="17">
        <v>0</v>
      </c>
      <c r="G350" s="17">
        <v>0</v>
      </c>
      <c r="H350" s="35"/>
      <c r="I350" s="17">
        <v>0</v>
      </c>
      <c r="J350" s="17">
        <v>0</v>
      </c>
      <c r="K350" s="17">
        <v>0</v>
      </c>
      <c r="L350" s="17">
        <v>0</v>
      </c>
      <c r="M350" s="14" t="s">
        <v>100</v>
      </c>
      <c r="N350" s="14" t="s">
        <v>91</v>
      </c>
      <c r="O350" s="14" t="s">
        <v>47</v>
      </c>
      <c r="P350" s="17">
        <v>1</v>
      </c>
      <c r="Q350" s="36" t="s">
        <v>259</v>
      </c>
    </row>
    <row r="351" spans="1:17" ht="14.4">
      <c r="A351" s="26">
        <v>277</v>
      </c>
      <c r="B351" s="19" t="s">
        <v>343</v>
      </c>
      <c r="C351" s="37">
        <v>45526</v>
      </c>
      <c r="D351" s="22">
        <v>0</v>
      </c>
      <c r="E351" s="22">
        <v>0</v>
      </c>
      <c r="F351" s="22">
        <v>0</v>
      </c>
      <c r="G351" s="22">
        <v>0</v>
      </c>
      <c r="H351" s="38"/>
      <c r="I351" s="22">
        <v>1</v>
      </c>
      <c r="J351" s="22">
        <v>0</v>
      </c>
      <c r="K351" s="22">
        <v>0</v>
      </c>
      <c r="L351" s="22">
        <v>0</v>
      </c>
      <c r="M351" s="19" t="s">
        <v>100</v>
      </c>
      <c r="N351" s="19" t="s">
        <v>91</v>
      </c>
      <c r="O351" s="19" t="s">
        <v>47</v>
      </c>
      <c r="P351" s="19"/>
      <c r="Q351" s="39" t="s">
        <v>260</v>
      </c>
    </row>
    <row r="352" spans="1:17" ht="14.4">
      <c r="A352" s="13">
        <v>278</v>
      </c>
      <c r="B352" s="14" t="s">
        <v>344</v>
      </c>
      <c r="C352" s="34">
        <v>45526</v>
      </c>
      <c r="D352" s="17">
        <v>0</v>
      </c>
      <c r="E352" s="17">
        <v>1</v>
      </c>
      <c r="F352" s="17">
        <v>0</v>
      </c>
      <c r="G352" s="17">
        <v>0</v>
      </c>
      <c r="H352" s="16" t="s">
        <v>261</v>
      </c>
      <c r="I352" s="17">
        <v>0</v>
      </c>
      <c r="J352" s="17">
        <v>0</v>
      </c>
      <c r="K352" s="17">
        <v>0</v>
      </c>
      <c r="L352" s="17">
        <v>0</v>
      </c>
      <c r="M352" s="14" t="s">
        <v>100</v>
      </c>
      <c r="N352" s="14" t="s">
        <v>87</v>
      </c>
      <c r="O352" s="14" t="s">
        <v>46</v>
      </c>
      <c r="P352" s="14"/>
      <c r="Q352" s="36" t="s">
        <v>262</v>
      </c>
    </row>
    <row r="353" spans="1:17" ht="14.4">
      <c r="A353" s="26">
        <v>278</v>
      </c>
      <c r="B353" s="19" t="s">
        <v>344</v>
      </c>
      <c r="C353" s="37">
        <v>45526</v>
      </c>
      <c r="D353" s="22">
        <v>1</v>
      </c>
      <c r="E353" s="22">
        <v>0</v>
      </c>
      <c r="F353" s="22">
        <v>0</v>
      </c>
      <c r="G353" s="22">
        <v>0</v>
      </c>
      <c r="H353" s="38"/>
      <c r="I353" s="22">
        <v>0</v>
      </c>
      <c r="J353" s="22">
        <v>0</v>
      </c>
      <c r="K353" s="22">
        <v>0</v>
      </c>
      <c r="L353" s="22">
        <v>0</v>
      </c>
      <c r="M353" s="19" t="s">
        <v>100</v>
      </c>
      <c r="N353" s="19" t="s">
        <v>87</v>
      </c>
      <c r="O353" s="19" t="s">
        <v>86</v>
      </c>
      <c r="P353" s="22">
        <v>1</v>
      </c>
      <c r="Q353" s="39" t="s">
        <v>259</v>
      </c>
    </row>
    <row r="354" spans="1:17" ht="14.4">
      <c r="A354" s="13">
        <v>278</v>
      </c>
      <c r="B354" s="14" t="s">
        <v>344</v>
      </c>
      <c r="C354" s="34">
        <v>45526</v>
      </c>
      <c r="D354" s="17">
        <v>0</v>
      </c>
      <c r="E354" s="17">
        <v>0</v>
      </c>
      <c r="F354" s="17">
        <v>0</v>
      </c>
      <c r="G354" s="17">
        <v>0</v>
      </c>
      <c r="H354" s="35"/>
      <c r="I354" s="17">
        <v>0</v>
      </c>
      <c r="J354" s="17">
        <v>1</v>
      </c>
      <c r="K354" s="17">
        <v>0</v>
      </c>
      <c r="L354" s="17">
        <v>0</v>
      </c>
      <c r="M354" s="14" t="s">
        <v>100</v>
      </c>
      <c r="N354" s="14" t="s">
        <v>87</v>
      </c>
      <c r="O354" s="14" t="s">
        <v>86</v>
      </c>
      <c r="P354" s="14"/>
      <c r="Q354" s="36" t="s">
        <v>263</v>
      </c>
    </row>
    <row r="355" spans="1:17" ht="14.4">
      <c r="A355" s="26">
        <v>140</v>
      </c>
      <c r="B355" s="19" t="s">
        <v>345</v>
      </c>
      <c r="C355" s="37">
        <v>45526</v>
      </c>
      <c r="D355" s="22">
        <v>0</v>
      </c>
      <c r="E355" s="22">
        <v>0</v>
      </c>
      <c r="F355" s="22">
        <v>0</v>
      </c>
      <c r="G355" s="22">
        <v>0</v>
      </c>
      <c r="H355" s="38"/>
      <c r="I355" s="22">
        <v>0</v>
      </c>
      <c r="J355" s="22">
        <v>2</v>
      </c>
      <c r="K355" s="22">
        <v>0</v>
      </c>
      <c r="L355" s="22">
        <v>0</v>
      </c>
      <c r="M355" s="19" t="s">
        <v>100</v>
      </c>
      <c r="N355" s="19" t="s">
        <v>91</v>
      </c>
      <c r="O355" s="19" t="s">
        <v>38</v>
      </c>
      <c r="P355" s="19"/>
      <c r="Q355" s="39" t="s">
        <v>263</v>
      </c>
    </row>
    <row r="356" spans="1:17" ht="14.4">
      <c r="A356" s="13">
        <v>140</v>
      </c>
      <c r="B356" s="14" t="s">
        <v>345</v>
      </c>
      <c r="C356" s="34">
        <v>45526</v>
      </c>
      <c r="D356" s="17">
        <v>0</v>
      </c>
      <c r="E356" s="17">
        <v>0</v>
      </c>
      <c r="F356" s="17">
        <v>0</v>
      </c>
      <c r="G356" s="17">
        <v>0</v>
      </c>
      <c r="H356" s="35"/>
      <c r="I356" s="17">
        <v>1</v>
      </c>
      <c r="J356" s="17">
        <v>0</v>
      </c>
      <c r="K356" s="17">
        <v>0</v>
      </c>
      <c r="L356" s="17">
        <v>0</v>
      </c>
      <c r="M356" s="14" t="s">
        <v>100</v>
      </c>
      <c r="N356" s="14" t="s">
        <v>91</v>
      </c>
      <c r="O356" s="14" t="s">
        <v>90</v>
      </c>
      <c r="P356" s="14"/>
      <c r="Q356" s="36" t="s">
        <v>260</v>
      </c>
    </row>
    <row r="357" spans="1:17" ht="14.4">
      <c r="A357" s="26">
        <v>130</v>
      </c>
      <c r="B357" s="19" t="s">
        <v>346</v>
      </c>
      <c r="C357" s="37">
        <v>45526</v>
      </c>
      <c r="D357" s="22">
        <v>5</v>
      </c>
      <c r="E357" s="22">
        <v>0</v>
      </c>
      <c r="F357" s="22">
        <v>0</v>
      </c>
      <c r="G357" s="22">
        <v>0</v>
      </c>
      <c r="H357" s="38"/>
      <c r="I357" s="22">
        <v>0</v>
      </c>
      <c r="J357" s="22">
        <v>0</v>
      </c>
      <c r="K357" s="22">
        <v>0</v>
      </c>
      <c r="L357" s="22">
        <v>0</v>
      </c>
      <c r="M357" s="19" t="s">
        <v>296</v>
      </c>
      <c r="N357" s="19" t="s">
        <v>91</v>
      </c>
      <c r="O357" s="19" t="s">
        <v>38</v>
      </c>
      <c r="P357" s="22">
        <v>3</v>
      </c>
      <c r="Q357" s="39" t="s">
        <v>259</v>
      </c>
    </row>
    <row r="358" spans="1:17" ht="14.4">
      <c r="A358" s="13">
        <v>130</v>
      </c>
      <c r="B358" s="14" t="s">
        <v>346</v>
      </c>
      <c r="C358" s="34">
        <v>45526</v>
      </c>
      <c r="D358" s="17">
        <v>0</v>
      </c>
      <c r="E358" s="17">
        <v>0</v>
      </c>
      <c r="F358" s="17">
        <v>0</v>
      </c>
      <c r="G358" s="17">
        <v>0</v>
      </c>
      <c r="H358" s="35"/>
      <c r="I358" s="17">
        <v>2</v>
      </c>
      <c r="J358" s="17">
        <v>0</v>
      </c>
      <c r="K358" s="17">
        <v>0</v>
      </c>
      <c r="L358" s="17">
        <v>0</v>
      </c>
      <c r="M358" s="14" t="s">
        <v>296</v>
      </c>
      <c r="N358" s="14" t="s">
        <v>91</v>
      </c>
      <c r="O358" s="14" t="s">
        <v>38</v>
      </c>
      <c r="P358" s="14"/>
      <c r="Q358" s="36" t="s">
        <v>260</v>
      </c>
    </row>
    <row r="359" spans="1:17" ht="14.4">
      <c r="A359" s="26">
        <v>130</v>
      </c>
      <c r="B359" s="19" t="s">
        <v>346</v>
      </c>
      <c r="C359" s="37">
        <v>45526</v>
      </c>
      <c r="D359" s="22">
        <v>0</v>
      </c>
      <c r="E359" s="22">
        <v>0</v>
      </c>
      <c r="F359" s="22">
        <v>0</v>
      </c>
      <c r="G359" s="22">
        <v>0</v>
      </c>
      <c r="H359" s="38"/>
      <c r="I359" s="22">
        <v>0</v>
      </c>
      <c r="J359" s="22">
        <v>1</v>
      </c>
      <c r="K359" s="22">
        <v>0</v>
      </c>
      <c r="L359" s="22">
        <v>0</v>
      </c>
      <c r="M359" s="19" t="s">
        <v>296</v>
      </c>
      <c r="N359" s="19" t="s">
        <v>91</v>
      </c>
      <c r="O359" s="19" t="s">
        <v>38</v>
      </c>
      <c r="P359" s="19"/>
      <c r="Q359" s="39" t="s">
        <v>263</v>
      </c>
    </row>
    <row r="360" spans="1:17" ht="14.4">
      <c r="A360" s="13">
        <v>130</v>
      </c>
      <c r="B360" s="14" t="s">
        <v>346</v>
      </c>
      <c r="C360" s="34">
        <v>45526</v>
      </c>
      <c r="D360" s="17">
        <v>0</v>
      </c>
      <c r="E360" s="17">
        <v>1</v>
      </c>
      <c r="F360" s="17">
        <v>0</v>
      </c>
      <c r="G360" s="17">
        <v>0</v>
      </c>
      <c r="H360" s="16" t="s">
        <v>347</v>
      </c>
      <c r="I360" s="17">
        <v>0</v>
      </c>
      <c r="J360" s="17">
        <v>0</v>
      </c>
      <c r="K360" s="17">
        <v>0</v>
      </c>
      <c r="L360" s="17">
        <v>0</v>
      </c>
      <c r="M360" s="14" t="s">
        <v>296</v>
      </c>
      <c r="N360" s="14" t="s">
        <v>91</v>
      </c>
      <c r="O360" s="14" t="s">
        <v>44</v>
      </c>
      <c r="P360" s="14"/>
      <c r="Q360" s="36" t="s">
        <v>262</v>
      </c>
    </row>
    <row r="361" spans="1:17" ht="14.4">
      <c r="A361" s="26">
        <v>130</v>
      </c>
      <c r="B361" s="19" t="s">
        <v>346</v>
      </c>
      <c r="C361" s="37">
        <v>45526</v>
      </c>
      <c r="D361" s="22">
        <v>3</v>
      </c>
      <c r="E361" s="22">
        <v>0</v>
      </c>
      <c r="F361" s="22">
        <v>0</v>
      </c>
      <c r="G361" s="22">
        <v>0</v>
      </c>
      <c r="H361" s="38"/>
      <c r="I361" s="22">
        <v>0</v>
      </c>
      <c r="J361" s="22">
        <v>0</v>
      </c>
      <c r="K361" s="22">
        <v>0</v>
      </c>
      <c r="L361" s="22">
        <v>0</v>
      </c>
      <c r="M361" s="19" t="s">
        <v>296</v>
      </c>
      <c r="N361" s="19" t="s">
        <v>91</v>
      </c>
      <c r="O361" s="19" t="s">
        <v>44</v>
      </c>
      <c r="P361" s="22">
        <v>3</v>
      </c>
      <c r="Q361" s="39" t="s">
        <v>259</v>
      </c>
    </row>
    <row r="362" spans="1:17" ht="14.4">
      <c r="A362" s="13">
        <v>130</v>
      </c>
      <c r="B362" s="14" t="s">
        <v>346</v>
      </c>
      <c r="C362" s="34">
        <v>45526</v>
      </c>
      <c r="D362" s="17">
        <v>0</v>
      </c>
      <c r="E362" s="17">
        <v>0</v>
      </c>
      <c r="F362" s="17">
        <v>0</v>
      </c>
      <c r="G362" s="17">
        <v>0</v>
      </c>
      <c r="H362" s="35"/>
      <c r="I362" s="17">
        <v>1</v>
      </c>
      <c r="J362" s="17">
        <v>0</v>
      </c>
      <c r="K362" s="17">
        <v>0</v>
      </c>
      <c r="L362" s="17">
        <v>0</v>
      </c>
      <c r="M362" s="14" t="s">
        <v>296</v>
      </c>
      <c r="N362" s="14" t="s">
        <v>91</v>
      </c>
      <c r="O362" s="14" t="s">
        <v>44</v>
      </c>
      <c r="P362" s="14"/>
      <c r="Q362" s="36" t="s">
        <v>260</v>
      </c>
    </row>
    <row r="363" spans="1:17" ht="14.4">
      <c r="A363" s="26">
        <v>130</v>
      </c>
      <c r="B363" s="19" t="s">
        <v>346</v>
      </c>
      <c r="C363" s="37">
        <v>45526</v>
      </c>
      <c r="D363" s="22">
        <v>0</v>
      </c>
      <c r="E363" s="22">
        <v>0</v>
      </c>
      <c r="F363" s="22">
        <v>0</v>
      </c>
      <c r="G363" s="22">
        <v>0</v>
      </c>
      <c r="H363" s="38"/>
      <c r="I363" s="22">
        <v>0</v>
      </c>
      <c r="J363" s="22">
        <v>1</v>
      </c>
      <c r="K363" s="22">
        <v>1</v>
      </c>
      <c r="L363" s="22">
        <v>0</v>
      </c>
      <c r="M363" s="19" t="s">
        <v>296</v>
      </c>
      <c r="N363" s="19" t="s">
        <v>91</v>
      </c>
      <c r="O363" s="19" t="s">
        <v>44</v>
      </c>
      <c r="P363" s="19"/>
      <c r="Q363" s="39" t="s">
        <v>263</v>
      </c>
    </row>
    <row r="364" spans="1:17" ht="14.4">
      <c r="A364" s="13">
        <v>130</v>
      </c>
      <c r="B364" s="14" t="s">
        <v>346</v>
      </c>
      <c r="C364" s="34">
        <v>45526</v>
      </c>
      <c r="D364" s="17">
        <v>6</v>
      </c>
      <c r="E364" s="17">
        <v>0</v>
      </c>
      <c r="F364" s="17">
        <v>0</v>
      </c>
      <c r="G364" s="17">
        <v>0</v>
      </c>
      <c r="H364" s="35"/>
      <c r="I364" s="17">
        <v>0</v>
      </c>
      <c r="J364" s="17">
        <v>0</v>
      </c>
      <c r="K364" s="17">
        <v>0</v>
      </c>
      <c r="L364" s="17">
        <v>0</v>
      </c>
      <c r="M364" s="14" t="s">
        <v>296</v>
      </c>
      <c r="N364" s="14" t="s">
        <v>91</v>
      </c>
      <c r="O364" s="14" t="s">
        <v>47</v>
      </c>
      <c r="P364" s="17">
        <v>4</v>
      </c>
      <c r="Q364" s="36" t="s">
        <v>259</v>
      </c>
    </row>
    <row r="365" spans="1:17" ht="14.4">
      <c r="A365" s="26">
        <v>130</v>
      </c>
      <c r="B365" s="19" t="s">
        <v>346</v>
      </c>
      <c r="C365" s="37">
        <v>45526</v>
      </c>
      <c r="D365" s="22">
        <v>0</v>
      </c>
      <c r="E365" s="22">
        <v>0</v>
      </c>
      <c r="F365" s="22">
        <v>0</v>
      </c>
      <c r="G365" s="22">
        <v>0</v>
      </c>
      <c r="H365" s="38"/>
      <c r="I365" s="22">
        <v>1</v>
      </c>
      <c r="J365" s="22">
        <v>0</v>
      </c>
      <c r="K365" s="22">
        <v>0</v>
      </c>
      <c r="L365" s="22">
        <v>0</v>
      </c>
      <c r="M365" s="19" t="s">
        <v>296</v>
      </c>
      <c r="N365" s="19" t="s">
        <v>91</v>
      </c>
      <c r="O365" s="19" t="s">
        <v>47</v>
      </c>
      <c r="P365" s="19"/>
      <c r="Q365" s="39" t="s">
        <v>260</v>
      </c>
    </row>
    <row r="366" spans="1:17" ht="14.4">
      <c r="A366" s="13">
        <v>130</v>
      </c>
      <c r="B366" s="14" t="s">
        <v>346</v>
      </c>
      <c r="C366" s="34">
        <v>45526</v>
      </c>
      <c r="D366" s="17">
        <v>0</v>
      </c>
      <c r="E366" s="17">
        <v>0</v>
      </c>
      <c r="F366" s="17">
        <v>0</v>
      </c>
      <c r="G366" s="17">
        <v>0</v>
      </c>
      <c r="H366" s="35"/>
      <c r="I366" s="17">
        <v>0</v>
      </c>
      <c r="J366" s="17">
        <v>1</v>
      </c>
      <c r="K366" s="17">
        <v>0</v>
      </c>
      <c r="L366" s="17">
        <v>0</v>
      </c>
      <c r="M366" s="14" t="s">
        <v>296</v>
      </c>
      <c r="N366" s="14" t="s">
        <v>91</v>
      </c>
      <c r="O366" s="14" t="s">
        <v>47</v>
      </c>
      <c r="P366" s="14"/>
      <c r="Q366" s="36" t="s">
        <v>263</v>
      </c>
    </row>
    <row r="367" spans="1:17" ht="14.4">
      <c r="A367" s="26">
        <v>130</v>
      </c>
      <c r="B367" s="19" t="s">
        <v>346</v>
      </c>
      <c r="C367" s="37">
        <v>45526</v>
      </c>
      <c r="D367" s="22">
        <v>2</v>
      </c>
      <c r="E367" s="22">
        <v>0</v>
      </c>
      <c r="F367" s="22">
        <v>0</v>
      </c>
      <c r="G367" s="22">
        <v>0</v>
      </c>
      <c r="H367" s="38"/>
      <c r="I367" s="22">
        <v>0</v>
      </c>
      <c r="J367" s="22">
        <v>0</v>
      </c>
      <c r="K367" s="22">
        <v>0</v>
      </c>
      <c r="L367" s="22">
        <v>0</v>
      </c>
      <c r="M367" s="19" t="s">
        <v>296</v>
      </c>
      <c r="N367" s="19" t="s">
        <v>91</v>
      </c>
      <c r="O367" s="19" t="s">
        <v>90</v>
      </c>
      <c r="P367" s="22">
        <v>2</v>
      </c>
      <c r="Q367" s="39" t="s">
        <v>259</v>
      </c>
    </row>
    <row r="368" spans="1:17" ht="14.4">
      <c r="A368" s="13">
        <v>130</v>
      </c>
      <c r="B368" s="14" t="s">
        <v>346</v>
      </c>
      <c r="C368" s="34">
        <v>45526</v>
      </c>
      <c r="D368" s="17">
        <v>0</v>
      </c>
      <c r="E368" s="17">
        <v>0</v>
      </c>
      <c r="F368" s="17">
        <v>0</v>
      </c>
      <c r="G368" s="17">
        <v>0</v>
      </c>
      <c r="H368" s="35"/>
      <c r="I368" s="17">
        <v>4</v>
      </c>
      <c r="J368" s="17">
        <v>0</v>
      </c>
      <c r="K368" s="17">
        <v>0</v>
      </c>
      <c r="L368" s="17">
        <v>0</v>
      </c>
      <c r="M368" s="14" t="s">
        <v>296</v>
      </c>
      <c r="N368" s="14" t="s">
        <v>91</v>
      </c>
      <c r="O368" s="14" t="s">
        <v>90</v>
      </c>
      <c r="P368" s="14"/>
      <c r="Q368" s="36" t="s">
        <v>260</v>
      </c>
    </row>
    <row r="369" spans="1:17" ht="14.4">
      <c r="A369" s="26">
        <v>130</v>
      </c>
      <c r="B369" s="19" t="s">
        <v>346</v>
      </c>
      <c r="C369" s="37">
        <v>45526</v>
      </c>
      <c r="D369" s="22">
        <v>0</v>
      </c>
      <c r="E369" s="22">
        <v>0</v>
      </c>
      <c r="F369" s="22">
        <v>0</v>
      </c>
      <c r="G369" s="22">
        <v>2</v>
      </c>
      <c r="H369" s="38"/>
      <c r="I369" s="22">
        <v>0</v>
      </c>
      <c r="J369" s="22">
        <v>0</v>
      </c>
      <c r="K369" s="22">
        <v>0</v>
      </c>
      <c r="L369" s="22">
        <v>0</v>
      </c>
      <c r="M369" s="19" t="s">
        <v>296</v>
      </c>
      <c r="N369" s="19" t="s">
        <v>87</v>
      </c>
      <c r="O369" s="19" t="s">
        <v>37</v>
      </c>
      <c r="P369" s="19"/>
      <c r="Q369" s="39" t="s">
        <v>262</v>
      </c>
    </row>
    <row r="370" spans="1:17" ht="14.4">
      <c r="A370" s="13">
        <v>130</v>
      </c>
      <c r="B370" s="14" t="s">
        <v>346</v>
      </c>
      <c r="C370" s="34">
        <v>45526</v>
      </c>
      <c r="D370" s="17">
        <v>12</v>
      </c>
      <c r="E370" s="17">
        <v>0</v>
      </c>
      <c r="F370" s="17">
        <v>0</v>
      </c>
      <c r="G370" s="17">
        <v>0</v>
      </c>
      <c r="H370" s="35"/>
      <c r="I370" s="17">
        <v>0</v>
      </c>
      <c r="J370" s="17">
        <v>0</v>
      </c>
      <c r="K370" s="17">
        <v>0</v>
      </c>
      <c r="L370" s="17">
        <v>0</v>
      </c>
      <c r="M370" s="14" t="s">
        <v>296</v>
      </c>
      <c r="N370" s="14" t="s">
        <v>87</v>
      </c>
      <c r="O370" s="14" t="s">
        <v>43</v>
      </c>
      <c r="P370" s="17">
        <v>3</v>
      </c>
      <c r="Q370" s="36" t="s">
        <v>259</v>
      </c>
    </row>
    <row r="371" spans="1:17" ht="14.4">
      <c r="A371" s="26">
        <v>130</v>
      </c>
      <c r="B371" s="19" t="s">
        <v>346</v>
      </c>
      <c r="C371" s="37">
        <v>45526</v>
      </c>
      <c r="D371" s="22">
        <v>0</v>
      </c>
      <c r="E371" s="22">
        <v>1</v>
      </c>
      <c r="F371" s="22">
        <v>0</v>
      </c>
      <c r="G371" s="22">
        <v>1</v>
      </c>
      <c r="H371" s="21" t="s">
        <v>348</v>
      </c>
      <c r="I371" s="22">
        <v>0</v>
      </c>
      <c r="J371" s="22">
        <v>0</v>
      </c>
      <c r="K371" s="22">
        <v>0</v>
      </c>
      <c r="L371" s="22">
        <v>0</v>
      </c>
      <c r="M371" s="19" t="s">
        <v>296</v>
      </c>
      <c r="N371" s="19" t="s">
        <v>87</v>
      </c>
      <c r="O371" s="19" t="s">
        <v>46</v>
      </c>
      <c r="P371" s="19"/>
      <c r="Q371" s="39" t="s">
        <v>262</v>
      </c>
    </row>
    <row r="372" spans="1:17" ht="14.4">
      <c r="A372" s="13">
        <v>130</v>
      </c>
      <c r="B372" s="14" t="s">
        <v>346</v>
      </c>
      <c r="C372" s="34">
        <v>45526</v>
      </c>
      <c r="D372" s="17">
        <v>0</v>
      </c>
      <c r="E372" s="17">
        <v>0</v>
      </c>
      <c r="F372" s="17">
        <v>0</v>
      </c>
      <c r="G372" s="17">
        <v>0</v>
      </c>
      <c r="H372" s="35"/>
      <c r="I372" s="17">
        <v>0</v>
      </c>
      <c r="J372" s="17">
        <v>0</v>
      </c>
      <c r="K372" s="17">
        <v>1</v>
      </c>
      <c r="L372" s="17">
        <v>0</v>
      </c>
      <c r="M372" s="14" t="s">
        <v>296</v>
      </c>
      <c r="N372" s="14" t="s">
        <v>87</v>
      </c>
      <c r="O372" s="14" t="s">
        <v>46</v>
      </c>
      <c r="P372" s="14"/>
      <c r="Q372" s="36" t="s">
        <v>263</v>
      </c>
    </row>
    <row r="373" spans="1:17" ht="14.4">
      <c r="A373" s="26">
        <v>130</v>
      </c>
      <c r="B373" s="19" t="s">
        <v>346</v>
      </c>
      <c r="C373" s="37">
        <v>45526</v>
      </c>
      <c r="D373" s="22">
        <v>0</v>
      </c>
      <c r="E373" s="22">
        <v>1</v>
      </c>
      <c r="F373" s="22">
        <v>0</v>
      </c>
      <c r="G373" s="22">
        <v>0</v>
      </c>
      <c r="H373" s="21" t="s">
        <v>288</v>
      </c>
      <c r="I373" s="22">
        <v>0</v>
      </c>
      <c r="J373" s="22">
        <v>0</v>
      </c>
      <c r="K373" s="22">
        <v>0</v>
      </c>
      <c r="L373" s="22">
        <v>0</v>
      </c>
      <c r="M373" s="19" t="s">
        <v>296</v>
      </c>
      <c r="N373" s="19" t="s">
        <v>87</v>
      </c>
      <c r="O373" s="19" t="s">
        <v>60</v>
      </c>
      <c r="P373" s="19"/>
      <c r="Q373" s="39" t="s">
        <v>262</v>
      </c>
    </row>
    <row r="374" spans="1:17" ht="14.4">
      <c r="A374" s="13">
        <v>130</v>
      </c>
      <c r="B374" s="14" t="s">
        <v>346</v>
      </c>
      <c r="C374" s="34">
        <v>45526</v>
      </c>
      <c r="D374" s="17">
        <v>3</v>
      </c>
      <c r="E374" s="17">
        <v>0</v>
      </c>
      <c r="F374" s="17">
        <v>0</v>
      </c>
      <c r="G374" s="17">
        <v>0</v>
      </c>
      <c r="H374" s="35"/>
      <c r="I374" s="17">
        <v>0</v>
      </c>
      <c r="J374" s="17">
        <v>0</v>
      </c>
      <c r="K374" s="17">
        <v>0</v>
      </c>
      <c r="L374" s="17">
        <v>0</v>
      </c>
      <c r="M374" s="14" t="s">
        <v>296</v>
      </c>
      <c r="N374" s="14" t="s">
        <v>87</v>
      </c>
      <c r="O374" s="14" t="s">
        <v>60</v>
      </c>
      <c r="P374" s="17">
        <v>3</v>
      </c>
      <c r="Q374" s="36" t="s">
        <v>259</v>
      </c>
    </row>
    <row r="375" spans="1:17" ht="14.4">
      <c r="A375" s="26">
        <v>130</v>
      </c>
      <c r="B375" s="19" t="s">
        <v>346</v>
      </c>
      <c r="C375" s="37">
        <v>45526</v>
      </c>
      <c r="D375" s="22">
        <v>0</v>
      </c>
      <c r="E375" s="22">
        <v>0</v>
      </c>
      <c r="F375" s="22">
        <v>0</v>
      </c>
      <c r="G375" s="22">
        <v>0</v>
      </c>
      <c r="H375" s="38"/>
      <c r="I375" s="22">
        <v>2</v>
      </c>
      <c r="J375" s="22">
        <v>0</v>
      </c>
      <c r="K375" s="22">
        <v>0</v>
      </c>
      <c r="L375" s="22">
        <v>0</v>
      </c>
      <c r="M375" s="19" t="s">
        <v>296</v>
      </c>
      <c r="N375" s="19" t="s">
        <v>87</v>
      </c>
      <c r="O375" s="19" t="s">
        <v>60</v>
      </c>
      <c r="P375" s="19"/>
      <c r="Q375" s="39" t="s">
        <v>260</v>
      </c>
    </row>
    <row r="376" spans="1:17" ht="14.4">
      <c r="A376" s="13">
        <v>130</v>
      </c>
      <c r="B376" s="14" t="s">
        <v>346</v>
      </c>
      <c r="C376" s="34">
        <v>45526</v>
      </c>
      <c r="D376" s="17">
        <v>0</v>
      </c>
      <c r="E376" s="17">
        <v>0</v>
      </c>
      <c r="F376" s="17">
        <v>0</v>
      </c>
      <c r="G376" s="17">
        <v>0</v>
      </c>
      <c r="H376" s="35"/>
      <c r="I376" s="17">
        <v>0</v>
      </c>
      <c r="J376" s="17">
        <v>0</v>
      </c>
      <c r="K376" s="17">
        <v>1</v>
      </c>
      <c r="L376" s="17">
        <v>0</v>
      </c>
      <c r="M376" s="14" t="s">
        <v>296</v>
      </c>
      <c r="N376" s="14" t="s">
        <v>87</v>
      </c>
      <c r="O376" s="14" t="s">
        <v>60</v>
      </c>
      <c r="P376" s="14"/>
      <c r="Q376" s="36" t="s">
        <v>263</v>
      </c>
    </row>
    <row r="377" spans="1:17" ht="14.4">
      <c r="A377" s="26">
        <v>130</v>
      </c>
      <c r="B377" s="19" t="s">
        <v>346</v>
      </c>
      <c r="C377" s="37">
        <v>45526</v>
      </c>
      <c r="D377" s="22">
        <v>0</v>
      </c>
      <c r="E377" s="22">
        <v>0</v>
      </c>
      <c r="F377" s="22">
        <v>0</v>
      </c>
      <c r="G377" s="22">
        <v>0</v>
      </c>
      <c r="H377" s="38"/>
      <c r="I377" s="22">
        <v>0</v>
      </c>
      <c r="J377" s="22">
        <v>2</v>
      </c>
      <c r="K377" s="22">
        <v>0</v>
      </c>
      <c r="L377" s="22">
        <v>0</v>
      </c>
      <c r="M377" s="19" t="s">
        <v>296</v>
      </c>
      <c r="N377" s="19" t="s">
        <v>87</v>
      </c>
      <c r="O377" s="19" t="s">
        <v>51</v>
      </c>
      <c r="P377" s="19"/>
      <c r="Q377" s="39" t="s">
        <v>263</v>
      </c>
    </row>
    <row r="378" spans="1:17" ht="14.4">
      <c r="A378" s="13">
        <v>130</v>
      </c>
      <c r="B378" s="14" t="s">
        <v>346</v>
      </c>
      <c r="C378" s="34">
        <v>45526</v>
      </c>
      <c r="D378" s="17">
        <v>4</v>
      </c>
      <c r="E378" s="17">
        <v>0</v>
      </c>
      <c r="F378" s="17">
        <v>0</v>
      </c>
      <c r="G378" s="17">
        <v>0</v>
      </c>
      <c r="H378" s="35"/>
      <c r="I378" s="17">
        <v>0</v>
      </c>
      <c r="J378" s="17">
        <v>0</v>
      </c>
      <c r="K378" s="17">
        <v>0</v>
      </c>
      <c r="L378" s="17">
        <v>0</v>
      </c>
      <c r="M378" s="14" t="s">
        <v>296</v>
      </c>
      <c r="N378" s="14" t="s">
        <v>87</v>
      </c>
      <c r="O378" s="14" t="s">
        <v>98</v>
      </c>
      <c r="P378" s="17">
        <v>3</v>
      </c>
      <c r="Q378" s="36" t="s">
        <v>259</v>
      </c>
    </row>
    <row r="379" spans="1:17" ht="14.4">
      <c r="A379" s="26">
        <v>130</v>
      </c>
      <c r="B379" s="19" t="s">
        <v>346</v>
      </c>
      <c r="C379" s="37">
        <v>45526</v>
      </c>
      <c r="D379" s="22">
        <v>0</v>
      </c>
      <c r="E379" s="22">
        <v>0</v>
      </c>
      <c r="F379" s="22">
        <v>0</v>
      </c>
      <c r="G379" s="22">
        <v>0</v>
      </c>
      <c r="H379" s="38"/>
      <c r="I379" s="22">
        <v>1</v>
      </c>
      <c r="J379" s="22">
        <v>0</v>
      </c>
      <c r="K379" s="22">
        <v>0</v>
      </c>
      <c r="L379" s="22">
        <v>0</v>
      </c>
      <c r="M379" s="19" t="s">
        <v>296</v>
      </c>
      <c r="N379" s="19" t="s">
        <v>87</v>
      </c>
      <c r="O379" s="19" t="s">
        <v>98</v>
      </c>
      <c r="P379" s="19"/>
      <c r="Q379" s="39" t="s">
        <v>260</v>
      </c>
    </row>
    <row r="380" spans="1:17" ht="14.4">
      <c r="A380" s="13">
        <v>130</v>
      </c>
      <c r="B380" s="14" t="s">
        <v>346</v>
      </c>
      <c r="C380" s="34">
        <v>45526</v>
      </c>
      <c r="D380" s="17">
        <v>12</v>
      </c>
      <c r="E380" s="17">
        <v>0</v>
      </c>
      <c r="F380" s="17">
        <v>0</v>
      </c>
      <c r="G380" s="17">
        <v>0</v>
      </c>
      <c r="H380" s="35"/>
      <c r="I380" s="17">
        <v>0</v>
      </c>
      <c r="J380" s="17">
        <v>0</v>
      </c>
      <c r="K380" s="17">
        <v>0</v>
      </c>
      <c r="L380" s="17">
        <v>0</v>
      </c>
      <c r="M380" s="14" t="s">
        <v>296</v>
      </c>
      <c r="N380" s="14" t="s">
        <v>87</v>
      </c>
      <c r="O380" s="14" t="s">
        <v>89</v>
      </c>
      <c r="P380" s="17">
        <v>5</v>
      </c>
      <c r="Q380" s="36" t="s">
        <v>259</v>
      </c>
    </row>
    <row r="381" spans="1:17" ht="14.4">
      <c r="A381" s="26">
        <v>130</v>
      </c>
      <c r="B381" s="19" t="s">
        <v>346</v>
      </c>
      <c r="C381" s="37">
        <v>45526</v>
      </c>
      <c r="D381" s="22">
        <v>0</v>
      </c>
      <c r="E381" s="22">
        <v>0</v>
      </c>
      <c r="F381" s="22">
        <v>0</v>
      </c>
      <c r="G381" s="22">
        <v>0</v>
      </c>
      <c r="H381" s="38"/>
      <c r="I381" s="22">
        <v>1</v>
      </c>
      <c r="J381" s="22">
        <v>0</v>
      </c>
      <c r="K381" s="22">
        <v>0</v>
      </c>
      <c r="L381" s="22">
        <v>0</v>
      </c>
      <c r="M381" s="19" t="s">
        <v>296</v>
      </c>
      <c r="N381" s="19" t="s">
        <v>87</v>
      </c>
      <c r="O381" s="19" t="s">
        <v>89</v>
      </c>
      <c r="P381" s="19"/>
      <c r="Q381" s="39" t="s">
        <v>260</v>
      </c>
    </row>
    <row r="382" spans="1:17" ht="14.4">
      <c r="A382" s="13">
        <v>130</v>
      </c>
      <c r="B382" s="14" t="s">
        <v>346</v>
      </c>
      <c r="C382" s="34">
        <v>45526</v>
      </c>
      <c r="D382" s="17">
        <v>3</v>
      </c>
      <c r="E382" s="17">
        <v>0</v>
      </c>
      <c r="F382" s="17">
        <v>0</v>
      </c>
      <c r="G382" s="17">
        <v>0</v>
      </c>
      <c r="H382" s="35"/>
      <c r="I382" s="17">
        <v>0</v>
      </c>
      <c r="J382" s="17">
        <v>0</v>
      </c>
      <c r="K382" s="17">
        <v>0</v>
      </c>
      <c r="L382" s="17">
        <v>0</v>
      </c>
      <c r="M382" s="14" t="s">
        <v>296</v>
      </c>
      <c r="N382" s="14" t="s">
        <v>87</v>
      </c>
      <c r="O382" s="14" t="s">
        <v>57</v>
      </c>
      <c r="P382" s="17">
        <v>3</v>
      </c>
      <c r="Q382" s="36" t="s">
        <v>259</v>
      </c>
    </row>
    <row r="383" spans="1:17" ht="14.4">
      <c r="A383" s="26">
        <v>130</v>
      </c>
      <c r="B383" s="19" t="s">
        <v>346</v>
      </c>
      <c r="C383" s="37">
        <v>45526</v>
      </c>
      <c r="D383" s="22">
        <v>0</v>
      </c>
      <c r="E383" s="22">
        <v>0</v>
      </c>
      <c r="F383" s="22">
        <v>0</v>
      </c>
      <c r="G383" s="22">
        <v>0</v>
      </c>
      <c r="H383" s="38"/>
      <c r="I383" s="22">
        <v>1</v>
      </c>
      <c r="J383" s="22">
        <v>0</v>
      </c>
      <c r="K383" s="22">
        <v>0</v>
      </c>
      <c r="L383" s="22">
        <v>0</v>
      </c>
      <c r="M383" s="19" t="s">
        <v>296</v>
      </c>
      <c r="N383" s="19" t="s">
        <v>87</v>
      </c>
      <c r="O383" s="19" t="s">
        <v>57</v>
      </c>
      <c r="P383" s="19"/>
      <c r="Q383" s="39" t="s">
        <v>260</v>
      </c>
    </row>
    <row r="384" spans="1:17" ht="14.4">
      <c r="A384" s="13">
        <v>130</v>
      </c>
      <c r="B384" s="14" t="s">
        <v>346</v>
      </c>
      <c r="C384" s="34">
        <v>45526</v>
      </c>
      <c r="D384" s="17">
        <v>0</v>
      </c>
      <c r="E384" s="17">
        <v>0</v>
      </c>
      <c r="F384" s="17">
        <v>0</v>
      </c>
      <c r="G384" s="17">
        <v>0</v>
      </c>
      <c r="H384" s="35"/>
      <c r="I384" s="17">
        <v>0</v>
      </c>
      <c r="J384" s="17">
        <v>2</v>
      </c>
      <c r="K384" s="17">
        <v>0</v>
      </c>
      <c r="L384" s="17">
        <v>0</v>
      </c>
      <c r="M384" s="14" t="s">
        <v>296</v>
      </c>
      <c r="N384" s="14" t="s">
        <v>87</v>
      </c>
      <c r="O384" s="14" t="s">
        <v>57</v>
      </c>
      <c r="P384" s="14"/>
      <c r="Q384" s="36" t="s">
        <v>263</v>
      </c>
    </row>
    <row r="385" spans="1:17" ht="14.4">
      <c r="A385" s="26">
        <v>130</v>
      </c>
      <c r="B385" s="19" t="s">
        <v>346</v>
      </c>
      <c r="C385" s="37">
        <v>45526</v>
      </c>
      <c r="D385" s="22">
        <v>1</v>
      </c>
      <c r="E385" s="22">
        <v>0</v>
      </c>
      <c r="F385" s="22">
        <v>0</v>
      </c>
      <c r="G385" s="22">
        <v>0</v>
      </c>
      <c r="H385" s="38"/>
      <c r="I385" s="22">
        <v>0</v>
      </c>
      <c r="J385" s="22">
        <v>0</v>
      </c>
      <c r="K385" s="22">
        <v>0</v>
      </c>
      <c r="L385" s="22">
        <v>0</v>
      </c>
      <c r="M385" s="19" t="s">
        <v>296</v>
      </c>
      <c r="N385" s="19" t="s">
        <v>87</v>
      </c>
      <c r="O385" s="19" t="s">
        <v>86</v>
      </c>
      <c r="P385" s="22">
        <v>1</v>
      </c>
      <c r="Q385" s="39" t="s">
        <v>259</v>
      </c>
    </row>
    <row r="386" spans="1:17" ht="14.4">
      <c r="A386" s="13">
        <v>130</v>
      </c>
      <c r="B386" s="14" t="s">
        <v>346</v>
      </c>
      <c r="C386" s="34">
        <v>45526</v>
      </c>
      <c r="D386" s="17">
        <v>13</v>
      </c>
      <c r="E386" s="17">
        <v>0</v>
      </c>
      <c r="F386" s="17">
        <v>0</v>
      </c>
      <c r="G386" s="17">
        <v>0</v>
      </c>
      <c r="H386" s="35"/>
      <c r="I386" s="17">
        <v>0</v>
      </c>
      <c r="J386" s="17">
        <v>0</v>
      </c>
      <c r="K386" s="17">
        <v>0</v>
      </c>
      <c r="L386" s="17">
        <v>0</v>
      </c>
      <c r="M386" s="14" t="s">
        <v>296</v>
      </c>
      <c r="N386" s="14" t="s">
        <v>87</v>
      </c>
      <c r="O386" s="14" t="s">
        <v>59</v>
      </c>
      <c r="P386" s="17">
        <v>5</v>
      </c>
      <c r="Q386" s="36" t="s">
        <v>259</v>
      </c>
    </row>
    <row r="387" spans="1:17" ht="14.4">
      <c r="A387" s="26">
        <v>130</v>
      </c>
      <c r="B387" s="19" t="s">
        <v>346</v>
      </c>
      <c r="C387" s="37">
        <v>45526</v>
      </c>
      <c r="D387" s="22">
        <v>0</v>
      </c>
      <c r="E387" s="22">
        <v>0</v>
      </c>
      <c r="F387" s="22">
        <v>0</v>
      </c>
      <c r="G387" s="22">
        <v>0</v>
      </c>
      <c r="H387" s="38"/>
      <c r="I387" s="22">
        <v>3</v>
      </c>
      <c r="J387" s="22">
        <v>0</v>
      </c>
      <c r="K387" s="22">
        <v>0</v>
      </c>
      <c r="L387" s="22">
        <v>0</v>
      </c>
      <c r="M387" s="19" t="s">
        <v>296</v>
      </c>
      <c r="N387" s="19" t="s">
        <v>87</v>
      </c>
      <c r="O387" s="19" t="s">
        <v>59</v>
      </c>
      <c r="P387" s="19"/>
      <c r="Q387" s="39" t="s">
        <v>260</v>
      </c>
    </row>
    <row r="388" spans="1:17" ht="14.4">
      <c r="A388" s="13">
        <v>130</v>
      </c>
      <c r="B388" s="14" t="s">
        <v>346</v>
      </c>
      <c r="C388" s="34">
        <v>45526</v>
      </c>
      <c r="D388" s="17">
        <v>0</v>
      </c>
      <c r="E388" s="17">
        <v>0</v>
      </c>
      <c r="F388" s="17">
        <v>0</v>
      </c>
      <c r="G388" s="17">
        <v>0</v>
      </c>
      <c r="H388" s="35"/>
      <c r="I388" s="17">
        <v>0</v>
      </c>
      <c r="J388" s="17">
        <v>2</v>
      </c>
      <c r="K388" s="17">
        <v>0</v>
      </c>
      <c r="L388" s="17">
        <v>0</v>
      </c>
      <c r="M388" s="14" t="s">
        <v>296</v>
      </c>
      <c r="N388" s="14" t="s">
        <v>87</v>
      </c>
      <c r="O388" s="14" t="s">
        <v>59</v>
      </c>
      <c r="P388" s="14"/>
      <c r="Q388" s="36" t="s">
        <v>263</v>
      </c>
    </row>
    <row r="389" spans="1:17" ht="14.4">
      <c r="A389" s="26">
        <v>431</v>
      </c>
      <c r="B389" s="19" t="s">
        <v>349</v>
      </c>
      <c r="C389" s="37">
        <v>45526</v>
      </c>
      <c r="D389" s="22">
        <v>1</v>
      </c>
      <c r="E389" s="22">
        <v>0</v>
      </c>
      <c r="F389" s="22">
        <v>0</v>
      </c>
      <c r="G389" s="22">
        <v>0</v>
      </c>
      <c r="H389" s="38"/>
      <c r="I389" s="22">
        <v>0</v>
      </c>
      <c r="J389" s="22">
        <v>0</v>
      </c>
      <c r="K389" s="22">
        <v>0</v>
      </c>
      <c r="L389" s="22">
        <v>0</v>
      </c>
      <c r="M389" s="19" t="s">
        <v>100</v>
      </c>
      <c r="N389" s="19" t="s">
        <v>87</v>
      </c>
      <c r="O389" s="19" t="s">
        <v>60</v>
      </c>
      <c r="P389" s="22">
        <v>1</v>
      </c>
      <c r="Q389" s="39" t="s">
        <v>259</v>
      </c>
    </row>
    <row r="390" spans="1:17" ht="14.4">
      <c r="A390" s="13">
        <v>431</v>
      </c>
      <c r="B390" s="14" t="s">
        <v>349</v>
      </c>
      <c r="C390" s="34">
        <v>45526</v>
      </c>
      <c r="D390" s="17">
        <v>0</v>
      </c>
      <c r="E390" s="17">
        <v>0</v>
      </c>
      <c r="F390" s="17">
        <v>0</v>
      </c>
      <c r="G390" s="17">
        <v>0</v>
      </c>
      <c r="H390" s="35"/>
      <c r="I390" s="17">
        <v>0</v>
      </c>
      <c r="J390" s="17">
        <v>1</v>
      </c>
      <c r="K390" s="17">
        <v>0</v>
      </c>
      <c r="L390" s="17">
        <v>0</v>
      </c>
      <c r="M390" s="14" t="s">
        <v>100</v>
      </c>
      <c r="N390" s="14" t="s">
        <v>87</v>
      </c>
      <c r="O390" s="14" t="s">
        <v>60</v>
      </c>
      <c r="P390" s="14"/>
      <c r="Q390" s="36" t="s">
        <v>263</v>
      </c>
    </row>
    <row r="391" spans="1:17" ht="14.4">
      <c r="A391" s="26">
        <v>431</v>
      </c>
      <c r="B391" s="19" t="s">
        <v>349</v>
      </c>
      <c r="C391" s="37">
        <v>45526</v>
      </c>
      <c r="D391" s="22">
        <v>0</v>
      </c>
      <c r="E391" s="22">
        <v>0</v>
      </c>
      <c r="F391" s="22">
        <v>3</v>
      </c>
      <c r="G391" s="22">
        <v>0</v>
      </c>
      <c r="H391" s="38"/>
      <c r="I391" s="22">
        <v>0</v>
      </c>
      <c r="J391" s="22">
        <v>0</v>
      </c>
      <c r="K391" s="22">
        <v>0</v>
      </c>
      <c r="L391" s="22">
        <v>0</v>
      </c>
      <c r="M391" s="19" t="s">
        <v>100</v>
      </c>
      <c r="N391" s="19" t="s">
        <v>87</v>
      </c>
      <c r="O391" s="19" t="s">
        <v>98</v>
      </c>
      <c r="P391" s="19"/>
      <c r="Q391" s="39" t="s">
        <v>262</v>
      </c>
    </row>
    <row r="392" spans="1:17" ht="14.4">
      <c r="A392" s="13">
        <v>642</v>
      </c>
      <c r="B392" s="14" t="s">
        <v>350</v>
      </c>
      <c r="C392" s="34">
        <v>45526</v>
      </c>
      <c r="D392" s="17">
        <v>0</v>
      </c>
      <c r="E392" s="17">
        <v>1</v>
      </c>
      <c r="F392" s="17">
        <v>0</v>
      </c>
      <c r="G392" s="17">
        <v>0</v>
      </c>
      <c r="H392" s="16" t="s">
        <v>351</v>
      </c>
      <c r="I392" s="17">
        <v>0</v>
      </c>
      <c r="J392" s="17">
        <v>0</v>
      </c>
      <c r="K392" s="17">
        <v>0</v>
      </c>
      <c r="L392" s="17">
        <v>0</v>
      </c>
      <c r="M392" s="14" t="s">
        <v>100</v>
      </c>
      <c r="N392" s="14" t="s">
        <v>87</v>
      </c>
      <c r="O392" s="14" t="s">
        <v>46</v>
      </c>
      <c r="P392" s="14"/>
      <c r="Q392" s="36" t="s">
        <v>262</v>
      </c>
    </row>
    <row r="393" spans="1:17" ht="14.4">
      <c r="A393" s="26">
        <v>590</v>
      </c>
      <c r="B393" s="19" t="s">
        <v>352</v>
      </c>
      <c r="C393" s="37">
        <v>45526</v>
      </c>
      <c r="D393" s="22">
        <v>1</v>
      </c>
      <c r="E393" s="22">
        <v>0</v>
      </c>
      <c r="F393" s="22">
        <v>0</v>
      </c>
      <c r="G393" s="22">
        <v>0</v>
      </c>
      <c r="H393" s="38"/>
      <c r="I393" s="22">
        <v>0</v>
      </c>
      <c r="J393" s="22">
        <v>0</v>
      </c>
      <c r="K393" s="22">
        <v>0</v>
      </c>
      <c r="L393" s="22">
        <v>0</v>
      </c>
      <c r="M393" s="19" t="s">
        <v>318</v>
      </c>
      <c r="N393" s="19" t="s">
        <v>91</v>
      </c>
      <c r="O393" s="19" t="s">
        <v>47</v>
      </c>
      <c r="P393" s="19"/>
      <c r="Q393" s="39" t="s">
        <v>259</v>
      </c>
    </row>
    <row r="394" spans="1:17" ht="14.4">
      <c r="A394" s="13">
        <v>590</v>
      </c>
      <c r="B394" s="14" t="s">
        <v>352</v>
      </c>
      <c r="C394" s="34">
        <v>45526</v>
      </c>
      <c r="D394" s="17">
        <v>0</v>
      </c>
      <c r="E394" s="17">
        <v>0</v>
      </c>
      <c r="F394" s="17">
        <v>0</v>
      </c>
      <c r="G394" s="17">
        <v>0</v>
      </c>
      <c r="H394" s="35"/>
      <c r="I394" s="17">
        <v>0</v>
      </c>
      <c r="J394" s="17">
        <v>1</v>
      </c>
      <c r="K394" s="17">
        <v>0</v>
      </c>
      <c r="L394" s="17">
        <v>0</v>
      </c>
      <c r="M394" s="14" t="s">
        <v>318</v>
      </c>
      <c r="N394" s="14" t="s">
        <v>87</v>
      </c>
      <c r="O394" s="14" t="s">
        <v>43</v>
      </c>
      <c r="P394" s="14"/>
      <c r="Q394" s="36" t="s">
        <v>263</v>
      </c>
    </row>
    <row r="395" spans="1:17" ht="14.4">
      <c r="A395" s="26">
        <v>590</v>
      </c>
      <c r="B395" s="19" t="s">
        <v>352</v>
      </c>
      <c r="C395" s="37">
        <v>45526</v>
      </c>
      <c r="D395" s="22">
        <v>0</v>
      </c>
      <c r="E395" s="22">
        <v>0</v>
      </c>
      <c r="F395" s="22">
        <v>0</v>
      </c>
      <c r="G395" s="22">
        <v>0</v>
      </c>
      <c r="H395" s="38"/>
      <c r="I395" s="22">
        <v>0</v>
      </c>
      <c r="J395" s="22">
        <v>1</v>
      </c>
      <c r="K395" s="22">
        <v>0</v>
      </c>
      <c r="L395" s="22">
        <v>0</v>
      </c>
      <c r="M395" s="19" t="s">
        <v>318</v>
      </c>
      <c r="N395" s="19" t="s">
        <v>87</v>
      </c>
      <c r="O395" s="19" t="s">
        <v>46</v>
      </c>
      <c r="P395" s="19"/>
      <c r="Q395" s="39" t="s">
        <v>263</v>
      </c>
    </row>
    <row r="396" spans="1:17" ht="14.4">
      <c r="A396" s="13">
        <v>590</v>
      </c>
      <c r="B396" s="14" t="s">
        <v>352</v>
      </c>
      <c r="C396" s="34">
        <v>45526</v>
      </c>
      <c r="D396" s="17">
        <v>2</v>
      </c>
      <c r="E396" s="17">
        <v>0</v>
      </c>
      <c r="F396" s="17">
        <v>0</v>
      </c>
      <c r="G396" s="17">
        <v>0</v>
      </c>
      <c r="H396" s="35"/>
      <c r="I396" s="17">
        <v>0</v>
      </c>
      <c r="J396" s="17">
        <v>0</v>
      </c>
      <c r="K396" s="17">
        <v>0</v>
      </c>
      <c r="L396" s="17">
        <v>0</v>
      </c>
      <c r="M396" s="14" t="s">
        <v>318</v>
      </c>
      <c r="N396" s="14" t="s">
        <v>87</v>
      </c>
      <c r="O396" s="14" t="s">
        <v>89</v>
      </c>
      <c r="P396" s="17">
        <v>1</v>
      </c>
      <c r="Q396" s="36" t="s">
        <v>259</v>
      </c>
    </row>
    <row r="397" spans="1:17" ht="14.4">
      <c r="A397" s="26">
        <v>590</v>
      </c>
      <c r="B397" s="19" t="s">
        <v>352</v>
      </c>
      <c r="C397" s="37">
        <v>45526</v>
      </c>
      <c r="D397" s="22">
        <v>0</v>
      </c>
      <c r="E397" s="22">
        <v>1</v>
      </c>
      <c r="F397" s="22">
        <v>0</v>
      </c>
      <c r="G397" s="22">
        <v>0</v>
      </c>
      <c r="H397" s="21" t="s">
        <v>261</v>
      </c>
      <c r="I397" s="22">
        <v>0</v>
      </c>
      <c r="J397" s="22">
        <v>0</v>
      </c>
      <c r="K397" s="22">
        <v>0</v>
      </c>
      <c r="L397" s="22">
        <v>0</v>
      </c>
      <c r="M397" s="19" t="s">
        <v>318</v>
      </c>
      <c r="N397" s="19" t="s">
        <v>87</v>
      </c>
      <c r="O397" s="19" t="s">
        <v>86</v>
      </c>
      <c r="P397" s="19"/>
      <c r="Q397" s="39" t="s">
        <v>262</v>
      </c>
    </row>
    <row r="398" spans="1:17" ht="14.4">
      <c r="A398" s="13">
        <v>590</v>
      </c>
      <c r="B398" s="14" t="s">
        <v>352</v>
      </c>
      <c r="C398" s="34">
        <v>45526</v>
      </c>
      <c r="D398" s="17">
        <v>0</v>
      </c>
      <c r="E398" s="17">
        <v>0</v>
      </c>
      <c r="F398" s="17">
        <v>0</v>
      </c>
      <c r="G398" s="17">
        <v>0</v>
      </c>
      <c r="H398" s="35"/>
      <c r="I398" s="17">
        <v>0</v>
      </c>
      <c r="J398" s="17">
        <v>1</v>
      </c>
      <c r="K398" s="17">
        <v>0</v>
      </c>
      <c r="L398" s="17">
        <v>0</v>
      </c>
      <c r="M398" s="14" t="s">
        <v>318</v>
      </c>
      <c r="N398" s="14" t="s">
        <v>87</v>
      </c>
      <c r="O398" s="14" t="s">
        <v>86</v>
      </c>
      <c r="P398" s="14"/>
      <c r="Q398" s="36" t="s">
        <v>263</v>
      </c>
    </row>
    <row r="399" spans="1:17" ht="14.4">
      <c r="A399" s="26">
        <v>590</v>
      </c>
      <c r="B399" s="19" t="s">
        <v>352</v>
      </c>
      <c r="C399" s="37">
        <v>45526</v>
      </c>
      <c r="D399" s="22">
        <v>0</v>
      </c>
      <c r="E399" s="22">
        <v>1</v>
      </c>
      <c r="F399" s="22">
        <v>0</v>
      </c>
      <c r="G399" s="22">
        <v>0</v>
      </c>
      <c r="H399" s="21" t="s">
        <v>261</v>
      </c>
      <c r="I399" s="22">
        <v>0</v>
      </c>
      <c r="J399" s="22">
        <v>0</v>
      </c>
      <c r="K399" s="22">
        <v>0</v>
      </c>
      <c r="L399" s="22">
        <v>0</v>
      </c>
      <c r="M399" s="19" t="s">
        <v>318</v>
      </c>
      <c r="N399" s="19" t="s">
        <v>87</v>
      </c>
      <c r="O399" s="19" t="s">
        <v>59</v>
      </c>
      <c r="P399" s="19"/>
      <c r="Q399" s="39" t="s">
        <v>262</v>
      </c>
    </row>
    <row r="400" spans="1:17" ht="14.4">
      <c r="A400" s="13">
        <v>590</v>
      </c>
      <c r="B400" s="14" t="s">
        <v>352</v>
      </c>
      <c r="C400" s="34">
        <v>45526</v>
      </c>
      <c r="D400" s="17">
        <v>2</v>
      </c>
      <c r="E400" s="17">
        <v>0</v>
      </c>
      <c r="F400" s="17">
        <v>0</v>
      </c>
      <c r="G400" s="17">
        <v>0</v>
      </c>
      <c r="H400" s="35"/>
      <c r="I400" s="17">
        <v>0</v>
      </c>
      <c r="J400" s="17">
        <v>0</v>
      </c>
      <c r="K400" s="17">
        <v>0</v>
      </c>
      <c r="L400" s="17">
        <v>0</v>
      </c>
      <c r="M400" s="14" t="s">
        <v>318</v>
      </c>
      <c r="N400" s="14" t="s">
        <v>87</v>
      </c>
      <c r="O400" s="14" t="s">
        <v>59</v>
      </c>
      <c r="P400" s="17">
        <v>2</v>
      </c>
      <c r="Q400" s="36" t="s">
        <v>259</v>
      </c>
    </row>
    <row r="401" spans="1:17" ht="14.4">
      <c r="A401" s="26">
        <v>590</v>
      </c>
      <c r="B401" s="19" t="s">
        <v>352</v>
      </c>
      <c r="C401" s="37">
        <v>45526</v>
      </c>
      <c r="D401" s="22">
        <v>0</v>
      </c>
      <c r="E401" s="22">
        <v>0</v>
      </c>
      <c r="F401" s="22">
        <v>0</v>
      </c>
      <c r="G401" s="22">
        <v>0</v>
      </c>
      <c r="H401" s="38"/>
      <c r="I401" s="22">
        <v>0</v>
      </c>
      <c r="J401" s="22">
        <v>3</v>
      </c>
      <c r="K401" s="22">
        <v>0</v>
      </c>
      <c r="L401" s="22">
        <v>0</v>
      </c>
      <c r="M401" s="19" t="s">
        <v>318</v>
      </c>
      <c r="N401" s="19" t="s">
        <v>87</v>
      </c>
      <c r="O401" s="19" t="s">
        <v>59</v>
      </c>
      <c r="P401" s="19"/>
      <c r="Q401" s="39" t="s">
        <v>263</v>
      </c>
    </row>
    <row r="402" spans="1:17" ht="14.4">
      <c r="A402" s="13">
        <v>300</v>
      </c>
      <c r="B402" s="14" t="s">
        <v>353</v>
      </c>
      <c r="C402" s="34">
        <v>45526</v>
      </c>
      <c r="D402" s="17">
        <v>3</v>
      </c>
      <c r="E402" s="17">
        <v>0</v>
      </c>
      <c r="F402" s="17">
        <v>0</v>
      </c>
      <c r="G402" s="17">
        <v>0</v>
      </c>
      <c r="H402" s="35"/>
      <c r="I402" s="17">
        <v>0</v>
      </c>
      <c r="J402" s="17">
        <v>0</v>
      </c>
      <c r="K402" s="17">
        <v>0</v>
      </c>
      <c r="L402" s="17">
        <v>0</v>
      </c>
      <c r="M402" s="14" t="s">
        <v>287</v>
      </c>
      <c r="N402" s="14" t="s">
        <v>91</v>
      </c>
      <c r="O402" s="14" t="s">
        <v>38</v>
      </c>
      <c r="P402" s="17">
        <v>2</v>
      </c>
      <c r="Q402" s="36" t="s">
        <v>259</v>
      </c>
    </row>
    <row r="403" spans="1:17" ht="14.4">
      <c r="A403" s="26">
        <v>300</v>
      </c>
      <c r="B403" s="19" t="s">
        <v>353</v>
      </c>
      <c r="C403" s="37">
        <v>45526</v>
      </c>
      <c r="D403" s="22">
        <v>0</v>
      </c>
      <c r="E403" s="22">
        <v>0</v>
      </c>
      <c r="F403" s="22">
        <v>0</v>
      </c>
      <c r="G403" s="22">
        <v>0</v>
      </c>
      <c r="H403" s="38"/>
      <c r="I403" s="22">
        <v>4</v>
      </c>
      <c r="J403" s="22">
        <v>0</v>
      </c>
      <c r="K403" s="22">
        <v>0</v>
      </c>
      <c r="L403" s="22">
        <v>0</v>
      </c>
      <c r="M403" s="19" t="s">
        <v>287</v>
      </c>
      <c r="N403" s="19" t="s">
        <v>91</v>
      </c>
      <c r="O403" s="19" t="s">
        <v>38</v>
      </c>
      <c r="P403" s="19"/>
      <c r="Q403" s="39" t="s">
        <v>260</v>
      </c>
    </row>
    <row r="404" spans="1:17" ht="14.4">
      <c r="A404" s="13">
        <v>300</v>
      </c>
      <c r="B404" s="14" t="s">
        <v>353</v>
      </c>
      <c r="C404" s="34">
        <v>45526</v>
      </c>
      <c r="D404" s="17">
        <v>0</v>
      </c>
      <c r="E404" s="17">
        <v>1</v>
      </c>
      <c r="F404" s="17">
        <v>0</v>
      </c>
      <c r="G404" s="17">
        <v>0</v>
      </c>
      <c r="H404" s="16" t="s">
        <v>337</v>
      </c>
      <c r="I404" s="17">
        <v>0</v>
      </c>
      <c r="J404" s="17">
        <v>0</v>
      </c>
      <c r="K404" s="17">
        <v>0</v>
      </c>
      <c r="L404" s="17">
        <v>0</v>
      </c>
      <c r="M404" s="14" t="s">
        <v>287</v>
      </c>
      <c r="N404" s="14" t="s">
        <v>91</v>
      </c>
      <c r="O404" s="14" t="s">
        <v>44</v>
      </c>
      <c r="P404" s="14"/>
      <c r="Q404" s="36" t="s">
        <v>262</v>
      </c>
    </row>
    <row r="405" spans="1:17" ht="14.4">
      <c r="A405" s="26">
        <v>300</v>
      </c>
      <c r="B405" s="19" t="s">
        <v>353</v>
      </c>
      <c r="C405" s="37">
        <v>45526</v>
      </c>
      <c r="D405" s="22">
        <v>2</v>
      </c>
      <c r="E405" s="22">
        <v>0</v>
      </c>
      <c r="F405" s="22">
        <v>0</v>
      </c>
      <c r="G405" s="22">
        <v>0</v>
      </c>
      <c r="H405" s="38"/>
      <c r="I405" s="22">
        <v>0</v>
      </c>
      <c r="J405" s="22">
        <v>0</v>
      </c>
      <c r="K405" s="22">
        <v>0</v>
      </c>
      <c r="L405" s="22">
        <v>0</v>
      </c>
      <c r="M405" s="19" t="s">
        <v>287</v>
      </c>
      <c r="N405" s="19" t="s">
        <v>91</v>
      </c>
      <c r="O405" s="19" t="s">
        <v>44</v>
      </c>
      <c r="P405" s="22">
        <v>1</v>
      </c>
      <c r="Q405" s="39" t="s">
        <v>259</v>
      </c>
    </row>
    <row r="406" spans="1:17" ht="14.4">
      <c r="A406" s="13">
        <v>300</v>
      </c>
      <c r="B406" s="14" t="s">
        <v>353</v>
      </c>
      <c r="C406" s="34">
        <v>45526</v>
      </c>
      <c r="D406" s="17">
        <v>0</v>
      </c>
      <c r="E406" s="17">
        <v>0</v>
      </c>
      <c r="F406" s="17">
        <v>0</v>
      </c>
      <c r="G406" s="17">
        <v>0</v>
      </c>
      <c r="H406" s="35"/>
      <c r="I406" s="17">
        <v>6</v>
      </c>
      <c r="J406" s="17">
        <v>0</v>
      </c>
      <c r="K406" s="17">
        <v>0</v>
      </c>
      <c r="L406" s="17">
        <v>0</v>
      </c>
      <c r="M406" s="14" t="s">
        <v>287</v>
      </c>
      <c r="N406" s="14" t="s">
        <v>91</v>
      </c>
      <c r="O406" s="14" t="s">
        <v>44</v>
      </c>
      <c r="P406" s="14"/>
      <c r="Q406" s="36" t="s">
        <v>260</v>
      </c>
    </row>
    <row r="407" spans="1:17" ht="14.4">
      <c r="A407" s="26">
        <v>300</v>
      </c>
      <c r="B407" s="19" t="s">
        <v>353</v>
      </c>
      <c r="C407" s="37">
        <v>45526</v>
      </c>
      <c r="D407" s="22">
        <v>0</v>
      </c>
      <c r="E407" s="22">
        <v>0</v>
      </c>
      <c r="F407" s="22">
        <v>0</v>
      </c>
      <c r="G407" s="22">
        <v>0</v>
      </c>
      <c r="H407" s="38"/>
      <c r="I407" s="22">
        <v>0</v>
      </c>
      <c r="J407" s="22">
        <v>0</v>
      </c>
      <c r="K407" s="22">
        <v>1</v>
      </c>
      <c r="L407" s="22">
        <v>0</v>
      </c>
      <c r="M407" s="19" t="s">
        <v>287</v>
      </c>
      <c r="N407" s="19" t="s">
        <v>91</v>
      </c>
      <c r="O407" s="19" t="s">
        <v>44</v>
      </c>
      <c r="P407" s="19"/>
      <c r="Q407" s="39" t="s">
        <v>263</v>
      </c>
    </row>
    <row r="408" spans="1:17" ht="14.4">
      <c r="A408" s="13">
        <v>300</v>
      </c>
      <c r="B408" s="14" t="s">
        <v>353</v>
      </c>
      <c r="C408" s="34">
        <v>45526</v>
      </c>
      <c r="D408" s="17">
        <v>6</v>
      </c>
      <c r="E408" s="17">
        <v>0</v>
      </c>
      <c r="F408" s="17">
        <v>0</v>
      </c>
      <c r="G408" s="17">
        <v>0</v>
      </c>
      <c r="H408" s="35"/>
      <c r="I408" s="17">
        <v>0</v>
      </c>
      <c r="J408" s="17">
        <v>0</v>
      </c>
      <c r="K408" s="17">
        <v>0</v>
      </c>
      <c r="L408" s="17">
        <v>0</v>
      </c>
      <c r="M408" s="14" t="s">
        <v>287</v>
      </c>
      <c r="N408" s="14" t="s">
        <v>91</v>
      </c>
      <c r="O408" s="14" t="s">
        <v>47</v>
      </c>
      <c r="P408" s="17">
        <v>5</v>
      </c>
      <c r="Q408" s="36" t="s">
        <v>259</v>
      </c>
    </row>
    <row r="409" spans="1:17" ht="14.4">
      <c r="A409" s="26">
        <v>300</v>
      </c>
      <c r="B409" s="19" t="s">
        <v>353</v>
      </c>
      <c r="C409" s="37">
        <v>45526</v>
      </c>
      <c r="D409" s="22">
        <v>0</v>
      </c>
      <c r="E409" s="22">
        <v>0</v>
      </c>
      <c r="F409" s="22">
        <v>0</v>
      </c>
      <c r="G409" s="22">
        <v>0</v>
      </c>
      <c r="H409" s="38"/>
      <c r="I409" s="22">
        <v>3</v>
      </c>
      <c r="J409" s="22">
        <v>0</v>
      </c>
      <c r="K409" s="22">
        <v>0</v>
      </c>
      <c r="L409" s="22">
        <v>0</v>
      </c>
      <c r="M409" s="19" t="s">
        <v>287</v>
      </c>
      <c r="N409" s="19" t="s">
        <v>91</v>
      </c>
      <c r="O409" s="19" t="s">
        <v>47</v>
      </c>
      <c r="P409" s="19"/>
      <c r="Q409" s="39" t="s">
        <v>260</v>
      </c>
    </row>
    <row r="410" spans="1:17" ht="14.4">
      <c r="A410" s="13">
        <v>300</v>
      </c>
      <c r="B410" s="14" t="s">
        <v>353</v>
      </c>
      <c r="C410" s="34">
        <v>45526</v>
      </c>
      <c r="D410" s="17">
        <v>0</v>
      </c>
      <c r="E410" s="17">
        <v>0</v>
      </c>
      <c r="F410" s="17">
        <v>0</v>
      </c>
      <c r="G410" s="17">
        <v>0</v>
      </c>
      <c r="H410" s="35"/>
      <c r="I410" s="17">
        <v>0</v>
      </c>
      <c r="J410" s="17">
        <v>2</v>
      </c>
      <c r="K410" s="17">
        <v>0</v>
      </c>
      <c r="L410" s="17">
        <v>0</v>
      </c>
      <c r="M410" s="14" t="s">
        <v>287</v>
      </c>
      <c r="N410" s="14" t="s">
        <v>91</v>
      </c>
      <c r="O410" s="14" t="s">
        <v>47</v>
      </c>
      <c r="P410" s="14"/>
      <c r="Q410" s="36" t="s">
        <v>263</v>
      </c>
    </row>
    <row r="411" spans="1:17" ht="14.4">
      <c r="A411" s="26">
        <v>300</v>
      </c>
      <c r="B411" s="19" t="s">
        <v>353</v>
      </c>
      <c r="C411" s="37">
        <v>45526</v>
      </c>
      <c r="D411" s="22">
        <v>0</v>
      </c>
      <c r="E411" s="22">
        <v>1</v>
      </c>
      <c r="F411" s="22">
        <v>0</v>
      </c>
      <c r="G411" s="22">
        <v>0</v>
      </c>
      <c r="H411" s="21" t="s">
        <v>354</v>
      </c>
      <c r="I411" s="22">
        <v>0</v>
      </c>
      <c r="J411" s="22">
        <v>0</v>
      </c>
      <c r="K411" s="22">
        <v>0</v>
      </c>
      <c r="L411" s="22">
        <v>0</v>
      </c>
      <c r="M411" s="19" t="s">
        <v>287</v>
      </c>
      <c r="N411" s="19" t="s">
        <v>91</v>
      </c>
      <c r="O411" s="19" t="s">
        <v>90</v>
      </c>
      <c r="P411" s="19"/>
      <c r="Q411" s="39" t="s">
        <v>262</v>
      </c>
    </row>
    <row r="412" spans="1:17" ht="14.4">
      <c r="A412" s="13">
        <v>300</v>
      </c>
      <c r="B412" s="14" t="s">
        <v>353</v>
      </c>
      <c r="C412" s="34">
        <v>45526</v>
      </c>
      <c r="D412" s="17">
        <v>5</v>
      </c>
      <c r="E412" s="17">
        <v>0</v>
      </c>
      <c r="F412" s="17">
        <v>0</v>
      </c>
      <c r="G412" s="17">
        <v>0</v>
      </c>
      <c r="H412" s="35"/>
      <c r="I412" s="17">
        <v>0</v>
      </c>
      <c r="J412" s="17">
        <v>0</v>
      </c>
      <c r="K412" s="17">
        <v>0</v>
      </c>
      <c r="L412" s="17">
        <v>0</v>
      </c>
      <c r="M412" s="14" t="s">
        <v>287</v>
      </c>
      <c r="N412" s="14" t="s">
        <v>91</v>
      </c>
      <c r="O412" s="14" t="s">
        <v>90</v>
      </c>
      <c r="P412" s="17">
        <v>1</v>
      </c>
      <c r="Q412" s="36" t="s">
        <v>259</v>
      </c>
    </row>
    <row r="413" spans="1:17" ht="14.4">
      <c r="A413" s="26">
        <v>300</v>
      </c>
      <c r="B413" s="19" t="s">
        <v>353</v>
      </c>
      <c r="C413" s="37">
        <v>45526</v>
      </c>
      <c r="D413" s="22">
        <v>0</v>
      </c>
      <c r="E413" s="22">
        <v>0</v>
      </c>
      <c r="F413" s="22">
        <v>0</v>
      </c>
      <c r="G413" s="22">
        <v>0</v>
      </c>
      <c r="H413" s="38"/>
      <c r="I413" s="22">
        <v>3</v>
      </c>
      <c r="J413" s="22">
        <v>0</v>
      </c>
      <c r="K413" s="22">
        <v>0</v>
      </c>
      <c r="L413" s="22">
        <v>0</v>
      </c>
      <c r="M413" s="19" t="s">
        <v>287</v>
      </c>
      <c r="N413" s="19" t="s">
        <v>91</v>
      </c>
      <c r="O413" s="19" t="s">
        <v>90</v>
      </c>
      <c r="P413" s="19"/>
      <c r="Q413" s="39" t="s">
        <v>260</v>
      </c>
    </row>
    <row r="414" spans="1:17" ht="14.4">
      <c r="A414" s="13">
        <v>300</v>
      </c>
      <c r="B414" s="14" t="s">
        <v>353</v>
      </c>
      <c r="C414" s="34">
        <v>45526</v>
      </c>
      <c r="D414" s="17">
        <v>0</v>
      </c>
      <c r="E414" s="17">
        <v>0</v>
      </c>
      <c r="F414" s="17">
        <v>0</v>
      </c>
      <c r="G414" s="17">
        <v>0</v>
      </c>
      <c r="H414" s="35"/>
      <c r="I414" s="17">
        <v>0</v>
      </c>
      <c r="J414" s="17">
        <v>1</v>
      </c>
      <c r="K414" s="17">
        <v>0</v>
      </c>
      <c r="L414" s="17">
        <v>0</v>
      </c>
      <c r="M414" s="14" t="s">
        <v>287</v>
      </c>
      <c r="N414" s="14" t="s">
        <v>91</v>
      </c>
      <c r="O414" s="14" t="s">
        <v>90</v>
      </c>
      <c r="P414" s="14"/>
      <c r="Q414" s="36" t="s">
        <v>263</v>
      </c>
    </row>
    <row r="415" spans="1:17" ht="14.4">
      <c r="A415" s="26">
        <v>300</v>
      </c>
      <c r="B415" s="19" t="s">
        <v>353</v>
      </c>
      <c r="C415" s="37">
        <v>45526</v>
      </c>
      <c r="D415" s="22">
        <v>1</v>
      </c>
      <c r="E415" s="22">
        <v>0</v>
      </c>
      <c r="F415" s="22">
        <v>0</v>
      </c>
      <c r="G415" s="22">
        <v>0</v>
      </c>
      <c r="H415" s="38"/>
      <c r="I415" s="22">
        <v>0</v>
      </c>
      <c r="J415" s="22">
        <v>0</v>
      </c>
      <c r="K415" s="22">
        <v>0</v>
      </c>
      <c r="L415" s="22">
        <v>0</v>
      </c>
      <c r="M415" s="19" t="s">
        <v>287</v>
      </c>
      <c r="N415" s="19" t="s">
        <v>87</v>
      </c>
      <c r="O415" s="19" t="s">
        <v>37</v>
      </c>
      <c r="P415" s="19"/>
      <c r="Q415" s="39" t="s">
        <v>259</v>
      </c>
    </row>
    <row r="416" spans="1:17" ht="14.4">
      <c r="A416" s="13">
        <v>300</v>
      </c>
      <c r="B416" s="14" t="s">
        <v>353</v>
      </c>
      <c r="C416" s="34">
        <v>45526</v>
      </c>
      <c r="D416" s="17">
        <v>10</v>
      </c>
      <c r="E416" s="17">
        <v>0</v>
      </c>
      <c r="F416" s="17">
        <v>0</v>
      </c>
      <c r="G416" s="17">
        <v>0</v>
      </c>
      <c r="H416" s="35"/>
      <c r="I416" s="17">
        <v>0</v>
      </c>
      <c r="J416" s="17">
        <v>0</v>
      </c>
      <c r="K416" s="17">
        <v>0</v>
      </c>
      <c r="L416" s="17">
        <v>0</v>
      </c>
      <c r="M416" s="14" t="s">
        <v>287</v>
      </c>
      <c r="N416" s="14" t="s">
        <v>87</v>
      </c>
      <c r="O416" s="14" t="s">
        <v>43</v>
      </c>
      <c r="P416" s="17">
        <v>5</v>
      </c>
      <c r="Q416" s="36" t="s">
        <v>259</v>
      </c>
    </row>
    <row r="417" spans="1:17" ht="14.4">
      <c r="A417" s="26">
        <v>300</v>
      </c>
      <c r="B417" s="19" t="s">
        <v>353</v>
      </c>
      <c r="C417" s="37">
        <v>45526</v>
      </c>
      <c r="D417" s="22">
        <v>0</v>
      </c>
      <c r="E417" s="22">
        <v>0</v>
      </c>
      <c r="F417" s="22">
        <v>0</v>
      </c>
      <c r="G417" s="22">
        <v>0</v>
      </c>
      <c r="H417" s="38"/>
      <c r="I417" s="22">
        <v>1</v>
      </c>
      <c r="J417" s="22">
        <v>0</v>
      </c>
      <c r="K417" s="22">
        <v>0</v>
      </c>
      <c r="L417" s="22">
        <v>0</v>
      </c>
      <c r="M417" s="19" t="s">
        <v>287</v>
      </c>
      <c r="N417" s="19" t="s">
        <v>87</v>
      </c>
      <c r="O417" s="19" t="s">
        <v>43</v>
      </c>
      <c r="P417" s="19"/>
      <c r="Q417" s="39" t="s">
        <v>260</v>
      </c>
    </row>
    <row r="418" spans="1:17" ht="14.4">
      <c r="A418" s="13">
        <v>300</v>
      </c>
      <c r="B418" s="14" t="s">
        <v>353</v>
      </c>
      <c r="C418" s="34">
        <v>45526</v>
      </c>
      <c r="D418" s="17">
        <v>0</v>
      </c>
      <c r="E418" s="17">
        <v>0</v>
      </c>
      <c r="F418" s="17">
        <v>0</v>
      </c>
      <c r="G418" s="17">
        <v>0</v>
      </c>
      <c r="H418" s="35"/>
      <c r="I418" s="17">
        <v>0</v>
      </c>
      <c r="J418" s="17">
        <v>4</v>
      </c>
      <c r="K418" s="17">
        <v>1</v>
      </c>
      <c r="L418" s="17">
        <v>0</v>
      </c>
      <c r="M418" s="14" t="s">
        <v>287</v>
      </c>
      <c r="N418" s="14" t="s">
        <v>87</v>
      </c>
      <c r="O418" s="14" t="s">
        <v>43</v>
      </c>
      <c r="P418" s="14"/>
      <c r="Q418" s="36" t="s">
        <v>263</v>
      </c>
    </row>
    <row r="419" spans="1:17" ht="14.4">
      <c r="A419" s="26">
        <v>300</v>
      </c>
      <c r="B419" s="19" t="s">
        <v>353</v>
      </c>
      <c r="C419" s="37">
        <v>45526</v>
      </c>
      <c r="D419" s="22">
        <v>0</v>
      </c>
      <c r="E419" s="22">
        <v>3</v>
      </c>
      <c r="F419" s="22">
        <v>0</v>
      </c>
      <c r="G419" s="22">
        <v>0</v>
      </c>
      <c r="H419" s="21" t="s">
        <v>355</v>
      </c>
      <c r="I419" s="22">
        <v>0</v>
      </c>
      <c r="J419" s="22">
        <v>0</v>
      </c>
      <c r="K419" s="22">
        <v>0</v>
      </c>
      <c r="L419" s="22">
        <v>0</v>
      </c>
      <c r="M419" s="19" t="s">
        <v>287</v>
      </c>
      <c r="N419" s="19" t="s">
        <v>87</v>
      </c>
      <c r="O419" s="19" t="s">
        <v>46</v>
      </c>
      <c r="P419" s="19"/>
      <c r="Q419" s="39" t="s">
        <v>262</v>
      </c>
    </row>
    <row r="420" spans="1:17" ht="14.4">
      <c r="A420" s="13">
        <v>300</v>
      </c>
      <c r="B420" s="14" t="s">
        <v>353</v>
      </c>
      <c r="C420" s="34">
        <v>45526</v>
      </c>
      <c r="D420" s="17">
        <v>0</v>
      </c>
      <c r="E420" s="17">
        <v>0</v>
      </c>
      <c r="F420" s="17">
        <v>0</v>
      </c>
      <c r="G420" s="17">
        <v>0</v>
      </c>
      <c r="H420" s="35"/>
      <c r="I420" s="17">
        <v>0</v>
      </c>
      <c r="J420" s="17">
        <v>1</v>
      </c>
      <c r="K420" s="17">
        <v>1</v>
      </c>
      <c r="L420" s="17">
        <v>0</v>
      </c>
      <c r="M420" s="14" t="s">
        <v>287</v>
      </c>
      <c r="N420" s="14" t="s">
        <v>87</v>
      </c>
      <c r="O420" s="14" t="s">
        <v>46</v>
      </c>
      <c r="P420" s="14"/>
      <c r="Q420" s="36" t="s">
        <v>263</v>
      </c>
    </row>
    <row r="421" spans="1:17" ht="14.4">
      <c r="A421" s="26">
        <v>300</v>
      </c>
      <c r="B421" s="19" t="s">
        <v>353</v>
      </c>
      <c r="C421" s="37">
        <v>45526</v>
      </c>
      <c r="D421" s="22">
        <v>0</v>
      </c>
      <c r="E421" s="22">
        <v>1</v>
      </c>
      <c r="F421" s="22">
        <v>0</v>
      </c>
      <c r="G421" s="22">
        <v>0</v>
      </c>
      <c r="H421" s="21" t="s">
        <v>356</v>
      </c>
      <c r="I421" s="22">
        <v>0</v>
      </c>
      <c r="J421" s="22">
        <v>0</v>
      </c>
      <c r="K421" s="22">
        <v>0</v>
      </c>
      <c r="L421" s="22">
        <v>0</v>
      </c>
      <c r="M421" s="19" t="s">
        <v>287</v>
      </c>
      <c r="N421" s="19" t="s">
        <v>87</v>
      </c>
      <c r="O421" s="19" t="s">
        <v>60</v>
      </c>
      <c r="P421" s="19"/>
      <c r="Q421" s="39" t="s">
        <v>262</v>
      </c>
    </row>
    <row r="422" spans="1:17" ht="14.4">
      <c r="A422" s="13">
        <v>300</v>
      </c>
      <c r="B422" s="14" t="s">
        <v>353</v>
      </c>
      <c r="C422" s="34">
        <v>45526</v>
      </c>
      <c r="D422" s="17">
        <v>1</v>
      </c>
      <c r="E422" s="17">
        <v>0</v>
      </c>
      <c r="F422" s="17">
        <v>0</v>
      </c>
      <c r="G422" s="17">
        <v>0</v>
      </c>
      <c r="H422" s="35"/>
      <c r="I422" s="17">
        <v>0</v>
      </c>
      <c r="J422" s="17">
        <v>0</v>
      </c>
      <c r="K422" s="17">
        <v>0</v>
      </c>
      <c r="L422" s="17">
        <v>0</v>
      </c>
      <c r="M422" s="14" t="s">
        <v>287</v>
      </c>
      <c r="N422" s="14" t="s">
        <v>87</v>
      </c>
      <c r="O422" s="14" t="s">
        <v>60</v>
      </c>
      <c r="P422" s="17">
        <v>1</v>
      </c>
      <c r="Q422" s="36" t="s">
        <v>259</v>
      </c>
    </row>
    <row r="423" spans="1:17" ht="14.4">
      <c r="A423" s="26">
        <v>300</v>
      </c>
      <c r="B423" s="19" t="s">
        <v>353</v>
      </c>
      <c r="C423" s="37">
        <v>45526</v>
      </c>
      <c r="D423" s="22">
        <v>0</v>
      </c>
      <c r="E423" s="22">
        <v>0</v>
      </c>
      <c r="F423" s="22">
        <v>0</v>
      </c>
      <c r="G423" s="22">
        <v>0</v>
      </c>
      <c r="H423" s="38"/>
      <c r="I423" s="22">
        <v>1</v>
      </c>
      <c r="J423" s="22">
        <v>0</v>
      </c>
      <c r="K423" s="22">
        <v>0</v>
      </c>
      <c r="L423" s="22">
        <v>0</v>
      </c>
      <c r="M423" s="19" t="s">
        <v>287</v>
      </c>
      <c r="N423" s="19" t="s">
        <v>87</v>
      </c>
      <c r="O423" s="19" t="s">
        <v>60</v>
      </c>
      <c r="P423" s="19"/>
      <c r="Q423" s="39" t="s">
        <v>260</v>
      </c>
    </row>
    <row r="424" spans="1:17" ht="14.4">
      <c r="A424" s="13">
        <v>300</v>
      </c>
      <c r="B424" s="14" t="s">
        <v>353</v>
      </c>
      <c r="C424" s="34">
        <v>45526</v>
      </c>
      <c r="D424" s="17">
        <v>0</v>
      </c>
      <c r="E424" s="17">
        <v>1</v>
      </c>
      <c r="F424" s="17">
        <v>0</v>
      </c>
      <c r="G424" s="17">
        <v>0</v>
      </c>
      <c r="H424" s="16" t="s">
        <v>357</v>
      </c>
      <c r="I424" s="17">
        <v>0</v>
      </c>
      <c r="J424" s="17">
        <v>0</v>
      </c>
      <c r="K424" s="17">
        <v>0</v>
      </c>
      <c r="L424" s="17">
        <v>0</v>
      </c>
      <c r="M424" s="14" t="s">
        <v>287</v>
      </c>
      <c r="N424" s="14" t="s">
        <v>87</v>
      </c>
      <c r="O424" s="14" t="s">
        <v>51</v>
      </c>
      <c r="P424" s="14"/>
      <c r="Q424" s="36" t="s">
        <v>262</v>
      </c>
    </row>
    <row r="425" spans="1:17" ht="14.4">
      <c r="A425" s="26">
        <v>300</v>
      </c>
      <c r="B425" s="19" t="s">
        <v>353</v>
      </c>
      <c r="C425" s="37">
        <v>45526</v>
      </c>
      <c r="D425" s="22">
        <v>0</v>
      </c>
      <c r="E425" s="22">
        <v>0</v>
      </c>
      <c r="F425" s="22">
        <v>0</v>
      </c>
      <c r="G425" s="22">
        <v>0</v>
      </c>
      <c r="H425" s="38"/>
      <c r="I425" s="22">
        <v>1</v>
      </c>
      <c r="J425" s="22">
        <v>0</v>
      </c>
      <c r="K425" s="22">
        <v>0</v>
      </c>
      <c r="L425" s="22">
        <v>0</v>
      </c>
      <c r="M425" s="19" t="s">
        <v>287</v>
      </c>
      <c r="N425" s="19" t="s">
        <v>87</v>
      </c>
      <c r="O425" s="19" t="s">
        <v>51</v>
      </c>
      <c r="P425" s="19"/>
      <c r="Q425" s="39" t="s">
        <v>260</v>
      </c>
    </row>
    <row r="426" spans="1:17" ht="14.4">
      <c r="A426" s="13">
        <v>300</v>
      </c>
      <c r="B426" s="14" t="s">
        <v>353</v>
      </c>
      <c r="C426" s="34">
        <v>45526</v>
      </c>
      <c r="D426" s="17">
        <v>0</v>
      </c>
      <c r="E426" s="17">
        <v>0</v>
      </c>
      <c r="F426" s="17">
        <v>0</v>
      </c>
      <c r="G426" s="17">
        <v>0</v>
      </c>
      <c r="H426" s="35"/>
      <c r="I426" s="17">
        <v>0</v>
      </c>
      <c r="J426" s="17">
        <v>1</v>
      </c>
      <c r="K426" s="17">
        <v>1</v>
      </c>
      <c r="L426" s="17">
        <v>0</v>
      </c>
      <c r="M426" s="14" t="s">
        <v>287</v>
      </c>
      <c r="N426" s="14" t="s">
        <v>87</v>
      </c>
      <c r="O426" s="14" t="s">
        <v>51</v>
      </c>
      <c r="P426" s="14"/>
      <c r="Q426" s="36" t="s">
        <v>263</v>
      </c>
    </row>
    <row r="427" spans="1:17" ht="14.4">
      <c r="A427" s="26">
        <v>300</v>
      </c>
      <c r="B427" s="19" t="s">
        <v>353</v>
      </c>
      <c r="C427" s="37">
        <v>45526</v>
      </c>
      <c r="D427" s="22">
        <v>6</v>
      </c>
      <c r="E427" s="22">
        <v>0</v>
      </c>
      <c r="F427" s="22">
        <v>0</v>
      </c>
      <c r="G427" s="22">
        <v>0</v>
      </c>
      <c r="H427" s="38"/>
      <c r="I427" s="22">
        <v>0</v>
      </c>
      <c r="J427" s="22">
        <v>0</v>
      </c>
      <c r="K427" s="22">
        <v>0</v>
      </c>
      <c r="L427" s="22">
        <v>0</v>
      </c>
      <c r="M427" s="19" t="s">
        <v>287</v>
      </c>
      <c r="N427" s="19" t="s">
        <v>87</v>
      </c>
      <c r="O427" s="19" t="s">
        <v>98</v>
      </c>
      <c r="P427" s="22">
        <v>1</v>
      </c>
      <c r="Q427" s="39" t="s">
        <v>259</v>
      </c>
    </row>
    <row r="428" spans="1:17" ht="14.4">
      <c r="A428" s="13">
        <v>300</v>
      </c>
      <c r="B428" s="14" t="s">
        <v>353</v>
      </c>
      <c r="C428" s="34">
        <v>45526</v>
      </c>
      <c r="D428" s="17">
        <v>0</v>
      </c>
      <c r="E428" s="17">
        <v>0</v>
      </c>
      <c r="F428" s="17">
        <v>0</v>
      </c>
      <c r="G428" s="17">
        <v>0</v>
      </c>
      <c r="H428" s="35"/>
      <c r="I428" s="17">
        <v>0</v>
      </c>
      <c r="J428" s="17">
        <v>1</v>
      </c>
      <c r="K428" s="17">
        <v>0</v>
      </c>
      <c r="L428" s="17">
        <v>0</v>
      </c>
      <c r="M428" s="14" t="s">
        <v>287</v>
      </c>
      <c r="N428" s="14" t="s">
        <v>87</v>
      </c>
      <c r="O428" s="14" t="s">
        <v>98</v>
      </c>
      <c r="P428" s="14"/>
      <c r="Q428" s="36" t="s">
        <v>263</v>
      </c>
    </row>
    <row r="429" spans="1:17" ht="14.4">
      <c r="A429" s="26">
        <v>300</v>
      </c>
      <c r="B429" s="19" t="s">
        <v>353</v>
      </c>
      <c r="C429" s="37">
        <v>45526</v>
      </c>
      <c r="D429" s="22">
        <v>12</v>
      </c>
      <c r="E429" s="22">
        <v>0</v>
      </c>
      <c r="F429" s="22">
        <v>0</v>
      </c>
      <c r="G429" s="22">
        <v>0</v>
      </c>
      <c r="H429" s="38"/>
      <c r="I429" s="22">
        <v>0</v>
      </c>
      <c r="J429" s="22">
        <v>0</v>
      </c>
      <c r="K429" s="22">
        <v>0</v>
      </c>
      <c r="L429" s="22">
        <v>0</v>
      </c>
      <c r="M429" s="19" t="s">
        <v>287</v>
      </c>
      <c r="N429" s="19" t="s">
        <v>87</v>
      </c>
      <c r="O429" s="19" t="s">
        <v>89</v>
      </c>
      <c r="P429" s="22">
        <v>9</v>
      </c>
      <c r="Q429" s="39" t="s">
        <v>259</v>
      </c>
    </row>
    <row r="430" spans="1:17" ht="14.4">
      <c r="A430" s="13">
        <v>300</v>
      </c>
      <c r="B430" s="14" t="s">
        <v>353</v>
      </c>
      <c r="C430" s="34">
        <v>45526</v>
      </c>
      <c r="D430" s="17">
        <v>0</v>
      </c>
      <c r="E430" s="17">
        <v>0</v>
      </c>
      <c r="F430" s="17">
        <v>0</v>
      </c>
      <c r="G430" s="17">
        <v>0</v>
      </c>
      <c r="H430" s="35"/>
      <c r="I430" s="17">
        <v>5</v>
      </c>
      <c r="J430" s="17">
        <v>0</v>
      </c>
      <c r="K430" s="17">
        <v>0</v>
      </c>
      <c r="L430" s="17">
        <v>0</v>
      </c>
      <c r="M430" s="14" t="s">
        <v>287</v>
      </c>
      <c r="N430" s="14" t="s">
        <v>87</v>
      </c>
      <c r="O430" s="14" t="s">
        <v>89</v>
      </c>
      <c r="P430" s="14"/>
      <c r="Q430" s="36" t="s">
        <v>260</v>
      </c>
    </row>
    <row r="431" spans="1:17" ht="14.4">
      <c r="A431" s="26">
        <v>300</v>
      </c>
      <c r="B431" s="19" t="s">
        <v>353</v>
      </c>
      <c r="C431" s="37">
        <v>45526</v>
      </c>
      <c r="D431" s="22">
        <v>0</v>
      </c>
      <c r="E431" s="22">
        <v>0</v>
      </c>
      <c r="F431" s="22">
        <v>0</v>
      </c>
      <c r="G431" s="22">
        <v>0</v>
      </c>
      <c r="H431" s="38"/>
      <c r="I431" s="22">
        <v>0</v>
      </c>
      <c r="J431" s="22">
        <v>9</v>
      </c>
      <c r="K431" s="22">
        <v>1</v>
      </c>
      <c r="L431" s="22">
        <v>0</v>
      </c>
      <c r="M431" s="19" t="s">
        <v>287</v>
      </c>
      <c r="N431" s="19" t="s">
        <v>87</v>
      </c>
      <c r="O431" s="19" t="s">
        <v>89</v>
      </c>
      <c r="P431" s="19"/>
      <c r="Q431" s="39" t="s">
        <v>263</v>
      </c>
    </row>
    <row r="432" spans="1:17" ht="14.4">
      <c r="A432" s="13">
        <v>300</v>
      </c>
      <c r="B432" s="14" t="s">
        <v>353</v>
      </c>
      <c r="C432" s="34">
        <v>45526</v>
      </c>
      <c r="D432" s="17">
        <v>0</v>
      </c>
      <c r="E432" s="17">
        <v>4</v>
      </c>
      <c r="F432" s="17">
        <v>0</v>
      </c>
      <c r="G432" s="17">
        <v>0</v>
      </c>
      <c r="H432" s="16" t="s">
        <v>358</v>
      </c>
      <c r="I432" s="17">
        <v>0</v>
      </c>
      <c r="J432" s="17">
        <v>0</v>
      </c>
      <c r="K432" s="17">
        <v>0</v>
      </c>
      <c r="L432" s="17">
        <v>0</v>
      </c>
      <c r="M432" s="14" t="s">
        <v>287</v>
      </c>
      <c r="N432" s="14" t="s">
        <v>87</v>
      </c>
      <c r="O432" s="14" t="s">
        <v>57</v>
      </c>
      <c r="P432" s="14"/>
      <c r="Q432" s="36" t="s">
        <v>262</v>
      </c>
    </row>
    <row r="433" spans="1:17" ht="14.4">
      <c r="A433" s="26">
        <v>300</v>
      </c>
      <c r="B433" s="19" t="s">
        <v>353</v>
      </c>
      <c r="C433" s="37">
        <v>45526</v>
      </c>
      <c r="D433" s="22">
        <v>17</v>
      </c>
      <c r="E433" s="22">
        <v>0</v>
      </c>
      <c r="F433" s="22">
        <v>0</v>
      </c>
      <c r="G433" s="22">
        <v>0</v>
      </c>
      <c r="H433" s="38"/>
      <c r="I433" s="22">
        <v>0</v>
      </c>
      <c r="J433" s="22">
        <v>0</v>
      </c>
      <c r="K433" s="22">
        <v>0</v>
      </c>
      <c r="L433" s="22">
        <v>0</v>
      </c>
      <c r="M433" s="19" t="s">
        <v>287</v>
      </c>
      <c r="N433" s="19" t="s">
        <v>87</v>
      </c>
      <c r="O433" s="19" t="s">
        <v>57</v>
      </c>
      <c r="P433" s="22">
        <v>9</v>
      </c>
      <c r="Q433" s="39" t="s">
        <v>259</v>
      </c>
    </row>
    <row r="434" spans="1:17" ht="14.4">
      <c r="A434" s="13">
        <v>300</v>
      </c>
      <c r="B434" s="14" t="s">
        <v>353</v>
      </c>
      <c r="C434" s="34">
        <v>45526</v>
      </c>
      <c r="D434" s="17">
        <v>0</v>
      </c>
      <c r="E434" s="17">
        <v>0</v>
      </c>
      <c r="F434" s="17">
        <v>0</v>
      </c>
      <c r="G434" s="17">
        <v>0</v>
      </c>
      <c r="H434" s="35"/>
      <c r="I434" s="17">
        <v>5</v>
      </c>
      <c r="J434" s="17">
        <v>0</v>
      </c>
      <c r="K434" s="17">
        <v>0</v>
      </c>
      <c r="L434" s="17">
        <v>0</v>
      </c>
      <c r="M434" s="14" t="s">
        <v>287</v>
      </c>
      <c r="N434" s="14" t="s">
        <v>87</v>
      </c>
      <c r="O434" s="14" t="s">
        <v>57</v>
      </c>
      <c r="P434" s="14"/>
      <c r="Q434" s="36" t="s">
        <v>260</v>
      </c>
    </row>
    <row r="435" spans="1:17" ht="14.4">
      <c r="A435" s="26">
        <v>300</v>
      </c>
      <c r="B435" s="19" t="s">
        <v>353</v>
      </c>
      <c r="C435" s="37">
        <v>45526</v>
      </c>
      <c r="D435" s="22">
        <v>0</v>
      </c>
      <c r="E435" s="22">
        <v>0</v>
      </c>
      <c r="F435" s="22">
        <v>0</v>
      </c>
      <c r="G435" s="22">
        <v>0</v>
      </c>
      <c r="H435" s="38"/>
      <c r="I435" s="22">
        <v>0</v>
      </c>
      <c r="J435" s="22">
        <v>2</v>
      </c>
      <c r="K435" s="22">
        <v>4</v>
      </c>
      <c r="L435" s="22">
        <v>0</v>
      </c>
      <c r="M435" s="19" t="s">
        <v>287</v>
      </c>
      <c r="N435" s="19" t="s">
        <v>87</v>
      </c>
      <c r="O435" s="19" t="s">
        <v>57</v>
      </c>
      <c r="P435" s="19"/>
      <c r="Q435" s="39" t="s">
        <v>263</v>
      </c>
    </row>
    <row r="436" spans="1:17" ht="14.4">
      <c r="A436" s="13">
        <v>300</v>
      </c>
      <c r="B436" s="14" t="s">
        <v>353</v>
      </c>
      <c r="C436" s="34">
        <v>45526</v>
      </c>
      <c r="D436" s="17">
        <v>0</v>
      </c>
      <c r="E436" s="17">
        <v>0</v>
      </c>
      <c r="F436" s="17">
        <v>0</v>
      </c>
      <c r="G436" s="17">
        <v>0</v>
      </c>
      <c r="H436" s="35"/>
      <c r="I436" s="17">
        <v>0</v>
      </c>
      <c r="J436" s="17">
        <v>0</v>
      </c>
      <c r="K436" s="17">
        <v>0</v>
      </c>
      <c r="L436" s="17">
        <v>1</v>
      </c>
      <c r="M436" s="14" t="s">
        <v>287</v>
      </c>
      <c r="N436" s="14" t="s">
        <v>87</v>
      </c>
      <c r="O436" s="14" t="s">
        <v>86</v>
      </c>
      <c r="P436" s="14"/>
      <c r="Q436" s="36" t="s">
        <v>284</v>
      </c>
    </row>
    <row r="437" spans="1:17" ht="14.4">
      <c r="A437" s="26">
        <v>300</v>
      </c>
      <c r="B437" s="19" t="s">
        <v>353</v>
      </c>
      <c r="C437" s="37">
        <v>45526</v>
      </c>
      <c r="D437" s="22">
        <v>0</v>
      </c>
      <c r="E437" s="22">
        <v>4</v>
      </c>
      <c r="F437" s="22">
        <v>0</v>
      </c>
      <c r="G437" s="22">
        <v>0</v>
      </c>
      <c r="H437" s="21" t="s">
        <v>359</v>
      </c>
      <c r="I437" s="22">
        <v>0</v>
      </c>
      <c r="J437" s="22">
        <v>0</v>
      </c>
      <c r="K437" s="22">
        <v>0</v>
      </c>
      <c r="L437" s="22">
        <v>0</v>
      </c>
      <c r="M437" s="19" t="s">
        <v>287</v>
      </c>
      <c r="N437" s="19" t="s">
        <v>87</v>
      </c>
      <c r="O437" s="19" t="s">
        <v>86</v>
      </c>
      <c r="P437" s="19"/>
      <c r="Q437" s="39" t="s">
        <v>262</v>
      </c>
    </row>
    <row r="438" spans="1:17" ht="14.4">
      <c r="A438" s="13">
        <v>300</v>
      </c>
      <c r="B438" s="14" t="s">
        <v>353</v>
      </c>
      <c r="C438" s="34">
        <v>45526</v>
      </c>
      <c r="D438" s="17">
        <v>34</v>
      </c>
      <c r="E438" s="17">
        <v>0</v>
      </c>
      <c r="F438" s="17">
        <v>0</v>
      </c>
      <c r="G438" s="17">
        <v>0</v>
      </c>
      <c r="H438" s="35"/>
      <c r="I438" s="17">
        <v>0</v>
      </c>
      <c r="J438" s="17">
        <v>0</v>
      </c>
      <c r="K438" s="17">
        <v>0</v>
      </c>
      <c r="L438" s="17">
        <v>0</v>
      </c>
      <c r="M438" s="14" t="s">
        <v>287</v>
      </c>
      <c r="N438" s="14" t="s">
        <v>87</v>
      </c>
      <c r="O438" s="14" t="s">
        <v>86</v>
      </c>
      <c r="P438" s="17">
        <v>8</v>
      </c>
      <c r="Q438" s="36" t="s">
        <v>259</v>
      </c>
    </row>
    <row r="439" spans="1:17" ht="14.4">
      <c r="A439" s="26">
        <v>300</v>
      </c>
      <c r="B439" s="19" t="s">
        <v>353</v>
      </c>
      <c r="C439" s="37">
        <v>45526</v>
      </c>
      <c r="D439" s="22">
        <v>0</v>
      </c>
      <c r="E439" s="22">
        <v>0</v>
      </c>
      <c r="F439" s="22">
        <v>0</v>
      </c>
      <c r="G439" s="22">
        <v>0</v>
      </c>
      <c r="H439" s="38"/>
      <c r="I439" s="22">
        <v>3</v>
      </c>
      <c r="J439" s="22">
        <v>0</v>
      </c>
      <c r="K439" s="22">
        <v>0</v>
      </c>
      <c r="L439" s="22">
        <v>0</v>
      </c>
      <c r="M439" s="19" t="s">
        <v>287</v>
      </c>
      <c r="N439" s="19" t="s">
        <v>87</v>
      </c>
      <c r="O439" s="19" t="s">
        <v>86</v>
      </c>
      <c r="P439" s="19"/>
      <c r="Q439" s="39" t="s">
        <v>260</v>
      </c>
    </row>
    <row r="440" spans="1:17" ht="14.4">
      <c r="A440" s="13">
        <v>300</v>
      </c>
      <c r="B440" s="14" t="s">
        <v>353</v>
      </c>
      <c r="C440" s="34">
        <v>45526</v>
      </c>
      <c r="D440" s="17">
        <v>0</v>
      </c>
      <c r="E440" s="17">
        <v>0</v>
      </c>
      <c r="F440" s="17">
        <v>0</v>
      </c>
      <c r="G440" s="17">
        <v>0</v>
      </c>
      <c r="H440" s="35"/>
      <c r="I440" s="17">
        <v>0</v>
      </c>
      <c r="J440" s="17">
        <v>3</v>
      </c>
      <c r="K440" s="17">
        <v>3</v>
      </c>
      <c r="L440" s="17">
        <v>0</v>
      </c>
      <c r="M440" s="14" t="s">
        <v>287</v>
      </c>
      <c r="N440" s="14" t="s">
        <v>87</v>
      </c>
      <c r="O440" s="14" t="s">
        <v>86</v>
      </c>
      <c r="P440" s="14"/>
      <c r="Q440" s="36" t="s">
        <v>263</v>
      </c>
    </row>
    <row r="441" spans="1:17" ht="14.4">
      <c r="A441" s="26">
        <v>300</v>
      </c>
      <c r="B441" s="19" t="s">
        <v>353</v>
      </c>
      <c r="C441" s="37">
        <v>45526</v>
      </c>
      <c r="D441" s="22">
        <v>0</v>
      </c>
      <c r="E441" s="22">
        <v>0</v>
      </c>
      <c r="F441" s="22">
        <v>0</v>
      </c>
      <c r="G441" s="22">
        <v>0</v>
      </c>
      <c r="H441" s="38"/>
      <c r="I441" s="22">
        <v>0</v>
      </c>
      <c r="J441" s="22">
        <v>0</v>
      </c>
      <c r="K441" s="22">
        <v>0</v>
      </c>
      <c r="L441" s="22">
        <v>1</v>
      </c>
      <c r="M441" s="19" t="s">
        <v>287</v>
      </c>
      <c r="N441" s="19" t="s">
        <v>87</v>
      </c>
      <c r="O441" s="19" t="s">
        <v>59</v>
      </c>
      <c r="P441" s="19"/>
      <c r="Q441" s="39" t="s">
        <v>284</v>
      </c>
    </row>
    <row r="442" spans="1:17" ht="14.4">
      <c r="A442" s="13">
        <v>300</v>
      </c>
      <c r="B442" s="14" t="s">
        <v>353</v>
      </c>
      <c r="C442" s="34">
        <v>45526</v>
      </c>
      <c r="D442" s="17">
        <v>0</v>
      </c>
      <c r="E442" s="17">
        <v>2</v>
      </c>
      <c r="F442" s="17">
        <v>0</v>
      </c>
      <c r="G442" s="17">
        <v>0</v>
      </c>
      <c r="H442" s="16" t="s">
        <v>360</v>
      </c>
      <c r="I442" s="17">
        <v>0</v>
      </c>
      <c r="J442" s="17">
        <v>0</v>
      </c>
      <c r="K442" s="17">
        <v>0</v>
      </c>
      <c r="L442" s="17">
        <v>0</v>
      </c>
      <c r="M442" s="14" t="s">
        <v>287</v>
      </c>
      <c r="N442" s="14" t="s">
        <v>87</v>
      </c>
      <c r="O442" s="14" t="s">
        <v>59</v>
      </c>
      <c r="P442" s="14"/>
      <c r="Q442" s="36" t="s">
        <v>262</v>
      </c>
    </row>
    <row r="443" spans="1:17" ht="14.4">
      <c r="A443" s="26">
        <v>300</v>
      </c>
      <c r="B443" s="19" t="s">
        <v>353</v>
      </c>
      <c r="C443" s="37">
        <v>45526</v>
      </c>
      <c r="D443" s="22">
        <v>0</v>
      </c>
      <c r="E443" s="22">
        <v>1</v>
      </c>
      <c r="F443" s="22">
        <v>0</v>
      </c>
      <c r="G443" s="22">
        <v>0</v>
      </c>
      <c r="H443" s="21" t="s">
        <v>361</v>
      </c>
      <c r="I443" s="22">
        <v>0</v>
      </c>
      <c r="J443" s="22">
        <v>0</v>
      </c>
      <c r="K443" s="22">
        <v>0</v>
      </c>
      <c r="L443" s="22">
        <v>0</v>
      </c>
      <c r="M443" s="19" t="s">
        <v>287</v>
      </c>
      <c r="N443" s="19" t="s">
        <v>87</v>
      </c>
      <c r="O443" s="19" t="s">
        <v>59</v>
      </c>
      <c r="P443" s="19"/>
      <c r="Q443" s="39" t="s">
        <v>362</v>
      </c>
    </row>
    <row r="444" spans="1:17" ht="14.4">
      <c r="A444" s="13">
        <v>300</v>
      </c>
      <c r="B444" s="14" t="s">
        <v>353</v>
      </c>
      <c r="C444" s="34">
        <v>45526</v>
      </c>
      <c r="D444" s="17">
        <v>10</v>
      </c>
      <c r="E444" s="17">
        <v>0</v>
      </c>
      <c r="F444" s="17">
        <v>0</v>
      </c>
      <c r="G444" s="17">
        <v>0</v>
      </c>
      <c r="H444" s="35"/>
      <c r="I444" s="17">
        <v>0</v>
      </c>
      <c r="J444" s="17">
        <v>0</v>
      </c>
      <c r="K444" s="17">
        <v>0</v>
      </c>
      <c r="L444" s="17">
        <v>0</v>
      </c>
      <c r="M444" s="14" t="s">
        <v>287</v>
      </c>
      <c r="N444" s="14" t="s">
        <v>87</v>
      </c>
      <c r="O444" s="14" t="s">
        <v>59</v>
      </c>
      <c r="P444" s="17">
        <v>6</v>
      </c>
      <c r="Q444" s="36" t="s">
        <v>259</v>
      </c>
    </row>
    <row r="445" spans="1:17" ht="14.4">
      <c r="A445" s="26">
        <v>300</v>
      </c>
      <c r="B445" s="19" t="s">
        <v>353</v>
      </c>
      <c r="C445" s="37">
        <v>45526</v>
      </c>
      <c r="D445" s="22">
        <v>0</v>
      </c>
      <c r="E445" s="22">
        <v>0</v>
      </c>
      <c r="F445" s="22">
        <v>0</v>
      </c>
      <c r="G445" s="22">
        <v>0</v>
      </c>
      <c r="H445" s="38"/>
      <c r="I445" s="22">
        <v>12</v>
      </c>
      <c r="J445" s="22">
        <v>0</v>
      </c>
      <c r="K445" s="22">
        <v>0</v>
      </c>
      <c r="L445" s="22">
        <v>0</v>
      </c>
      <c r="M445" s="19" t="s">
        <v>287</v>
      </c>
      <c r="N445" s="19" t="s">
        <v>87</v>
      </c>
      <c r="O445" s="19" t="s">
        <v>59</v>
      </c>
      <c r="P445" s="19"/>
      <c r="Q445" s="39" t="s">
        <v>260</v>
      </c>
    </row>
    <row r="446" spans="1:17" ht="14.4">
      <c r="A446" s="13">
        <v>300</v>
      </c>
      <c r="B446" s="14" t="s">
        <v>353</v>
      </c>
      <c r="C446" s="34">
        <v>45526</v>
      </c>
      <c r="D446" s="17">
        <v>0</v>
      </c>
      <c r="E446" s="17">
        <v>0</v>
      </c>
      <c r="F446" s="17">
        <v>0</v>
      </c>
      <c r="G446" s="17">
        <v>0</v>
      </c>
      <c r="H446" s="35"/>
      <c r="I446" s="17">
        <v>0</v>
      </c>
      <c r="J446" s="17">
        <v>0</v>
      </c>
      <c r="K446" s="17">
        <v>9</v>
      </c>
      <c r="L446" s="17">
        <v>0</v>
      </c>
      <c r="M446" s="14" t="s">
        <v>287</v>
      </c>
      <c r="N446" s="14" t="s">
        <v>87</v>
      </c>
      <c r="O446" s="14" t="s">
        <v>59</v>
      </c>
      <c r="P446" s="14"/>
      <c r="Q446" s="36" t="s">
        <v>263</v>
      </c>
    </row>
    <row r="447" spans="1:17" ht="14.4">
      <c r="A447" s="26">
        <v>301</v>
      </c>
      <c r="B447" s="19" t="s">
        <v>363</v>
      </c>
      <c r="C447" s="37">
        <v>45526</v>
      </c>
      <c r="D447" s="22">
        <v>1</v>
      </c>
      <c r="E447" s="22">
        <v>0</v>
      </c>
      <c r="F447" s="22">
        <v>0</v>
      </c>
      <c r="G447" s="22">
        <v>0</v>
      </c>
      <c r="H447" s="38"/>
      <c r="I447" s="22">
        <v>0</v>
      </c>
      <c r="J447" s="22">
        <v>0</v>
      </c>
      <c r="K447" s="22">
        <v>0</v>
      </c>
      <c r="L447" s="22">
        <v>0</v>
      </c>
      <c r="M447" s="19" t="s">
        <v>100</v>
      </c>
      <c r="N447" s="19" t="s">
        <v>87</v>
      </c>
      <c r="O447" s="19" t="s">
        <v>98</v>
      </c>
      <c r="P447" s="22">
        <v>1</v>
      </c>
      <c r="Q447" s="39" t="s">
        <v>259</v>
      </c>
    </row>
    <row r="448" spans="1:17" ht="14.4">
      <c r="A448" s="13">
        <v>301</v>
      </c>
      <c r="B448" s="14" t="s">
        <v>363</v>
      </c>
      <c r="C448" s="34">
        <v>45526</v>
      </c>
      <c r="D448" s="17">
        <v>1</v>
      </c>
      <c r="E448" s="17">
        <v>0</v>
      </c>
      <c r="F448" s="17">
        <v>0</v>
      </c>
      <c r="G448" s="17">
        <v>0</v>
      </c>
      <c r="H448" s="35"/>
      <c r="I448" s="17">
        <v>0</v>
      </c>
      <c r="J448" s="17">
        <v>0</v>
      </c>
      <c r="K448" s="17">
        <v>0</v>
      </c>
      <c r="L448" s="17">
        <v>0</v>
      </c>
      <c r="M448" s="14" t="s">
        <v>100</v>
      </c>
      <c r="N448" s="14" t="s">
        <v>87</v>
      </c>
      <c r="O448" s="14" t="s">
        <v>59</v>
      </c>
      <c r="P448" s="14"/>
      <c r="Q448" s="36" t="s">
        <v>259</v>
      </c>
    </row>
    <row r="449" spans="1:17" ht="14.4">
      <c r="A449" s="26">
        <v>351</v>
      </c>
      <c r="B449" s="19" t="s">
        <v>363</v>
      </c>
      <c r="C449" s="37">
        <v>45526</v>
      </c>
      <c r="D449" s="22">
        <v>1</v>
      </c>
      <c r="E449" s="22">
        <v>0</v>
      </c>
      <c r="F449" s="22">
        <v>0</v>
      </c>
      <c r="G449" s="22">
        <v>0</v>
      </c>
      <c r="H449" s="38"/>
      <c r="I449" s="22">
        <v>0</v>
      </c>
      <c r="J449" s="22">
        <v>0</v>
      </c>
      <c r="K449" s="22">
        <v>0</v>
      </c>
      <c r="L449" s="22">
        <v>0</v>
      </c>
      <c r="M449" s="19" t="s">
        <v>100</v>
      </c>
      <c r="N449" s="19" t="s">
        <v>87</v>
      </c>
      <c r="O449" s="19" t="s">
        <v>98</v>
      </c>
      <c r="P449" s="22">
        <v>1</v>
      </c>
      <c r="Q449" s="39" t="s">
        <v>259</v>
      </c>
    </row>
    <row r="450" spans="1:17" ht="14.4">
      <c r="A450" s="13">
        <v>648</v>
      </c>
      <c r="B450" s="14" t="s">
        <v>364</v>
      </c>
      <c r="C450" s="34">
        <v>45526</v>
      </c>
      <c r="D450" s="17">
        <v>0</v>
      </c>
      <c r="E450" s="17">
        <v>1</v>
      </c>
      <c r="F450" s="17">
        <v>0</v>
      </c>
      <c r="G450" s="17">
        <v>0</v>
      </c>
      <c r="H450" s="16" t="s">
        <v>303</v>
      </c>
      <c r="I450" s="17">
        <v>0</v>
      </c>
      <c r="J450" s="17">
        <v>0</v>
      </c>
      <c r="K450" s="17">
        <v>0</v>
      </c>
      <c r="L450" s="17">
        <v>0</v>
      </c>
      <c r="M450" s="14" t="s">
        <v>100</v>
      </c>
      <c r="N450" s="14" t="s">
        <v>87</v>
      </c>
      <c r="O450" s="14" t="s">
        <v>86</v>
      </c>
      <c r="P450" s="14"/>
      <c r="Q450" s="36" t="s">
        <v>262</v>
      </c>
    </row>
    <row r="451" spans="1:17" ht="14.4">
      <c r="A451" s="26">
        <v>327</v>
      </c>
      <c r="B451" s="19" t="s">
        <v>365</v>
      </c>
      <c r="C451" s="37">
        <v>45526</v>
      </c>
      <c r="D451" s="22">
        <v>1</v>
      </c>
      <c r="E451" s="22">
        <v>0</v>
      </c>
      <c r="F451" s="22">
        <v>0</v>
      </c>
      <c r="G451" s="22">
        <v>0</v>
      </c>
      <c r="H451" s="38"/>
      <c r="I451" s="22">
        <v>0</v>
      </c>
      <c r="J451" s="22">
        <v>0</v>
      </c>
      <c r="K451" s="22">
        <v>0</v>
      </c>
      <c r="L451" s="22">
        <v>0</v>
      </c>
      <c r="M451" s="19" t="s">
        <v>100</v>
      </c>
      <c r="N451" s="19" t="s">
        <v>91</v>
      </c>
      <c r="O451" s="19" t="s">
        <v>90</v>
      </c>
      <c r="P451" s="19"/>
      <c r="Q451" s="39" t="s">
        <v>259</v>
      </c>
    </row>
    <row r="452" spans="1:17" ht="14.4">
      <c r="A452" s="13">
        <v>331</v>
      </c>
      <c r="B452" s="14" t="s">
        <v>366</v>
      </c>
      <c r="C452" s="34">
        <v>45526</v>
      </c>
      <c r="D452" s="17">
        <v>1</v>
      </c>
      <c r="E452" s="17">
        <v>0</v>
      </c>
      <c r="F452" s="17">
        <v>0</v>
      </c>
      <c r="G452" s="17">
        <v>0</v>
      </c>
      <c r="H452" s="35"/>
      <c r="I452" s="17">
        <v>0</v>
      </c>
      <c r="J452" s="17">
        <v>0</v>
      </c>
      <c r="K452" s="17">
        <v>0</v>
      </c>
      <c r="L452" s="17">
        <v>0</v>
      </c>
      <c r="M452" s="14" t="s">
        <v>100</v>
      </c>
      <c r="N452" s="14" t="s">
        <v>91</v>
      </c>
      <c r="O452" s="14" t="s">
        <v>47</v>
      </c>
      <c r="P452" s="14"/>
      <c r="Q452" s="36" t="s">
        <v>259</v>
      </c>
    </row>
    <row r="453" spans="1:17" ht="14.4">
      <c r="A453" s="26">
        <v>334</v>
      </c>
      <c r="B453" s="19" t="s">
        <v>367</v>
      </c>
      <c r="C453" s="37">
        <v>45526</v>
      </c>
      <c r="D453" s="22">
        <v>1</v>
      </c>
      <c r="E453" s="22">
        <v>0</v>
      </c>
      <c r="F453" s="22">
        <v>0</v>
      </c>
      <c r="G453" s="22">
        <v>0</v>
      </c>
      <c r="H453" s="38"/>
      <c r="I453" s="22">
        <v>0</v>
      </c>
      <c r="J453" s="22">
        <v>0</v>
      </c>
      <c r="K453" s="22">
        <v>0</v>
      </c>
      <c r="L453" s="22">
        <v>0</v>
      </c>
      <c r="M453" s="19" t="s">
        <v>100</v>
      </c>
      <c r="N453" s="19" t="s">
        <v>91</v>
      </c>
      <c r="O453" s="19" t="s">
        <v>38</v>
      </c>
      <c r="P453" s="19"/>
      <c r="Q453" s="39" t="s">
        <v>259</v>
      </c>
    </row>
    <row r="454" spans="1:17" ht="14.4">
      <c r="A454" s="13">
        <v>325</v>
      </c>
      <c r="B454" s="14" t="s">
        <v>368</v>
      </c>
      <c r="C454" s="34">
        <v>45526</v>
      </c>
      <c r="D454" s="17">
        <v>1</v>
      </c>
      <c r="E454" s="17">
        <v>0</v>
      </c>
      <c r="F454" s="17">
        <v>0</v>
      </c>
      <c r="G454" s="17">
        <v>0</v>
      </c>
      <c r="H454" s="35"/>
      <c r="I454" s="17">
        <v>0</v>
      </c>
      <c r="J454" s="17">
        <v>0</v>
      </c>
      <c r="K454" s="17">
        <v>0</v>
      </c>
      <c r="L454" s="17">
        <v>0</v>
      </c>
      <c r="M454" s="14" t="s">
        <v>100</v>
      </c>
      <c r="N454" s="14" t="s">
        <v>87</v>
      </c>
      <c r="O454" s="14" t="s">
        <v>86</v>
      </c>
      <c r="P454" s="17">
        <v>1</v>
      </c>
      <c r="Q454" s="36" t="s">
        <v>259</v>
      </c>
    </row>
    <row r="455" spans="1:17" ht="14.4">
      <c r="A455" s="26">
        <v>325</v>
      </c>
      <c r="B455" s="19" t="s">
        <v>368</v>
      </c>
      <c r="C455" s="37">
        <v>45526</v>
      </c>
      <c r="D455" s="22">
        <v>0</v>
      </c>
      <c r="E455" s="22">
        <v>0</v>
      </c>
      <c r="F455" s="22">
        <v>0</v>
      </c>
      <c r="G455" s="22">
        <v>0</v>
      </c>
      <c r="H455" s="38"/>
      <c r="I455" s="22">
        <v>0</v>
      </c>
      <c r="J455" s="22">
        <v>1</v>
      </c>
      <c r="K455" s="22">
        <v>0</v>
      </c>
      <c r="L455" s="22">
        <v>0</v>
      </c>
      <c r="M455" s="19" t="s">
        <v>100</v>
      </c>
      <c r="N455" s="19" t="s">
        <v>87</v>
      </c>
      <c r="O455" s="19" t="s">
        <v>86</v>
      </c>
      <c r="P455" s="19"/>
      <c r="Q455" s="39" t="s">
        <v>263</v>
      </c>
    </row>
    <row r="456" spans="1:17" ht="14.4">
      <c r="A456" s="13">
        <v>326</v>
      </c>
      <c r="B456" s="14" t="s">
        <v>369</v>
      </c>
      <c r="C456" s="34">
        <v>45526</v>
      </c>
      <c r="D456" s="17">
        <v>1</v>
      </c>
      <c r="E456" s="17">
        <v>0</v>
      </c>
      <c r="F456" s="17">
        <v>0</v>
      </c>
      <c r="G456" s="17">
        <v>0</v>
      </c>
      <c r="H456" s="35"/>
      <c r="I456" s="17">
        <v>0</v>
      </c>
      <c r="J456" s="17">
        <v>0</v>
      </c>
      <c r="K456" s="17">
        <v>0</v>
      </c>
      <c r="L456" s="17">
        <v>0</v>
      </c>
      <c r="M456" s="14" t="s">
        <v>100</v>
      </c>
      <c r="N456" s="14" t="s">
        <v>87</v>
      </c>
      <c r="O456" s="14" t="s">
        <v>86</v>
      </c>
      <c r="P456" s="17">
        <v>1</v>
      </c>
      <c r="Q456" s="36" t="s">
        <v>259</v>
      </c>
    </row>
    <row r="457" spans="1:17" ht="14.4">
      <c r="A457" s="26">
        <v>326</v>
      </c>
      <c r="B457" s="19" t="s">
        <v>369</v>
      </c>
      <c r="C457" s="37">
        <v>45526</v>
      </c>
      <c r="D457" s="22">
        <v>0</v>
      </c>
      <c r="E457" s="22">
        <v>0</v>
      </c>
      <c r="F457" s="22">
        <v>0</v>
      </c>
      <c r="G457" s="22">
        <v>0</v>
      </c>
      <c r="H457" s="38"/>
      <c r="I457" s="22">
        <v>0</v>
      </c>
      <c r="J457" s="22">
        <v>1</v>
      </c>
      <c r="K457" s="22">
        <v>0</v>
      </c>
      <c r="L457" s="22">
        <v>0</v>
      </c>
      <c r="M457" s="19" t="s">
        <v>100</v>
      </c>
      <c r="N457" s="19" t="s">
        <v>87</v>
      </c>
      <c r="O457" s="19" t="s">
        <v>86</v>
      </c>
      <c r="P457" s="19"/>
      <c r="Q457" s="39" t="s">
        <v>263</v>
      </c>
    </row>
    <row r="458" spans="1:17" ht="14.4">
      <c r="A458" s="13">
        <v>110</v>
      </c>
      <c r="B458" s="14" t="s">
        <v>370</v>
      </c>
      <c r="C458" s="34">
        <v>45526</v>
      </c>
      <c r="D458" s="17">
        <v>0</v>
      </c>
      <c r="E458" s="17">
        <v>1</v>
      </c>
      <c r="F458" s="17">
        <v>0</v>
      </c>
      <c r="G458" s="17">
        <v>0</v>
      </c>
      <c r="H458" s="16" t="s">
        <v>273</v>
      </c>
      <c r="I458" s="17">
        <v>0</v>
      </c>
      <c r="J458" s="17">
        <v>0</v>
      </c>
      <c r="K458" s="17">
        <v>0</v>
      </c>
      <c r="L458" s="17">
        <v>0</v>
      </c>
      <c r="M458" s="14" t="s">
        <v>296</v>
      </c>
      <c r="N458" s="14" t="s">
        <v>91</v>
      </c>
      <c r="O458" s="14" t="s">
        <v>38</v>
      </c>
      <c r="P458" s="14"/>
      <c r="Q458" s="36" t="s">
        <v>262</v>
      </c>
    </row>
    <row r="459" spans="1:17" ht="14.4">
      <c r="A459" s="26">
        <v>110</v>
      </c>
      <c r="B459" s="19" t="s">
        <v>370</v>
      </c>
      <c r="C459" s="37">
        <v>45526</v>
      </c>
      <c r="D459" s="22">
        <v>10</v>
      </c>
      <c r="E459" s="22">
        <v>0</v>
      </c>
      <c r="F459" s="22">
        <v>0</v>
      </c>
      <c r="G459" s="22">
        <v>0</v>
      </c>
      <c r="H459" s="38"/>
      <c r="I459" s="22">
        <v>0</v>
      </c>
      <c r="J459" s="22">
        <v>0</v>
      </c>
      <c r="K459" s="22">
        <v>0</v>
      </c>
      <c r="L459" s="22">
        <v>0</v>
      </c>
      <c r="M459" s="19" t="s">
        <v>296</v>
      </c>
      <c r="N459" s="19" t="s">
        <v>91</v>
      </c>
      <c r="O459" s="19" t="s">
        <v>38</v>
      </c>
      <c r="P459" s="22">
        <v>5</v>
      </c>
      <c r="Q459" s="39" t="s">
        <v>259</v>
      </c>
    </row>
    <row r="460" spans="1:17" ht="14.4">
      <c r="A460" s="13">
        <v>110</v>
      </c>
      <c r="B460" s="14" t="s">
        <v>370</v>
      </c>
      <c r="C460" s="34">
        <v>45526</v>
      </c>
      <c r="D460" s="17">
        <v>0</v>
      </c>
      <c r="E460" s="17">
        <v>0</v>
      </c>
      <c r="F460" s="17">
        <v>0</v>
      </c>
      <c r="G460" s="17">
        <v>0</v>
      </c>
      <c r="H460" s="35"/>
      <c r="I460" s="17">
        <v>5</v>
      </c>
      <c r="J460" s="17">
        <v>0</v>
      </c>
      <c r="K460" s="17">
        <v>0</v>
      </c>
      <c r="L460" s="17">
        <v>0</v>
      </c>
      <c r="M460" s="14" t="s">
        <v>296</v>
      </c>
      <c r="N460" s="14" t="s">
        <v>91</v>
      </c>
      <c r="O460" s="14" t="s">
        <v>38</v>
      </c>
      <c r="P460" s="14"/>
      <c r="Q460" s="36" t="s">
        <v>260</v>
      </c>
    </row>
    <row r="461" spans="1:17" ht="14.4">
      <c r="A461" s="26">
        <v>110</v>
      </c>
      <c r="B461" s="19" t="s">
        <v>370</v>
      </c>
      <c r="C461" s="37">
        <v>45526</v>
      </c>
      <c r="D461" s="22">
        <v>0</v>
      </c>
      <c r="E461" s="22">
        <v>0</v>
      </c>
      <c r="F461" s="22">
        <v>0</v>
      </c>
      <c r="G461" s="22">
        <v>0</v>
      </c>
      <c r="H461" s="38"/>
      <c r="I461" s="22">
        <v>0</v>
      </c>
      <c r="J461" s="22">
        <v>1</v>
      </c>
      <c r="K461" s="22">
        <v>0</v>
      </c>
      <c r="L461" s="22">
        <v>0</v>
      </c>
      <c r="M461" s="19" t="s">
        <v>296</v>
      </c>
      <c r="N461" s="19" t="s">
        <v>91</v>
      </c>
      <c r="O461" s="19" t="s">
        <v>38</v>
      </c>
      <c r="P461" s="19"/>
      <c r="Q461" s="39" t="s">
        <v>263</v>
      </c>
    </row>
    <row r="462" spans="1:17" ht="14.4">
      <c r="A462" s="13">
        <v>110</v>
      </c>
      <c r="B462" s="14" t="s">
        <v>370</v>
      </c>
      <c r="C462" s="34">
        <v>45526</v>
      </c>
      <c r="D462" s="17">
        <v>0</v>
      </c>
      <c r="E462" s="17">
        <v>1</v>
      </c>
      <c r="F462" s="17">
        <v>0</v>
      </c>
      <c r="G462" s="17">
        <v>0</v>
      </c>
      <c r="H462" s="16" t="s">
        <v>303</v>
      </c>
      <c r="I462" s="17">
        <v>0</v>
      </c>
      <c r="J462" s="17">
        <v>0</v>
      </c>
      <c r="K462" s="17">
        <v>0</v>
      </c>
      <c r="L462" s="17">
        <v>0</v>
      </c>
      <c r="M462" s="14" t="s">
        <v>296</v>
      </c>
      <c r="N462" s="14" t="s">
        <v>91</v>
      </c>
      <c r="O462" s="14" t="s">
        <v>44</v>
      </c>
      <c r="P462" s="14"/>
      <c r="Q462" s="36" t="s">
        <v>262</v>
      </c>
    </row>
    <row r="463" spans="1:17" ht="14.4">
      <c r="A463" s="26">
        <v>110</v>
      </c>
      <c r="B463" s="19" t="s">
        <v>370</v>
      </c>
      <c r="C463" s="37">
        <v>45526</v>
      </c>
      <c r="D463" s="22">
        <v>5</v>
      </c>
      <c r="E463" s="22">
        <v>0</v>
      </c>
      <c r="F463" s="22">
        <v>0</v>
      </c>
      <c r="G463" s="22">
        <v>0</v>
      </c>
      <c r="H463" s="38"/>
      <c r="I463" s="22">
        <v>0</v>
      </c>
      <c r="J463" s="22">
        <v>0</v>
      </c>
      <c r="K463" s="22">
        <v>0</v>
      </c>
      <c r="L463" s="22">
        <v>0</v>
      </c>
      <c r="M463" s="19" t="s">
        <v>296</v>
      </c>
      <c r="N463" s="19" t="s">
        <v>91</v>
      </c>
      <c r="O463" s="19" t="s">
        <v>44</v>
      </c>
      <c r="P463" s="22">
        <v>4</v>
      </c>
      <c r="Q463" s="39" t="s">
        <v>259</v>
      </c>
    </row>
    <row r="464" spans="1:17" ht="14.4">
      <c r="A464" s="13">
        <v>110</v>
      </c>
      <c r="B464" s="14" t="s">
        <v>370</v>
      </c>
      <c r="C464" s="34">
        <v>45526</v>
      </c>
      <c r="D464" s="17">
        <v>0</v>
      </c>
      <c r="E464" s="17">
        <v>0</v>
      </c>
      <c r="F464" s="17">
        <v>0</v>
      </c>
      <c r="G464" s="17">
        <v>0</v>
      </c>
      <c r="H464" s="35"/>
      <c r="I464" s="17">
        <v>3</v>
      </c>
      <c r="J464" s="17">
        <v>0</v>
      </c>
      <c r="K464" s="17">
        <v>0</v>
      </c>
      <c r="L464" s="17">
        <v>0</v>
      </c>
      <c r="M464" s="14" t="s">
        <v>296</v>
      </c>
      <c r="N464" s="14" t="s">
        <v>91</v>
      </c>
      <c r="O464" s="14" t="s">
        <v>44</v>
      </c>
      <c r="P464" s="14"/>
      <c r="Q464" s="36" t="s">
        <v>260</v>
      </c>
    </row>
    <row r="465" spans="1:17" ht="14.4">
      <c r="A465" s="26">
        <v>110</v>
      </c>
      <c r="B465" s="19" t="s">
        <v>370</v>
      </c>
      <c r="C465" s="37">
        <v>45526</v>
      </c>
      <c r="D465" s="22">
        <v>0</v>
      </c>
      <c r="E465" s="22">
        <v>0</v>
      </c>
      <c r="F465" s="22">
        <v>0</v>
      </c>
      <c r="G465" s="22">
        <v>0</v>
      </c>
      <c r="H465" s="38"/>
      <c r="I465" s="22">
        <v>0</v>
      </c>
      <c r="J465" s="22">
        <v>2</v>
      </c>
      <c r="K465" s="22">
        <v>0</v>
      </c>
      <c r="L465" s="22">
        <v>0</v>
      </c>
      <c r="M465" s="19" t="s">
        <v>296</v>
      </c>
      <c r="N465" s="19" t="s">
        <v>91</v>
      </c>
      <c r="O465" s="19" t="s">
        <v>44</v>
      </c>
      <c r="P465" s="19"/>
      <c r="Q465" s="39" t="s">
        <v>263</v>
      </c>
    </row>
    <row r="466" spans="1:17" ht="14.4">
      <c r="A466" s="13">
        <v>110</v>
      </c>
      <c r="B466" s="14" t="s">
        <v>370</v>
      </c>
      <c r="C466" s="34">
        <v>45526</v>
      </c>
      <c r="D466" s="17">
        <v>0</v>
      </c>
      <c r="E466" s="17">
        <v>1</v>
      </c>
      <c r="F466" s="17">
        <v>0</v>
      </c>
      <c r="G466" s="17">
        <v>0</v>
      </c>
      <c r="H466" s="16" t="s">
        <v>306</v>
      </c>
      <c r="I466" s="17">
        <v>0</v>
      </c>
      <c r="J466" s="17">
        <v>0</v>
      </c>
      <c r="K466" s="17">
        <v>0</v>
      </c>
      <c r="L466" s="17">
        <v>0</v>
      </c>
      <c r="M466" s="14" t="s">
        <v>296</v>
      </c>
      <c r="N466" s="14" t="s">
        <v>91</v>
      </c>
      <c r="O466" s="14" t="s">
        <v>47</v>
      </c>
      <c r="P466" s="14"/>
      <c r="Q466" s="36" t="s">
        <v>262</v>
      </c>
    </row>
    <row r="467" spans="1:17" ht="14.4">
      <c r="A467" s="26">
        <v>110</v>
      </c>
      <c r="B467" s="19" t="s">
        <v>370</v>
      </c>
      <c r="C467" s="37">
        <v>45526</v>
      </c>
      <c r="D467" s="22">
        <v>2</v>
      </c>
      <c r="E467" s="22">
        <v>0</v>
      </c>
      <c r="F467" s="22">
        <v>0</v>
      </c>
      <c r="G467" s="22">
        <v>0</v>
      </c>
      <c r="H467" s="38"/>
      <c r="I467" s="22">
        <v>0</v>
      </c>
      <c r="J467" s="22">
        <v>0</v>
      </c>
      <c r="K467" s="22">
        <v>0</v>
      </c>
      <c r="L467" s="22">
        <v>0</v>
      </c>
      <c r="M467" s="19" t="s">
        <v>296</v>
      </c>
      <c r="N467" s="19" t="s">
        <v>91</v>
      </c>
      <c r="O467" s="19" t="s">
        <v>47</v>
      </c>
      <c r="P467" s="22">
        <v>2</v>
      </c>
      <c r="Q467" s="39" t="s">
        <v>259</v>
      </c>
    </row>
    <row r="468" spans="1:17" ht="14.4">
      <c r="A468" s="13">
        <v>110</v>
      </c>
      <c r="B468" s="14" t="s">
        <v>370</v>
      </c>
      <c r="C468" s="34">
        <v>45526</v>
      </c>
      <c r="D468" s="17">
        <v>0</v>
      </c>
      <c r="E468" s="17">
        <v>0</v>
      </c>
      <c r="F468" s="17">
        <v>0</v>
      </c>
      <c r="G468" s="17">
        <v>0</v>
      </c>
      <c r="H468" s="35"/>
      <c r="I468" s="17">
        <v>2</v>
      </c>
      <c r="J468" s="17">
        <v>0</v>
      </c>
      <c r="K468" s="17">
        <v>0</v>
      </c>
      <c r="L468" s="17">
        <v>0</v>
      </c>
      <c r="M468" s="14" t="s">
        <v>296</v>
      </c>
      <c r="N468" s="14" t="s">
        <v>91</v>
      </c>
      <c r="O468" s="14" t="s">
        <v>47</v>
      </c>
      <c r="P468" s="14"/>
      <c r="Q468" s="36" t="s">
        <v>260</v>
      </c>
    </row>
    <row r="469" spans="1:17" ht="14.4">
      <c r="A469" s="26">
        <v>110</v>
      </c>
      <c r="B469" s="19" t="s">
        <v>370</v>
      </c>
      <c r="C469" s="37">
        <v>45526</v>
      </c>
      <c r="D469" s="22">
        <v>3</v>
      </c>
      <c r="E469" s="22">
        <v>0</v>
      </c>
      <c r="F469" s="22">
        <v>0</v>
      </c>
      <c r="G469" s="22">
        <v>0</v>
      </c>
      <c r="H469" s="38"/>
      <c r="I469" s="22">
        <v>0</v>
      </c>
      <c r="J469" s="22">
        <v>0</v>
      </c>
      <c r="K469" s="22">
        <v>0</v>
      </c>
      <c r="L469" s="22">
        <v>0</v>
      </c>
      <c r="M469" s="19" t="s">
        <v>296</v>
      </c>
      <c r="N469" s="19" t="s">
        <v>91</v>
      </c>
      <c r="O469" s="19" t="s">
        <v>90</v>
      </c>
      <c r="P469" s="22">
        <v>3</v>
      </c>
      <c r="Q469" s="39" t="s">
        <v>259</v>
      </c>
    </row>
    <row r="470" spans="1:17" ht="14.4">
      <c r="A470" s="13">
        <v>110</v>
      </c>
      <c r="B470" s="14" t="s">
        <v>370</v>
      </c>
      <c r="C470" s="34">
        <v>45526</v>
      </c>
      <c r="D470" s="17">
        <v>0</v>
      </c>
      <c r="E470" s="17">
        <v>0</v>
      </c>
      <c r="F470" s="17">
        <v>0</v>
      </c>
      <c r="G470" s="17">
        <v>0</v>
      </c>
      <c r="H470" s="35"/>
      <c r="I470" s="17">
        <v>1</v>
      </c>
      <c r="J470" s="17">
        <v>0</v>
      </c>
      <c r="K470" s="17">
        <v>0</v>
      </c>
      <c r="L470" s="17">
        <v>0</v>
      </c>
      <c r="M470" s="14" t="s">
        <v>296</v>
      </c>
      <c r="N470" s="14" t="s">
        <v>91</v>
      </c>
      <c r="O470" s="14" t="s">
        <v>90</v>
      </c>
      <c r="P470" s="14"/>
      <c r="Q470" s="36" t="s">
        <v>260</v>
      </c>
    </row>
    <row r="471" spans="1:17" ht="14.4">
      <c r="A471" s="26">
        <v>110</v>
      </c>
      <c r="B471" s="19" t="s">
        <v>370</v>
      </c>
      <c r="C471" s="37">
        <v>45526</v>
      </c>
      <c r="D471" s="22">
        <v>0</v>
      </c>
      <c r="E471" s="22">
        <v>0</v>
      </c>
      <c r="F471" s="22">
        <v>0</v>
      </c>
      <c r="G471" s="22">
        <v>0</v>
      </c>
      <c r="H471" s="38"/>
      <c r="I471" s="22">
        <v>0</v>
      </c>
      <c r="J471" s="22">
        <v>0</v>
      </c>
      <c r="K471" s="22">
        <v>1</v>
      </c>
      <c r="L471" s="22">
        <v>0</v>
      </c>
      <c r="M471" s="19" t="s">
        <v>296</v>
      </c>
      <c r="N471" s="19" t="s">
        <v>91</v>
      </c>
      <c r="O471" s="19" t="s">
        <v>90</v>
      </c>
      <c r="P471" s="19"/>
      <c r="Q471" s="39" t="s">
        <v>263</v>
      </c>
    </row>
    <row r="472" spans="1:17" ht="14.4">
      <c r="A472" s="13">
        <v>110</v>
      </c>
      <c r="B472" s="14" t="s">
        <v>370</v>
      </c>
      <c r="C472" s="34">
        <v>45526</v>
      </c>
      <c r="D472" s="17">
        <v>0</v>
      </c>
      <c r="E472" s="17">
        <v>1</v>
      </c>
      <c r="F472" s="17">
        <v>0</v>
      </c>
      <c r="G472" s="17">
        <v>0</v>
      </c>
      <c r="H472" s="16" t="s">
        <v>371</v>
      </c>
      <c r="I472" s="17">
        <v>0</v>
      </c>
      <c r="J472" s="17">
        <v>0</v>
      </c>
      <c r="K472" s="17">
        <v>0</v>
      </c>
      <c r="L472" s="17">
        <v>0</v>
      </c>
      <c r="M472" s="14" t="s">
        <v>296</v>
      </c>
      <c r="N472" s="14" t="s">
        <v>87</v>
      </c>
      <c r="O472" s="14" t="s">
        <v>43</v>
      </c>
      <c r="P472" s="14"/>
      <c r="Q472" s="36" t="s">
        <v>262</v>
      </c>
    </row>
    <row r="473" spans="1:17" ht="14.4">
      <c r="A473" s="26">
        <v>110</v>
      </c>
      <c r="B473" s="19" t="s">
        <v>370</v>
      </c>
      <c r="C473" s="37">
        <v>45526</v>
      </c>
      <c r="D473" s="22">
        <v>1</v>
      </c>
      <c r="E473" s="22">
        <v>0</v>
      </c>
      <c r="F473" s="22">
        <v>0</v>
      </c>
      <c r="G473" s="22">
        <v>0</v>
      </c>
      <c r="H473" s="38"/>
      <c r="I473" s="22">
        <v>0</v>
      </c>
      <c r="J473" s="22">
        <v>0</v>
      </c>
      <c r="K473" s="22">
        <v>0</v>
      </c>
      <c r="L473" s="22">
        <v>0</v>
      </c>
      <c r="M473" s="19" t="s">
        <v>296</v>
      </c>
      <c r="N473" s="19" t="s">
        <v>87</v>
      </c>
      <c r="O473" s="19" t="s">
        <v>43</v>
      </c>
      <c r="P473" s="22">
        <v>1</v>
      </c>
      <c r="Q473" s="39" t="s">
        <v>259</v>
      </c>
    </row>
    <row r="474" spans="1:17" ht="14.4">
      <c r="A474" s="13">
        <v>110</v>
      </c>
      <c r="B474" s="14" t="s">
        <v>370</v>
      </c>
      <c r="C474" s="34">
        <v>45526</v>
      </c>
      <c r="D474" s="17">
        <v>0</v>
      </c>
      <c r="E474" s="17">
        <v>0</v>
      </c>
      <c r="F474" s="17">
        <v>0</v>
      </c>
      <c r="G474" s="17">
        <v>1</v>
      </c>
      <c r="H474" s="35"/>
      <c r="I474" s="17">
        <v>0</v>
      </c>
      <c r="J474" s="17">
        <v>0</v>
      </c>
      <c r="K474" s="17">
        <v>0</v>
      </c>
      <c r="L474" s="17">
        <v>0</v>
      </c>
      <c r="M474" s="14" t="s">
        <v>296</v>
      </c>
      <c r="N474" s="14" t="s">
        <v>87</v>
      </c>
      <c r="O474" s="14" t="s">
        <v>46</v>
      </c>
      <c r="P474" s="14"/>
      <c r="Q474" s="36" t="s">
        <v>262</v>
      </c>
    </row>
    <row r="475" spans="1:17" ht="14.4">
      <c r="A475" s="26">
        <v>110</v>
      </c>
      <c r="B475" s="19" t="s">
        <v>370</v>
      </c>
      <c r="C475" s="37">
        <v>45526</v>
      </c>
      <c r="D475" s="22">
        <v>0</v>
      </c>
      <c r="E475" s="22">
        <v>0</v>
      </c>
      <c r="F475" s="22">
        <v>0</v>
      </c>
      <c r="G475" s="22">
        <v>0</v>
      </c>
      <c r="H475" s="38"/>
      <c r="I475" s="22">
        <v>0</v>
      </c>
      <c r="J475" s="22">
        <v>1</v>
      </c>
      <c r="K475" s="22">
        <v>2</v>
      </c>
      <c r="L475" s="22">
        <v>0</v>
      </c>
      <c r="M475" s="19" t="s">
        <v>296</v>
      </c>
      <c r="N475" s="19" t="s">
        <v>87</v>
      </c>
      <c r="O475" s="19" t="s">
        <v>46</v>
      </c>
      <c r="P475" s="19"/>
      <c r="Q475" s="39" t="s">
        <v>263</v>
      </c>
    </row>
    <row r="476" spans="1:17" ht="14.4">
      <c r="A476" s="13">
        <v>110</v>
      </c>
      <c r="B476" s="14" t="s">
        <v>370</v>
      </c>
      <c r="C476" s="34">
        <v>45526</v>
      </c>
      <c r="D476" s="17">
        <v>0</v>
      </c>
      <c r="E476" s="17">
        <v>1</v>
      </c>
      <c r="F476" s="17">
        <v>0</v>
      </c>
      <c r="G476" s="17">
        <v>0</v>
      </c>
      <c r="H476" s="16" t="s">
        <v>272</v>
      </c>
      <c r="I476" s="17">
        <v>0</v>
      </c>
      <c r="J476" s="17">
        <v>0</v>
      </c>
      <c r="K476" s="17">
        <v>0</v>
      </c>
      <c r="L476" s="17">
        <v>0</v>
      </c>
      <c r="M476" s="14" t="s">
        <v>296</v>
      </c>
      <c r="N476" s="14" t="s">
        <v>87</v>
      </c>
      <c r="O476" s="14" t="s">
        <v>60</v>
      </c>
      <c r="P476" s="14"/>
      <c r="Q476" s="36" t="s">
        <v>262</v>
      </c>
    </row>
    <row r="477" spans="1:17" ht="14.4">
      <c r="A477" s="26">
        <v>110</v>
      </c>
      <c r="B477" s="19" t="s">
        <v>370</v>
      </c>
      <c r="C477" s="37">
        <v>45526</v>
      </c>
      <c r="D477" s="22">
        <v>2</v>
      </c>
      <c r="E477" s="22">
        <v>0</v>
      </c>
      <c r="F477" s="22">
        <v>0</v>
      </c>
      <c r="G477" s="22">
        <v>0</v>
      </c>
      <c r="H477" s="38"/>
      <c r="I477" s="22">
        <v>0</v>
      </c>
      <c r="J477" s="22">
        <v>0</v>
      </c>
      <c r="K477" s="22">
        <v>0</v>
      </c>
      <c r="L477" s="22">
        <v>0</v>
      </c>
      <c r="M477" s="19" t="s">
        <v>296</v>
      </c>
      <c r="N477" s="19" t="s">
        <v>87</v>
      </c>
      <c r="O477" s="19" t="s">
        <v>60</v>
      </c>
      <c r="P477" s="22">
        <v>2</v>
      </c>
      <c r="Q477" s="39" t="s">
        <v>259</v>
      </c>
    </row>
    <row r="478" spans="1:17" ht="14.4">
      <c r="A478" s="13">
        <v>110</v>
      </c>
      <c r="B478" s="14" t="s">
        <v>370</v>
      </c>
      <c r="C478" s="34">
        <v>45526</v>
      </c>
      <c r="D478" s="17">
        <v>0</v>
      </c>
      <c r="E478" s="17">
        <v>0</v>
      </c>
      <c r="F478" s="17">
        <v>0</v>
      </c>
      <c r="G478" s="17">
        <v>0</v>
      </c>
      <c r="H478" s="35"/>
      <c r="I478" s="17">
        <v>1</v>
      </c>
      <c r="J478" s="17">
        <v>0</v>
      </c>
      <c r="K478" s="17">
        <v>0</v>
      </c>
      <c r="L478" s="17">
        <v>0</v>
      </c>
      <c r="M478" s="14" t="s">
        <v>296</v>
      </c>
      <c r="N478" s="14" t="s">
        <v>87</v>
      </c>
      <c r="O478" s="14" t="s">
        <v>60</v>
      </c>
      <c r="P478" s="14"/>
      <c r="Q478" s="36" t="s">
        <v>260</v>
      </c>
    </row>
    <row r="479" spans="1:17" ht="14.4">
      <c r="A479" s="26">
        <v>110</v>
      </c>
      <c r="B479" s="19" t="s">
        <v>370</v>
      </c>
      <c r="C479" s="37">
        <v>45526</v>
      </c>
      <c r="D479" s="22">
        <v>0</v>
      </c>
      <c r="E479" s="22">
        <v>0</v>
      </c>
      <c r="F479" s="22">
        <v>0</v>
      </c>
      <c r="G479" s="22">
        <v>0</v>
      </c>
      <c r="H479" s="38"/>
      <c r="I479" s="22">
        <v>0</v>
      </c>
      <c r="J479" s="22">
        <v>0</v>
      </c>
      <c r="K479" s="22">
        <v>1</v>
      </c>
      <c r="L479" s="22">
        <v>0</v>
      </c>
      <c r="M479" s="19" t="s">
        <v>296</v>
      </c>
      <c r="N479" s="19" t="s">
        <v>87</v>
      </c>
      <c r="O479" s="19" t="s">
        <v>60</v>
      </c>
      <c r="P479" s="19"/>
      <c r="Q479" s="39" t="s">
        <v>263</v>
      </c>
    </row>
    <row r="480" spans="1:17" ht="14.4">
      <c r="A480" s="13">
        <v>110</v>
      </c>
      <c r="B480" s="14" t="s">
        <v>370</v>
      </c>
      <c r="C480" s="34">
        <v>45526</v>
      </c>
      <c r="D480" s="17">
        <v>0</v>
      </c>
      <c r="E480" s="17">
        <v>1</v>
      </c>
      <c r="F480" s="17">
        <v>0</v>
      </c>
      <c r="G480" s="17">
        <v>0</v>
      </c>
      <c r="H480" s="16" t="s">
        <v>372</v>
      </c>
      <c r="I480" s="17">
        <v>0</v>
      </c>
      <c r="J480" s="17">
        <v>0</v>
      </c>
      <c r="K480" s="17">
        <v>0</v>
      </c>
      <c r="L480" s="17">
        <v>0</v>
      </c>
      <c r="M480" s="14" t="s">
        <v>296</v>
      </c>
      <c r="N480" s="14" t="s">
        <v>87</v>
      </c>
      <c r="O480" s="14" t="s">
        <v>51</v>
      </c>
      <c r="P480" s="14"/>
      <c r="Q480" s="36" t="s">
        <v>262</v>
      </c>
    </row>
    <row r="481" spans="1:17" ht="14.4">
      <c r="A481" s="26">
        <v>110</v>
      </c>
      <c r="B481" s="19" t="s">
        <v>370</v>
      </c>
      <c r="C481" s="37">
        <v>45526</v>
      </c>
      <c r="D481" s="22">
        <v>5</v>
      </c>
      <c r="E481" s="22">
        <v>0</v>
      </c>
      <c r="F481" s="22">
        <v>0</v>
      </c>
      <c r="G481" s="22">
        <v>0</v>
      </c>
      <c r="H481" s="38"/>
      <c r="I481" s="22">
        <v>0</v>
      </c>
      <c r="J481" s="22">
        <v>0</v>
      </c>
      <c r="K481" s="22">
        <v>0</v>
      </c>
      <c r="L481" s="22">
        <v>0</v>
      </c>
      <c r="M481" s="19" t="s">
        <v>296</v>
      </c>
      <c r="N481" s="19" t="s">
        <v>87</v>
      </c>
      <c r="O481" s="19" t="s">
        <v>98</v>
      </c>
      <c r="P481" s="22">
        <v>3</v>
      </c>
      <c r="Q481" s="39" t="s">
        <v>259</v>
      </c>
    </row>
    <row r="482" spans="1:17" ht="14.4">
      <c r="A482" s="13">
        <v>110</v>
      </c>
      <c r="B482" s="14" t="s">
        <v>370</v>
      </c>
      <c r="C482" s="34">
        <v>45526</v>
      </c>
      <c r="D482" s="17">
        <v>0</v>
      </c>
      <c r="E482" s="17">
        <v>0</v>
      </c>
      <c r="F482" s="17">
        <v>0</v>
      </c>
      <c r="G482" s="17">
        <v>0</v>
      </c>
      <c r="H482" s="35"/>
      <c r="I482" s="17">
        <v>1</v>
      </c>
      <c r="J482" s="17">
        <v>0</v>
      </c>
      <c r="K482" s="17">
        <v>0</v>
      </c>
      <c r="L482" s="17">
        <v>0</v>
      </c>
      <c r="M482" s="14" t="s">
        <v>296</v>
      </c>
      <c r="N482" s="14" t="s">
        <v>87</v>
      </c>
      <c r="O482" s="14" t="s">
        <v>98</v>
      </c>
      <c r="P482" s="14"/>
      <c r="Q482" s="36" t="s">
        <v>260</v>
      </c>
    </row>
    <row r="483" spans="1:17" ht="14.4">
      <c r="A483" s="26">
        <v>110</v>
      </c>
      <c r="B483" s="19" t="s">
        <v>370</v>
      </c>
      <c r="C483" s="37">
        <v>45526</v>
      </c>
      <c r="D483" s="22">
        <v>0</v>
      </c>
      <c r="E483" s="22">
        <v>0</v>
      </c>
      <c r="F483" s="22">
        <v>0</v>
      </c>
      <c r="G483" s="22">
        <v>0</v>
      </c>
      <c r="H483" s="38"/>
      <c r="I483" s="22">
        <v>0</v>
      </c>
      <c r="J483" s="22">
        <v>1</v>
      </c>
      <c r="K483" s="22">
        <v>0</v>
      </c>
      <c r="L483" s="22">
        <v>0</v>
      </c>
      <c r="M483" s="19" t="s">
        <v>296</v>
      </c>
      <c r="N483" s="19" t="s">
        <v>87</v>
      </c>
      <c r="O483" s="19" t="s">
        <v>98</v>
      </c>
      <c r="P483" s="19"/>
      <c r="Q483" s="39" t="s">
        <v>263</v>
      </c>
    </row>
    <row r="484" spans="1:17" ht="14.4">
      <c r="A484" s="13">
        <v>110</v>
      </c>
      <c r="B484" s="14" t="s">
        <v>370</v>
      </c>
      <c r="C484" s="34">
        <v>45526</v>
      </c>
      <c r="D484" s="17">
        <v>0</v>
      </c>
      <c r="E484" s="17">
        <v>1</v>
      </c>
      <c r="F484" s="17">
        <v>0</v>
      </c>
      <c r="G484" s="17">
        <v>0</v>
      </c>
      <c r="H484" s="16" t="s">
        <v>302</v>
      </c>
      <c r="I484" s="17">
        <v>0</v>
      </c>
      <c r="J484" s="17">
        <v>0</v>
      </c>
      <c r="K484" s="17">
        <v>0</v>
      </c>
      <c r="L484" s="17">
        <v>0</v>
      </c>
      <c r="M484" s="14" t="s">
        <v>296</v>
      </c>
      <c r="N484" s="14" t="s">
        <v>87</v>
      </c>
      <c r="O484" s="14" t="s">
        <v>89</v>
      </c>
      <c r="P484" s="14"/>
      <c r="Q484" s="36" t="s">
        <v>262</v>
      </c>
    </row>
    <row r="485" spans="1:17" ht="14.4">
      <c r="A485" s="26">
        <v>110</v>
      </c>
      <c r="B485" s="19" t="s">
        <v>370</v>
      </c>
      <c r="C485" s="37">
        <v>45526</v>
      </c>
      <c r="D485" s="22">
        <v>6</v>
      </c>
      <c r="E485" s="22">
        <v>0</v>
      </c>
      <c r="F485" s="22">
        <v>0</v>
      </c>
      <c r="G485" s="22">
        <v>0</v>
      </c>
      <c r="H485" s="38"/>
      <c r="I485" s="22">
        <v>0</v>
      </c>
      <c r="J485" s="22">
        <v>0</v>
      </c>
      <c r="K485" s="22">
        <v>0</v>
      </c>
      <c r="L485" s="22">
        <v>0</v>
      </c>
      <c r="M485" s="19" t="s">
        <v>296</v>
      </c>
      <c r="N485" s="19" t="s">
        <v>87</v>
      </c>
      <c r="O485" s="19" t="s">
        <v>89</v>
      </c>
      <c r="P485" s="22">
        <v>5</v>
      </c>
      <c r="Q485" s="39" t="s">
        <v>259</v>
      </c>
    </row>
    <row r="486" spans="1:17" ht="14.4">
      <c r="A486" s="13">
        <v>110</v>
      </c>
      <c r="B486" s="14" t="s">
        <v>370</v>
      </c>
      <c r="C486" s="34">
        <v>45526</v>
      </c>
      <c r="D486" s="17">
        <v>0</v>
      </c>
      <c r="E486" s="17">
        <v>0</v>
      </c>
      <c r="F486" s="17">
        <v>0</v>
      </c>
      <c r="G486" s="17">
        <v>0</v>
      </c>
      <c r="H486" s="35"/>
      <c r="I486" s="17">
        <v>3</v>
      </c>
      <c r="J486" s="17">
        <v>0</v>
      </c>
      <c r="K486" s="17">
        <v>0</v>
      </c>
      <c r="L486" s="17">
        <v>0</v>
      </c>
      <c r="M486" s="14" t="s">
        <v>296</v>
      </c>
      <c r="N486" s="14" t="s">
        <v>87</v>
      </c>
      <c r="O486" s="14" t="s">
        <v>89</v>
      </c>
      <c r="P486" s="14"/>
      <c r="Q486" s="36" t="s">
        <v>260</v>
      </c>
    </row>
    <row r="487" spans="1:17" ht="14.4">
      <c r="A487" s="26">
        <v>110</v>
      </c>
      <c r="B487" s="19" t="s">
        <v>370</v>
      </c>
      <c r="C487" s="37">
        <v>45526</v>
      </c>
      <c r="D487" s="22">
        <v>0</v>
      </c>
      <c r="E487" s="22">
        <v>0</v>
      </c>
      <c r="F487" s="22">
        <v>0</v>
      </c>
      <c r="G487" s="22">
        <v>0</v>
      </c>
      <c r="H487" s="38"/>
      <c r="I487" s="22">
        <v>0</v>
      </c>
      <c r="J487" s="22">
        <v>0</v>
      </c>
      <c r="K487" s="22">
        <v>1</v>
      </c>
      <c r="L487" s="22">
        <v>0</v>
      </c>
      <c r="M487" s="19" t="s">
        <v>296</v>
      </c>
      <c r="N487" s="19" t="s">
        <v>87</v>
      </c>
      <c r="O487" s="19" t="s">
        <v>89</v>
      </c>
      <c r="P487" s="19"/>
      <c r="Q487" s="39" t="s">
        <v>263</v>
      </c>
    </row>
    <row r="488" spans="1:17" ht="14.4">
      <c r="A488" s="13">
        <v>110</v>
      </c>
      <c r="B488" s="14" t="s">
        <v>370</v>
      </c>
      <c r="C488" s="34">
        <v>45526</v>
      </c>
      <c r="D488" s="17">
        <v>7</v>
      </c>
      <c r="E488" s="17">
        <v>0</v>
      </c>
      <c r="F488" s="17">
        <v>0</v>
      </c>
      <c r="G488" s="17">
        <v>0</v>
      </c>
      <c r="H488" s="35"/>
      <c r="I488" s="17">
        <v>0</v>
      </c>
      <c r="J488" s="17">
        <v>0</v>
      </c>
      <c r="K488" s="17">
        <v>0</v>
      </c>
      <c r="L488" s="17">
        <v>0</v>
      </c>
      <c r="M488" s="14" t="s">
        <v>296</v>
      </c>
      <c r="N488" s="14" t="s">
        <v>87</v>
      </c>
      <c r="O488" s="14" t="s">
        <v>57</v>
      </c>
      <c r="P488" s="17">
        <v>4</v>
      </c>
      <c r="Q488" s="36" t="s">
        <v>259</v>
      </c>
    </row>
    <row r="489" spans="1:17" ht="14.4">
      <c r="A489" s="26">
        <v>110</v>
      </c>
      <c r="B489" s="19" t="s">
        <v>370</v>
      </c>
      <c r="C489" s="37">
        <v>45526</v>
      </c>
      <c r="D489" s="22">
        <v>0</v>
      </c>
      <c r="E489" s="22">
        <v>0</v>
      </c>
      <c r="F489" s="22">
        <v>0</v>
      </c>
      <c r="G489" s="22">
        <v>0</v>
      </c>
      <c r="H489" s="38"/>
      <c r="I489" s="22">
        <v>2</v>
      </c>
      <c r="J489" s="22">
        <v>0</v>
      </c>
      <c r="K489" s="22">
        <v>0</v>
      </c>
      <c r="L489" s="22">
        <v>0</v>
      </c>
      <c r="M489" s="19" t="s">
        <v>296</v>
      </c>
      <c r="N489" s="19" t="s">
        <v>87</v>
      </c>
      <c r="O489" s="19" t="s">
        <v>57</v>
      </c>
      <c r="P489" s="19"/>
      <c r="Q489" s="39" t="s">
        <v>260</v>
      </c>
    </row>
    <row r="490" spans="1:17" ht="14.4">
      <c r="A490" s="13">
        <v>110</v>
      </c>
      <c r="B490" s="14" t="s">
        <v>370</v>
      </c>
      <c r="C490" s="34">
        <v>45526</v>
      </c>
      <c r="D490" s="17">
        <v>0</v>
      </c>
      <c r="E490" s="17">
        <v>0</v>
      </c>
      <c r="F490" s="17">
        <v>0</v>
      </c>
      <c r="G490" s="17">
        <v>0</v>
      </c>
      <c r="H490" s="35"/>
      <c r="I490" s="17">
        <v>0</v>
      </c>
      <c r="J490" s="17">
        <v>1</v>
      </c>
      <c r="K490" s="17">
        <v>0</v>
      </c>
      <c r="L490" s="17">
        <v>0</v>
      </c>
      <c r="M490" s="14" t="s">
        <v>296</v>
      </c>
      <c r="N490" s="14" t="s">
        <v>87</v>
      </c>
      <c r="O490" s="14" t="s">
        <v>57</v>
      </c>
      <c r="P490" s="14"/>
      <c r="Q490" s="36" t="s">
        <v>263</v>
      </c>
    </row>
    <row r="491" spans="1:17" ht="14.4">
      <c r="A491" s="26">
        <v>110</v>
      </c>
      <c r="B491" s="19" t="s">
        <v>370</v>
      </c>
      <c r="C491" s="37">
        <v>45526</v>
      </c>
      <c r="D491" s="22">
        <v>5</v>
      </c>
      <c r="E491" s="22">
        <v>0</v>
      </c>
      <c r="F491" s="22">
        <v>0</v>
      </c>
      <c r="G491" s="22">
        <v>0</v>
      </c>
      <c r="H491" s="38"/>
      <c r="I491" s="22">
        <v>0</v>
      </c>
      <c r="J491" s="22">
        <v>0</v>
      </c>
      <c r="K491" s="22">
        <v>0</v>
      </c>
      <c r="L491" s="22">
        <v>0</v>
      </c>
      <c r="M491" s="19" t="s">
        <v>296</v>
      </c>
      <c r="N491" s="19" t="s">
        <v>87</v>
      </c>
      <c r="O491" s="19" t="s">
        <v>86</v>
      </c>
      <c r="P491" s="22">
        <v>2</v>
      </c>
      <c r="Q491" s="39" t="s">
        <v>259</v>
      </c>
    </row>
    <row r="492" spans="1:17" ht="14.4">
      <c r="A492" s="13">
        <v>110</v>
      </c>
      <c r="B492" s="14" t="s">
        <v>370</v>
      </c>
      <c r="C492" s="34">
        <v>45526</v>
      </c>
      <c r="D492" s="17">
        <v>0</v>
      </c>
      <c r="E492" s="17">
        <v>0</v>
      </c>
      <c r="F492" s="17">
        <v>0</v>
      </c>
      <c r="G492" s="17">
        <v>0</v>
      </c>
      <c r="H492" s="35"/>
      <c r="I492" s="17">
        <v>0</v>
      </c>
      <c r="J492" s="17">
        <v>1</v>
      </c>
      <c r="K492" s="17">
        <v>0</v>
      </c>
      <c r="L492" s="17">
        <v>0</v>
      </c>
      <c r="M492" s="14" t="s">
        <v>296</v>
      </c>
      <c r="N492" s="14" t="s">
        <v>87</v>
      </c>
      <c r="O492" s="14" t="s">
        <v>86</v>
      </c>
      <c r="P492" s="14"/>
      <c r="Q492" s="36" t="s">
        <v>263</v>
      </c>
    </row>
    <row r="493" spans="1:17" ht="14.4">
      <c r="A493" s="26">
        <v>110</v>
      </c>
      <c r="B493" s="19" t="s">
        <v>370</v>
      </c>
      <c r="C493" s="37">
        <v>45526</v>
      </c>
      <c r="D493" s="22">
        <v>3</v>
      </c>
      <c r="E493" s="22">
        <v>0</v>
      </c>
      <c r="F493" s="22">
        <v>0</v>
      </c>
      <c r="G493" s="22">
        <v>0</v>
      </c>
      <c r="H493" s="38"/>
      <c r="I493" s="22">
        <v>0</v>
      </c>
      <c r="J493" s="22">
        <v>0</v>
      </c>
      <c r="K493" s="22">
        <v>0</v>
      </c>
      <c r="L493" s="22">
        <v>0</v>
      </c>
      <c r="M493" s="19" t="s">
        <v>296</v>
      </c>
      <c r="N493" s="19" t="s">
        <v>87</v>
      </c>
      <c r="O493" s="19" t="s">
        <v>59</v>
      </c>
      <c r="P493" s="22">
        <v>1</v>
      </c>
      <c r="Q493" s="39" t="s">
        <v>259</v>
      </c>
    </row>
    <row r="494" spans="1:17" ht="14.4">
      <c r="A494" s="13">
        <v>110</v>
      </c>
      <c r="B494" s="14" t="s">
        <v>370</v>
      </c>
      <c r="C494" s="34">
        <v>45526</v>
      </c>
      <c r="D494" s="17">
        <v>0</v>
      </c>
      <c r="E494" s="17">
        <v>0</v>
      </c>
      <c r="F494" s="17">
        <v>0</v>
      </c>
      <c r="G494" s="17">
        <v>0</v>
      </c>
      <c r="H494" s="35"/>
      <c r="I494" s="17">
        <v>1</v>
      </c>
      <c r="J494" s="17">
        <v>0</v>
      </c>
      <c r="K494" s="17">
        <v>0</v>
      </c>
      <c r="L494" s="17">
        <v>0</v>
      </c>
      <c r="M494" s="14" t="s">
        <v>296</v>
      </c>
      <c r="N494" s="14" t="s">
        <v>87</v>
      </c>
      <c r="O494" s="14" t="s">
        <v>59</v>
      </c>
      <c r="P494" s="14"/>
      <c r="Q494" s="36" t="s">
        <v>260</v>
      </c>
    </row>
    <row r="495" spans="1:17" ht="14.4">
      <c r="A495" s="26">
        <v>110</v>
      </c>
      <c r="B495" s="19" t="s">
        <v>370</v>
      </c>
      <c r="C495" s="37">
        <v>45526</v>
      </c>
      <c r="D495" s="22">
        <v>0</v>
      </c>
      <c r="E495" s="22">
        <v>0</v>
      </c>
      <c r="F495" s="22">
        <v>0</v>
      </c>
      <c r="G495" s="22">
        <v>0</v>
      </c>
      <c r="H495" s="38"/>
      <c r="I495" s="22">
        <v>0</v>
      </c>
      <c r="J495" s="22">
        <v>1</v>
      </c>
      <c r="K495" s="22">
        <v>0</v>
      </c>
      <c r="L495" s="22">
        <v>0</v>
      </c>
      <c r="M495" s="19" t="s">
        <v>296</v>
      </c>
      <c r="N495" s="19" t="s">
        <v>87</v>
      </c>
      <c r="O495" s="19" t="s">
        <v>59</v>
      </c>
      <c r="P495" s="19"/>
      <c r="Q495" s="39" t="s">
        <v>263</v>
      </c>
    </row>
    <row r="496" spans="1:17" ht="14.4">
      <c r="A496" s="13">
        <v>500</v>
      </c>
      <c r="B496" s="14" t="s">
        <v>373</v>
      </c>
      <c r="C496" s="34">
        <v>45526</v>
      </c>
      <c r="D496" s="17">
        <v>0</v>
      </c>
      <c r="E496" s="17">
        <v>0</v>
      </c>
      <c r="F496" s="17">
        <v>0</v>
      </c>
      <c r="G496" s="17">
        <v>0</v>
      </c>
      <c r="H496" s="35"/>
      <c r="I496" s="17">
        <v>0</v>
      </c>
      <c r="J496" s="17">
        <v>0</v>
      </c>
      <c r="K496" s="17">
        <v>1</v>
      </c>
      <c r="L496" s="17">
        <v>0</v>
      </c>
      <c r="M496" s="14" t="s">
        <v>100</v>
      </c>
      <c r="N496" s="14" t="s">
        <v>87</v>
      </c>
      <c r="O496" s="14" t="s">
        <v>46</v>
      </c>
      <c r="P496" s="14"/>
      <c r="Q496" s="36" t="s">
        <v>263</v>
      </c>
    </row>
    <row r="497" spans="1:17" ht="14.4">
      <c r="A497" s="26">
        <v>641</v>
      </c>
      <c r="B497" s="19" t="s">
        <v>374</v>
      </c>
      <c r="C497" s="37">
        <v>45526</v>
      </c>
      <c r="D497" s="22">
        <v>3</v>
      </c>
      <c r="E497" s="22">
        <v>0</v>
      </c>
      <c r="F497" s="22">
        <v>0</v>
      </c>
      <c r="G497" s="22">
        <v>0</v>
      </c>
      <c r="H497" s="38"/>
      <c r="I497" s="22">
        <v>0</v>
      </c>
      <c r="J497" s="22">
        <v>0</v>
      </c>
      <c r="K497" s="22">
        <v>0</v>
      </c>
      <c r="L497" s="22">
        <v>0</v>
      </c>
      <c r="M497" s="19" t="s">
        <v>100</v>
      </c>
      <c r="N497" s="19" t="s">
        <v>91</v>
      </c>
      <c r="O497" s="19" t="s">
        <v>44</v>
      </c>
      <c r="P497" s="22">
        <v>2</v>
      </c>
      <c r="Q497" s="39" t="s">
        <v>259</v>
      </c>
    </row>
    <row r="498" spans="1:17" ht="14.4">
      <c r="A498" s="13">
        <v>641</v>
      </c>
      <c r="B498" s="14" t="s">
        <v>374</v>
      </c>
      <c r="C498" s="34">
        <v>45526</v>
      </c>
      <c r="D498" s="17">
        <v>0</v>
      </c>
      <c r="E498" s="17">
        <v>0</v>
      </c>
      <c r="F498" s="17">
        <v>0</v>
      </c>
      <c r="G498" s="17">
        <v>0</v>
      </c>
      <c r="H498" s="35"/>
      <c r="I498" s="17">
        <v>1</v>
      </c>
      <c r="J498" s="17">
        <v>0</v>
      </c>
      <c r="K498" s="17">
        <v>0</v>
      </c>
      <c r="L498" s="17">
        <v>0</v>
      </c>
      <c r="M498" s="14" t="s">
        <v>100</v>
      </c>
      <c r="N498" s="14" t="s">
        <v>91</v>
      </c>
      <c r="O498" s="14" t="s">
        <v>44</v>
      </c>
      <c r="P498" s="14"/>
      <c r="Q498" s="36" t="s">
        <v>260</v>
      </c>
    </row>
    <row r="499" spans="1:17" ht="14.4">
      <c r="A499" s="26">
        <v>641</v>
      </c>
      <c r="B499" s="19" t="s">
        <v>374</v>
      </c>
      <c r="C499" s="37">
        <v>45526</v>
      </c>
      <c r="D499" s="22">
        <v>0</v>
      </c>
      <c r="E499" s="22">
        <v>0</v>
      </c>
      <c r="F499" s="22">
        <v>0</v>
      </c>
      <c r="G499" s="22">
        <v>0</v>
      </c>
      <c r="H499" s="38"/>
      <c r="I499" s="22">
        <v>0</v>
      </c>
      <c r="J499" s="22">
        <v>1</v>
      </c>
      <c r="K499" s="22">
        <v>0</v>
      </c>
      <c r="L499" s="22">
        <v>0</v>
      </c>
      <c r="M499" s="19" t="s">
        <v>100</v>
      </c>
      <c r="N499" s="19" t="s">
        <v>91</v>
      </c>
      <c r="O499" s="19" t="s">
        <v>44</v>
      </c>
      <c r="P499" s="19"/>
      <c r="Q499" s="39" t="s">
        <v>263</v>
      </c>
    </row>
    <row r="500" spans="1:17" ht="14.4">
      <c r="A500" s="13">
        <v>641</v>
      </c>
      <c r="B500" s="14" t="s">
        <v>374</v>
      </c>
      <c r="C500" s="34">
        <v>45526</v>
      </c>
      <c r="D500" s="17">
        <v>0</v>
      </c>
      <c r="E500" s="17">
        <v>1</v>
      </c>
      <c r="F500" s="17">
        <v>0</v>
      </c>
      <c r="G500" s="17">
        <v>0</v>
      </c>
      <c r="H500" s="16" t="s">
        <v>261</v>
      </c>
      <c r="I500" s="17">
        <v>0</v>
      </c>
      <c r="J500" s="17">
        <v>0</v>
      </c>
      <c r="K500" s="17">
        <v>0</v>
      </c>
      <c r="L500" s="17">
        <v>0</v>
      </c>
      <c r="M500" s="14" t="s">
        <v>100</v>
      </c>
      <c r="N500" s="14" t="s">
        <v>87</v>
      </c>
      <c r="O500" s="14" t="s">
        <v>37</v>
      </c>
      <c r="P500" s="14"/>
      <c r="Q500" s="36" t="s">
        <v>262</v>
      </c>
    </row>
    <row r="501" spans="1:17" ht="14.4">
      <c r="A501" s="26">
        <v>641</v>
      </c>
      <c r="B501" s="19" t="s">
        <v>374</v>
      </c>
      <c r="C501" s="37">
        <v>45526</v>
      </c>
      <c r="D501" s="22">
        <v>0</v>
      </c>
      <c r="E501" s="22">
        <v>0</v>
      </c>
      <c r="F501" s="22">
        <v>0</v>
      </c>
      <c r="G501" s="22">
        <v>0</v>
      </c>
      <c r="H501" s="38"/>
      <c r="I501" s="22">
        <v>1</v>
      </c>
      <c r="J501" s="22">
        <v>0</v>
      </c>
      <c r="K501" s="22">
        <v>0</v>
      </c>
      <c r="L501" s="22">
        <v>0</v>
      </c>
      <c r="M501" s="19" t="s">
        <v>100</v>
      </c>
      <c r="N501" s="19" t="s">
        <v>87</v>
      </c>
      <c r="O501" s="19" t="s">
        <v>46</v>
      </c>
      <c r="P501" s="19"/>
      <c r="Q501" s="39" t="s">
        <v>260</v>
      </c>
    </row>
    <row r="502" spans="1:17" ht="14.4">
      <c r="A502" s="13">
        <v>641</v>
      </c>
      <c r="B502" s="14" t="s">
        <v>374</v>
      </c>
      <c r="C502" s="34">
        <v>45526</v>
      </c>
      <c r="D502" s="17">
        <v>1</v>
      </c>
      <c r="E502" s="17">
        <v>0</v>
      </c>
      <c r="F502" s="17">
        <v>0</v>
      </c>
      <c r="G502" s="17">
        <v>0</v>
      </c>
      <c r="H502" s="35"/>
      <c r="I502" s="17">
        <v>0</v>
      </c>
      <c r="J502" s="17">
        <v>0</v>
      </c>
      <c r="K502" s="17">
        <v>0</v>
      </c>
      <c r="L502" s="17">
        <v>0</v>
      </c>
      <c r="M502" s="14" t="s">
        <v>100</v>
      </c>
      <c r="N502" s="14" t="s">
        <v>87</v>
      </c>
      <c r="O502" s="14" t="s">
        <v>57</v>
      </c>
      <c r="P502" s="14"/>
      <c r="Q502" s="36" t="s">
        <v>259</v>
      </c>
    </row>
    <row r="503" spans="1:17" ht="14.4">
      <c r="A503" s="26">
        <v>641</v>
      </c>
      <c r="B503" s="19" t="s">
        <v>374</v>
      </c>
      <c r="C503" s="37">
        <v>45526</v>
      </c>
      <c r="D503" s="22">
        <v>1</v>
      </c>
      <c r="E503" s="22">
        <v>0</v>
      </c>
      <c r="F503" s="22">
        <v>0</v>
      </c>
      <c r="G503" s="22">
        <v>0</v>
      </c>
      <c r="H503" s="38"/>
      <c r="I503" s="22">
        <v>0</v>
      </c>
      <c r="J503" s="22">
        <v>0</v>
      </c>
      <c r="K503" s="22">
        <v>0</v>
      </c>
      <c r="L503" s="22">
        <v>0</v>
      </c>
      <c r="M503" s="19" t="s">
        <v>100</v>
      </c>
      <c r="N503" s="19" t="s">
        <v>87</v>
      </c>
      <c r="O503" s="19" t="s">
        <v>86</v>
      </c>
      <c r="P503" s="22">
        <v>1</v>
      </c>
      <c r="Q503" s="39" t="s">
        <v>259</v>
      </c>
    </row>
    <row r="504" spans="1:17" ht="14.4">
      <c r="A504" s="13">
        <v>641</v>
      </c>
      <c r="B504" s="14" t="s">
        <v>374</v>
      </c>
      <c r="C504" s="34">
        <v>45526</v>
      </c>
      <c r="D504" s="17">
        <v>0</v>
      </c>
      <c r="E504" s="17">
        <v>0</v>
      </c>
      <c r="F504" s="17">
        <v>0</v>
      </c>
      <c r="G504" s="17">
        <v>0</v>
      </c>
      <c r="H504" s="35"/>
      <c r="I504" s="17">
        <v>1</v>
      </c>
      <c r="J504" s="17">
        <v>0</v>
      </c>
      <c r="K504" s="17">
        <v>0</v>
      </c>
      <c r="L504" s="17">
        <v>0</v>
      </c>
      <c r="M504" s="14" t="s">
        <v>100</v>
      </c>
      <c r="N504" s="14" t="s">
        <v>87</v>
      </c>
      <c r="O504" s="14" t="s">
        <v>86</v>
      </c>
      <c r="P504" s="14"/>
      <c r="Q504" s="36" t="s">
        <v>260</v>
      </c>
    </row>
    <row r="505" spans="1:17" ht="14.4">
      <c r="A505" s="26">
        <v>641</v>
      </c>
      <c r="B505" s="19" t="s">
        <v>374</v>
      </c>
      <c r="C505" s="37">
        <v>45526</v>
      </c>
      <c r="D505" s="22">
        <v>4</v>
      </c>
      <c r="E505" s="22">
        <v>0</v>
      </c>
      <c r="F505" s="22">
        <v>0</v>
      </c>
      <c r="G505" s="22">
        <v>0</v>
      </c>
      <c r="H505" s="38"/>
      <c r="I505" s="22">
        <v>0</v>
      </c>
      <c r="J505" s="22">
        <v>0</v>
      </c>
      <c r="K505" s="22">
        <v>0</v>
      </c>
      <c r="L505" s="22">
        <v>0</v>
      </c>
      <c r="M505" s="19" t="s">
        <v>100</v>
      </c>
      <c r="N505" s="19" t="s">
        <v>87</v>
      </c>
      <c r="O505" s="19" t="s">
        <v>59</v>
      </c>
      <c r="P505" s="22">
        <v>1</v>
      </c>
      <c r="Q505" s="39" t="s">
        <v>259</v>
      </c>
    </row>
    <row r="506" spans="1:17" ht="14.4">
      <c r="A506" s="13">
        <v>641</v>
      </c>
      <c r="B506" s="14" t="s">
        <v>374</v>
      </c>
      <c r="C506" s="34">
        <v>45526</v>
      </c>
      <c r="D506" s="17">
        <v>0</v>
      </c>
      <c r="E506" s="17">
        <v>0</v>
      </c>
      <c r="F506" s="17">
        <v>0</v>
      </c>
      <c r="G506" s="17">
        <v>0</v>
      </c>
      <c r="H506" s="35"/>
      <c r="I506" s="17">
        <v>1</v>
      </c>
      <c r="J506" s="17">
        <v>0</v>
      </c>
      <c r="K506" s="17">
        <v>0</v>
      </c>
      <c r="L506" s="17">
        <v>0</v>
      </c>
      <c r="M506" s="14" t="s">
        <v>100</v>
      </c>
      <c r="N506" s="14" t="s">
        <v>87</v>
      </c>
      <c r="O506" s="14" t="s">
        <v>59</v>
      </c>
      <c r="P506" s="14"/>
      <c r="Q506" s="36" t="s">
        <v>260</v>
      </c>
    </row>
    <row r="507" spans="1:17" ht="14.4">
      <c r="A507" s="26">
        <v>116</v>
      </c>
      <c r="B507" s="19" t="s">
        <v>375</v>
      </c>
      <c r="C507" s="37">
        <v>45526</v>
      </c>
      <c r="D507" s="22">
        <v>0</v>
      </c>
      <c r="E507" s="22">
        <v>1</v>
      </c>
      <c r="F507" s="22">
        <v>0</v>
      </c>
      <c r="G507" s="22">
        <v>0</v>
      </c>
      <c r="H507" s="21" t="s">
        <v>275</v>
      </c>
      <c r="I507" s="22">
        <v>0</v>
      </c>
      <c r="J507" s="22">
        <v>0</v>
      </c>
      <c r="K507" s="22">
        <v>0</v>
      </c>
      <c r="L507" s="22">
        <v>0</v>
      </c>
      <c r="M507" s="19" t="s">
        <v>100</v>
      </c>
      <c r="N507" s="19" t="s">
        <v>91</v>
      </c>
      <c r="O507" s="19" t="s">
        <v>38</v>
      </c>
      <c r="P507" s="19"/>
      <c r="Q507" s="39" t="s">
        <v>262</v>
      </c>
    </row>
    <row r="508" spans="1:17" ht="14.4">
      <c r="A508" s="13">
        <v>116</v>
      </c>
      <c r="B508" s="14" t="s">
        <v>375</v>
      </c>
      <c r="C508" s="34">
        <v>45526</v>
      </c>
      <c r="D508" s="17">
        <v>1</v>
      </c>
      <c r="E508" s="17">
        <v>0</v>
      </c>
      <c r="F508" s="17">
        <v>0</v>
      </c>
      <c r="G508" s="17">
        <v>0</v>
      </c>
      <c r="H508" s="35"/>
      <c r="I508" s="17">
        <v>0</v>
      </c>
      <c r="J508" s="17">
        <v>0</v>
      </c>
      <c r="K508" s="17">
        <v>0</v>
      </c>
      <c r="L508" s="17">
        <v>0</v>
      </c>
      <c r="M508" s="14" t="s">
        <v>100</v>
      </c>
      <c r="N508" s="14" t="s">
        <v>91</v>
      </c>
      <c r="O508" s="14" t="s">
        <v>38</v>
      </c>
      <c r="P508" s="17">
        <v>1</v>
      </c>
      <c r="Q508" s="36" t="s">
        <v>259</v>
      </c>
    </row>
    <row r="509" spans="1:17" ht="14.4">
      <c r="A509" s="26">
        <v>116</v>
      </c>
      <c r="B509" s="19" t="s">
        <v>375</v>
      </c>
      <c r="C509" s="37">
        <v>45526</v>
      </c>
      <c r="D509" s="22">
        <v>0</v>
      </c>
      <c r="E509" s="22">
        <v>0</v>
      </c>
      <c r="F509" s="22">
        <v>0</v>
      </c>
      <c r="G509" s="22">
        <v>0</v>
      </c>
      <c r="H509" s="38"/>
      <c r="I509" s="22">
        <v>2</v>
      </c>
      <c r="J509" s="22">
        <v>0</v>
      </c>
      <c r="K509" s="22">
        <v>0</v>
      </c>
      <c r="L509" s="22">
        <v>0</v>
      </c>
      <c r="M509" s="19" t="s">
        <v>100</v>
      </c>
      <c r="N509" s="19" t="s">
        <v>91</v>
      </c>
      <c r="O509" s="19" t="s">
        <v>38</v>
      </c>
      <c r="P509" s="19"/>
      <c r="Q509" s="39" t="s">
        <v>260</v>
      </c>
    </row>
    <row r="510" spans="1:17" ht="14.4">
      <c r="A510" s="13">
        <v>116</v>
      </c>
      <c r="B510" s="14" t="s">
        <v>375</v>
      </c>
      <c r="C510" s="34">
        <v>45526</v>
      </c>
      <c r="D510" s="17">
        <v>0</v>
      </c>
      <c r="E510" s="17">
        <v>0</v>
      </c>
      <c r="F510" s="17">
        <v>0</v>
      </c>
      <c r="G510" s="17">
        <v>0</v>
      </c>
      <c r="H510" s="35"/>
      <c r="I510" s="17">
        <v>0</v>
      </c>
      <c r="J510" s="17">
        <v>0</v>
      </c>
      <c r="K510" s="17">
        <v>1</v>
      </c>
      <c r="L510" s="17">
        <v>0</v>
      </c>
      <c r="M510" s="14" t="s">
        <v>100</v>
      </c>
      <c r="N510" s="14" t="s">
        <v>91</v>
      </c>
      <c r="O510" s="14" t="s">
        <v>38</v>
      </c>
      <c r="P510" s="14"/>
      <c r="Q510" s="36" t="s">
        <v>263</v>
      </c>
    </row>
    <row r="511" spans="1:17" ht="14.4">
      <c r="A511" s="26">
        <v>116</v>
      </c>
      <c r="B511" s="19" t="s">
        <v>375</v>
      </c>
      <c r="C511" s="37">
        <v>45526</v>
      </c>
      <c r="D511" s="22">
        <v>1</v>
      </c>
      <c r="E511" s="22">
        <v>0</v>
      </c>
      <c r="F511" s="22">
        <v>0</v>
      </c>
      <c r="G511" s="22">
        <v>0</v>
      </c>
      <c r="H511" s="38"/>
      <c r="I511" s="22">
        <v>0</v>
      </c>
      <c r="J511" s="22">
        <v>0</v>
      </c>
      <c r="K511" s="22">
        <v>0</v>
      </c>
      <c r="L511" s="22">
        <v>0</v>
      </c>
      <c r="M511" s="19" t="s">
        <v>100</v>
      </c>
      <c r="N511" s="19" t="s">
        <v>91</v>
      </c>
      <c r="O511" s="19" t="s">
        <v>44</v>
      </c>
      <c r="P511" s="19"/>
      <c r="Q511" s="39" t="s">
        <v>259</v>
      </c>
    </row>
    <row r="512" spans="1:17" ht="14.4">
      <c r="A512" s="13">
        <v>116</v>
      </c>
      <c r="B512" s="14" t="s">
        <v>375</v>
      </c>
      <c r="C512" s="34">
        <v>45526</v>
      </c>
      <c r="D512" s="17">
        <v>0</v>
      </c>
      <c r="E512" s="17">
        <v>0</v>
      </c>
      <c r="F512" s="17">
        <v>0</v>
      </c>
      <c r="G512" s="17">
        <v>0</v>
      </c>
      <c r="H512" s="35"/>
      <c r="I512" s="17">
        <v>0</v>
      </c>
      <c r="J512" s="17">
        <v>0</v>
      </c>
      <c r="K512" s="17">
        <v>1</v>
      </c>
      <c r="L512" s="17">
        <v>0</v>
      </c>
      <c r="M512" s="14" t="s">
        <v>100</v>
      </c>
      <c r="N512" s="14" t="s">
        <v>91</v>
      </c>
      <c r="O512" s="14" t="s">
        <v>44</v>
      </c>
      <c r="P512" s="14"/>
      <c r="Q512" s="36" t="s">
        <v>263</v>
      </c>
    </row>
    <row r="513" spans="1:17" ht="14.4">
      <c r="A513" s="26">
        <v>116</v>
      </c>
      <c r="B513" s="19" t="s">
        <v>375</v>
      </c>
      <c r="C513" s="37">
        <v>45526</v>
      </c>
      <c r="D513" s="22">
        <v>1</v>
      </c>
      <c r="E513" s="22">
        <v>0</v>
      </c>
      <c r="F513" s="22">
        <v>0</v>
      </c>
      <c r="G513" s="22">
        <v>0</v>
      </c>
      <c r="H513" s="38"/>
      <c r="I513" s="22">
        <v>0</v>
      </c>
      <c r="J513" s="22">
        <v>0</v>
      </c>
      <c r="K513" s="22">
        <v>0</v>
      </c>
      <c r="L513" s="22">
        <v>0</v>
      </c>
      <c r="M513" s="19" t="s">
        <v>100</v>
      </c>
      <c r="N513" s="19" t="s">
        <v>91</v>
      </c>
      <c r="O513" s="19" t="s">
        <v>90</v>
      </c>
      <c r="P513" s="22">
        <v>1</v>
      </c>
      <c r="Q513" s="39" t="s">
        <v>259</v>
      </c>
    </row>
    <row r="514" spans="1:17" ht="14.4">
      <c r="A514" s="13">
        <v>116</v>
      </c>
      <c r="B514" s="14" t="s">
        <v>375</v>
      </c>
      <c r="C514" s="34">
        <v>45526</v>
      </c>
      <c r="D514" s="17">
        <v>0</v>
      </c>
      <c r="E514" s="17">
        <v>0</v>
      </c>
      <c r="F514" s="17">
        <v>0</v>
      </c>
      <c r="G514" s="17">
        <v>0</v>
      </c>
      <c r="H514" s="35"/>
      <c r="I514" s="17">
        <v>1</v>
      </c>
      <c r="J514" s="17">
        <v>0</v>
      </c>
      <c r="K514" s="17">
        <v>0</v>
      </c>
      <c r="L514" s="17">
        <v>0</v>
      </c>
      <c r="M514" s="14" t="s">
        <v>100</v>
      </c>
      <c r="N514" s="14" t="s">
        <v>91</v>
      </c>
      <c r="O514" s="14" t="s">
        <v>90</v>
      </c>
      <c r="P514" s="14"/>
      <c r="Q514" s="36" t="s">
        <v>260</v>
      </c>
    </row>
    <row r="515" spans="1:17" ht="14.4">
      <c r="A515" s="26">
        <v>116</v>
      </c>
      <c r="B515" s="19" t="s">
        <v>375</v>
      </c>
      <c r="C515" s="37">
        <v>45526</v>
      </c>
      <c r="D515" s="22">
        <v>0</v>
      </c>
      <c r="E515" s="22">
        <v>0</v>
      </c>
      <c r="F515" s="22">
        <v>0</v>
      </c>
      <c r="G515" s="22">
        <v>0</v>
      </c>
      <c r="H515" s="38"/>
      <c r="I515" s="22">
        <v>0</v>
      </c>
      <c r="J515" s="22">
        <v>1</v>
      </c>
      <c r="K515" s="22">
        <v>0</v>
      </c>
      <c r="L515" s="22">
        <v>0</v>
      </c>
      <c r="M515" s="19" t="s">
        <v>100</v>
      </c>
      <c r="N515" s="19" t="s">
        <v>91</v>
      </c>
      <c r="O515" s="19" t="s">
        <v>90</v>
      </c>
      <c r="P515" s="19"/>
      <c r="Q515" s="39" t="s">
        <v>263</v>
      </c>
    </row>
    <row r="516" spans="1:17" ht="14.4">
      <c r="A516" s="13">
        <v>116</v>
      </c>
      <c r="B516" s="14" t="s">
        <v>375</v>
      </c>
      <c r="C516" s="34">
        <v>45526</v>
      </c>
      <c r="D516" s="17">
        <v>0</v>
      </c>
      <c r="E516" s="17">
        <v>1</v>
      </c>
      <c r="F516" s="17">
        <v>0</v>
      </c>
      <c r="G516" s="17">
        <v>0</v>
      </c>
      <c r="H516" s="16" t="s">
        <v>269</v>
      </c>
      <c r="I516" s="17">
        <v>0</v>
      </c>
      <c r="J516" s="17">
        <v>0</v>
      </c>
      <c r="K516" s="17">
        <v>0</v>
      </c>
      <c r="L516" s="17">
        <v>0</v>
      </c>
      <c r="M516" s="14" t="s">
        <v>100</v>
      </c>
      <c r="N516" s="14" t="s">
        <v>87</v>
      </c>
      <c r="O516" s="14" t="s">
        <v>60</v>
      </c>
      <c r="P516" s="14"/>
      <c r="Q516" s="36" t="s">
        <v>262</v>
      </c>
    </row>
    <row r="517" spans="1:17" ht="14.4">
      <c r="A517" s="26">
        <v>116</v>
      </c>
      <c r="B517" s="19" t="s">
        <v>375</v>
      </c>
      <c r="C517" s="37">
        <v>45526</v>
      </c>
      <c r="D517" s="22">
        <v>1</v>
      </c>
      <c r="E517" s="22">
        <v>0</v>
      </c>
      <c r="F517" s="22">
        <v>0</v>
      </c>
      <c r="G517" s="22">
        <v>0</v>
      </c>
      <c r="H517" s="38"/>
      <c r="I517" s="22">
        <v>0</v>
      </c>
      <c r="J517" s="22">
        <v>0</v>
      </c>
      <c r="K517" s="22">
        <v>0</v>
      </c>
      <c r="L517" s="22">
        <v>0</v>
      </c>
      <c r="M517" s="19" t="s">
        <v>100</v>
      </c>
      <c r="N517" s="19" t="s">
        <v>87</v>
      </c>
      <c r="O517" s="19" t="s">
        <v>60</v>
      </c>
      <c r="P517" s="22">
        <v>1</v>
      </c>
      <c r="Q517" s="39" t="s">
        <v>259</v>
      </c>
    </row>
    <row r="518" spans="1:17" ht="14.4">
      <c r="A518" s="13">
        <v>116</v>
      </c>
      <c r="B518" s="14" t="s">
        <v>375</v>
      </c>
      <c r="C518" s="34">
        <v>45526</v>
      </c>
      <c r="D518" s="17">
        <v>0</v>
      </c>
      <c r="E518" s="17">
        <v>0</v>
      </c>
      <c r="F518" s="17">
        <v>0</v>
      </c>
      <c r="G518" s="17">
        <v>0</v>
      </c>
      <c r="H518" s="35"/>
      <c r="I518" s="17">
        <v>0</v>
      </c>
      <c r="J518" s="17">
        <v>2</v>
      </c>
      <c r="K518" s="17">
        <v>0</v>
      </c>
      <c r="L518" s="17">
        <v>0</v>
      </c>
      <c r="M518" s="14" t="s">
        <v>100</v>
      </c>
      <c r="N518" s="14" t="s">
        <v>87</v>
      </c>
      <c r="O518" s="14" t="s">
        <v>60</v>
      </c>
      <c r="P518" s="14"/>
      <c r="Q518" s="36" t="s">
        <v>263</v>
      </c>
    </row>
    <row r="519" spans="1:17" ht="14.4">
      <c r="A519" s="26">
        <v>116</v>
      </c>
      <c r="B519" s="19" t="s">
        <v>375</v>
      </c>
      <c r="C519" s="37">
        <v>45526</v>
      </c>
      <c r="D519" s="22">
        <v>0</v>
      </c>
      <c r="E519" s="22">
        <v>0</v>
      </c>
      <c r="F519" s="22">
        <v>1</v>
      </c>
      <c r="G519" s="22">
        <v>0</v>
      </c>
      <c r="H519" s="38"/>
      <c r="I519" s="22">
        <v>0</v>
      </c>
      <c r="J519" s="22">
        <v>0</v>
      </c>
      <c r="K519" s="22">
        <v>0</v>
      </c>
      <c r="L519" s="22">
        <v>0</v>
      </c>
      <c r="M519" s="19" t="s">
        <v>100</v>
      </c>
      <c r="N519" s="19" t="s">
        <v>87</v>
      </c>
      <c r="O519" s="19" t="s">
        <v>98</v>
      </c>
      <c r="P519" s="19"/>
      <c r="Q519" s="39" t="s">
        <v>262</v>
      </c>
    </row>
    <row r="520" spans="1:17" ht="14.4">
      <c r="A520" s="13">
        <v>116</v>
      </c>
      <c r="B520" s="14" t="s">
        <v>375</v>
      </c>
      <c r="C520" s="34">
        <v>45526</v>
      </c>
      <c r="D520" s="17">
        <v>3</v>
      </c>
      <c r="E520" s="17">
        <v>0</v>
      </c>
      <c r="F520" s="17">
        <v>0</v>
      </c>
      <c r="G520" s="17">
        <v>0</v>
      </c>
      <c r="H520" s="35"/>
      <c r="I520" s="17">
        <v>0</v>
      </c>
      <c r="J520" s="17">
        <v>0</v>
      </c>
      <c r="K520" s="17">
        <v>0</v>
      </c>
      <c r="L520" s="17">
        <v>0</v>
      </c>
      <c r="M520" s="14" t="s">
        <v>100</v>
      </c>
      <c r="N520" s="14" t="s">
        <v>87</v>
      </c>
      <c r="O520" s="14" t="s">
        <v>98</v>
      </c>
      <c r="P520" s="17">
        <v>3</v>
      </c>
      <c r="Q520" s="36" t="s">
        <v>259</v>
      </c>
    </row>
    <row r="521" spans="1:17" ht="14.4">
      <c r="A521" s="26">
        <v>116</v>
      </c>
      <c r="B521" s="19" t="s">
        <v>375</v>
      </c>
      <c r="C521" s="37">
        <v>45526</v>
      </c>
      <c r="D521" s="22">
        <v>0</v>
      </c>
      <c r="E521" s="22">
        <v>0</v>
      </c>
      <c r="F521" s="22">
        <v>0</v>
      </c>
      <c r="G521" s="22">
        <v>0</v>
      </c>
      <c r="H521" s="38"/>
      <c r="I521" s="22">
        <v>1</v>
      </c>
      <c r="J521" s="22">
        <v>0</v>
      </c>
      <c r="K521" s="22">
        <v>0</v>
      </c>
      <c r="L521" s="22">
        <v>0</v>
      </c>
      <c r="M521" s="19" t="s">
        <v>100</v>
      </c>
      <c r="N521" s="19" t="s">
        <v>87</v>
      </c>
      <c r="O521" s="19" t="s">
        <v>98</v>
      </c>
      <c r="P521" s="19"/>
      <c r="Q521" s="39" t="s">
        <v>260</v>
      </c>
    </row>
    <row r="522" spans="1:17" ht="14.4">
      <c r="A522" s="13">
        <v>116</v>
      </c>
      <c r="B522" s="14" t="s">
        <v>375</v>
      </c>
      <c r="C522" s="34">
        <v>45526</v>
      </c>
      <c r="D522" s="17">
        <v>9</v>
      </c>
      <c r="E522" s="17">
        <v>0</v>
      </c>
      <c r="F522" s="17">
        <v>0</v>
      </c>
      <c r="G522" s="17">
        <v>0</v>
      </c>
      <c r="H522" s="35"/>
      <c r="I522" s="17">
        <v>0</v>
      </c>
      <c r="J522" s="17">
        <v>0</v>
      </c>
      <c r="K522" s="17">
        <v>0</v>
      </c>
      <c r="L522" s="17">
        <v>0</v>
      </c>
      <c r="M522" s="14" t="s">
        <v>100</v>
      </c>
      <c r="N522" s="14" t="s">
        <v>87</v>
      </c>
      <c r="O522" s="14" t="s">
        <v>89</v>
      </c>
      <c r="P522" s="17">
        <v>5</v>
      </c>
      <c r="Q522" s="36" t="s">
        <v>259</v>
      </c>
    </row>
    <row r="523" spans="1:17" ht="14.4">
      <c r="A523" s="26">
        <v>116</v>
      </c>
      <c r="B523" s="19" t="s">
        <v>375</v>
      </c>
      <c r="C523" s="37">
        <v>45526</v>
      </c>
      <c r="D523" s="22">
        <v>2</v>
      </c>
      <c r="E523" s="22">
        <v>0</v>
      </c>
      <c r="F523" s="22">
        <v>0</v>
      </c>
      <c r="G523" s="22">
        <v>0</v>
      </c>
      <c r="H523" s="38"/>
      <c r="I523" s="22">
        <v>0</v>
      </c>
      <c r="J523" s="22">
        <v>0</v>
      </c>
      <c r="K523" s="22">
        <v>0</v>
      </c>
      <c r="L523" s="22">
        <v>0</v>
      </c>
      <c r="M523" s="19" t="s">
        <v>100</v>
      </c>
      <c r="N523" s="19" t="s">
        <v>87</v>
      </c>
      <c r="O523" s="19" t="s">
        <v>57</v>
      </c>
      <c r="P523" s="22">
        <v>2</v>
      </c>
      <c r="Q523" s="39" t="s">
        <v>259</v>
      </c>
    </row>
    <row r="524" spans="1:17" ht="14.4">
      <c r="A524" s="13">
        <v>116</v>
      </c>
      <c r="B524" s="14" t="s">
        <v>375</v>
      </c>
      <c r="C524" s="34">
        <v>45526</v>
      </c>
      <c r="D524" s="17">
        <v>1</v>
      </c>
      <c r="E524" s="17">
        <v>0</v>
      </c>
      <c r="F524" s="17">
        <v>0</v>
      </c>
      <c r="G524" s="17">
        <v>0</v>
      </c>
      <c r="H524" s="35"/>
      <c r="I524" s="17">
        <v>0</v>
      </c>
      <c r="J524" s="17">
        <v>0</v>
      </c>
      <c r="K524" s="17">
        <v>0</v>
      </c>
      <c r="L524" s="17">
        <v>0</v>
      </c>
      <c r="M524" s="14" t="s">
        <v>100</v>
      </c>
      <c r="N524" s="14" t="s">
        <v>87</v>
      </c>
      <c r="O524" s="14" t="s">
        <v>86</v>
      </c>
      <c r="P524" s="14"/>
      <c r="Q524" s="36" t="s">
        <v>259</v>
      </c>
    </row>
    <row r="525" spans="1:17" ht="14.4">
      <c r="A525" s="26">
        <v>116</v>
      </c>
      <c r="B525" s="19" t="s">
        <v>375</v>
      </c>
      <c r="C525" s="37">
        <v>45526</v>
      </c>
      <c r="D525" s="22">
        <v>4</v>
      </c>
      <c r="E525" s="22">
        <v>0</v>
      </c>
      <c r="F525" s="22">
        <v>0</v>
      </c>
      <c r="G525" s="22">
        <v>0</v>
      </c>
      <c r="H525" s="38"/>
      <c r="I525" s="22">
        <v>0</v>
      </c>
      <c r="J525" s="22">
        <v>0</v>
      </c>
      <c r="K525" s="22">
        <v>0</v>
      </c>
      <c r="L525" s="22">
        <v>0</v>
      </c>
      <c r="M525" s="19" t="s">
        <v>100</v>
      </c>
      <c r="N525" s="19" t="s">
        <v>87</v>
      </c>
      <c r="O525" s="19" t="s">
        <v>59</v>
      </c>
      <c r="P525" s="22">
        <v>2</v>
      </c>
      <c r="Q525" s="39" t="s">
        <v>259</v>
      </c>
    </row>
    <row r="526" spans="1:17" ht="14.4">
      <c r="A526" s="13">
        <v>116</v>
      </c>
      <c r="B526" s="14" t="s">
        <v>375</v>
      </c>
      <c r="C526" s="34">
        <v>45526</v>
      </c>
      <c r="D526" s="17">
        <v>0</v>
      </c>
      <c r="E526" s="17">
        <v>0</v>
      </c>
      <c r="F526" s="17">
        <v>0</v>
      </c>
      <c r="G526" s="17">
        <v>0</v>
      </c>
      <c r="H526" s="35"/>
      <c r="I526" s="17">
        <v>1</v>
      </c>
      <c r="J526" s="17">
        <v>0</v>
      </c>
      <c r="K526" s="17">
        <v>0</v>
      </c>
      <c r="L526" s="17">
        <v>0</v>
      </c>
      <c r="M526" s="14" t="s">
        <v>100</v>
      </c>
      <c r="N526" s="14" t="s">
        <v>87</v>
      </c>
      <c r="O526" s="14" t="s">
        <v>59</v>
      </c>
      <c r="P526" s="14"/>
      <c r="Q526" s="36" t="s">
        <v>260</v>
      </c>
    </row>
    <row r="527" spans="1:17" ht="14.4">
      <c r="A527" s="26">
        <v>116</v>
      </c>
      <c r="B527" s="19" t="s">
        <v>375</v>
      </c>
      <c r="C527" s="37">
        <v>45526</v>
      </c>
      <c r="D527" s="22">
        <v>0</v>
      </c>
      <c r="E527" s="22">
        <v>0</v>
      </c>
      <c r="F527" s="22">
        <v>0</v>
      </c>
      <c r="G527" s="22">
        <v>0</v>
      </c>
      <c r="H527" s="38"/>
      <c r="I527" s="22">
        <v>0</v>
      </c>
      <c r="J527" s="22">
        <v>2</v>
      </c>
      <c r="K527" s="22">
        <v>0</v>
      </c>
      <c r="L527" s="22">
        <v>0</v>
      </c>
      <c r="M527" s="19" t="s">
        <v>100</v>
      </c>
      <c r="N527" s="19" t="s">
        <v>87</v>
      </c>
      <c r="O527" s="19" t="s">
        <v>59</v>
      </c>
      <c r="P527" s="19"/>
      <c r="Q527" s="39" t="s">
        <v>263</v>
      </c>
    </row>
    <row r="528" spans="1:17" ht="14.4">
      <c r="A528" s="13">
        <v>323</v>
      </c>
      <c r="B528" s="14" t="s">
        <v>376</v>
      </c>
      <c r="C528" s="34">
        <v>45526</v>
      </c>
      <c r="D528" s="17">
        <v>2</v>
      </c>
      <c r="E528" s="17">
        <v>0</v>
      </c>
      <c r="F528" s="17">
        <v>0</v>
      </c>
      <c r="G528" s="17">
        <v>0</v>
      </c>
      <c r="H528" s="35"/>
      <c r="I528" s="17">
        <v>0</v>
      </c>
      <c r="J528" s="17">
        <v>0</v>
      </c>
      <c r="K528" s="17">
        <v>0</v>
      </c>
      <c r="L528" s="17">
        <v>0</v>
      </c>
      <c r="M528" s="14" t="s">
        <v>100</v>
      </c>
      <c r="N528" s="14" t="s">
        <v>87</v>
      </c>
      <c r="O528" s="14" t="s">
        <v>60</v>
      </c>
      <c r="P528" s="17">
        <v>1</v>
      </c>
      <c r="Q528" s="36" t="s">
        <v>259</v>
      </c>
    </row>
    <row r="529" spans="1:17" ht="14.4">
      <c r="A529" s="26">
        <v>323</v>
      </c>
      <c r="B529" s="19" t="s">
        <v>376</v>
      </c>
      <c r="C529" s="37">
        <v>45526</v>
      </c>
      <c r="D529" s="22">
        <v>0</v>
      </c>
      <c r="E529" s="22">
        <v>0</v>
      </c>
      <c r="F529" s="22">
        <v>0</v>
      </c>
      <c r="G529" s="22">
        <v>0</v>
      </c>
      <c r="H529" s="38"/>
      <c r="I529" s="22">
        <v>1</v>
      </c>
      <c r="J529" s="22">
        <v>0</v>
      </c>
      <c r="K529" s="22">
        <v>0</v>
      </c>
      <c r="L529" s="22">
        <v>0</v>
      </c>
      <c r="M529" s="19" t="s">
        <v>100</v>
      </c>
      <c r="N529" s="19" t="s">
        <v>87</v>
      </c>
      <c r="O529" s="19" t="s">
        <v>60</v>
      </c>
      <c r="P529" s="19"/>
      <c r="Q529" s="39" t="s">
        <v>260</v>
      </c>
    </row>
    <row r="530" spans="1:17" ht="14.4">
      <c r="A530" s="13">
        <v>323</v>
      </c>
      <c r="B530" s="14" t="s">
        <v>376</v>
      </c>
      <c r="C530" s="34">
        <v>45526</v>
      </c>
      <c r="D530" s="17">
        <v>0</v>
      </c>
      <c r="E530" s="17">
        <v>0</v>
      </c>
      <c r="F530" s="17">
        <v>0</v>
      </c>
      <c r="G530" s="17">
        <v>0</v>
      </c>
      <c r="H530" s="35"/>
      <c r="I530" s="17">
        <v>0</v>
      </c>
      <c r="J530" s="17">
        <v>1</v>
      </c>
      <c r="K530" s="17">
        <v>1</v>
      </c>
      <c r="L530" s="17">
        <v>0</v>
      </c>
      <c r="M530" s="14" t="s">
        <v>100</v>
      </c>
      <c r="N530" s="14" t="s">
        <v>87</v>
      </c>
      <c r="O530" s="14" t="s">
        <v>86</v>
      </c>
      <c r="P530" s="14"/>
      <c r="Q530" s="36" t="s">
        <v>263</v>
      </c>
    </row>
    <row r="531" spans="1:17" ht="14.4">
      <c r="A531" s="26">
        <v>197</v>
      </c>
      <c r="B531" s="19" t="s">
        <v>377</v>
      </c>
      <c r="C531" s="37">
        <v>45526</v>
      </c>
      <c r="D531" s="22">
        <v>1</v>
      </c>
      <c r="E531" s="22">
        <v>0</v>
      </c>
      <c r="F531" s="22">
        <v>0</v>
      </c>
      <c r="G531" s="22">
        <v>0</v>
      </c>
      <c r="H531" s="38"/>
      <c r="I531" s="22">
        <v>0</v>
      </c>
      <c r="J531" s="22">
        <v>0</v>
      </c>
      <c r="K531" s="22">
        <v>0</v>
      </c>
      <c r="L531" s="22">
        <v>0</v>
      </c>
      <c r="M531" s="19" t="s">
        <v>100</v>
      </c>
      <c r="N531" s="19" t="s">
        <v>91</v>
      </c>
      <c r="O531" s="19" t="s">
        <v>38</v>
      </c>
      <c r="P531" s="19"/>
      <c r="Q531" s="39" t="s">
        <v>259</v>
      </c>
    </row>
    <row r="532" spans="1:17" ht="14.4">
      <c r="A532" s="13">
        <v>197</v>
      </c>
      <c r="B532" s="14" t="s">
        <v>377</v>
      </c>
      <c r="C532" s="34">
        <v>45526</v>
      </c>
      <c r="D532" s="17">
        <v>1</v>
      </c>
      <c r="E532" s="17">
        <v>0</v>
      </c>
      <c r="F532" s="17">
        <v>0</v>
      </c>
      <c r="G532" s="17">
        <v>0</v>
      </c>
      <c r="H532" s="35"/>
      <c r="I532" s="17">
        <v>0</v>
      </c>
      <c r="J532" s="17">
        <v>0</v>
      </c>
      <c r="K532" s="17">
        <v>0</v>
      </c>
      <c r="L532" s="17">
        <v>0</v>
      </c>
      <c r="M532" s="14" t="s">
        <v>100</v>
      </c>
      <c r="N532" s="14" t="s">
        <v>91</v>
      </c>
      <c r="O532" s="14" t="s">
        <v>90</v>
      </c>
      <c r="P532" s="14"/>
      <c r="Q532" s="36" t="s">
        <v>259</v>
      </c>
    </row>
    <row r="533" spans="1:17" ht="14.4">
      <c r="A533" s="26">
        <v>375</v>
      </c>
      <c r="B533" s="19" t="s">
        <v>378</v>
      </c>
      <c r="C533" s="37">
        <v>45526</v>
      </c>
      <c r="D533" s="22">
        <v>0</v>
      </c>
      <c r="E533" s="22">
        <v>0</v>
      </c>
      <c r="F533" s="22">
        <v>0</v>
      </c>
      <c r="G533" s="22">
        <v>0</v>
      </c>
      <c r="H533" s="38"/>
      <c r="I533" s="22">
        <v>0</v>
      </c>
      <c r="J533" s="22">
        <v>1</v>
      </c>
      <c r="K533" s="22">
        <v>1</v>
      </c>
      <c r="L533" s="22">
        <v>0</v>
      </c>
      <c r="M533" s="19" t="s">
        <v>100</v>
      </c>
      <c r="N533" s="19" t="s">
        <v>91</v>
      </c>
      <c r="O533" s="19" t="s">
        <v>38</v>
      </c>
      <c r="P533" s="19"/>
      <c r="Q533" s="39" t="s">
        <v>263</v>
      </c>
    </row>
    <row r="534" spans="1:17" ht="14.4">
      <c r="A534" s="13">
        <v>375</v>
      </c>
      <c r="B534" s="14" t="s">
        <v>378</v>
      </c>
      <c r="C534" s="34">
        <v>45526</v>
      </c>
      <c r="D534" s="17">
        <v>0</v>
      </c>
      <c r="E534" s="17">
        <v>0</v>
      </c>
      <c r="F534" s="17">
        <v>0</v>
      </c>
      <c r="G534" s="17">
        <v>0</v>
      </c>
      <c r="H534" s="35"/>
      <c r="I534" s="17">
        <v>0</v>
      </c>
      <c r="J534" s="17">
        <v>1</v>
      </c>
      <c r="K534" s="17">
        <v>0</v>
      </c>
      <c r="L534" s="17">
        <v>0</v>
      </c>
      <c r="M534" s="14" t="s">
        <v>100</v>
      </c>
      <c r="N534" s="14" t="s">
        <v>87</v>
      </c>
      <c r="O534" s="14" t="s">
        <v>37</v>
      </c>
      <c r="P534" s="14"/>
      <c r="Q534" s="36" t="s">
        <v>263</v>
      </c>
    </row>
    <row r="535" spans="1:17" ht="14.4">
      <c r="A535" s="26">
        <v>663</v>
      </c>
      <c r="B535" s="19" t="s">
        <v>379</v>
      </c>
      <c r="C535" s="37">
        <v>45526</v>
      </c>
      <c r="D535" s="22">
        <v>1</v>
      </c>
      <c r="E535" s="22">
        <v>0</v>
      </c>
      <c r="F535" s="22">
        <v>0</v>
      </c>
      <c r="G535" s="22">
        <v>0</v>
      </c>
      <c r="H535" s="38"/>
      <c r="I535" s="22">
        <v>0</v>
      </c>
      <c r="J535" s="22">
        <v>0</v>
      </c>
      <c r="K535" s="22">
        <v>0</v>
      </c>
      <c r="L535" s="22">
        <v>0</v>
      </c>
      <c r="M535" s="19" t="s">
        <v>100</v>
      </c>
      <c r="N535" s="19" t="s">
        <v>87</v>
      </c>
      <c r="O535" s="19" t="s">
        <v>89</v>
      </c>
      <c r="P535" s="22">
        <v>1</v>
      </c>
      <c r="Q535" s="39" t="s">
        <v>259</v>
      </c>
    </row>
    <row r="536" spans="1:17" ht="14.4">
      <c r="A536" s="13">
        <v>663</v>
      </c>
      <c r="B536" s="14" t="s">
        <v>379</v>
      </c>
      <c r="C536" s="34">
        <v>45526</v>
      </c>
      <c r="D536" s="17">
        <v>1</v>
      </c>
      <c r="E536" s="17">
        <v>0</v>
      </c>
      <c r="F536" s="17">
        <v>0</v>
      </c>
      <c r="G536" s="17">
        <v>0</v>
      </c>
      <c r="H536" s="35"/>
      <c r="I536" s="17">
        <v>0</v>
      </c>
      <c r="J536" s="17">
        <v>0</v>
      </c>
      <c r="K536" s="17">
        <v>0</v>
      </c>
      <c r="L536" s="17">
        <v>0</v>
      </c>
      <c r="M536" s="14" t="s">
        <v>100</v>
      </c>
      <c r="N536" s="14" t="s">
        <v>87</v>
      </c>
      <c r="O536" s="14" t="s">
        <v>86</v>
      </c>
      <c r="P536" s="17">
        <v>1</v>
      </c>
      <c r="Q536" s="36" t="s">
        <v>259</v>
      </c>
    </row>
    <row r="537" spans="1:17" ht="14.4">
      <c r="A537" s="26">
        <v>646</v>
      </c>
      <c r="B537" s="19" t="s">
        <v>380</v>
      </c>
      <c r="C537" s="37">
        <v>45526</v>
      </c>
      <c r="D537" s="22">
        <v>1</v>
      </c>
      <c r="E537" s="22">
        <v>0</v>
      </c>
      <c r="F537" s="22">
        <v>0</v>
      </c>
      <c r="G537" s="22">
        <v>0</v>
      </c>
      <c r="H537" s="38"/>
      <c r="I537" s="22">
        <v>0</v>
      </c>
      <c r="J537" s="22">
        <v>0</v>
      </c>
      <c r="K537" s="22">
        <v>0</v>
      </c>
      <c r="L537" s="22">
        <v>0</v>
      </c>
      <c r="M537" s="19" t="s">
        <v>100</v>
      </c>
      <c r="N537" s="19" t="s">
        <v>91</v>
      </c>
      <c r="O537" s="19" t="s">
        <v>44</v>
      </c>
      <c r="P537" s="22">
        <v>1</v>
      </c>
      <c r="Q537" s="39" t="s">
        <v>259</v>
      </c>
    </row>
    <row r="538" spans="1:17" ht="14.4">
      <c r="A538" s="13">
        <v>646</v>
      </c>
      <c r="B538" s="14" t="s">
        <v>380</v>
      </c>
      <c r="C538" s="34">
        <v>45526</v>
      </c>
      <c r="D538" s="17">
        <v>0</v>
      </c>
      <c r="E538" s="17">
        <v>0</v>
      </c>
      <c r="F538" s="17">
        <v>0</v>
      </c>
      <c r="G538" s="17">
        <v>0</v>
      </c>
      <c r="H538" s="35"/>
      <c r="I538" s="17">
        <v>0</v>
      </c>
      <c r="J538" s="17">
        <v>1</v>
      </c>
      <c r="K538" s="17">
        <v>0</v>
      </c>
      <c r="L538" s="17">
        <v>0</v>
      </c>
      <c r="M538" s="14" t="s">
        <v>100</v>
      </c>
      <c r="N538" s="14" t="s">
        <v>91</v>
      </c>
      <c r="O538" s="14" t="s">
        <v>44</v>
      </c>
      <c r="P538" s="14"/>
      <c r="Q538" s="36" t="s">
        <v>263</v>
      </c>
    </row>
    <row r="539" spans="1:17" ht="14.4">
      <c r="A539" s="26">
        <v>646</v>
      </c>
      <c r="B539" s="19" t="s">
        <v>380</v>
      </c>
      <c r="C539" s="37">
        <v>45526</v>
      </c>
      <c r="D539" s="22">
        <v>1</v>
      </c>
      <c r="E539" s="22">
        <v>0</v>
      </c>
      <c r="F539" s="22">
        <v>0</v>
      </c>
      <c r="G539" s="22">
        <v>0</v>
      </c>
      <c r="H539" s="38"/>
      <c r="I539" s="22">
        <v>0</v>
      </c>
      <c r="J539" s="22">
        <v>0</v>
      </c>
      <c r="K539" s="22">
        <v>0</v>
      </c>
      <c r="L539" s="22">
        <v>0</v>
      </c>
      <c r="M539" s="19" t="s">
        <v>100</v>
      </c>
      <c r="N539" s="19" t="s">
        <v>91</v>
      </c>
      <c r="O539" s="19" t="s">
        <v>47</v>
      </c>
      <c r="P539" s="22">
        <v>1</v>
      </c>
      <c r="Q539" s="39" t="s">
        <v>259</v>
      </c>
    </row>
    <row r="540" spans="1:17" ht="14.4">
      <c r="A540" s="13">
        <v>646</v>
      </c>
      <c r="B540" s="14" t="s">
        <v>380</v>
      </c>
      <c r="C540" s="34">
        <v>45526</v>
      </c>
      <c r="D540" s="17">
        <v>0</v>
      </c>
      <c r="E540" s="17">
        <v>0</v>
      </c>
      <c r="F540" s="17">
        <v>0</v>
      </c>
      <c r="G540" s="17">
        <v>0</v>
      </c>
      <c r="H540" s="35"/>
      <c r="I540" s="17">
        <v>1</v>
      </c>
      <c r="J540" s="17">
        <v>0</v>
      </c>
      <c r="K540" s="17">
        <v>0</v>
      </c>
      <c r="L540" s="17">
        <v>0</v>
      </c>
      <c r="M540" s="14" t="s">
        <v>100</v>
      </c>
      <c r="N540" s="14" t="s">
        <v>91</v>
      </c>
      <c r="O540" s="14" t="s">
        <v>47</v>
      </c>
      <c r="P540" s="14"/>
      <c r="Q540" s="36" t="s">
        <v>260</v>
      </c>
    </row>
    <row r="541" spans="1:17" ht="14.4">
      <c r="A541" s="26">
        <v>646</v>
      </c>
      <c r="B541" s="19" t="s">
        <v>380</v>
      </c>
      <c r="C541" s="37">
        <v>45526</v>
      </c>
      <c r="D541" s="22">
        <v>1</v>
      </c>
      <c r="E541" s="22">
        <v>0</v>
      </c>
      <c r="F541" s="22">
        <v>0</v>
      </c>
      <c r="G541" s="22">
        <v>0</v>
      </c>
      <c r="H541" s="38"/>
      <c r="I541" s="22">
        <v>0</v>
      </c>
      <c r="J541" s="22">
        <v>0</v>
      </c>
      <c r="K541" s="22">
        <v>0</v>
      </c>
      <c r="L541" s="22">
        <v>0</v>
      </c>
      <c r="M541" s="19" t="s">
        <v>100</v>
      </c>
      <c r="N541" s="19" t="s">
        <v>87</v>
      </c>
      <c r="O541" s="19" t="s">
        <v>43</v>
      </c>
      <c r="P541" s="22">
        <v>1</v>
      </c>
      <c r="Q541" s="39" t="s">
        <v>259</v>
      </c>
    </row>
    <row r="542" spans="1:17" ht="14.4">
      <c r="A542" s="13">
        <v>646</v>
      </c>
      <c r="B542" s="14" t="s">
        <v>380</v>
      </c>
      <c r="C542" s="34">
        <v>45526</v>
      </c>
      <c r="D542" s="17">
        <v>0</v>
      </c>
      <c r="E542" s="17">
        <v>0</v>
      </c>
      <c r="F542" s="17">
        <v>0</v>
      </c>
      <c r="G542" s="17">
        <v>0</v>
      </c>
      <c r="H542" s="35"/>
      <c r="I542" s="17">
        <v>0</v>
      </c>
      <c r="J542" s="17">
        <v>1</v>
      </c>
      <c r="K542" s="17">
        <v>0</v>
      </c>
      <c r="L542" s="17">
        <v>0</v>
      </c>
      <c r="M542" s="14" t="s">
        <v>100</v>
      </c>
      <c r="N542" s="14" t="s">
        <v>87</v>
      </c>
      <c r="O542" s="14" t="s">
        <v>43</v>
      </c>
      <c r="P542" s="14"/>
      <c r="Q542" s="36" t="s">
        <v>263</v>
      </c>
    </row>
    <row r="543" spans="1:17" ht="14.4">
      <c r="A543" s="26">
        <v>646</v>
      </c>
      <c r="B543" s="19" t="s">
        <v>380</v>
      </c>
      <c r="C543" s="37">
        <v>45526</v>
      </c>
      <c r="D543" s="22">
        <v>1</v>
      </c>
      <c r="E543" s="22">
        <v>0</v>
      </c>
      <c r="F543" s="22">
        <v>0</v>
      </c>
      <c r="G543" s="22">
        <v>0</v>
      </c>
      <c r="H543" s="38"/>
      <c r="I543" s="22">
        <v>0</v>
      </c>
      <c r="J543" s="22">
        <v>0</v>
      </c>
      <c r="K543" s="22">
        <v>0</v>
      </c>
      <c r="L543" s="22">
        <v>0</v>
      </c>
      <c r="M543" s="19" t="s">
        <v>100</v>
      </c>
      <c r="N543" s="19" t="s">
        <v>87</v>
      </c>
      <c r="O543" s="19" t="s">
        <v>60</v>
      </c>
      <c r="P543" s="22">
        <v>1</v>
      </c>
      <c r="Q543" s="39" t="s">
        <v>259</v>
      </c>
    </row>
    <row r="544" spans="1:17" ht="14.4">
      <c r="A544" s="13">
        <v>646</v>
      </c>
      <c r="B544" s="14" t="s">
        <v>380</v>
      </c>
      <c r="C544" s="34">
        <v>45526</v>
      </c>
      <c r="D544" s="17">
        <v>0</v>
      </c>
      <c r="E544" s="17">
        <v>0</v>
      </c>
      <c r="F544" s="17">
        <v>0</v>
      </c>
      <c r="G544" s="17">
        <v>0</v>
      </c>
      <c r="H544" s="35"/>
      <c r="I544" s="17">
        <v>1</v>
      </c>
      <c r="J544" s="17">
        <v>0</v>
      </c>
      <c r="K544" s="17">
        <v>0</v>
      </c>
      <c r="L544" s="17">
        <v>0</v>
      </c>
      <c r="M544" s="14" t="s">
        <v>100</v>
      </c>
      <c r="N544" s="14" t="s">
        <v>87</v>
      </c>
      <c r="O544" s="14" t="s">
        <v>60</v>
      </c>
      <c r="P544" s="14"/>
      <c r="Q544" s="36" t="s">
        <v>260</v>
      </c>
    </row>
    <row r="545" spans="1:17" ht="14.4">
      <c r="A545" s="26">
        <v>646</v>
      </c>
      <c r="B545" s="19" t="s">
        <v>380</v>
      </c>
      <c r="C545" s="37">
        <v>45526</v>
      </c>
      <c r="D545" s="22">
        <v>1</v>
      </c>
      <c r="E545" s="22">
        <v>0</v>
      </c>
      <c r="F545" s="22">
        <v>0</v>
      </c>
      <c r="G545" s="22">
        <v>0</v>
      </c>
      <c r="H545" s="38"/>
      <c r="I545" s="22">
        <v>0</v>
      </c>
      <c r="J545" s="22">
        <v>0</v>
      </c>
      <c r="K545" s="22">
        <v>0</v>
      </c>
      <c r="L545" s="22">
        <v>0</v>
      </c>
      <c r="M545" s="19" t="s">
        <v>100</v>
      </c>
      <c r="N545" s="19" t="s">
        <v>87</v>
      </c>
      <c r="O545" s="19" t="s">
        <v>98</v>
      </c>
      <c r="P545" s="22">
        <v>1</v>
      </c>
      <c r="Q545" s="39" t="s">
        <v>259</v>
      </c>
    </row>
    <row r="546" spans="1:17" ht="14.4">
      <c r="A546" s="13">
        <v>646</v>
      </c>
      <c r="B546" s="14" t="s">
        <v>380</v>
      </c>
      <c r="C546" s="34">
        <v>45526</v>
      </c>
      <c r="D546" s="17">
        <v>1</v>
      </c>
      <c r="E546" s="17">
        <v>0</v>
      </c>
      <c r="F546" s="17">
        <v>0</v>
      </c>
      <c r="G546" s="17">
        <v>0</v>
      </c>
      <c r="H546" s="35"/>
      <c r="I546" s="17">
        <v>0</v>
      </c>
      <c r="J546" s="17">
        <v>0</v>
      </c>
      <c r="K546" s="17">
        <v>0</v>
      </c>
      <c r="L546" s="17">
        <v>0</v>
      </c>
      <c r="M546" s="14" t="s">
        <v>100</v>
      </c>
      <c r="N546" s="14" t="s">
        <v>87</v>
      </c>
      <c r="O546" s="14" t="s">
        <v>89</v>
      </c>
      <c r="P546" s="17">
        <v>1</v>
      </c>
      <c r="Q546" s="36" t="s">
        <v>259</v>
      </c>
    </row>
    <row r="547" spans="1:17" ht="14.4">
      <c r="A547" s="26">
        <v>646</v>
      </c>
      <c r="B547" s="19" t="s">
        <v>380</v>
      </c>
      <c r="C547" s="37">
        <v>45526</v>
      </c>
      <c r="D547" s="22">
        <v>0</v>
      </c>
      <c r="E547" s="22">
        <v>0</v>
      </c>
      <c r="F547" s="22">
        <v>0</v>
      </c>
      <c r="G547" s="22">
        <v>0</v>
      </c>
      <c r="H547" s="38"/>
      <c r="I547" s="22">
        <v>0</v>
      </c>
      <c r="J547" s="22">
        <v>0</v>
      </c>
      <c r="K547" s="22">
        <v>1</v>
      </c>
      <c r="L547" s="22">
        <v>0</v>
      </c>
      <c r="M547" s="19" t="s">
        <v>100</v>
      </c>
      <c r="N547" s="19" t="s">
        <v>87</v>
      </c>
      <c r="O547" s="19" t="s">
        <v>89</v>
      </c>
      <c r="P547" s="19"/>
      <c r="Q547" s="39" t="s">
        <v>263</v>
      </c>
    </row>
    <row r="548" spans="1:17" ht="14.4">
      <c r="A548" s="13">
        <v>646</v>
      </c>
      <c r="B548" s="14" t="s">
        <v>380</v>
      </c>
      <c r="C548" s="34">
        <v>45526</v>
      </c>
      <c r="D548" s="17">
        <v>1</v>
      </c>
      <c r="E548" s="17">
        <v>0</v>
      </c>
      <c r="F548" s="17">
        <v>0</v>
      </c>
      <c r="G548" s="17">
        <v>0</v>
      </c>
      <c r="H548" s="35"/>
      <c r="I548" s="17">
        <v>0</v>
      </c>
      <c r="J548" s="17">
        <v>0</v>
      </c>
      <c r="K548" s="17">
        <v>0</v>
      </c>
      <c r="L548" s="17">
        <v>0</v>
      </c>
      <c r="M548" s="14" t="s">
        <v>100</v>
      </c>
      <c r="N548" s="14" t="s">
        <v>87</v>
      </c>
      <c r="O548" s="14" t="s">
        <v>86</v>
      </c>
      <c r="P548" s="17">
        <v>1</v>
      </c>
      <c r="Q548" s="36" t="s">
        <v>259</v>
      </c>
    </row>
    <row r="549" spans="1:17" ht="14.4">
      <c r="A549" s="26">
        <v>646</v>
      </c>
      <c r="B549" s="19" t="s">
        <v>380</v>
      </c>
      <c r="C549" s="37">
        <v>45526</v>
      </c>
      <c r="D549" s="22">
        <v>2</v>
      </c>
      <c r="E549" s="22">
        <v>0</v>
      </c>
      <c r="F549" s="22">
        <v>0</v>
      </c>
      <c r="G549" s="22">
        <v>0</v>
      </c>
      <c r="H549" s="38"/>
      <c r="I549" s="22">
        <v>0</v>
      </c>
      <c r="J549" s="22">
        <v>0</v>
      </c>
      <c r="K549" s="22">
        <v>0</v>
      </c>
      <c r="L549" s="22">
        <v>0</v>
      </c>
      <c r="M549" s="19" t="s">
        <v>100</v>
      </c>
      <c r="N549" s="19" t="s">
        <v>87</v>
      </c>
      <c r="O549" s="19" t="s">
        <v>59</v>
      </c>
      <c r="P549" s="19"/>
      <c r="Q549" s="39" t="s">
        <v>259</v>
      </c>
    </row>
    <row r="550" spans="1:17" ht="14.4">
      <c r="A550" s="13">
        <v>260</v>
      </c>
      <c r="B550" s="14" t="s">
        <v>381</v>
      </c>
      <c r="C550" s="34">
        <v>45526</v>
      </c>
      <c r="D550" s="17">
        <v>2</v>
      </c>
      <c r="E550" s="17">
        <v>0</v>
      </c>
      <c r="F550" s="17">
        <v>0</v>
      </c>
      <c r="G550" s="17">
        <v>0</v>
      </c>
      <c r="H550" s="35"/>
      <c r="I550" s="17">
        <v>0</v>
      </c>
      <c r="J550" s="17">
        <v>0</v>
      </c>
      <c r="K550" s="17">
        <v>0</v>
      </c>
      <c r="L550" s="17">
        <v>0</v>
      </c>
      <c r="M550" s="14" t="s">
        <v>100</v>
      </c>
      <c r="N550" s="14" t="s">
        <v>91</v>
      </c>
      <c r="O550" s="14" t="s">
        <v>38</v>
      </c>
      <c r="P550" s="17">
        <v>1</v>
      </c>
      <c r="Q550" s="36" t="s">
        <v>259</v>
      </c>
    </row>
    <row r="551" spans="1:17" ht="14.4">
      <c r="A551" s="26">
        <v>260</v>
      </c>
      <c r="B551" s="19" t="s">
        <v>381</v>
      </c>
      <c r="C551" s="37">
        <v>45526</v>
      </c>
      <c r="D551" s="22">
        <v>0</v>
      </c>
      <c r="E551" s="22">
        <v>0</v>
      </c>
      <c r="F551" s="22">
        <v>0</v>
      </c>
      <c r="G551" s="22">
        <v>0</v>
      </c>
      <c r="H551" s="38"/>
      <c r="I551" s="22">
        <v>1</v>
      </c>
      <c r="J551" s="22">
        <v>0</v>
      </c>
      <c r="K551" s="22">
        <v>0</v>
      </c>
      <c r="L551" s="22">
        <v>0</v>
      </c>
      <c r="M551" s="19" t="s">
        <v>100</v>
      </c>
      <c r="N551" s="19" t="s">
        <v>91</v>
      </c>
      <c r="O551" s="19" t="s">
        <v>38</v>
      </c>
      <c r="P551" s="19"/>
      <c r="Q551" s="39" t="s">
        <v>260</v>
      </c>
    </row>
    <row r="552" spans="1:17" ht="14.4">
      <c r="A552" s="13">
        <v>260</v>
      </c>
      <c r="B552" s="14" t="s">
        <v>381</v>
      </c>
      <c r="C552" s="34">
        <v>45526</v>
      </c>
      <c r="D552" s="17">
        <v>0</v>
      </c>
      <c r="E552" s="17">
        <v>0</v>
      </c>
      <c r="F552" s="17">
        <v>0</v>
      </c>
      <c r="G552" s="17">
        <v>0</v>
      </c>
      <c r="H552" s="35"/>
      <c r="I552" s="17">
        <v>0</v>
      </c>
      <c r="J552" s="17">
        <v>0</v>
      </c>
      <c r="K552" s="17">
        <v>1</v>
      </c>
      <c r="L552" s="17">
        <v>0</v>
      </c>
      <c r="M552" s="14" t="s">
        <v>100</v>
      </c>
      <c r="N552" s="14" t="s">
        <v>87</v>
      </c>
      <c r="O552" s="14" t="s">
        <v>60</v>
      </c>
      <c r="P552" s="14"/>
      <c r="Q552" s="36" t="s">
        <v>263</v>
      </c>
    </row>
    <row r="553" spans="1:17" ht="14.4">
      <c r="A553" s="26">
        <v>260</v>
      </c>
      <c r="B553" s="19" t="s">
        <v>381</v>
      </c>
      <c r="C553" s="37">
        <v>45526</v>
      </c>
      <c r="D553" s="22">
        <v>1</v>
      </c>
      <c r="E553" s="22">
        <v>0</v>
      </c>
      <c r="F553" s="22">
        <v>0</v>
      </c>
      <c r="G553" s="22">
        <v>0</v>
      </c>
      <c r="H553" s="38"/>
      <c r="I553" s="22">
        <v>0</v>
      </c>
      <c r="J553" s="22">
        <v>0</v>
      </c>
      <c r="K553" s="22">
        <v>0</v>
      </c>
      <c r="L553" s="22">
        <v>0</v>
      </c>
      <c r="M553" s="19" t="s">
        <v>100</v>
      </c>
      <c r="N553" s="19" t="s">
        <v>87</v>
      </c>
      <c r="O553" s="19" t="s">
        <v>89</v>
      </c>
      <c r="P553" s="19"/>
      <c r="Q553" s="39" t="s">
        <v>259</v>
      </c>
    </row>
    <row r="554" spans="1:17" ht="14.4">
      <c r="A554" s="13">
        <v>104</v>
      </c>
      <c r="B554" s="14" t="s">
        <v>382</v>
      </c>
      <c r="C554" s="34">
        <v>45526</v>
      </c>
      <c r="D554" s="17">
        <v>3</v>
      </c>
      <c r="E554" s="17">
        <v>0</v>
      </c>
      <c r="F554" s="17">
        <v>0</v>
      </c>
      <c r="G554" s="17">
        <v>0</v>
      </c>
      <c r="H554" s="35"/>
      <c r="I554" s="17">
        <v>0</v>
      </c>
      <c r="J554" s="17">
        <v>0</v>
      </c>
      <c r="K554" s="17">
        <v>0</v>
      </c>
      <c r="L554" s="17">
        <v>0</v>
      </c>
      <c r="M554" s="14" t="s">
        <v>100</v>
      </c>
      <c r="N554" s="14" t="s">
        <v>91</v>
      </c>
      <c r="O554" s="14" t="s">
        <v>38</v>
      </c>
      <c r="P554" s="17">
        <v>1</v>
      </c>
      <c r="Q554" s="36" t="s">
        <v>259</v>
      </c>
    </row>
    <row r="555" spans="1:17" ht="14.4">
      <c r="A555" s="26">
        <v>104</v>
      </c>
      <c r="B555" s="19" t="s">
        <v>382</v>
      </c>
      <c r="C555" s="37">
        <v>45526</v>
      </c>
      <c r="D555" s="22">
        <v>0</v>
      </c>
      <c r="E555" s="22">
        <v>0</v>
      </c>
      <c r="F555" s="22">
        <v>0</v>
      </c>
      <c r="G555" s="22">
        <v>0</v>
      </c>
      <c r="H555" s="38"/>
      <c r="I555" s="22">
        <v>3</v>
      </c>
      <c r="J555" s="22">
        <v>0</v>
      </c>
      <c r="K555" s="22">
        <v>0</v>
      </c>
      <c r="L555" s="22">
        <v>0</v>
      </c>
      <c r="M555" s="19" t="s">
        <v>100</v>
      </c>
      <c r="N555" s="19" t="s">
        <v>91</v>
      </c>
      <c r="O555" s="19" t="s">
        <v>38</v>
      </c>
      <c r="P555" s="19"/>
      <c r="Q555" s="39" t="s">
        <v>260</v>
      </c>
    </row>
    <row r="556" spans="1:17" ht="14.4">
      <c r="A556" s="13">
        <v>104</v>
      </c>
      <c r="B556" s="14" t="s">
        <v>382</v>
      </c>
      <c r="C556" s="34">
        <v>45526</v>
      </c>
      <c r="D556" s="17">
        <v>0</v>
      </c>
      <c r="E556" s="17">
        <v>0</v>
      </c>
      <c r="F556" s="17">
        <v>0</v>
      </c>
      <c r="G556" s="17">
        <v>0</v>
      </c>
      <c r="H556" s="35"/>
      <c r="I556" s="17">
        <v>0</v>
      </c>
      <c r="J556" s="17">
        <v>1</v>
      </c>
      <c r="K556" s="17">
        <v>0</v>
      </c>
      <c r="L556" s="17">
        <v>0</v>
      </c>
      <c r="M556" s="14" t="s">
        <v>100</v>
      </c>
      <c r="N556" s="14" t="s">
        <v>91</v>
      </c>
      <c r="O556" s="14" t="s">
        <v>38</v>
      </c>
      <c r="P556" s="14"/>
      <c r="Q556" s="36" t="s">
        <v>263</v>
      </c>
    </row>
    <row r="557" spans="1:17" ht="14.4">
      <c r="A557" s="26">
        <v>104</v>
      </c>
      <c r="B557" s="19" t="s">
        <v>382</v>
      </c>
      <c r="C557" s="37">
        <v>45526</v>
      </c>
      <c r="D557" s="22">
        <v>0</v>
      </c>
      <c r="E557" s="22">
        <v>0</v>
      </c>
      <c r="F557" s="22">
        <v>0</v>
      </c>
      <c r="G557" s="22">
        <v>0</v>
      </c>
      <c r="H557" s="38"/>
      <c r="I557" s="22">
        <v>1</v>
      </c>
      <c r="J557" s="22">
        <v>0</v>
      </c>
      <c r="K557" s="22">
        <v>0</v>
      </c>
      <c r="L557" s="22">
        <v>0</v>
      </c>
      <c r="M557" s="19" t="s">
        <v>100</v>
      </c>
      <c r="N557" s="19" t="s">
        <v>91</v>
      </c>
      <c r="O557" s="19" t="s">
        <v>44</v>
      </c>
      <c r="P557" s="19"/>
      <c r="Q557" s="39" t="s">
        <v>260</v>
      </c>
    </row>
    <row r="558" spans="1:17" ht="14.4">
      <c r="A558" s="13">
        <v>104</v>
      </c>
      <c r="B558" s="14" t="s">
        <v>382</v>
      </c>
      <c r="C558" s="34">
        <v>45526</v>
      </c>
      <c r="D558" s="17">
        <v>1</v>
      </c>
      <c r="E558" s="17">
        <v>0</v>
      </c>
      <c r="F558" s="17">
        <v>0</v>
      </c>
      <c r="G558" s="17">
        <v>0</v>
      </c>
      <c r="H558" s="35"/>
      <c r="I558" s="17">
        <v>0</v>
      </c>
      <c r="J558" s="17">
        <v>0</v>
      </c>
      <c r="K558" s="17">
        <v>0</v>
      </c>
      <c r="L558" s="17">
        <v>0</v>
      </c>
      <c r="M558" s="14" t="s">
        <v>100</v>
      </c>
      <c r="N558" s="14" t="s">
        <v>91</v>
      </c>
      <c r="O558" s="14" t="s">
        <v>47</v>
      </c>
      <c r="P558" s="14"/>
      <c r="Q558" s="36" t="s">
        <v>259</v>
      </c>
    </row>
    <row r="559" spans="1:17" ht="14.4">
      <c r="A559" s="26">
        <v>104</v>
      </c>
      <c r="B559" s="19" t="s">
        <v>382</v>
      </c>
      <c r="C559" s="37">
        <v>45526</v>
      </c>
      <c r="D559" s="22">
        <v>24</v>
      </c>
      <c r="E559" s="22">
        <v>0</v>
      </c>
      <c r="F559" s="22">
        <v>0</v>
      </c>
      <c r="G559" s="22">
        <v>0</v>
      </c>
      <c r="H559" s="38"/>
      <c r="I559" s="22">
        <v>0</v>
      </c>
      <c r="J559" s="22">
        <v>0</v>
      </c>
      <c r="K559" s="22">
        <v>0</v>
      </c>
      <c r="L559" s="22">
        <v>0</v>
      </c>
      <c r="M559" s="19" t="s">
        <v>100</v>
      </c>
      <c r="N559" s="19" t="s">
        <v>87</v>
      </c>
      <c r="O559" s="19" t="s">
        <v>43</v>
      </c>
      <c r="P559" s="22">
        <v>2</v>
      </c>
      <c r="Q559" s="39" t="s">
        <v>259</v>
      </c>
    </row>
    <row r="560" spans="1:17" ht="14.4">
      <c r="A560" s="13">
        <v>104</v>
      </c>
      <c r="B560" s="14" t="s">
        <v>382</v>
      </c>
      <c r="C560" s="34">
        <v>45526</v>
      </c>
      <c r="D560" s="17">
        <v>1</v>
      </c>
      <c r="E560" s="17">
        <v>0</v>
      </c>
      <c r="F560" s="17">
        <v>0</v>
      </c>
      <c r="G560" s="17">
        <v>0</v>
      </c>
      <c r="H560" s="35"/>
      <c r="I560" s="17">
        <v>0</v>
      </c>
      <c r="J560" s="17">
        <v>0</v>
      </c>
      <c r="K560" s="17">
        <v>0</v>
      </c>
      <c r="L560" s="17">
        <v>0</v>
      </c>
      <c r="M560" s="14" t="s">
        <v>100</v>
      </c>
      <c r="N560" s="14" t="s">
        <v>87</v>
      </c>
      <c r="O560" s="14" t="s">
        <v>60</v>
      </c>
      <c r="P560" s="14"/>
      <c r="Q560" s="36" t="s">
        <v>259</v>
      </c>
    </row>
    <row r="561" spans="1:17" ht="14.4">
      <c r="A561" s="26">
        <v>104</v>
      </c>
      <c r="B561" s="19" t="s">
        <v>382</v>
      </c>
      <c r="C561" s="37">
        <v>45526</v>
      </c>
      <c r="D561" s="22">
        <v>11</v>
      </c>
      <c r="E561" s="22">
        <v>0</v>
      </c>
      <c r="F561" s="22">
        <v>0</v>
      </c>
      <c r="G561" s="22">
        <v>0</v>
      </c>
      <c r="H561" s="38"/>
      <c r="I561" s="22">
        <v>0</v>
      </c>
      <c r="J561" s="22">
        <v>0</v>
      </c>
      <c r="K561" s="22">
        <v>0</v>
      </c>
      <c r="L561" s="22">
        <v>0</v>
      </c>
      <c r="M561" s="19" t="s">
        <v>100</v>
      </c>
      <c r="N561" s="19" t="s">
        <v>87</v>
      </c>
      <c r="O561" s="19" t="s">
        <v>98</v>
      </c>
      <c r="P561" s="22">
        <v>2</v>
      </c>
      <c r="Q561" s="39" t="s">
        <v>259</v>
      </c>
    </row>
    <row r="562" spans="1:17" ht="14.4">
      <c r="A562" s="13">
        <v>104</v>
      </c>
      <c r="B562" s="14" t="s">
        <v>382</v>
      </c>
      <c r="C562" s="34">
        <v>45526</v>
      </c>
      <c r="D562" s="17">
        <v>0</v>
      </c>
      <c r="E562" s="17">
        <v>1</v>
      </c>
      <c r="F562" s="17">
        <v>0</v>
      </c>
      <c r="G562" s="17">
        <v>0</v>
      </c>
      <c r="H562" s="16" t="s">
        <v>288</v>
      </c>
      <c r="I562" s="17">
        <v>0</v>
      </c>
      <c r="J562" s="17">
        <v>0</v>
      </c>
      <c r="K562" s="17">
        <v>0</v>
      </c>
      <c r="L562" s="17">
        <v>0</v>
      </c>
      <c r="M562" s="14" t="s">
        <v>100</v>
      </c>
      <c r="N562" s="14" t="s">
        <v>87</v>
      </c>
      <c r="O562" s="14" t="s">
        <v>89</v>
      </c>
      <c r="P562" s="14"/>
      <c r="Q562" s="36" t="s">
        <v>262</v>
      </c>
    </row>
    <row r="563" spans="1:17" ht="14.4">
      <c r="A563" s="26">
        <v>104</v>
      </c>
      <c r="B563" s="19" t="s">
        <v>382</v>
      </c>
      <c r="C563" s="37">
        <v>45526</v>
      </c>
      <c r="D563" s="22">
        <v>24</v>
      </c>
      <c r="E563" s="22">
        <v>0</v>
      </c>
      <c r="F563" s="22">
        <v>0</v>
      </c>
      <c r="G563" s="22">
        <v>0</v>
      </c>
      <c r="H563" s="38"/>
      <c r="I563" s="22">
        <v>0</v>
      </c>
      <c r="J563" s="22">
        <v>0</v>
      </c>
      <c r="K563" s="22">
        <v>0</v>
      </c>
      <c r="L563" s="22">
        <v>0</v>
      </c>
      <c r="M563" s="19" t="s">
        <v>100</v>
      </c>
      <c r="N563" s="19" t="s">
        <v>87</v>
      </c>
      <c r="O563" s="19" t="s">
        <v>89</v>
      </c>
      <c r="P563" s="22">
        <v>4</v>
      </c>
      <c r="Q563" s="39" t="s">
        <v>259</v>
      </c>
    </row>
    <row r="564" spans="1:17" ht="14.4">
      <c r="A564" s="13">
        <v>104</v>
      </c>
      <c r="B564" s="14" t="s">
        <v>382</v>
      </c>
      <c r="C564" s="34">
        <v>45526</v>
      </c>
      <c r="D564" s="17">
        <v>0</v>
      </c>
      <c r="E564" s="17">
        <v>0</v>
      </c>
      <c r="F564" s="17">
        <v>0</v>
      </c>
      <c r="G564" s="17">
        <v>0</v>
      </c>
      <c r="H564" s="35"/>
      <c r="I564" s="17">
        <v>1</v>
      </c>
      <c r="J564" s="17">
        <v>0</v>
      </c>
      <c r="K564" s="17">
        <v>0</v>
      </c>
      <c r="L564" s="17">
        <v>0</v>
      </c>
      <c r="M564" s="14" t="s">
        <v>100</v>
      </c>
      <c r="N564" s="14" t="s">
        <v>87</v>
      </c>
      <c r="O564" s="14" t="s">
        <v>89</v>
      </c>
      <c r="P564" s="14"/>
      <c r="Q564" s="36" t="s">
        <v>260</v>
      </c>
    </row>
    <row r="565" spans="1:17" ht="14.4">
      <c r="A565" s="26">
        <v>104</v>
      </c>
      <c r="B565" s="19" t="s">
        <v>382</v>
      </c>
      <c r="C565" s="37">
        <v>45526</v>
      </c>
      <c r="D565" s="22">
        <v>0</v>
      </c>
      <c r="E565" s="22">
        <v>0</v>
      </c>
      <c r="F565" s="22">
        <v>0</v>
      </c>
      <c r="G565" s="22">
        <v>0</v>
      </c>
      <c r="H565" s="38"/>
      <c r="I565" s="22">
        <v>0</v>
      </c>
      <c r="J565" s="22">
        <v>1</v>
      </c>
      <c r="K565" s="22">
        <v>1</v>
      </c>
      <c r="L565" s="22">
        <v>0</v>
      </c>
      <c r="M565" s="19" t="s">
        <v>100</v>
      </c>
      <c r="N565" s="19" t="s">
        <v>87</v>
      </c>
      <c r="O565" s="19" t="s">
        <v>89</v>
      </c>
      <c r="P565" s="19"/>
      <c r="Q565" s="39" t="s">
        <v>263</v>
      </c>
    </row>
    <row r="566" spans="1:17" ht="14.4">
      <c r="A566" s="13">
        <v>104</v>
      </c>
      <c r="B566" s="14" t="s">
        <v>382</v>
      </c>
      <c r="C566" s="34">
        <v>45526</v>
      </c>
      <c r="D566" s="17">
        <v>1</v>
      </c>
      <c r="E566" s="17">
        <v>0</v>
      </c>
      <c r="F566" s="17">
        <v>0</v>
      </c>
      <c r="G566" s="17">
        <v>0</v>
      </c>
      <c r="H566" s="35"/>
      <c r="I566" s="17">
        <v>0</v>
      </c>
      <c r="J566" s="17">
        <v>0</v>
      </c>
      <c r="K566" s="17">
        <v>0</v>
      </c>
      <c r="L566" s="17">
        <v>0</v>
      </c>
      <c r="M566" s="14" t="s">
        <v>100</v>
      </c>
      <c r="N566" s="14" t="s">
        <v>87</v>
      </c>
      <c r="O566" s="14" t="s">
        <v>57</v>
      </c>
      <c r="P566" s="14"/>
      <c r="Q566" s="36" t="s">
        <v>259</v>
      </c>
    </row>
    <row r="567" spans="1:17" ht="14.4">
      <c r="A567" s="26">
        <v>104</v>
      </c>
      <c r="B567" s="19" t="s">
        <v>382</v>
      </c>
      <c r="C567" s="37">
        <v>45526</v>
      </c>
      <c r="D567" s="22">
        <v>1</v>
      </c>
      <c r="E567" s="22">
        <v>0</v>
      </c>
      <c r="F567" s="22">
        <v>0</v>
      </c>
      <c r="G567" s="22">
        <v>0</v>
      </c>
      <c r="H567" s="38"/>
      <c r="I567" s="22">
        <v>0</v>
      </c>
      <c r="J567" s="22">
        <v>0</v>
      </c>
      <c r="K567" s="22">
        <v>0</v>
      </c>
      <c r="L567" s="22">
        <v>0</v>
      </c>
      <c r="M567" s="19" t="s">
        <v>100</v>
      </c>
      <c r="N567" s="19" t="s">
        <v>87</v>
      </c>
      <c r="O567" s="19" t="s">
        <v>86</v>
      </c>
      <c r="P567" s="19"/>
      <c r="Q567" s="39" t="s">
        <v>259</v>
      </c>
    </row>
    <row r="568" spans="1:17" ht="14.4">
      <c r="A568" s="13">
        <v>172</v>
      </c>
      <c r="B568" s="14" t="s">
        <v>383</v>
      </c>
      <c r="C568" s="34">
        <v>45526</v>
      </c>
      <c r="D568" s="17">
        <v>0</v>
      </c>
      <c r="E568" s="17">
        <v>0</v>
      </c>
      <c r="F568" s="17">
        <v>0</v>
      </c>
      <c r="G568" s="17">
        <v>0</v>
      </c>
      <c r="H568" s="35"/>
      <c r="I568" s="17">
        <v>0</v>
      </c>
      <c r="J568" s="17">
        <v>2</v>
      </c>
      <c r="K568" s="17">
        <v>0</v>
      </c>
      <c r="L568" s="17">
        <v>0</v>
      </c>
      <c r="M568" s="14" t="s">
        <v>100</v>
      </c>
      <c r="N568" s="14" t="s">
        <v>87</v>
      </c>
      <c r="O568" s="14" t="s">
        <v>60</v>
      </c>
      <c r="P568" s="14"/>
      <c r="Q568" s="36" t="s">
        <v>263</v>
      </c>
    </row>
    <row r="569" spans="1:17" ht="14.4">
      <c r="A569" s="26">
        <v>114</v>
      </c>
      <c r="B569" s="19" t="s">
        <v>384</v>
      </c>
      <c r="C569" s="37">
        <v>45526</v>
      </c>
      <c r="D569" s="22">
        <v>0</v>
      </c>
      <c r="E569" s="22">
        <v>2</v>
      </c>
      <c r="F569" s="22">
        <v>0</v>
      </c>
      <c r="G569" s="22">
        <v>0</v>
      </c>
      <c r="H569" s="21" t="s">
        <v>385</v>
      </c>
      <c r="I569" s="22">
        <v>0</v>
      </c>
      <c r="J569" s="22">
        <v>0</v>
      </c>
      <c r="K569" s="22">
        <v>0</v>
      </c>
      <c r="L569" s="22">
        <v>0</v>
      </c>
      <c r="M569" s="19" t="s">
        <v>296</v>
      </c>
      <c r="N569" s="19" t="s">
        <v>91</v>
      </c>
      <c r="O569" s="19" t="s">
        <v>38</v>
      </c>
      <c r="P569" s="19"/>
      <c r="Q569" s="39" t="s">
        <v>262</v>
      </c>
    </row>
    <row r="570" spans="1:17" ht="14.4">
      <c r="A570" s="13">
        <v>114</v>
      </c>
      <c r="B570" s="14" t="s">
        <v>384</v>
      </c>
      <c r="C570" s="34">
        <v>45526</v>
      </c>
      <c r="D570" s="17">
        <v>8</v>
      </c>
      <c r="E570" s="17">
        <v>0</v>
      </c>
      <c r="F570" s="17">
        <v>0</v>
      </c>
      <c r="G570" s="17">
        <v>0</v>
      </c>
      <c r="H570" s="35"/>
      <c r="I570" s="17">
        <v>0</v>
      </c>
      <c r="J570" s="17">
        <v>0</v>
      </c>
      <c r="K570" s="17">
        <v>0</v>
      </c>
      <c r="L570" s="17">
        <v>0</v>
      </c>
      <c r="M570" s="14" t="s">
        <v>296</v>
      </c>
      <c r="N570" s="14" t="s">
        <v>91</v>
      </c>
      <c r="O570" s="14" t="s">
        <v>38</v>
      </c>
      <c r="P570" s="17">
        <v>4</v>
      </c>
      <c r="Q570" s="36" t="s">
        <v>259</v>
      </c>
    </row>
    <row r="571" spans="1:17" ht="14.4">
      <c r="A571" s="26">
        <v>114</v>
      </c>
      <c r="B571" s="19" t="s">
        <v>384</v>
      </c>
      <c r="C571" s="37">
        <v>45526</v>
      </c>
      <c r="D571" s="22">
        <v>0</v>
      </c>
      <c r="E571" s="22">
        <v>0</v>
      </c>
      <c r="F571" s="22">
        <v>0</v>
      </c>
      <c r="G571" s="22">
        <v>0</v>
      </c>
      <c r="H571" s="38"/>
      <c r="I571" s="22">
        <v>6</v>
      </c>
      <c r="J571" s="22">
        <v>0</v>
      </c>
      <c r="K571" s="22">
        <v>0</v>
      </c>
      <c r="L571" s="22">
        <v>0</v>
      </c>
      <c r="M571" s="19" t="s">
        <v>296</v>
      </c>
      <c r="N571" s="19" t="s">
        <v>91</v>
      </c>
      <c r="O571" s="19" t="s">
        <v>38</v>
      </c>
      <c r="P571" s="19"/>
      <c r="Q571" s="39" t="s">
        <v>260</v>
      </c>
    </row>
    <row r="572" spans="1:17" ht="14.4">
      <c r="A572" s="13">
        <v>114</v>
      </c>
      <c r="B572" s="14" t="s">
        <v>384</v>
      </c>
      <c r="C572" s="34">
        <v>45526</v>
      </c>
      <c r="D572" s="17">
        <v>0</v>
      </c>
      <c r="E572" s="17">
        <v>0</v>
      </c>
      <c r="F572" s="17">
        <v>0</v>
      </c>
      <c r="G572" s="17">
        <v>0</v>
      </c>
      <c r="H572" s="35"/>
      <c r="I572" s="17">
        <v>0</v>
      </c>
      <c r="J572" s="17">
        <v>1</v>
      </c>
      <c r="K572" s="17">
        <v>0</v>
      </c>
      <c r="L572" s="17">
        <v>0</v>
      </c>
      <c r="M572" s="14" t="s">
        <v>296</v>
      </c>
      <c r="N572" s="14" t="s">
        <v>91</v>
      </c>
      <c r="O572" s="14" t="s">
        <v>38</v>
      </c>
      <c r="P572" s="14"/>
      <c r="Q572" s="36" t="s">
        <v>263</v>
      </c>
    </row>
    <row r="573" spans="1:17" ht="14.4">
      <c r="A573" s="26">
        <v>114</v>
      </c>
      <c r="B573" s="19" t="s">
        <v>384</v>
      </c>
      <c r="C573" s="37">
        <v>45526</v>
      </c>
      <c r="D573" s="22">
        <v>15</v>
      </c>
      <c r="E573" s="22">
        <v>0</v>
      </c>
      <c r="F573" s="22">
        <v>0</v>
      </c>
      <c r="G573" s="22">
        <v>0</v>
      </c>
      <c r="H573" s="38"/>
      <c r="I573" s="22">
        <v>0</v>
      </c>
      <c r="J573" s="22">
        <v>0</v>
      </c>
      <c r="K573" s="22">
        <v>0</v>
      </c>
      <c r="L573" s="22">
        <v>0</v>
      </c>
      <c r="M573" s="19" t="s">
        <v>296</v>
      </c>
      <c r="N573" s="19" t="s">
        <v>91</v>
      </c>
      <c r="O573" s="19" t="s">
        <v>44</v>
      </c>
      <c r="P573" s="22">
        <v>7</v>
      </c>
      <c r="Q573" s="39" t="s">
        <v>259</v>
      </c>
    </row>
    <row r="574" spans="1:17" ht="14.4">
      <c r="A574" s="13">
        <v>114</v>
      </c>
      <c r="B574" s="14" t="s">
        <v>384</v>
      </c>
      <c r="C574" s="34">
        <v>45526</v>
      </c>
      <c r="D574" s="17">
        <v>0</v>
      </c>
      <c r="E574" s="17">
        <v>0</v>
      </c>
      <c r="F574" s="17">
        <v>0</v>
      </c>
      <c r="G574" s="17">
        <v>0</v>
      </c>
      <c r="H574" s="35"/>
      <c r="I574" s="17">
        <v>2</v>
      </c>
      <c r="J574" s="17">
        <v>0</v>
      </c>
      <c r="K574" s="17">
        <v>0</v>
      </c>
      <c r="L574" s="17">
        <v>0</v>
      </c>
      <c r="M574" s="14" t="s">
        <v>296</v>
      </c>
      <c r="N574" s="14" t="s">
        <v>91</v>
      </c>
      <c r="O574" s="14" t="s">
        <v>44</v>
      </c>
      <c r="P574" s="14"/>
      <c r="Q574" s="36" t="s">
        <v>260</v>
      </c>
    </row>
    <row r="575" spans="1:17" ht="14.4">
      <c r="A575" s="26">
        <v>114</v>
      </c>
      <c r="B575" s="19" t="s">
        <v>384</v>
      </c>
      <c r="C575" s="37">
        <v>45526</v>
      </c>
      <c r="D575" s="22">
        <v>0</v>
      </c>
      <c r="E575" s="22">
        <v>0</v>
      </c>
      <c r="F575" s="22">
        <v>0</v>
      </c>
      <c r="G575" s="22">
        <v>0</v>
      </c>
      <c r="H575" s="38"/>
      <c r="I575" s="22">
        <v>0</v>
      </c>
      <c r="J575" s="22">
        <v>3</v>
      </c>
      <c r="K575" s="22">
        <v>1</v>
      </c>
      <c r="L575" s="22">
        <v>0</v>
      </c>
      <c r="M575" s="19" t="s">
        <v>296</v>
      </c>
      <c r="N575" s="19" t="s">
        <v>91</v>
      </c>
      <c r="O575" s="19" t="s">
        <v>44</v>
      </c>
      <c r="P575" s="19"/>
      <c r="Q575" s="39" t="s">
        <v>263</v>
      </c>
    </row>
    <row r="576" spans="1:17" ht="14.4">
      <c r="A576" s="13">
        <v>114</v>
      </c>
      <c r="B576" s="14" t="s">
        <v>384</v>
      </c>
      <c r="C576" s="34">
        <v>45526</v>
      </c>
      <c r="D576" s="17">
        <v>0</v>
      </c>
      <c r="E576" s="17">
        <v>2</v>
      </c>
      <c r="F576" s="17">
        <v>0</v>
      </c>
      <c r="G576" s="17">
        <v>0</v>
      </c>
      <c r="H576" s="16" t="s">
        <v>329</v>
      </c>
      <c r="I576" s="17">
        <v>0</v>
      </c>
      <c r="J576" s="17">
        <v>0</v>
      </c>
      <c r="K576" s="17">
        <v>0</v>
      </c>
      <c r="L576" s="17">
        <v>0</v>
      </c>
      <c r="M576" s="14" t="s">
        <v>296</v>
      </c>
      <c r="N576" s="14" t="s">
        <v>91</v>
      </c>
      <c r="O576" s="14" t="s">
        <v>47</v>
      </c>
      <c r="P576" s="14"/>
      <c r="Q576" s="36" t="s">
        <v>262</v>
      </c>
    </row>
    <row r="577" spans="1:17" ht="14.4">
      <c r="A577" s="26">
        <v>114</v>
      </c>
      <c r="B577" s="19" t="s">
        <v>384</v>
      </c>
      <c r="C577" s="37">
        <v>45526</v>
      </c>
      <c r="D577" s="22">
        <v>5</v>
      </c>
      <c r="E577" s="22">
        <v>0</v>
      </c>
      <c r="F577" s="22">
        <v>0</v>
      </c>
      <c r="G577" s="22">
        <v>0</v>
      </c>
      <c r="H577" s="38"/>
      <c r="I577" s="22">
        <v>0</v>
      </c>
      <c r="J577" s="22">
        <v>0</v>
      </c>
      <c r="K577" s="22">
        <v>0</v>
      </c>
      <c r="L577" s="22">
        <v>0</v>
      </c>
      <c r="M577" s="19" t="s">
        <v>296</v>
      </c>
      <c r="N577" s="19" t="s">
        <v>91</v>
      </c>
      <c r="O577" s="19" t="s">
        <v>47</v>
      </c>
      <c r="P577" s="22">
        <v>4</v>
      </c>
      <c r="Q577" s="39" t="s">
        <v>259</v>
      </c>
    </row>
    <row r="578" spans="1:17" ht="14.4">
      <c r="A578" s="13">
        <v>114</v>
      </c>
      <c r="B578" s="14" t="s">
        <v>384</v>
      </c>
      <c r="C578" s="34">
        <v>45526</v>
      </c>
      <c r="D578" s="17">
        <v>0</v>
      </c>
      <c r="E578" s="17">
        <v>0</v>
      </c>
      <c r="F578" s="17">
        <v>0</v>
      </c>
      <c r="G578" s="17">
        <v>0</v>
      </c>
      <c r="H578" s="35"/>
      <c r="I578" s="17">
        <v>1</v>
      </c>
      <c r="J578" s="17">
        <v>0</v>
      </c>
      <c r="K578" s="17">
        <v>0</v>
      </c>
      <c r="L578" s="17">
        <v>0</v>
      </c>
      <c r="M578" s="14" t="s">
        <v>296</v>
      </c>
      <c r="N578" s="14" t="s">
        <v>91</v>
      </c>
      <c r="O578" s="14" t="s">
        <v>47</v>
      </c>
      <c r="P578" s="14"/>
      <c r="Q578" s="36" t="s">
        <v>260</v>
      </c>
    </row>
    <row r="579" spans="1:17" ht="14.4">
      <c r="A579" s="26">
        <v>114</v>
      </c>
      <c r="B579" s="19" t="s">
        <v>384</v>
      </c>
      <c r="C579" s="37">
        <v>45526</v>
      </c>
      <c r="D579" s="22">
        <v>0</v>
      </c>
      <c r="E579" s="22">
        <v>0</v>
      </c>
      <c r="F579" s="22">
        <v>0</v>
      </c>
      <c r="G579" s="22">
        <v>0</v>
      </c>
      <c r="H579" s="38"/>
      <c r="I579" s="22">
        <v>0</v>
      </c>
      <c r="J579" s="22">
        <v>2</v>
      </c>
      <c r="K579" s="22">
        <v>1</v>
      </c>
      <c r="L579" s="22">
        <v>0</v>
      </c>
      <c r="M579" s="19" t="s">
        <v>296</v>
      </c>
      <c r="N579" s="19" t="s">
        <v>91</v>
      </c>
      <c r="O579" s="19" t="s">
        <v>47</v>
      </c>
      <c r="P579" s="19"/>
      <c r="Q579" s="39" t="s">
        <v>263</v>
      </c>
    </row>
    <row r="580" spans="1:17" ht="14.4">
      <c r="A580" s="13">
        <v>114</v>
      </c>
      <c r="B580" s="14" t="s">
        <v>384</v>
      </c>
      <c r="C580" s="34">
        <v>45526</v>
      </c>
      <c r="D580" s="17">
        <v>0</v>
      </c>
      <c r="E580" s="17">
        <v>1</v>
      </c>
      <c r="F580" s="17">
        <v>0</v>
      </c>
      <c r="G580" s="17">
        <v>0</v>
      </c>
      <c r="H580" s="16" t="s">
        <v>351</v>
      </c>
      <c r="I580" s="17">
        <v>0</v>
      </c>
      <c r="J580" s="17">
        <v>0</v>
      </c>
      <c r="K580" s="17">
        <v>0</v>
      </c>
      <c r="L580" s="17">
        <v>0</v>
      </c>
      <c r="M580" s="14" t="s">
        <v>296</v>
      </c>
      <c r="N580" s="14" t="s">
        <v>91</v>
      </c>
      <c r="O580" s="14" t="s">
        <v>90</v>
      </c>
      <c r="P580" s="14"/>
      <c r="Q580" s="36" t="s">
        <v>262</v>
      </c>
    </row>
    <row r="581" spans="1:17" ht="14.4">
      <c r="A581" s="26">
        <v>114</v>
      </c>
      <c r="B581" s="19" t="s">
        <v>384</v>
      </c>
      <c r="C581" s="37">
        <v>45526</v>
      </c>
      <c r="D581" s="22">
        <v>2</v>
      </c>
      <c r="E581" s="22">
        <v>0</v>
      </c>
      <c r="F581" s="22">
        <v>0</v>
      </c>
      <c r="G581" s="22">
        <v>0</v>
      </c>
      <c r="H581" s="38"/>
      <c r="I581" s="22">
        <v>0</v>
      </c>
      <c r="J581" s="22">
        <v>0</v>
      </c>
      <c r="K581" s="22">
        <v>0</v>
      </c>
      <c r="L581" s="22">
        <v>0</v>
      </c>
      <c r="M581" s="19" t="s">
        <v>296</v>
      </c>
      <c r="N581" s="19" t="s">
        <v>91</v>
      </c>
      <c r="O581" s="19" t="s">
        <v>90</v>
      </c>
      <c r="P581" s="19"/>
      <c r="Q581" s="39" t="s">
        <v>259</v>
      </c>
    </row>
    <row r="582" spans="1:17" ht="14.4">
      <c r="A582" s="13">
        <v>114</v>
      </c>
      <c r="B582" s="14" t="s">
        <v>384</v>
      </c>
      <c r="C582" s="34">
        <v>45526</v>
      </c>
      <c r="D582" s="17">
        <v>0</v>
      </c>
      <c r="E582" s="17">
        <v>0</v>
      </c>
      <c r="F582" s="17">
        <v>0</v>
      </c>
      <c r="G582" s="17">
        <v>0</v>
      </c>
      <c r="H582" s="35"/>
      <c r="I582" s="17">
        <v>2</v>
      </c>
      <c r="J582" s="17">
        <v>0</v>
      </c>
      <c r="K582" s="17">
        <v>0</v>
      </c>
      <c r="L582" s="17">
        <v>0</v>
      </c>
      <c r="M582" s="14" t="s">
        <v>296</v>
      </c>
      <c r="N582" s="14" t="s">
        <v>91</v>
      </c>
      <c r="O582" s="14" t="s">
        <v>90</v>
      </c>
      <c r="P582" s="14"/>
      <c r="Q582" s="36" t="s">
        <v>260</v>
      </c>
    </row>
    <row r="583" spans="1:17" ht="14.4">
      <c r="A583" s="26">
        <v>114</v>
      </c>
      <c r="B583" s="19" t="s">
        <v>384</v>
      </c>
      <c r="C583" s="37">
        <v>45526</v>
      </c>
      <c r="D583" s="22">
        <v>0</v>
      </c>
      <c r="E583" s="22">
        <v>0</v>
      </c>
      <c r="F583" s="22">
        <v>0</v>
      </c>
      <c r="G583" s="22">
        <v>0</v>
      </c>
      <c r="H583" s="38"/>
      <c r="I583" s="22">
        <v>0</v>
      </c>
      <c r="J583" s="22">
        <v>0</v>
      </c>
      <c r="K583" s="22">
        <v>2</v>
      </c>
      <c r="L583" s="22">
        <v>0</v>
      </c>
      <c r="M583" s="19" t="s">
        <v>296</v>
      </c>
      <c r="N583" s="19" t="s">
        <v>91</v>
      </c>
      <c r="O583" s="19" t="s">
        <v>90</v>
      </c>
      <c r="P583" s="19"/>
      <c r="Q583" s="39" t="s">
        <v>263</v>
      </c>
    </row>
    <row r="584" spans="1:17" ht="14.4">
      <c r="A584" s="13">
        <v>114</v>
      </c>
      <c r="B584" s="14" t="s">
        <v>384</v>
      </c>
      <c r="C584" s="34">
        <v>45526</v>
      </c>
      <c r="D584" s="17">
        <v>0</v>
      </c>
      <c r="E584" s="17">
        <v>1</v>
      </c>
      <c r="F584" s="17">
        <v>0</v>
      </c>
      <c r="G584" s="17">
        <v>0</v>
      </c>
      <c r="H584" s="16" t="s">
        <v>279</v>
      </c>
      <c r="I584" s="17">
        <v>0</v>
      </c>
      <c r="J584" s="17">
        <v>0</v>
      </c>
      <c r="K584" s="17">
        <v>0</v>
      </c>
      <c r="L584" s="17">
        <v>0</v>
      </c>
      <c r="M584" s="14" t="s">
        <v>296</v>
      </c>
      <c r="N584" s="14" t="s">
        <v>87</v>
      </c>
      <c r="O584" s="14" t="s">
        <v>37</v>
      </c>
      <c r="P584" s="14"/>
      <c r="Q584" s="36" t="s">
        <v>262</v>
      </c>
    </row>
    <row r="585" spans="1:17" ht="14.4">
      <c r="A585" s="26">
        <v>114</v>
      </c>
      <c r="B585" s="19" t="s">
        <v>384</v>
      </c>
      <c r="C585" s="37">
        <v>45526</v>
      </c>
      <c r="D585" s="22">
        <v>0</v>
      </c>
      <c r="E585" s="22">
        <v>0</v>
      </c>
      <c r="F585" s="22">
        <v>0</v>
      </c>
      <c r="G585" s="22">
        <v>0</v>
      </c>
      <c r="H585" s="38"/>
      <c r="I585" s="22">
        <v>0</v>
      </c>
      <c r="J585" s="22">
        <v>0</v>
      </c>
      <c r="K585" s="22">
        <v>0</v>
      </c>
      <c r="L585" s="22">
        <v>1</v>
      </c>
      <c r="M585" s="19" t="s">
        <v>296</v>
      </c>
      <c r="N585" s="19" t="s">
        <v>87</v>
      </c>
      <c r="O585" s="19" t="s">
        <v>43</v>
      </c>
      <c r="P585" s="19"/>
      <c r="Q585" s="39" t="s">
        <v>284</v>
      </c>
    </row>
    <row r="586" spans="1:17" ht="14.4">
      <c r="A586" s="13">
        <v>114</v>
      </c>
      <c r="B586" s="14" t="s">
        <v>384</v>
      </c>
      <c r="C586" s="34">
        <v>45526</v>
      </c>
      <c r="D586" s="17">
        <v>1</v>
      </c>
      <c r="E586" s="17">
        <v>0</v>
      </c>
      <c r="F586" s="17">
        <v>0</v>
      </c>
      <c r="G586" s="17">
        <v>0</v>
      </c>
      <c r="H586" s="35"/>
      <c r="I586" s="17">
        <v>0</v>
      </c>
      <c r="J586" s="17">
        <v>0</v>
      </c>
      <c r="K586" s="17">
        <v>0</v>
      </c>
      <c r="L586" s="17">
        <v>0</v>
      </c>
      <c r="M586" s="14" t="s">
        <v>296</v>
      </c>
      <c r="N586" s="14" t="s">
        <v>87</v>
      </c>
      <c r="O586" s="14" t="s">
        <v>43</v>
      </c>
      <c r="P586" s="14"/>
      <c r="Q586" s="36" t="s">
        <v>259</v>
      </c>
    </row>
    <row r="587" spans="1:17" ht="14.4">
      <c r="A587" s="26">
        <v>114</v>
      </c>
      <c r="B587" s="19" t="s">
        <v>384</v>
      </c>
      <c r="C587" s="37">
        <v>45526</v>
      </c>
      <c r="D587" s="22">
        <v>0</v>
      </c>
      <c r="E587" s="22">
        <v>0</v>
      </c>
      <c r="F587" s="22">
        <v>1</v>
      </c>
      <c r="G587" s="22">
        <v>0</v>
      </c>
      <c r="H587" s="38"/>
      <c r="I587" s="22">
        <v>0</v>
      </c>
      <c r="J587" s="22">
        <v>0</v>
      </c>
      <c r="K587" s="22">
        <v>0</v>
      </c>
      <c r="L587" s="22">
        <v>0</v>
      </c>
      <c r="M587" s="19" t="s">
        <v>296</v>
      </c>
      <c r="N587" s="19" t="s">
        <v>87</v>
      </c>
      <c r="O587" s="19" t="s">
        <v>46</v>
      </c>
      <c r="P587" s="19"/>
      <c r="Q587" s="39" t="s">
        <v>262</v>
      </c>
    </row>
    <row r="588" spans="1:17" ht="14.4">
      <c r="A588" s="13">
        <v>114</v>
      </c>
      <c r="B588" s="14" t="s">
        <v>384</v>
      </c>
      <c r="C588" s="34">
        <v>45526</v>
      </c>
      <c r="D588" s="17">
        <v>0</v>
      </c>
      <c r="E588" s="17">
        <v>0</v>
      </c>
      <c r="F588" s="17">
        <v>0</v>
      </c>
      <c r="G588" s="17">
        <v>1</v>
      </c>
      <c r="H588" s="35"/>
      <c r="I588" s="17">
        <v>0</v>
      </c>
      <c r="J588" s="17">
        <v>0</v>
      </c>
      <c r="K588" s="17">
        <v>0</v>
      </c>
      <c r="L588" s="17">
        <v>0</v>
      </c>
      <c r="M588" s="14" t="s">
        <v>296</v>
      </c>
      <c r="N588" s="14" t="s">
        <v>87</v>
      </c>
      <c r="O588" s="14" t="s">
        <v>60</v>
      </c>
      <c r="P588" s="14"/>
      <c r="Q588" s="36" t="s">
        <v>262</v>
      </c>
    </row>
    <row r="589" spans="1:17" ht="14.4">
      <c r="A589" s="26">
        <v>114</v>
      </c>
      <c r="B589" s="19" t="s">
        <v>384</v>
      </c>
      <c r="C589" s="37">
        <v>45526</v>
      </c>
      <c r="D589" s="22">
        <v>7</v>
      </c>
      <c r="E589" s="22">
        <v>0</v>
      </c>
      <c r="F589" s="22">
        <v>0</v>
      </c>
      <c r="G589" s="22">
        <v>0</v>
      </c>
      <c r="H589" s="38"/>
      <c r="I589" s="22">
        <v>0</v>
      </c>
      <c r="J589" s="22">
        <v>0</v>
      </c>
      <c r="K589" s="22">
        <v>0</v>
      </c>
      <c r="L589" s="22">
        <v>0</v>
      </c>
      <c r="M589" s="19" t="s">
        <v>296</v>
      </c>
      <c r="N589" s="19" t="s">
        <v>87</v>
      </c>
      <c r="O589" s="19" t="s">
        <v>60</v>
      </c>
      <c r="P589" s="22">
        <v>5</v>
      </c>
      <c r="Q589" s="39" t="s">
        <v>259</v>
      </c>
    </row>
    <row r="590" spans="1:17" ht="14.4">
      <c r="A590" s="13">
        <v>114</v>
      </c>
      <c r="B590" s="14" t="s">
        <v>384</v>
      </c>
      <c r="C590" s="34">
        <v>45526</v>
      </c>
      <c r="D590" s="17">
        <v>0</v>
      </c>
      <c r="E590" s="17">
        <v>0</v>
      </c>
      <c r="F590" s="17">
        <v>0</v>
      </c>
      <c r="G590" s="17">
        <v>0</v>
      </c>
      <c r="H590" s="35"/>
      <c r="I590" s="17">
        <v>3</v>
      </c>
      <c r="J590" s="17">
        <v>0</v>
      </c>
      <c r="K590" s="17">
        <v>0</v>
      </c>
      <c r="L590" s="17">
        <v>0</v>
      </c>
      <c r="M590" s="14" t="s">
        <v>296</v>
      </c>
      <c r="N590" s="14" t="s">
        <v>87</v>
      </c>
      <c r="O590" s="14" t="s">
        <v>60</v>
      </c>
      <c r="P590" s="14"/>
      <c r="Q590" s="36" t="s">
        <v>260</v>
      </c>
    </row>
    <row r="591" spans="1:17" ht="14.4">
      <c r="A591" s="26">
        <v>114</v>
      </c>
      <c r="B591" s="19" t="s">
        <v>384</v>
      </c>
      <c r="C591" s="37">
        <v>45526</v>
      </c>
      <c r="D591" s="22">
        <v>0</v>
      </c>
      <c r="E591" s="22">
        <v>0</v>
      </c>
      <c r="F591" s="22">
        <v>0</v>
      </c>
      <c r="G591" s="22">
        <v>0</v>
      </c>
      <c r="H591" s="38"/>
      <c r="I591" s="22">
        <v>0</v>
      </c>
      <c r="J591" s="22">
        <v>4</v>
      </c>
      <c r="K591" s="22">
        <v>3</v>
      </c>
      <c r="L591" s="22">
        <v>0</v>
      </c>
      <c r="M591" s="19" t="s">
        <v>296</v>
      </c>
      <c r="N591" s="19" t="s">
        <v>87</v>
      </c>
      <c r="O591" s="19" t="s">
        <v>60</v>
      </c>
      <c r="P591" s="19"/>
      <c r="Q591" s="39" t="s">
        <v>263</v>
      </c>
    </row>
    <row r="592" spans="1:17" ht="14.4">
      <c r="A592" s="13">
        <v>114</v>
      </c>
      <c r="B592" s="14" t="s">
        <v>384</v>
      </c>
      <c r="C592" s="34">
        <v>45526</v>
      </c>
      <c r="D592" s="17">
        <v>0</v>
      </c>
      <c r="E592" s="17">
        <v>0</v>
      </c>
      <c r="F592" s="17">
        <v>0</v>
      </c>
      <c r="G592" s="17">
        <v>1</v>
      </c>
      <c r="H592" s="35"/>
      <c r="I592" s="17">
        <v>0</v>
      </c>
      <c r="J592" s="17">
        <v>0</v>
      </c>
      <c r="K592" s="17">
        <v>0</v>
      </c>
      <c r="L592" s="17">
        <v>0</v>
      </c>
      <c r="M592" s="14" t="s">
        <v>296</v>
      </c>
      <c r="N592" s="14" t="s">
        <v>87</v>
      </c>
      <c r="O592" s="14" t="s">
        <v>51</v>
      </c>
      <c r="P592" s="14"/>
      <c r="Q592" s="36" t="s">
        <v>262</v>
      </c>
    </row>
    <row r="593" spans="1:17" ht="14.4">
      <c r="A593" s="26">
        <v>114</v>
      </c>
      <c r="B593" s="19" t="s">
        <v>384</v>
      </c>
      <c r="C593" s="37">
        <v>45526</v>
      </c>
      <c r="D593" s="22">
        <v>3</v>
      </c>
      <c r="E593" s="22">
        <v>0</v>
      </c>
      <c r="F593" s="22">
        <v>0</v>
      </c>
      <c r="G593" s="22">
        <v>0</v>
      </c>
      <c r="H593" s="38"/>
      <c r="I593" s="22">
        <v>0</v>
      </c>
      <c r="J593" s="22">
        <v>0</v>
      </c>
      <c r="K593" s="22">
        <v>0</v>
      </c>
      <c r="L593" s="22">
        <v>0</v>
      </c>
      <c r="M593" s="19" t="s">
        <v>296</v>
      </c>
      <c r="N593" s="19" t="s">
        <v>87</v>
      </c>
      <c r="O593" s="19" t="s">
        <v>98</v>
      </c>
      <c r="P593" s="22">
        <v>2</v>
      </c>
      <c r="Q593" s="39" t="s">
        <v>259</v>
      </c>
    </row>
    <row r="594" spans="1:17" ht="14.4">
      <c r="A594" s="13">
        <v>114</v>
      </c>
      <c r="B594" s="14" t="s">
        <v>384</v>
      </c>
      <c r="C594" s="34">
        <v>45526</v>
      </c>
      <c r="D594" s="17">
        <v>0</v>
      </c>
      <c r="E594" s="17">
        <v>0</v>
      </c>
      <c r="F594" s="17">
        <v>0</v>
      </c>
      <c r="G594" s="17">
        <v>0</v>
      </c>
      <c r="H594" s="35"/>
      <c r="I594" s="17">
        <v>2</v>
      </c>
      <c r="J594" s="17">
        <v>0</v>
      </c>
      <c r="K594" s="17">
        <v>0</v>
      </c>
      <c r="L594" s="17">
        <v>0</v>
      </c>
      <c r="M594" s="14" t="s">
        <v>296</v>
      </c>
      <c r="N594" s="14" t="s">
        <v>87</v>
      </c>
      <c r="O594" s="14" t="s">
        <v>98</v>
      </c>
      <c r="P594" s="14"/>
      <c r="Q594" s="36" t="s">
        <v>260</v>
      </c>
    </row>
    <row r="595" spans="1:17" ht="14.4">
      <c r="A595" s="26">
        <v>114</v>
      </c>
      <c r="B595" s="19" t="s">
        <v>384</v>
      </c>
      <c r="C595" s="37">
        <v>45526</v>
      </c>
      <c r="D595" s="22">
        <v>0</v>
      </c>
      <c r="E595" s="22">
        <v>0</v>
      </c>
      <c r="F595" s="22">
        <v>0</v>
      </c>
      <c r="G595" s="22">
        <v>0</v>
      </c>
      <c r="H595" s="38"/>
      <c r="I595" s="22">
        <v>0</v>
      </c>
      <c r="J595" s="22">
        <v>1</v>
      </c>
      <c r="K595" s="22">
        <v>0</v>
      </c>
      <c r="L595" s="22">
        <v>0</v>
      </c>
      <c r="M595" s="19" t="s">
        <v>296</v>
      </c>
      <c r="N595" s="19" t="s">
        <v>87</v>
      </c>
      <c r="O595" s="19" t="s">
        <v>98</v>
      </c>
      <c r="P595" s="19"/>
      <c r="Q595" s="39" t="s">
        <v>263</v>
      </c>
    </row>
    <row r="596" spans="1:17" ht="14.4">
      <c r="A596" s="13">
        <v>114</v>
      </c>
      <c r="B596" s="14" t="s">
        <v>384</v>
      </c>
      <c r="C596" s="34">
        <v>45526</v>
      </c>
      <c r="D596" s="17">
        <v>2</v>
      </c>
      <c r="E596" s="17">
        <v>0</v>
      </c>
      <c r="F596" s="17">
        <v>0</v>
      </c>
      <c r="G596" s="17">
        <v>0</v>
      </c>
      <c r="H596" s="35"/>
      <c r="I596" s="17">
        <v>0</v>
      </c>
      <c r="J596" s="17">
        <v>0</v>
      </c>
      <c r="K596" s="17">
        <v>0</v>
      </c>
      <c r="L596" s="17">
        <v>0</v>
      </c>
      <c r="M596" s="14" t="s">
        <v>296</v>
      </c>
      <c r="N596" s="14" t="s">
        <v>87</v>
      </c>
      <c r="O596" s="14" t="s">
        <v>89</v>
      </c>
      <c r="P596" s="17">
        <v>1</v>
      </c>
      <c r="Q596" s="36" t="s">
        <v>259</v>
      </c>
    </row>
    <row r="597" spans="1:17" ht="14.4">
      <c r="A597" s="26">
        <v>114</v>
      </c>
      <c r="B597" s="19" t="s">
        <v>384</v>
      </c>
      <c r="C597" s="37">
        <v>45526</v>
      </c>
      <c r="D597" s="22">
        <v>0</v>
      </c>
      <c r="E597" s="22">
        <v>0</v>
      </c>
      <c r="F597" s="22">
        <v>0</v>
      </c>
      <c r="G597" s="22">
        <v>0</v>
      </c>
      <c r="H597" s="38"/>
      <c r="I597" s="22">
        <v>1</v>
      </c>
      <c r="J597" s="22">
        <v>0</v>
      </c>
      <c r="K597" s="22">
        <v>0</v>
      </c>
      <c r="L597" s="22">
        <v>0</v>
      </c>
      <c r="M597" s="19" t="s">
        <v>296</v>
      </c>
      <c r="N597" s="19" t="s">
        <v>87</v>
      </c>
      <c r="O597" s="19" t="s">
        <v>89</v>
      </c>
      <c r="P597" s="19"/>
      <c r="Q597" s="39" t="s">
        <v>260</v>
      </c>
    </row>
    <row r="598" spans="1:17" ht="14.4">
      <c r="A598" s="13">
        <v>114</v>
      </c>
      <c r="B598" s="14" t="s">
        <v>384</v>
      </c>
      <c r="C598" s="34">
        <v>45526</v>
      </c>
      <c r="D598" s="17">
        <v>0</v>
      </c>
      <c r="E598" s="17">
        <v>0</v>
      </c>
      <c r="F598" s="17">
        <v>0</v>
      </c>
      <c r="G598" s="17">
        <v>0</v>
      </c>
      <c r="H598" s="35"/>
      <c r="I598" s="17">
        <v>0</v>
      </c>
      <c r="J598" s="17">
        <v>1</v>
      </c>
      <c r="K598" s="17">
        <v>5</v>
      </c>
      <c r="L598" s="17">
        <v>0</v>
      </c>
      <c r="M598" s="14" t="s">
        <v>296</v>
      </c>
      <c r="N598" s="14" t="s">
        <v>87</v>
      </c>
      <c r="O598" s="14" t="s">
        <v>89</v>
      </c>
      <c r="P598" s="14"/>
      <c r="Q598" s="36" t="s">
        <v>263</v>
      </c>
    </row>
    <row r="599" spans="1:17" ht="14.4">
      <c r="A599" s="26">
        <v>114</v>
      </c>
      <c r="B599" s="19" t="s">
        <v>384</v>
      </c>
      <c r="C599" s="37">
        <v>45526</v>
      </c>
      <c r="D599" s="22">
        <v>0</v>
      </c>
      <c r="E599" s="22">
        <v>1</v>
      </c>
      <c r="F599" s="22">
        <v>1</v>
      </c>
      <c r="G599" s="22">
        <v>0</v>
      </c>
      <c r="H599" s="21" t="s">
        <v>303</v>
      </c>
      <c r="I599" s="22">
        <v>0</v>
      </c>
      <c r="J599" s="22">
        <v>0</v>
      </c>
      <c r="K599" s="22">
        <v>0</v>
      </c>
      <c r="L599" s="22">
        <v>0</v>
      </c>
      <c r="M599" s="19" t="s">
        <v>296</v>
      </c>
      <c r="N599" s="19" t="s">
        <v>87</v>
      </c>
      <c r="O599" s="19" t="s">
        <v>57</v>
      </c>
      <c r="P599" s="19"/>
      <c r="Q599" s="39" t="s">
        <v>262</v>
      </c>
    </row>
    <row r="600" spans="1:17" ht="14.4">
      <c r="A600" s="13">
        <v>114</v>
      </c>
      <c r="B600" s="14" t="s">
        <v>384</v>
      </c>
      <c r="C600" s="34">
        <v>45526</v>
      </c>
      <c r="D600" s="17">
        <v>3</v>
      </c>
      <c r="E600" s="17">
        <v>0</v>
      </c>
      <c r="F600" s="17">
        <v>0</v>
      </c>
      <c r="G600" s="17">
        <v>0</v>
      </c>
      <c r="H600" s="35"/>
      <c r="I600" s="17">
        <v>0</v>
      </c>
      <c r="J600" s="17">
        <v>0</v>
      </c>
      <c r="K600" s="17">
        <v>0</v>
      </c>
      <c r="L600" s="17">
        <v>0</v>
      </c>
      <c r="M600" s="14" t="s">
        <v>296</v>
      </c>
      <c r="N600" s="14" t="s">
        <v>87</v>
      </c>
      <c r="O600" s="14" t="s">
        <v>57</v>
      </c>
      <c r="P600" s="17">
        <v>1</v>
      </c>
      <c r="Q600" s="36" t="s">
        <v>259</v>
      </c>
    </row>
    <row r="601" spans="1:17" ht="14.4">
      <c r="A601" s="26">
        <v>114</v>
      </c>
      <c r="B601" s="19" t="s">
        <v>384</v>
      </c>
      <c r="C601" s="37">
        <v>45526</v>
      </c>
      <c r="D601" s="22">
        <v>0</v>
      </c>
      <c r="E601" s="22">
        <v>0</v>
      </c>
      <c r="F601" s="22">
        <v>0</v>
      </c>
      <c r="G601" s="22">
        <v>0</v>
      </c>
      <c r="H601" s="38"/>
      <c r="I601" s="22">
        <v>1</v>
      </c>
      <c r="J601" s="22">
        <v>0</v>
      </c>
      <c r="K601" s="22">
        <v>0</v>
      </c>
      <c r="L601" s="22">
        <v>0</v>
      </c>
      <c r="M601" s="19" t="s">
        <v>296</v>
      </c>
      <c r="N601" s="19" t="s">
        <v>87</v>
      </c>
      <c r="O601" s="19" t="s">
        <v>57</v>
      </c>
      <c r="P601" s="19"/>
      <c r="Q601" s="39" t="s">
        <v>260</v>
      </c>
    </row>
    <row r="602" spans="1:17" ht="14.4">
      <c r="A602" s="13">
        <v>114</v>
      </c>
      <c r="B602" s="14" t="s">
        <v>384</v>
      </c>
      <c r="C602" s="34">
        <v>45526</v>
      </c>
      <c r="D602" s="17">
        <v>0</v>
      </c>
      <c r="E602" s="17">
        <v>0</v>
      </c>
      <c r="F602" s="17">
        <v>1</v>
      </c>
      <c r="G602" s="17">
        <v>0</v>
      </c>
      <c r="H602" s="35"/>
      <c r="I602" s="17">
        <v>0</v>
      </c>
      <c r="J602" s="17">
        <v>0</v>
      </c>
      <c r="K602" s="17">
        <v>0</v>
      </c>
      <c r="L602" s="17">
        <v>0</v>
      </c>
      <c r="M602" s="14" t="s">
        <v>296</v>
      </c>
      <c r="N602" s="14" t="s">
        <v>87</v>
      </c>
      <c r="O602" s="14" t="s">
        <v>86</v>
      </c>
      <c r="P602" s="14"/>
      <c r="Q602" s="36" t="s">
        <v>262</v>
      </c>
    </row>
    <row r="603" spans="1:17" ht="14.4">
      <c r="A603" s="26">
        <v>114</v>
      </c>
      <c r="B603" s="19" t="s">
        <v>384</v>
      </c>
      <c r="C603" s="37">
        <v>45526</v>
      </c>
      <c r="D603" s="22">
        <v>4</v>
      </c>
      <c r="E603" s="22">
        <v>0</v>
      </c>
      <c r="F603" s="22">
        <v>0</v>
      </c>
      <c r="G603" s="22">
        <v>0</v>
      </c>
      <c r="H603" s="38"/>
      <c r="I603" s="22">
        <v>0</v>
      </c>
      <c r="J603" s="22">
        <v>0</v>
      </c>
      <c r="K603" s="22">
        <v>0</v>
      </c>
      <c r="L603" s="22">
        <v>0</v>
      </c>
      <c r="M603" s="19" t="s">
        <v>296</v>
      </c>
      <c r="N603" s="19" t="s">
        <v>87</v>
      </c>
      <c r="O603" s="19" t="s">
        <v>86</v>
      </c>
      <c r="P603" s="22">
        <v>1</v>
      </c>
      <c r="Q603" s="39" t="s">
        <v>259</v>
      </c>
    </row>
    <row r="604" spans="1:17" ht="14.4">
      <c r="A604" s="13">
        <v>114</v>
      </c>
      <c r="B604" s="14" t="s">
        <v>384</v>
      </c>
      <c r="C604" s="34">
        <v>45526</v>
      </c>
      <c r="D604" s="17">
        <v>0</v>
      </c>
      <c r="E604" s="17">
        <v>0</v>
      </c>
      <c r="F604" s="17">
        <v>0</v>
      </c>
      <c r="G604" s="17">
        <v>0</v>
      </c>
      <c r="H604" s="35"/>
      <c r="I604" s="17">
        <v>0</v>
      </c>
      <c r="J604" s="17">
        <v>1</v>
      </c>
      <c r="K604" s="17">
        <v>1</v>
      </c>
      <c r="L604" s="17">
        <v>0</v>
      </c>
      <c r="M604" s="14" t="s">
        <v>296</v>
      </c>
      <c r="N604" s="14" t="s">
        <v>87</v>
      </c>
      <c r="O604" s="14" t="s">
        <v>86</v>
      </c>
      <c r="P604" s="14"/>
      <c r="Q604" s="36" t="s">
        <v>263</v>
      </c>
    </row>
    <row r="605" spans="1:17" ht="14.4">
      <c r="A605" s="26">
        <v>114</v>
      </c>
      <c r="B605" s="19" t="s">
        <v>384</v>
      </c>
      <c r="C605" s="37">
        <v>45526</v>
      </c>
      <c r="D605" s="22">
        <v>1</v>
      </c>
      <c r="E605" s="22">
        <v>0</v>
      </c>
      <c r="F605" s="22">
        <v>0</v>
      </c>
      <c r="G605" s="22">
        <v>0</v>
      </c>
      <c r="H605" s="38"/>
      <c r="I605" s="22">
        <v>0</v>
      </c>
      <c r="J605" s="22">
        <v>0</v>
      </c>
      <c r="K605" s="22">
        <v>0</v>
      </c>
      <c r="L605" s="22">
        <v>0</v>
      </c>
      <c r="M605" s="19" t="s">
        <v>296</v>
      </c>
      <c r="N605" s="19" t="s">
        <v>87</v>
      </c>
      <c r="O605" s="19" t="s">
        <v>59</v>
      </c>
      <c r="P605" s="19"/>
      <c r="Q605" s="39" t="s">
        <v>259</v>
      </c>
    </row>
    <row r="606" spans="1:17" ht="14.4">
      <c r="A606" s="13">
        <v>114</v>
      </c>
      <c r="B606" s="14" t="s">
        <v>384</v>
      </c>
      <c r="C606" s="34">
        <v>45526</v>
      </c>
      <c r="D606" s="17">
        <v>0</v>
      </c>
      <c r="E606" s="17">
        <v>0</v>
      </c>
      <c r="F606" s="17">
        <v>0</v>
      </c>
      <c r="G606" s="17">
        <v>0</v>
      </c>
      <c r="H606" s="35"/>
      <c r="I606" s="17">
        <v>0</v>
      </c>
      <c r="J606" s="17">
        <v>1</v>
      </c>
      <c r="K606" s="17">
        <v>1</v>
      </c>
      <c r="L606" s="17">
        <v>0</v>
      </c>
      <c r="M606" s="14" t="s">
        <v>296</v>
      </c>
      <c r="N606" s="14" t="s">
        <v>87</v>
      </c>
      <c r="O606" s="14" t="s">
        <v>59</v>
      </c>
      <c r="P606" s="14"/>
      <c r="Q606" s="36" t="s">
        <v>263</v>
      </c>
    </row>
    <row r="607" spans="1:17" ht="14.4">
      <c r="A607" s="26">
        <v>224</v>
      </c>
      <c r="B607" s="19" t="s">
        <v>386</v>
      </c>
      <c r="C607" s="37">
        <v>45526</v>
      </c>
      <c r="D607" s="22">
        <v>0</v>
      </c>
      <c r="E607" s="22">
        <v>0</v>
      </c>
      <c r="F607" s="22">
        <v>0</v>
      </c>
      <c r="G607" s="22">
        <v>0</v>
      </c>
      <c r="H607" s="38"/>
      <c r="I607" s="22">
        <v>1</v>
      </c>
      <c r="J607" s="22">
        <v>0</v>
      </c>
      <c r="K607" s="22">
        <v>0</v>
      </c>
      <c r="L607" s="22">
        <v>0</v>
      </c>
      <c r="M607" s="19" t="s">
        <v>100</v>
      </c>
      <c r="N607" s="19" t="s">
        <v>91</v>
      </c>
      <c r="O607" s="19" t="s">
        <v>44</v>
      </c>
      <c r="P607" s="19"/>
      <c r="Q607" s="39" t="s">
        <v>260</v>
      </c>
    </row>
    <row r="608" spans="1:17" ht="14.4">
      <c r="A608" s="13">
        <v>224</v>
      </c>
      <c r="B608" s="14" t="s">
        <v>386</v>
      </c>
      <c r="C608" s="34">
        <v>45526</v>
      </c>
      <c r="D608" s="17">
        <v>0</v>
      </c>
      <c r="E608" s="17">
        <v>0</v>
      </c>
      <c r="F608" s="17">
        <v>0</v>
      </c>
      <c r="G608" s="17">
        <v>0</v>
      </c>
      <c r="H608" s="35"/>
      <c r="I608" s="17">
        <v>1</v>
      </c>
      <c r="J608" s="17">
        <v>0</v>
      </c>
      <c r="K608" s="17">
        <v>0</v>
      </c>
      <c r="L608" s="17">
        <v>0</v>
      </c>
      <c r="M608" s="14" t="s">
        <v>100</v>
      </c>
      <c r="N608" s="14" t="s">
        <v>91</v>
      </c>
      <c r="O608" s="14" t="s">
        <v>90</v>
      </c>
      <c r="P608" s="14"/>
      <c r="Q608" s="36" t="s">
        <v>260</v>
      </c>
    </row>
    <row r="609" spans="1:17" ht="14.4">
      <c r="A609" s="26">
        <v>224</v>
      </c>
      <c r="B609" s="19" t="s">
        <v>386</v>
      </c>
      <c r="C609" s="37">
        <v>45526</v>
      </c>
      <c r="D609" s="22">
        <v>0</v>
      </c>
      <c r="E609" s="22">
        <v>0</v>
      </c>
      <c r="F609" s="22">
        <v>0</v>
      </c>
      <c r="G609" s="22">
        <v>0</v>
      </c>
      <c r="H609" s="38"/>
      <c r="I609" s="22">
        <v>0</v>
      </c>
      <c r="J609" s="22">
        <v>1</v>
      </c>
      <c r="K609" s="22">
        <v>2</v>
      </c>
      <c r="L609" s="22">
        <v>0</v>
      </c>
      <c r="M609" s="19" t="s">
        <v>100</v>
      </c>
      <c r="N609" s="19" t="s">
        <v>87</v>
      </c>
      <c r="O609" s="19" t="s">
        <v>43</v>
      </c>
      <c r="P609" s="19"/>
      <c r="Q609" s="39" t="s">
        <v>263</v>
      </c>
    </row>
    <row r="610" spans="1:17" ht="14.4">
      <c r="A610" s="13">
        <v>206</v>
      </c>
      <c r="B610" s="14" t="s">
        <v>387</v>
      </c>
      <c r="C610" s="34">
        <v>45526</v>
      </c>
      <c r="D610" s="17">
        <v>0</v>
      </c>
      <c r="E610" s="17">
        <v>0</v>
      </c>
      <c r="F610" s="17">
        <v>0</v>
      </c>
      <c r="G610" s="17">
        <v>0</v>
      </c>
      <c r="H610" s="35"/>
      <c r="I610" s="17">
        <v>0</v>
      </c>
      <c r="J610" s="17">
        <v>1</v>
      </c>
      <c r="K610" s="17">
        <v>0</v>
      </c>
      <c r="L610" s="17">
        <v>0</v>
      </c>
      <c r="M610" s="14" t="s">
        <v>100</v>
      </c>
      <c r="N610" s="14" t="s">
        <v>91</v>
      </c>
      <c r="O610" s="14" t="s">
        <v>47</v>
      </c>
      <c r="P610" s="14"/>
      <c r="Q610" s="36" t="s">
        <v>263</v>
      </c>
    </row>
    <row r="611" spans="1:17" ht="14.4">
      <c r="A611" s="26">
        <v>206</v>
      </c>
      <c r="B611" s="19" t="s">
        <v>387</v>
      </c>
      <c r="C611" s="37">
        <v>45526</v>
      </c>
      <c r="D611" s="22">
        <v>0</v>
      </c>
      <c r="E611" s="22">
        <v>1</v>
      </c>
      <c r="F611" s="22">
        <v>0</v>
      </c>
      <c r="G611" s="22">
        <v>0</v>
      </c>
      <c r="H611" s="21" t="s">
        <v>388</v>
      </c>
      <c r="I611" s="22">
        <v>0</v>
      </c>
      <c r="J611" s="22">
        <v>0</v>
      </c>
      <c r="K611" s="22">
        <v>0</v>
      </c>
      <c r="L611" s="22">
        <v>0</v>
      </c>
      <c r="M611" s="19" t="s">
        <v>100</v>
      </c>
      <c r="N611" s="19" t="s">
        <v>91</v>
      </c>
      <c r="O611" s="19" t="s">
        <v>90</v>
      </c>
      <c r="P611" s="19"/>
      <c r="Q611" s="39" t="s">
        <v>262</v>
      </c>
    </row>
    <row r="612" spans="1:17" ht="14.4">
      <c r="A612" s="13">
        <v>206</v>
      </c>
      <c r="B612" s="14" t="s">
        <v>387</v>
      </c>
      <c r="C612" s="34">
        <v>45526</v>
      </c>
      <c r="D612" s="17">
        <v>1</v>
      </c>
      <c r="E612" s="17">
        <v>0</v>
      </c>
      <c r="F612" s="17">
        <v>0</v>
      </c>
      <c r="G612" s="17">
        <v>0</v>
      </c>
      <c r="H612" s="35"/>
      <c r="I612" s="17">
        <v>0</v>
      </c>
      <c r="J612" s="17">
        <v>0</v>
      </c>
      <c r="K612" s="17">
        <v>0</v>
      </c>
      <c r="L612" s="17">
        <v>0</v>
      </c>
      <c r="M612" s="14" t="s">
        <v>100</v>
      </c>
      <c r="N612" s="14" t="s">
        <v>87</v>
      </c>
      <c r="O612" s="14" t="s">
        <v>60</v>
      </c>
      <c r="P612" s="17">
        <v>1</v>
      </c>
      <c r="Q612" s="36" t="s">
        <v>259</v>
      </c>
    </row>
    <row r="613" spans="1:17" ht="14.4">
      <c r="A613" s="26">
        <v>206</v>
      </c>
      <c r="B613" s="19" t="s">
        <v>387</v>
      </c>
      <c r="C613" s="37">
        <v>45526</v>
      </c>
      <c r="D613" s="22">
        <v>0</v>
      </c>
      <c r="E613" s="22">
        <v>0</v>
      </c>
      <c r="F613" s="22">
        <v>0</v>
      </c>
      <c r="G613" s="22">
        <v>0</v>
      </c>
      <c r="H613" s="38"/>
      <c r="I613" s="22">
        <v>3</v>
      </c>
      <c r="J613" s="22">
        <v>0</v>
      </c>
      <c r="K613" s="22">
        <v>0</v>
      </c>
      <c r="L613" s="22">
        <v>0</v>
      </c>
      <c r="M613" s="19" t="s">
        <v>100</v>
      </c>
      <c r="N613" s="19" t="s">
        <v>87</v>
      </c>
      <c r="O613" s="19" t="s">
        <v>60</v>
      </c>
      <c r="P613" s="19"/>
      <c r="Q613" s="39" t="s">
        <v>260</v>
      </c>
    </row>
    <row r="614" spans="1:17" ht="14.4">
      <c r="A614" s="13">
        <v>586</v>
      </c>
      <c r="B614" s="14" t="s">
        <v>389</v>
      </c>
      <c r="C614" s="34">
        <v>45526</v>
      </c>
      <c r="D614" s="17">
        <v>0</v>
      </c>
      <c r="E614" s="17">
        <v>1</v>
      </c>
      <c r="F614" s="17">
        <v>0</v>
      </c>
      <c r="G614" s="17">
        <v>0</v>
      </c>
      <c r="H614" s="16" t="s">
        <v>351</v>
      </c>
      <c r="I614" s="17">
        <v>0</v>
      </c>
      <c r="J614" s="17">
        <v>0</v>
      </c>
      <c r="K614" s="17">
        <v>0</v>
      </c>
      <c r="L614" s="17">
        <v>0</v>
      </c>
      <c r="M614" s="14" t="s">
        <v>100</v>
      </c>
      <c r="N614" s="14" t="s">
        <v>87</v>
      </c>
      <c r="O614" s="14" t="s">
        <v>57</v>
      </c>
      <c r="P614" s="14"/>
      <c r="Q614" s="36" t="s">
        <v>262</v>
      </c>
    </row>
    <row r="615" spans="1:17" ht="14.4">
      <c r="A615" s="26">
        <v>117</v>
      </c>
      <c r="B615" s="19" t="s">
        <v>390</v>
      </c>
      <c r="C615" s="37">
        <v>45526</v>
      </c>
      <c r="D615" s="22">
        <v>3</v>
      </c>
      <c r="E615" s="22">
        <v>0</v>
      </c>
      <c r="F615" s="22">
        <v>0</v>
      </c>
      <c r="G615" s="22">
        <v>0</v>
      </c>
      <c r="H615" s="38"/>
      <c r="I615" s="22">
        <v>0</v>
      </c>
      <c r="J615" s="22">
        <v>0</v>
      </c>
      <c r="K615" s="22">
        <v>0</v>
      </c>
      <c r="L615" s="22">
        <v>0</v>
      </c>
      <c r="M615" s="19" t="s">
        <v>296</v>
      </c>
      <c r="N615" s="19" t="s">
        <v>91</v>
      </c>
      <c r="O615" s="19" t="s">
        <v>38</v>
      </c>
      <c r="P615" s="22">
        <v>2</v>
      </c>
      <c r="Q615" s="39" t="s">
        <v>259</v>
      </c>
    </row>
    <row r="616" spans="1:17" ht="14.4">
      <c r="A616" s="13">
        <v>117</v>
      </c>
      <c r="B616" s="14" t="s">
        <v>390</v>
      </c>
      <c r="C616" s="34">
        <v>45526</v>
      </c>
      <c r="D616" s="17">
        <v>0</v>
      </c>
      <c r="E616" s="17">
        <v>0</v>
      </c>
      <c r="F616" s="17">
        <v>0</v>
      </c>
      <c r="G616" s="17">
        <v>0</v>
      </c>
      <c r="H616" s="35"/>
      <c r="I616" s="17">
        <v>2</v>
      </c>
      <c r="J616" s="17">
        <v>0</v>
      </c>
      <c r="K616" s="17">
        <v>0</v>
      </c>
      <c r="L616" s="17">
        <v>0</v>
      </c>
      <c r="M616" s="14" t="s">
        <v>296</v>
      </c>
      <c r="N616" s="14" t="s">
        <v>91</v>
      </c>
      <c r="O616" s="14" t="s">
        <v>38</v>
      </c>
      <c r="P616" s="14"/>
      <c r="Q616" s="36" t="s">
        <v>260</v>
      </c>
    </row>
    <row r="617" spans="1:17" ht="14.4">
      <c r="A617" s="26">
        <v>117</v>
      </c>
      <c r="B617" s="19" t="s">
        <v>390</v>
      </c>
      <c r="C617" s="37">
        <v>45526</v>
      </c>
      <c r="D617" s="22">
        <v>0</v>
      </c>
      <c r="E617" s="22">
        <v>0</v>
      </c>
      <c r="F617" s="22">
        <v>0</v>
      </c>
      <c r="G617" s="22">
        <v>0</v>
      </c>
      <c r="H617" s="38"/>
      <c r="I617" s="22">
        <v>0</v>
      </c>
      <c r="J617" s="22">
        <v>1</v>
      </c>
      <c r="K617" s="22">
        <v>2</v>
      </c>
      <c r="L617" s="22">
        <v>0</v>
      </c>
      <c r="M617" s="19" t="s">
        <v>296</v>
      </c>
      <c r="N617" s="19" t="s">
        <v>91</v>
      </c>
      <c r="O617" s="19" t="s">
        <v>38</v>
      </c>
      <c r="P617" s="19"/>
      <c r="Q617" s="39" t="s">
        <v>263</v>
      </c>
    </row>
    <row r="618" spans="1:17" ht="14.4">
      <c r="A618" s="13">
        <v>117</v>
      </c>
      <c r="B618" s="14" t="s">
        <v>390</v>
      </c>
      <c r="C618" s="34">
        <v>45526</v>
      </c>
      <c r="D618" s="17">
        <v>0</v>
      </c>
      <c r="E618" s="17">
        <v>1</v>
      </c>
      <c r="F618" s="17">
        <v>0</v>
      </c>
      <c r="G618" s="17">
        <v>0</v>
      </c>
      <c r="H618" s="16" t="s">
        <v>391</v>
      </c>
      <c r="I618" s="17">
        <v>0</v>
      </c>
      <c r="J618" s="17">
        <v>0</v>
      </c>
      <c r="K618" s="17">
        <v>0</v>
      </c>
      <c r="L618" s="17">
        <v>0</v>
      </c>
      <c r="M618" s="14" t="s">
        <v>296</v>
      </c>
      <c r="N618" s="14" t="s">
        <v>91</v>
      </c>
      <c r="O618" s="14" t="s">
        <v>44</v>
      </c>
      <c r="P618" s="14"/>
      <c r="Q618" s="36" t="s">
        <v>262</v>
      </c>
    </row>
    <row r="619" spans="1:17" ht="14.4">
      <c r="A619" s="26">
        <v>117</v>
      </c>
      <c r="B619" s="19" t="s">
        <v>390</v>
      </c>
      <c r="C619" s="37">
        <v>45526</v>
      </c>
      <c r="D619" s="22">
        <v>2</v>
      </c>
      <c r="E619" s="22">
        <v>0</v>
      </c>
      <c r="F619" s="22">
        <v>0</v>
      </c>
      <c r="G619" s="22">
        <v>0</v>
      </c>
      <c r="H619" s="38"/>
      <c r="I619" s="22">
        <v>0</v>
      </c>
      <c r="J619" s="22">
        <v>0</v>
      </c>
      <c r="K619" s="22">
        <v>0</v>
      </c>
      <c r="L619" s="22">
        <v>0</v>
      </c>
      <c r="M619" s="19" t="s">
        <v>296</v>
      </c>
      <c r="N619" s="19" t="s">
        <v>91</v>
      </c>
      <c r="O619" s="19" t="s">
        <v>44</v>
      </c>
      <c r="P619" s="22">
        <v>1</v>
      </c>
      <c r="Q619" s="39" t="s">
        <v>259</v>
      </c>
    </row>
    <row r="620" spans="1:17" ht="14.4">
      <c r="A620" s="13">
        <v>117</v>
      </c>
      <c r="B620" s="14" t="s">
        <v>390</v>
      </c>
      <c r="C620" s="34">
        <v>45526</v>
      </c>
      <c r="D620" s="17">
        <v>0</v>
      </c>
      <c r="E620" s="17">
        <v>0</v>
      </c>
      <c r="F620" s="17">
        <v>0</v>
      </c>
      <c r="G620" s="17">
        <v>0</v>
      </c>
      <c r="H620" s="35"/>
      <c r="I620" s="17">
        <v>2</v>
      </c>
      <c r="J620" s="17">
        <v>0</v>
      </c>
      <c r="K620" s="17">
        <v>0</v>
      </c>
      <c r="L620" s="17">
        <v>0</v>
      </c>
      <c r="M620" s="14" t="s">
        <v>296</v>
      </c>
      <c r="N620" s="14" t="s">
        <v>91</v>
      </c>
      <c r="O620" s="14" t="s">
        <v>44</v>
      </c>
      <c r="P620" s="14"/>
      <c r="Q620" s="36" t="s">
        <v>260</v>
      </c>
    </row>
    <row r="621" spans="1:17" ht="14.4">
      <c r="A621" s="26">
        <v>117</v>
      </c>
      <c r="B621" s="19" t="s">
        <v>390</v>
      </c>
      <c r="C621" s="37">
        <v>45526</v>
      </c>
      <c r="D621" s="22">
        <v>0</v>
      </c>
      <c r="E621" s="22">
        <v>0</v>
      </c>
      <c r="F621" s="22">
        <v>0</v>
      </c>
      <c r="G621" s="22">
        <v>0</v>
      </c>
      <c r="H621" s="38"/>
      <c r="I621" s="22">
        <v>0</v>
      </c>
      <c r="J621" s="22">
        <v>1</v>
      </c>
      <c r="K621" s="22">
        <v>0</v>
      </c>
      <c r="L621" s="22">
        <v>0</v>
      </c>
      <c r="M621" s="19" t="s">
        <v>296</v>
      </c>
      <c r="N621" s="19" t="s">
        <v>91</v>
      </c>
      <c r="O621" s="19" t="s">
        <v>44</v>
      </c>
      <c r="P621" s="19"/>
      <c r="Q621" s="39" t="s">
        <v>263</v>
      </c>
    </row>
    <row r="622" spans="1:17" ht="14.4">
      <c r="A622" s="13">
        <v>117</v>
      </c>
      <c r="B622" s="14" t="s">
        <v>390</v>
      </c>
      <c r="C622" s="34">
        <v>45526</v>
      </c>
      <c r="D622" s="17">
        <v>1</v>
      </c>
      <c r="E622" s="17">
        <v>0</v>
      </c>
      <c r="F622" s="17">
        <v>0</v>
      </c>
      <c r="G622" s="17">
        <v>0</v>
      </c>
      <c r="H622" s="35"/>
      <c r="I622" s="17">
        <v>0</v>
      </c>
      <c r="J622" s="17">
        <v>0</v>
      </c>
      <c r="K622" s="17">
        <v>0</v>
      </c>
      <c r="L622" s="17">
        <v>0</v>
      </c>
      <c r="M622" s="14" t="s">
        <v>296</v>
      </c>
      <c r="N622" s="14" t="s">
        <v>87</v>
      </c>
      <c r="O622" s="14" t="s">
        <v>43</v>
      </c>
      <c r="P622" s="14"/>
      <c r="Q622" s="36" t="s">
        <v>259</v>
      </c>
    </row>
    <row r="623" spans="1:17" ht="14.4">
      <c r="A623" s="26">
        <v>117</v>
      </c>
      <c r="B623" s="19" t="s">
        <v>390</v>
      </c>
      <c r="C623" s="37">
        <v>45526</v>
      </c>
      <c r="D623" s="22">
        <v>3</v>
      </c>
      <c r="E623" s="22">
        <v>0</v>
      </c>
      <c r="F623" s="22">
        <v>0</v>
      </c>
      <c r="G623" s="22">
        <v>0</v>
      </c>
      <c r="H623" s="38"/>
      <c r="I623" s="22">
        <v>0</v>
      </c>
      <c r="J623" s="22">
        <v>0</v>
      </c>
      <c r="K623" s="22">
        <v>0</v>
      </c>
      <c r="L623" s="22">
        <v>0</v>
      </c>
      <c r="M623" s="19" t="s">
        <v>296</v>
      </c>
      <c r="N623" s="19" t="s">
        <v>87</v>
      </c>
      <c r="O623" s="19" t="s">
        <v>60</v>
      </c>
      <c r="P623" s="22">
        <v>2</v>
      </c>
      <c r="Q623" s="39" t="s">
        <v>259</v>
      </c>
    </row>
    <row r="624" spans="1:17" ht="14.4">
      <c r="A624" s="13">
        <v>117</v>
      </c>
      <c r="B624" s="14" t="s">
        <v>390</v>
      </c>
      <c r="C624" s="34">
        <v>45526</v>
      </c>
      <c r="D624" s="17">
        <v>0</v>
      </c>
      <c r="E624" s="17">
        <v>0</v>
      </c>
      <c r="F624" s="17">
        <v>0</v>
      </c>
      <c r="G624" s="17">
        <v>0</v>
      </c>
      <c r="H624" s="35"/>
      <c r="I624" s="17">
        <v>1</v>
      </c>
      <c r="J624" s="17">
        <v>0</v>
      </c>
      <c r="K624" s="17">
        <v>0</v>
      </c>
      <c r="L624" s="17">
        <v>0</v>
      </c>
      <c r="M624" s="14" t="s">
        <v>296</v>
      </c>
      <c r="N624" s="14" t="s">
        <v>87</v>
      </c>
      <c r="O624" s="14" t="s">
        <v>60</v>
      </c>
      <c r="P624" s="14"/>
      <c r="Q624" s="36" t="s">
        <v>260</v>
      </c>
    </row>
    <row r="625" spans="1:17" ht="14.4">
      <c r="A625" s="26">
        <v>117</v>
      </c>
      <c r="B625" s="19" t="s">
        <v>390</v>
      </c>
      <c r="C625" s="37">
        <v>45526</v>
      </c>
      <c r="D625" s="22">
        <v>0</v>
      </c>
      <c r="E625" s="22">
        <v>0</v>
      </c>
      <c r="F625" s="22">
        <v>0</v>
      </c>
      <c r="G625" s="22">
        <v>0</v>
      </c>
      <c r="H625" s="38"/>
      <c r="I625" s="22">
        <v>0</v>
      </c>
      <c r="J625" s="22">
        <v>3</v>
      </c>
      <c r="K625" s="22">
        <v>2</v>
      </c>
      <c r="L625" s="22">
        <v>0</v>
      </c>
      <c r="M625" s="19" t="s">
        <v>296</v>
      </c>
      <c r="N625" s="19" t="s">
        <v>87</v>
      </c>
      <c r="O625" s="19" t="s">
        <v>60</v>
      </c>
      <c r="P625" s="19"/>
      <c r="Q625" s="39" t="s">
        <v>263</v>
      </c>
    </row>
    <row r="626" spans="1:17" ht="14.4">
      <c r="A626" s="13">
        <v>117</v>
      </c>
      <c r="B626" s="14" t="s">
        <v>390</v>
      </c>
      <c r="C626" s="34">
        <v>45526</v>
      </c>
      <c r="D626" s="17">
        <v>0</v>
      </c>
      <c r="E626" s="17">
        <v>1</v>
      </c>
      <c r="F626" s="17">
        <v>0</v>
      </c>
      <c r="G626" s="17">
        <v>0</v>
      </c>
      <c r="H626" s="16" t="s">
        <v>392</v>
      </c>
      <c r="I626" s="17">
        <v>0</v>
      </c>
      <c r="J626" s="17">
        <v>0</v>
      </c>
      <c r="K626" s="17">
        <v>0</v>
      </c>
      <c r="L626" s="17">
        <v>0</v>
      </c>
      <c r="M626" s="14" t="s">
        <v>296</v>
      </c>
      <c r="N626" s="14" t="s">
        <v>87</v>
      </c>
      <c r="O626" s="14" t="s">
        <v>51</v>
      </c>
      <c r="P626" s="14"/>
      <c r="Q626" s="36" t="s">
        <v>262</v>
      </c>
    </row>
    <row r="627" spans="1:17" ht="14.4">
      <c r="A627" s="26">
        <v>117</v>
      </c>
      <c r="B627" s="19" t="s">
        <v>390</v>
      </c>
      <c r="C627" s="37">
        <v>45526</v>
      </c>
      <c r="D627" s="22">
        <v>0</v>
      </c>
      <c r="E627" s="22">
        <v>0</v>
      </c>
      <c r="F627" s="22">
        <v>0</v>
      </c>
      <c r="G627" s="22">
        <v>0</v>
      </c>
      <c r="H627" s="38"/>
      <c r="I627" s="22">
        <v>0</v>
      </c>
      <c r="J627" s="22">
        <v>0</v>
      </c>
      <c r="K627" s="22">
        <v>1</v>
      </c>
      <c r="L627" s="22">
        <v>0</v>
      </c>
      <c r="M627" s="19" t="s">
        <v>296</v>
      </c>
      <c r="N627" s="19" t="s">
        <v>87</v>
      </c>
      <c r="O627" s="19" t="s">
        <v>51</v>
      </c>
      <c r="P627" s="19"/>
      <c r="Q627" s="39" t="s">
        <v>263</v>
      </c>
    </row>
    <row r="628" spans="1:17" ht="14.4">
      <c r="A628" s="13">
        <v>117</v>
      </c>
      <c r="B628" s="14" t="s">
        <v>390</v>
      </c>
      <c r="C628" s="34">
        <v>45526</v>
      </c>
      <c r="D628" s="17">
        <v>9</v>
      </c>
      <c r="E628" s="17">
        <v>0</v>
      </c>
      <c r="F628" s="17">
        <v>0</v>
      </c>
      <c r="G628" s="17">
        <v>0</v>
      </c>
      <c r="H628" s="35"/>
      <c r="I628" s="17">
        <v>0</v>
      </c>
      <c r="J628" s="17">
        <v>0</v>
      </c>
      <c r="K628" s="17">
        <v>0</v>
      </c>
      <c r="L628" s="17">
        <v>0</v>
      </c>
      <c r="M628" s="14" t="s">
        <v>296</v>
      </c>
      <c r="N628" s="14" t="s">
        <v>87</v>
      </c>
      <c r="O628" s="14" t="s">
        <v>98</v>
      </c>
      <c r="P628" s="17">
        <v>2</v>
      </c>
      <c r="Q628" s="36" t="s">
        <v>259</v>
      </c>
    </row>
    <row r="629" spans="1:17" ht="14.4">
      <c r="A629" s="26">
        <v>117</v>
      </c>
      <c r="B629" s="19" t="s">
        <v>390</v>
      </c>
      <c r="C629" s="37">
        <v>45526</v>
      </c>
      <c r="D629" s="22">
        <v>0</v>
      </c>
      <c r="E629" s="22">
        <v>0</v>
      </c>
      <c r="F629" s="22">
        <v>0</v>
      </c>
      <c r="G629" s="22">
        <v>0</v>
      </c>
      <c r="H629" s="38"/>
      <c r="I629" s="22">
        <v>0</v>
      </c>
      <c r="J629" s="22">
        <v>2</v>
      </c>
      <c r="K629" s="22">
        <v>0</v>
      </c>
      <c r="L629" s="22">
        <v>0</v>
      </c>
      <c r="M629" s="19" t="s">
        <v>296</v>
      </c>
      <c r="N629" s="19" t="s">
        <v>87</v>
      </c>
      <c r="O629" s="19" t="s">
        <v>98</v>
      </c>
      <c r="P629" s="19"/>
      <c r="Q629" s="39" t="s">
        <v>263</v>
      </c>
    </row>
    <row r="630" spans="1:17" ht="14.4">
      <c r="A630" s="13">
        <v>117</v>
      </c>
      <c r="B630" s="14" t="s">
        <v>390</v>
      </c>
      <c r="C630" s="34">
        <v>45526</v>
      </c>
      <c r="D630" s="17">
        <v>3</v>
      </c>
      <c r="E630" s="17">
        <v>0</v>
      </c>
      <c r="F630" s="17">
        <v>0</v>
      </c>
      <c r="G630" s="17">
        <v>0</v>
      </c>
      <c r="H630" s="35"/>
      <c r="I630" s="17">
        <v>0</v>
      </c>
      <c r="J630" s="17">
        <v>0</v>
      </c>
      <c r="K630" s="17">
        <v>0</v>
      </c>
      <c r="L630" s="17">
        <v>0</v>
      </c>
      <c r="M630" s="14" t="s">
        <v>296</v>
      </c>
      <c r="N630" s="14" t="s">
        <v>87</v>
      </c>
      <c r="O630" s="14" t="s">
        <v>89</v>
      </c>
      <c r="P630" s="17">
        <v>1</v>
      </c>
      <c r="Q630" s="36" t="s">
        <v>259</v>
      </c>
    </row>
    <row r="631" spans="1:17" ht="14.4">
      <c r="A631" s="26">
        <v>117</v>
      </c>
      <c r="B631" s="19" t="s">
        <v>390</v>
      </c>
      <c r="C631" s="37">
        <v>45526</v>
      </c>
      <c r="D631" s="22">
        <v>0</v>
      </c>
      <c r="E631" s="22">
        <v>0</v>
      </c>
      <c r="F631" s="22">
        <v>0</v>
      </c>
      <c r="G631" s="22">
        <v>0</v>
      </c>
      <c r="H631" s="38"/>
      <c r="I631" s="22">
        <v>0</v>
      </c>
      <c r="J631" s="22">
        <v>1</v>
      </c>
      <c r="K631" s="22">
        <v>0</v>
      </c>
      <c r="L631" s="22">
        <v>0</v>
      </c>
      <c r="M631" s="19" t="s">
        <v>296</v>
      </c>
      <c r="N631" s="19" t="s">
        <v>87</v>
      </c>
      <c r="O631" s="19" t="s">
        <v>89</v>
      </c>
      <c r="P631" s="19"/>
      <c r="Q631" s="39" t="s">
        <v>263</v>
      </c>
    </row>
    <row r="632" spans="1:17" ht="14.4">
      <c r="A632" s="13">
        <v>117</v>
      </c>
      <c r="B632" s="14" t="s">
        <v>390</v>
      </c>
      <c r="C632" s="34">
        <v>45526</v>
      </c>
      <c r="D632" s="17">
        <v>3</v>
      </c>
      <c r="E632" s="17">
        <v>0</v>
      </c>
      <c r="F632" s="17">
        <v>0</v>
      </c>
      <c r="G632" s="17">
        <v>0</v>
      </c>
      <c r="H632" s="35"/>
      <c r="I632" s="17">
        <v>0</v>
      </c>
      <c r="J632" s="17">
        <v>0</v>
      </c>
      <c r="K632" s="17">
        <v>0</v>
      </c>
      <c r="L632" s="17">
        <v>0</v>
      </c>
      <c r="M632" s="14" t="s">
        <v>296</v>
      </c>
      <c r="N632" s="14" t="s">
        <v>87</v>
      </c>
      <c r="O632" s="14" t="s">
        <v>57</v>
      </c>
      <c r="P632" s="17">
        <v>1</v>
      </c>
      <c r="Q632" s="36" t="s">
        <v>259</v>
      </c>
    </row>
    <row r="633" spans="1:17" ht="14.4">
      <c r="A633" s="26">
        <v>117</v>
      </c>
      <c r="B633" s="19" t="s">
        <v>390</v>
      </c>
      <c r="C633" s="37">
        <v>45526</v>
      </c>
      <c r="D633" s="22">
        <v>0</v>
      </c>
      <c r="E633" s="22">
        <v>0</v>
      </c>
      <c r="F633" s="22">
        <v>0</v>
      </c>
      <c r="G633" s="22">
        <v>0</v>
      </c>
      <c r="H633" s="38"/>
      <c r="I633" s="22">
        <v>1</v>
      </c>
      <c r="J633" s="22">
        <v>0</v>
      </c>
      <c r="K633" s="22">
        <v>0</v>
      </c>
      <c r="L633" s="22">
        <v>0</v>
      </c>
      <c r="M633" s="19" t="s">
        <v>296</v>
      </c>
      <c r="N633" s="19" t="s">
        <v>87</v>
      </c>
      <c r="O633" s="19" t="s">
        <v>57</v>
      </c>
      <c r="P633" s="19"/>
      <c r="Q633" s="39" t="s">
        <v>260</v>
      </c>
    </row>
    <row r="634" spans="1:17" ht="14.4">
      <c r="A634" s="13">
        <v>117</v>
      </c>
      <c r="B634" s="14" t="s">
        <v>390</v>
      </c>
      <c r="C634" s="34">
        <v>45526</v>
      </c>
      <c r="D634" s="17">
        <v>1</v>
      </c>
      <c r="E634" s="17">
        <v>0</v>
      </c>
      <c r="F634" s="17">
        <v>0</v>
      </c>
      <c r="G634" s="17">
        <v>0</v>
      </c>
      <c r="H634" s="35"/>
      <c r="I634" s="17">
        <v>0</v>
      </c>
      <c r="J634" s="17">
        <v>0</v>
      </c>
      <c r="K634" s="17">
        <v>0</v>
      </c>
      <c r="L634" s="17">
        <v>0</v>
      </c>
      <c r="M634" s="14" t="s">
        <v>296</v>
      </c>
      <c r="N634" s="14" t="s">
        <v>87</v>
      </c>
      <c r="O634" s="14" t="s">
        <v>86</v>
      </c>
      <c r="P634" s="17">
        <v>1</v>
      </c>
      <c r="Q634" s="36" t="s">
        <v>259</v>
      </c>
    </row>
    <row r="635" spans="1:17" ht="14.4">
      <c r="A635" s="26">
        <v>117</v>
      </c>
      <c r="B635" s="19" t="s">
        <v>390</v>
      </c>
      <c r="C635" s="37">
        <v>45526</v>
      </c>
      <c r="D635" s="22">
        <v>0</v>
      </c>
      <c r="E635" s="22">
        <v>0</v>
      </c>
      <c r="F635" s="22">
        <v>0</v>
      </c>
      <c r="G635" s="22">
        <v>0</v>
      </c>
      <c r="H635" s="38"/>
      <c r="I635" s="22">
        <v>1</v>
      </c>
      <c r="J635" s="22">
        <v>0</v>
      </c>
      <c r="K635" s="22">
        <v>0</v>
      </c>
      <c r="L635" s="22">
        <v>0</v>
      </c>
      <c r="M635" s="19" t="s">
        <v>296</v>
      </c>
      <c r="N635" s="19" t="s">
        <v>87</v>
      </c>
      <c r="O635" s="19" t="s">
        <v>59</v>
      </c>
      <c r="P635" s="19"/>
      <c r="Q635" s="39" t="s">
        <v>260</v>
      </c>
    </row>
    <row r="636" spans="1:17" ht="14.4">
      <c r="A636" s="13">
        <v>633</v>
      </c>
      <c r="B636" s="14" t="s">
        <v>393</v>
      </c>
      <c r="C636" s="34">
        <v>45526</v>
      </c>
      <c r="D636" s="17">
        <v>1</v>
      </c>
      <c r="E636" s="17">
        <v>0</v>
      </c>
      <c r="F636" s="17">
        <v>0</v>
      </c>
      <c r="G636" s="17">
        <v>0</v>
      </c>
      <c r="H636" s="35"/>
      <c r="I636" s="17">
        <v>0</v>
      </c>
      <c r="J636" s="17">
        <v>0</v>
      </c>
      <c r="K636" s="17">
        <v>0</v>
      </c>
      <c r="L636" s="17">
        <v>0</v>
      </c>
      <c r="M636" s="14" t="s">
        <v>100</v>
      </c>
      <c r="N636" s="14" t="s">
        <v>87</v>
      </c>
      <c r="O636" s="14" t="s">
        <v>98</v>
      </c>
      <c r="P636" s="14"/>
      <c r="Q636" s="36" t="s">
        <v>259</v>
      </c>
    </row>
    <row r="637" spans="1:17" ht="14.4">
      <c r="A637" s="26">
        <v>475</v>
      </c>
      <c r="B637" s="19" t="s">
        <v>394</v>
      </c>
      <c r="C637" s="37">
        <v>45526</v>
      </c>
      <c r="D637" s="22">
        <v>0</v>
      </c>
      <c r="E637" s="22">
        <v>0</v>
      </c>
      <c r="F637" s="22">
        <v>0</v>
      </c>
      <c r="G637" s="22">
        <v>0</v>
      </c>
      <c r="H637" s="38"/>
      <c r="I637" s="22">
        <v>1</v>
      </c>
      <c r="J637" s="22">
        <v>0</v>
      </c>
      <c r="K637" s="22">
        <v>0</v>
      </c>
      <c r="L637" s="22">
        <v>0</v>
      </c>
      <c r="M637" s="19" t="s">
        <v>290</v>
      </c>
      <c r="N637" s="19" t="s">
        <v>91</v>
      </c>
      <c r="O637" s="19" t="s">
        <v>38</v>
      </c>
      <c r="P637" s="19"/>
      <c r="Q637" s="39" t="s">
        <v>260</v>
      </c>
    </row>
    <row r="638" spans="1:17" ht="14.4">
      <c r="A638" s="13">
        <v>475</v>
      </c>
      <c r="B638" s="14" t="s">
        <v>394</v>
      </c>
      <c r="C638" s="34">
        <v>45526</v>
      </c>
      <c r="D638" s="17">
        <v>0</v>
      </c>
      <c r="E638" s="17">
        <v>0</v>
      </c>
      <c r="F638" s="17">
        <v>0</v>
      </c>
      <c r="G638" s="17">
        <v>0</v>
      </c>
      <c r="H638" s="35"/>
      <c r="I638" s="17">
        <v>1</v>
      </c>
      <c r="J638" s="17">
        <v>0</v>
      </c>
      <c r="K638" s="17">
        <v>0</v>
      </c>
      <c r="L638" s="17">
        <v>0</v>
      </c>
      <c r="M638" s="14" t="s">
        <v>290</v>
      </c>
      <c r="N638" s="14" t="s">
        <v>91</v>
      </c>
      <c r="O638" s="14" t="s">
        <v>44</v>
      </c>
      <c r="P638" s="14"/>
      <c r="Q638" s="36" t="s">
        <v>260</v>
      </c>
    </row>
    <row r="639" spans="1:17" ht="14.4">
      <c r="A639" s="26">
        <v>475</v>
      </c>
      <c r="B639" s="19" t="s">
        <v>394</v>
      </c>
      <c r="C639" s="37">
        <v>45526</v>
      </c>
      <c r="D639" s="22">
        <v>1</v>
      </c>
      <c r="E639" s="22">
        <v>0</v>
      </c>
      <c r="F639" s="22">
        <v>0</v>
      </c>
      <c r="G639" s="22">
        <v>0</v>
      </c>
      <c r="H639" s="38"/>
      <c r="I639" s="22">
        <v>0</v>
      </c>
      <c r="J639" s="22">
        <v>0</v>
      </c>
      <c r="K639" s="22">
        <v>0</v>
      </c>
      <c r="L639" s="22">
        <v>0</v>
      </c>
      <c r="M639" s="19" t="s">
        <v>290</v>
      </c>
      <c r="N639" s="19" t="s">
        <v>91</v>
      </c>
      <c r="O639" s="19" t="s">
        <v>47</v>
      </c>
      <c r="P639" s="22">
        <v>1</v>
      </c>
      <c r="Q639" s="39" t="s">
        <v>259</v>
      </c>
    </row>
    <row r="640" spans="1:17" ht="14.4">
      <c r="A640" s="13">
        <v>475</v>
      </c>
      <c r="B640" s="14" t="s">
        <v>394</v>
      </c>
      <c r="C640" s="34">
        <v>45526</v>
      </c>
      <c r="D640" s="17">
        <v>0</v>
      </c>
      <c r="E640" s="17">
        <v>0</v>
      </c>
      <c r="F640" s="17">
        <v>0</v>
      </c>
      <c r="G640" s="17">
        <v>0</v>
      </c>
      <c r="H640" s="35"/>
      <c r="I640" s="17">
        <v>1</v>
      </c>
      <c r="J640" s="17">
        <v>0</v>
      </c>
      <c r="K640" s="17">
        <v>0</v>
      </c>
      <c r="L640" s="17">
        <v>0</v>
      </c>
      <c r="M640" s="14" t="s">
        <v>290</v>
      </c>
      <c r="N640" s="14" t="s">
        <v>91</v>
      </c>
      <c r="O640" s="14" t="s">
        <v>47</v>
      </c>
      <c r="P640" s="14"/>
      <c r="Q640" s="36" t="s">
        <v>260</v>
      </c>
    </row>
    <row r="641" spans="1:17" ht="14.4">
      <c r="A641" s="26">
        <v>475</v>
      </c>
      <c r="B641" s="19" t="s">
        <v>394</v>
      </c>
      <c r="C641" s="37">
        <v>45526</v>
      </c>
      <c r="D641" s="22">
        <v>4</v>
      </c>
      <c r="E641" s="22">
        <v>0</v>
      </c>
      <c r="F641" s="22">
        <v>0</v>
      </c>
      <c r="G641" s="22">
        <v>0</v>
      </c>
      <c r="H641" s="38"/>
      <c r="I641" s="22">
        <v>0</v>
      </c>
      <c r="J641" s="22">
        <v>0</v>
      </c>
      <c r="K641" s="22">
        <v>0</v>
      </c>
      <c r="L641" s="22">
        <v>0</v>
      </c>
      <c r="M641" s="19" t="s">
        <v>290</v>
      </c>
      <c r="N641" s="19" t="s">
        <v>91</v>
      </c>
      <c r="O641" s="19" t="s">
        <v>90</v>
      </c>
      <c r="P641" s="22">
        <v>2</v>
      </c>
      <c r="Q641" s="39" t="s">
        <v>259</v>
      </c>
    </row>
    <row r="642" spans="1:17" ht="14.4">
      <c r="A642" s="13">
        <v>475</v>
      </c>
      <c r="B642" s="14" t="s">
        <v>394</v>
      </c>
      <c r="C642" s="34">
        <v>45526</v>
      </c>
      <c r="D642" s="17">
        <v>0</v>
      </c>
      <c r="E642" s="17">
        <v>0</v>
      </c>
      <c r="F642" s="17">
        <v>0</v>
      </c>
      <c r="G642" s="17">
        <v>0</v>
      </c>
      <c r="H642" s="35"/>
      <c r="I642" s="17">
        <v>1</v>
      </c>
      <c r="J642" s="17">
        <v>0</v>
      </c>
      <c r="K642" s="17">
        <v>0</v>
      </c>
      <c r="L642" s="17">
        <v>0</v>
      </c>
      <c r="M642" s="14" t="s">
        <v>290</v>
      </c>
      <c r="N642" s="14" t="s">
        <v>91</v>
      </c>
      <c r="O642" s="14" t="s">
        <v>90</v>
      </c>
      <c r="P642" s="14"/>
      <c r="Q642" s="36" t="s">
        <v>260</v>
      </c>
    </row>
    <row r="643" spans="1:17" ht="14.4">
      <c r="A643" s="26">
        <v>475</v>
      </c>
      <c r="B643" s="19" t="s">
        <v>394</v>
      </c>
      <c r="C643" s="37">
        <v>45526</v>
      </c>
      <c r="D643" s="22">
        <v>0</v>
      </c>
      <c r="E643" s="22">
        <v>0</v>
      </c>
      <c r="F643" s="22">
        <v>0</v>
      </c>
      <c r="G643" s="22">
        <v>0</v>
      </c>
      <c r="H643" s="38"/>
      <c r="I643" s="22">
        <v>0</v>
      </c>
      <c r="J643" s="22">
        <v>1</v>
      </c>
      <c r="K643" s="22">
        <v>0</v>
      </c>
      <c r="L643" s="22">
        <v>0</v>
      </c>
      <c r="M643" s="19" t="s">
        <v>290</v>
      </c>
      <c r="N643" s="19" t="s">
        <v>91</v>
      </c>
      <c r="O643" s="19" t="s">
        <v>90</v>
      </c>
      <c r="P643" s="19"/>
      <c r="Q643" s="39" t="s">
        <v>263</v>
      </c>
    </row>
    <row r="644" spans="1:17" ht="14.4">
      <c r="A644" s="13">
        <v>475</v>
      </c>
      <c r="B644" s="14" t="s">
        <v>394</v>
      </c>
      <c r="C644" s="34">
        <v>45526</v>
      </c>
      <c r="D644" s="17">
        <v>1</v>
      </c>
      <c r="E644" s="17">
        <v>0</v>
      </c>
      <c r="F644" s="17">
        <v>0</v>
      </c>
      <c r="G644" s="17">
        <v>0</v>
      </c>
      <c r="H644" s="35"/>
      <c r="I644" s="17">
        <v>0</v>
      </c>
      <c r="J644" s="17">
        <v>0</v>
      </c>
      <c r="K644" s="17">
        <v>0</v>
      </c>
      <c r="L644" s="17">
        <v>0</v>
      </c>
      <c r="M644" s="14" t="s">
        <v>290</v>
      </c>
      <c r="N644" s="14" t="s">
        <v>87</v>
      </c>
      <c r="O644" s="14" t="s">
        <v>37</v>
      </c>
      <c r="P644" s="17">
        <v>1</v>
      </c>
      <c r="Q644" s="36" t="s">
        <v>259</v>
      </c>
    </row>
    <row r="645" spans="1:17" ht="14.4">
      <c r="A645" s="26">
        <v>475</v>
      </c>
      <c r="B645" s="19" t="s">
        <v>394</v>
      </c>
      <c r="C645" s="37">
        <v>45526</v>
      </c>
      <c r="D645" s="22">
        <v>0</v>
      </c>
      <c r="E645" s="22">
        <v>0</v>
      </c>
      <c r="F645" s="22">
        <v>0</v>
      </c>
      <c r="G645" s="22">
        <v>0</v>
      </c>
      <c r="H645" s="38"/>
      <c r="I645" s="22">
        <v>0</v>
      </c>
      <c r="J645" s="22">
        <v>1</v>
      </c>
      <c r="K645" s="22">
        <v>0</v>
      </c>
      <c r="L645" s="22">
        <v>0</v>
      </c>
      <c r="M645" s="19" t="s">
        <v>290</v>
      </c>
      <c r="N645" s="19" t="s">
        <v>87</v>
      </c>
      <c r="O645" s="19" t="s">
        <v>37</v>
      </c>
      <c r="P645" s="19"/>
      <c r="Q645" s="39" t="s">
        <v>263</v>
      </c>
    </row>
    <row r="646" spans="1:17" ht="14.4">
      <c r="A646" s="13">
        <v>475</v>
      </c>
      <c r="B646" s="14" t="s">
        <v>394</v>
      </c>
      <c r="C646" s="34">
        <v>45526</v>
      </c>
      <c r="D646" s="17">
        <v>1</v>
      </c>
      <c r="E646" s="17">
        <v>0</v>
      </c>
      <c r="F646" s="17">
        <v>0</v>
      </c>
      <c r="G646" s="17">
        <v>0</v>
      </c>
      <c r="H646" s="35"/>
      <c r="I646" s="17">
        <v>0</v>
      </c>
      <c r="J646" s="17">
        <v>0</v>
      </c>
      <c r="K646" s="17">
        <v>0</v>
      </c>
      <c r="L646" s="17">
        <v>0</v>
      </c>
      <c r="M646" s="14" t="s">
        <v>290</v>
      </c>
      <c r="N646" s="14" t="s">
        <v>87</v>
      </c>
      <c r="O646" s="14" t="s">
        <v>57</v>
      </c>
      <c r="P646" s="14"/>
      <c r="Q646" s="36" t="s">
        <v>259</v>
      </c>
    </row>
    <row r="647" spans="1:17" ht="14.4">
      <c r="A647" s="26">
        <v>475</v>
      </c>
      <c r="B647" s="19" t="s">
        <v>394</v>
      </c>
      <c r="C647" s="37">
        <v>45526</v>
      </c>
      <c r="D647" s="22">
        <v>1</v>
      </c>
      <c r="E647" s="22">
        <v>0</v>
      </c>
      <c r="F647" s="22">
        <v>0</v>
      </c>
      <c r="G647" s="22">
        <v>0</v>
      </c>
      <c r="H647" s="38"/>
      <c r="I647" s="22">
        <v>0</v>
      </c>
      <c r="J647" s="22">
        <v>0</v>
      </c>
      <c r="K647" s="22">
        <v>0</v>
      </c>
      <c r="L647" s="22">
        <v>0</v>
      </c>
      <c r="M647" s="19" t="s">
        <v>290</v>
      </c>
      <c r="N647" s="19" t="s">
        <v>87</v>
      </c>
      <c r="O647" s="19" t="s">
        <v>86</v>
      </c>
      <c r="P647" s="22">
        <v>1</v>
      </c>
      <c r="Q647" s="39" t="s">
        <v>259</v>
      </c>
    </row>
    <row r="648" spans="1:17" ht="14.4">
      <c r="A648" s="13">
        <v>475</v>
      </c>
      <c r="B648" s="14" t="s">
        <v>394</v>
      </c>
      <c r="C648" s="34">
        <v>45526</v>
      </c>
      <c r="D648" s="17">
        <v>0</v>
      </c>
      <c r="E648" s="17">
        <v>0</v>
      </c>
      <c r="F648" s="17">
        <v>0</v>
      </c>
      <c r="G648" s="17">
        <v>0</v>
      </c>
      <c r="H648" s="35"/>
      <c r="I648" s="17">
        <v>1</v>
      </c>
      <c r="J648" s="17">
        <v>0</v>
      </c>
      <c r="K648" s="17">
        <v>0</v>
      </c>
      <c r="L648" s="17">
        <v>0</v>
      </c>
      <c r="M648" s="14" t="s">
        <v>290</v>
      </c>
      <c r="N648" s="14" t="s">
        <v>87</v>
      </c>
      <c r="O648" s="14" t="s">
        <v>86</v>
      </c>
      <c r="P648" s="14"/>
      <c r="Q648" s="36" t="s">
        <v>260</v>
      </c>
    </row>
    <row r="649" spans="1:17" ht="14.4">
      <c r="A649" s="26">
        <v>475</v>
      </c>
      <c r="B649" s="19" t="s">
        <v>394</v>
      </c>
      <c r="C649" s="37">
        <v>45526</v>
      </c>
      <c r="D649" s="22">
        <v>1</v>
      </c>
      <c r="E649" s="22">
        <v>0</v>
      </c>
      <c r="F649" s="22">
        <v>0</v>
      </c>
      <c r="G649" s="22">
        <v>0</v>
      </c>
      <c r="H649" s="38"/>
      <c r="I649" s="22">
        <v>0</v>
      </c>
      <c r="J649" s="22">
        <v>0</v>
      </c>
      <c r="K649" s="22">
        <v>0</v>
      </c>
      <c r="L649" s="22">
        <v>0</v>
      </c>
      <c r="M649" s="19" t="s">
        <v>290</v>
      </c>
      <c r="N649" s="19" t="s">
        <v>87</v>
      </c>
      <c r="O649" s="19" t="s">
        <v>59</v>
      </c>
      <c r="P649" s="19"/>
      <c r="Q649" s="39" t="s">
        <v>259</v>
      </c>
    </row>
    <row r="650" spans="1:17" ht="14.4">
      <c r="A650" s="13">
        <v>594</v>
      </c>
      <c r="B650" s="14" t="s">
        <v>395</v>
      </c>
      <c r="C650" s="34">
        <v>45526</v>
      </c>
      <c r="D650" s="17">
        <v>0</v>
      </c>
      <c r="E650" s="17">
        <v>0</v>
      </c>
      <c r="F650" s="17">
        <v>1</v>
      </c>
      <c r="G650" s="17">
        <v>0</v>
      </c>
      <c r="H650" s="35"/>
      <c r="I650" s="17">
        <v>0</v>
      </c>
      <c r="J650" s="17">
        <v>0</v>
      </c>
      <c r="K650" s="17">
        <v>0</v>
      </c>
      <c r="L650" s="17">
        <v>0</v>
      </c>
      <c r="M650" s="14" t="s">
        <v>318</v>
      </c>
      <c r="N650" s="14" t="s">
        <v>87</v>
      </c>
      <c r="O650" s="14" t="s">
        <v>43</v>
      </c>
      <c r="P650" s="14"/>
      <c r="Q650" s="36" t="s">
        <v>262</v>
      </c>
    </row>
    <row r="651" spans="1:17" ht="14.4">
      <c r="A651" s="26">
        <v>594</v>
      </c>
      <c r="B651" s="19" t="s">
        <v>395</v>
      </c>
      <c r="C651" s="37">
        <v>45526</v>
      </c>
      <c r="D651" s="22">
        <v>2</v>
      </c>
      <c r="E651" s="22">
        <v>0</v>
      </c>
      <c r="F651" s="22">
        <v>0</v>
      </c>
      <c r="G651" s="22">
        <v>0</v>
      </c>
      <c r="H651" s="38"/>
      <c r="I651" s="22">
        <v>0</v>
      </c>
      <c r="J651" s="22">
        <v>0</v>
      </c>
      <c r="K651" s="22">
        <v>0</v>
      </c>
      <c r="L651" s="22">
        <v>0</v>
      </c>
      <c r="M651" s="19" t="s">
        <v>318</v>
      </c>
      <c r="N651" s="19" t="s">
        <v>87</v>
      </c>
      <c r="O651" s="19" t="s">
        <v>98</v>
      </c>
      <c r="P651" s="22">
        <v>2</v>
      </c>
      <c r="Q651" s="39" t="s">
        <v>259</v>
      </c>
    </row>
    <row r="652" spans="1:17" ht="14.4">
      <c r="A652" s="13">
        <v>594</v>
      </c>
      <c r="B652" s="14" t="s">
        <v>395</v>
      </c>
      <c r="C652" s="34">
        <v>45526</v>
      </c>
      <c r="D652" s="17">
        <v>3</v>
      </c>
      <c r="E652" s="17">
        <v>0</v>
      </c>
      <c r="F652" s="17">
        <v>0</v>
      </c>
      <c r="G652" s="17">
        <v>0</v>
      </c>
      <c r="H652" s="35"/>
      <c r="I652" s="17">
        <v>0</v>
      </c>
      <c r="J652" s="17">
        <v>0</v>
      </c>
      <c r="K652" s="17">
        <v>0</v>
      </c>
      <c r="L652" s="17">
        <v>0</v>
      </c>
      <c r="M652" s="14" t="s">
        <v>318</v>
      </c>
      <c r="N652" s="14" t="s">
        <v>87</v>
      </c>
      <c r="O652" s="14" t="s">
        <v>89</v>
      </c>
      <c r="P652" s="17">
        <v>3</v>
      </c>
      <c r="Q652" s="36" t="s">
        <v>259</v>
      </c>
    </row>
    <row r="653" spans="1:17" ht="14.4">
      <c r="A653" s="26">
        <v>594</v>
      </c>
      <c r="B653" s="19" t="s">
        <v>395</v>
      </c>
      <c r="C653" s="37">
        <v>45526</v>
      </c>
      <c r="D653" s="22">
        <v>0</v>
      </c>
      <c r="E653" s="22">
        <v>0</v>
      </c>
      <c r="F653" s="22">
        <v>0</v>
      </c>
      <c r="G653" s="22">
        <v>0</v>
      </c>
      <c r="H653" s="38"/>
      <c r="I653" s="22">
        <v>1</v>
      </c>
      <c r="J653" s="22">
        <v>0</v>
      </c>
      <c r="K653" s="22">
        <v>0</v>
      </c>
      <c r="L653" s="22">
        <v>0</v>
      </c>
      <c r="M653" s="19" t="s">
        <v>318</v>
      </c>
      <c r="N653" s="19" t="s">
        <v>87</v>
      </c>
      <c r="O653" s="19" t="s">
        <v>89</v>
      </c>
      <c r="P653" s="19"/>
      <c r="Q653" s="39" t="s">
        <v>260</v>
      </c>
    </row>
    <row r="654" spans="1:17" ht="14.4">
      <c r="A654" s="13">
        <v>594</v>
      </c>
      <c r="B654" s="14" t="s">
        <v>395</v>
      </c>
      <c r="C654" s="34">
        <v>45526</v>
      </c>
      <c r="D654" s="17">
        <v>2</v>
      </c>
      <c r="E654" s="17">
        <v>0</v>
      </c>
      <c r="F654" s="17">
        <v>0</v>
      </c>
      <c r="G654" s="17">
        <v>0</v>
      </c>
      <c r="H654" s="35"/>
      <c r="I654" s="17">
        <v>0</v>
      </c>
      <c r="J654" s="17">
        <v>0</v>
      </c>
      <c r="K654" s="17">
        <v>0</v>
      </c>
      <c r="L654" s="17">
        <v>0</v>
      </c>
      <c r="M654" s="14" t="s">
        <v>318</v>
      </c>
      <c r="N654" s="14" t="s">
        <v>87</v>
      </c>
      <c r="O654" s="14" t="s">
        <v>86</v>
      </c>
      <c r="P654" s="17">
        <v>1</v>
      </c>
      <c r="Q654" s="36" t="s">
        <v>259</v>
      </c>
    </row>
    <row r="655" spans="1:17" ht="14.4">
      <c r="A655" s="26">
        <v>594</v>
      </c>
      <c r="B655" s="19" t="s">
        <v>395</v>
      </c>
      <c r="C655" s="37">
        <v>45526</v>
      </c>
      <c r="D655" s="22">
        <v>0</v>
      </c>
      <c r="E655" s="22">
        <v>0</v>
      </c>
      <c r="F655" s="22">
        <v>0</v>
      </c>
      <c r="G655" s="22">
        <v>0</v>
      </c>
      <c r="H655" s="38"/>
      <c r="I655" s="22">
        <v>1</v>
      </c>
      <c r="J655" s="22">
        <v>0</v>
      </c>
      <c r="K655" s="22">
        <v>0</v>
      </c>
      <c r="L655" s="22">
        <v>0</v>
      </c>
      <c r="M655" s="19" t="s">
        <v>318</v>
      </c>
      <c r="N655" s="19" t="s">
        <v>87</v>
      </c>
      <c r="O655" s="19" t="s">
        <v>86</v>
      </c>
      <c r="P655" s="19"/>
      <c r="Q655" s="39" t="s">
        <v>260</v>
      </c>
    </row>
    <row r="656" spans="1:17" ht="14.4">
      <c r="A656" s="13">
        <v>594</v>
      </c>
      <c r="B656" s="14" t="s">
        <v>395</v>
      </c>
      <c r="C656" s="34">
        <v>45526</v>
      </c>
      <c r="D656" s="17">
        <v>1</v>
      </c>
      <c r="E656" s="17">
        <v>0</v>
      </c>
      <c r="F656" s="17">
        <v>0</v>
      </c>
      <c r="G656" s="17">
        <v>0</v>
      </c>
      <c r="H656" s="35"/>
      <c r="I656" s="17">
        <v>0</v>
      </c>
      <c r="J656" s="17">
        <v>0</v>
      </c>
      <c r="K656" s="17">
        <v>0</v>
      </c>
      <c r="L656" s="17">
        <v>0</v>
      </c>
      <c r="M656" s="14" t="s">
        <v>318</v>
      </c>
      <c r="N656" s="14" t="s">
        <v>87</v>
      </c>
      <c r="O656" s="14" t="s">
        <v>59</v>
      </c>
      <c r="P656" s="17">
        <v>1</v>
      </c>
      <c r="Q656" s="36" t="s">
        <v>259</v>
      </c>
    </row>
    <row r="657" spans="1:17" ht="14.4">
      <c r="A657" s="26">
        <v>112</v>
      </c>
      <c r="B657" s="19" t="s">
        <v>396</v>
      </c>
      <c r="C657" s="37">
        <v>45526</v>
      </c>
      <c r="D657" s="22">
        <v>1</v>
      </c>
      <c r="E657" s="22">
        <v>0</v>
      </c>
      <c r="F657" s="22">
        <v>0</v>
      </c>
      <c r="G657" s="22">
        <v>0</v>
      </c>
      <c r="H657" s="38"/>
      <c r="I657" s="22">
        <v>0</v>
      </c>
      <c r="J657" s="22">
        <v>0</v>
      </c>
      <c r="K657" s="22">
        <v>0</v>
      </c>
      <c r="L657" s="22">
        <v>0</v>
      </c>
      <c r="M657" s="19" t="s">
        <v>100</v>
      </c>
      <c r="N657" s="19" t="s">
        <v>91</v>
      </c>
      <c r="O657" s="19" t="s">
        <v>44</v>
      </c>
      <c r="P657" s="19"/>
      <c r="Q657" s="39" t="s">
        <v>259</v>
      </c>
    </row>
    <row r="658" spans="1:17" ht="14.4">
      <c r="A658" s="13">
        <v>112</v>
      </c>
      <c r="B658" s="14" t="s">
        <v>396</v>
      </c>
      <c r="C658" s="34">
        <v>45526</v>
      </c>
      <c r="D658" s="17">
        <v>0</v>
      </c>
      <c r="E658" s="17">
        <v>0</v>
      </c>
      <c r="F658" s="17">
        <v>0</v>
      </c>
      <c r="G658" s="17">
        <v>0</v>
      </c>
      <c r="H658" s="35"/>
      <c r="I658" s="17">
        <v>0</v>
      </c>
      <c r="J658" s="17">
        <v>1</v>
      </c>
      <c r="K658" s="17">
        <v>0</v>
      </c>
      <c r="L658" s="17">
        <v>0</v>
      </c>
      <c r="M658" s="14" t="s">
        <v>100</v>
      </c>
      <c r="N658" s="14" t="s">
        <v>91</v>
      </c>
      <c r="O658" s="14" t="s">
        <v>44</v>
      </c>
      <c r="P658" s="14"/>
      <c r="Q658" s="36" t="s">
        <v>263</v>
      </c>
    </row>
    <row r="659" spans="1:17" ht="14.4">
      <c r="A659" s="26">
        <v>112</v>
      </c>
      <c r="B659" s="19" t="s">
        <v>396</v>
      </c>
      <c r="C659" s="37">
        <v>45526</v>
      </c>
      <c r="D659" s="22">
        <v>0</v>
      </c>
      <c r="E659" s="22">
        <v>0</v>
      </c>
      <c r="F659" s="22">
        <v>0</v>
      </c>
      <c r="G659" s="22">
        <v>0</v>
      </c>
      <c r="H659" s="38"/>
      <c r="I659" s="22">
        <v>1</v>
      </c>
      <c r="J659" s="22">
        <v>0</v>
      </c>
      <c r="K659" s="22">
        <v>0</v>
      </c>
      <c r="L659" s="22">
        <v>0</v>
      </c>
      <c r="M659" s="19" t="s">
        <v>100</v>
      </c>
      <c r="N659" s="19" t="s">
        <v>91</v>
      </c>
      <c r="O659" s="19" t="s">
        <v>90</v>
      </c>
      <c r="P659" s="19"/>
      <c r="Q659" s="39" t="s">
        <v>260</v>
      </c>
    </row>
    <row r="660" spans="1:17" ht="14.4">
      <c r="A660" s="13">
        <v>112</v>
      </c>
      <c r="B660" s="14" t="s">
        <v>396</v>
      </c>
      <c r="C660" s="34">
        <v>45526</v>
      </c>
      <c r="D660" s="17">
        <v>1</v>
      </c>
      <c r="E660" s="17">
        <v>0</v>
      </c>
      <c r="F660" s="17">
        <v>0</v>
      </c>
      <c r="G660" s="17">
        <v>0</v>
      </c>
      <c r="H660" s="35"/>
      <c r="I660" s="17">
        <v>0</v>
      </c>
      <c r="J660" s="17">
        <v>0</v>
      </c>
      <c r="K660" s="17">
        <v>0</v>
      </c>
      <c r="L660" s="17">
        <v>0</v>
      </c>
      <c r="M660" s="14" t="s">
        <v>100</v>
      </c>
      <c r="N660" s="14" t="s">
        <v>87</v>
      </c>
      <c r="O660" s="14" t="s">
        <v>43</v>
      </c>
      <c r="P660" s="17">
        <v>1</v>
      </c>
      <c r="Q660" s="36" t="s">
        <v>259</v>
      </c>
    </row>
    <row r="661" spans="1:17" ht="14.4">
      <c r="A661" s="26">
        <v>112</v>
      </c>
      <c r="B661" s="19" t="s">
        <v>396</v>
      </c>
      <c r="C661" s="37">
        <v>45526</v>
      </c>
      <c r="D661" s="22">
        <v>0</v>
      </c>
      <c r="E661" s="22">
        <v>0</v>
      </c>
      <c r="F661" s="22">
        <v>0</v>
      </c>
      <c r="G661" s="22">
        <v>0</v>
      </c>
      <c r="H661" s="38"/>
      <c r="I661" s="22">
        <v>0</v>
      </c>
      <c r="J661" s="22">
        <v>1</v>
      </c>
      <c r="K661" s="22">
        <v>0</v>
      </c>
      <c r="L661" s="22">
        <v>0</v>
      </c>
      <c r="M661" s="19" t="s">
        <v>100</v>
      </c>
      <c r="N661" s="19" t="s">
        <v>87</v>
      </c>
      <c r="O661" s="19" t="s">
        <v>43</v>
      </c>
      <c r="P661" s="19"/>
      <c r="Q661" s="39" t="s">
        <v>263</v>
      </c>
    </row>
    <row r="662" spans="1:17" ht="14.4">
      <c r="A662" s="13">
        <v>112</v>
      </c>
      <c r="B662" s="14" t="s">
        <v>396</v>
      </c>
      <c r="C662" s="34">
        <v>45526</v>
      </c>
      <c r="D662" s="17">
        <v>0</v>
      </c>
      <c r="E662" s="17">
        <v>0</v>
      </c>
      <c r="F662" s="17">
        <v>0</v>
      </c>
      <c r="G662" s="17">
        <v>0</v>
      </c>
      <c r="H662" s="35"/>
      <c r="I662" s="17">
        <v>0</v>
      </c>
      <c r="J662" s="17">
        <v>1</v>
      </c>
      <c r="K662" s="17">
        <v>0</v>
      </c>
      <c r="L662" s="17">
        <v>0</v>
      </c>
      <c r="M662" s="14" t="s">
        <v>100</v>
      </c>
      <c r="N662" s="14" t="s">
        <v>87</v>
      </c>
      <c r="O662" s="14" t="s">
        <v>60</v>
      </c>
      <c r="P662" s="14"/>
      <c r="Q662" s="36" t="s">
        <v>263</v>
      </c>
    </row>
    <row r="663" spans="1:17" ht="14.4">
      <c r="A663" s="26">
        <v>112</v>
      </c>
      <c r="B663" s="19" t="s">
        <v>396</v>
      </c>
      <c r="C663" s="37">
        <v>45526</v>
      </c>
      <c r="D663" s="22">
        <v>0</v>
      </c>
      <c r="E663" s="22">
        <v>0</v>
      </c>
      <c r="F663" s="22">
        <v>0</v>
      </c>
      <c r="G663" s="22">
        <v>0</v>
      </c>
      <c r="H663" s="38"/>
      <c r="I663" s="22">
        <v>0</v>
      </c>
      <c r="J663" s="22">
        <v>1</v>
      </c>
      <c r="K663" s="22">
        <v>1</v>
      </c>
      <c r="L663" s="22">
        <v>0</v>
      </c>
      <c r="M663" s="19" t="s">
        <v>100</v>
      </c>
      <c r="N663" s="19" t="s">
        <v>87</v>
      </c>
      <c r="O663" s="19" t="s">
        <v>51</v>
      </c>
      <c r="P663" s="19"/>
      <c r="Q663" s="39" t="s">
        <v>263</v>
      </c>
    </row>
    <row r="664" spans="1:17" ht="14.4">
      <c r="A664" s="13">
        <v>112</v>
      </c>
      <c r="B664" s="14" t="s">
        <v>396</v>
      </c>
      <c r="C664" s="34">
        <v>45526</v>
      </c>
      <c r="D664" s="17">
        <v>2</v>
      </c>
      <c r="E664" s="17">
        <v>0</v>
      </c>
      <c r="F664" s="17">
        <v>0</v>
      </c>
      <c r="G664" s="17">
        <v>0</v>
      </c>
      <c r="H664" s="35"/>
      <c r="I664" s="17">
        <v>0</v>
      </c>
      <c r="J664" s="17">
        <v>0</v>
      </c>
      <c r="K664" s="17">
        <v>0</v>
      </c>
      <c r="L664" s="17">
        <v>0</v>
      </c>
      <c r="M664" s="14" t="s">
        <v>100</v>
      </c>
      <c r="N664" s="14" t="s">
        <v>87</v>
      </c>
      <c r="O664" s="14" t="s">
        <v>59</v>
      </c>
      <c r="P664" s="14"/>
      <c r="Q664" s="36" t="s">
        <v>259</v>
      </c>
    </row>
    <row r="665" spans="1:17" ht="14.4">
      <c r="A665" s="26">
        <v>267</v>
      </c>
      <c r="B665" s="19" t="s">
        <v>397</v>
      </c>
      <c r="C665" s="37">
        <v>45526</v>
      </c>
      <c r="D665" s="22">
        <v>0</v>
      </c>
      <c r="E665" s="22">
        <v>0</v>
      </c>
      <c r="F665" s="22">
        <v>0</v>
      </c>
      <c r="G665" s="22">
        <v>1</v>
      </c>
      <c r="H665" s="38"/>
      <c r="I665" s="22">
        <v>0</v>
      </c>
      <c r="J665" s="22">
        <v>0</v>
      </c>
      <c r="K665" s="22">
        <v>0</v>
      </c>
      <c r="L665" s="22">
        <v>0</v>
      </c>
      <c r="M665" s="19" t="s">
        <v>100</v>
      </c>
      <c r="N665" s="19" t="s">
        <v>87</v>
      </c>
      <c r="O665" s="19" t="s">
        <v>89</v>
      </c>
      <c r="P665" s="19"/>
      <c r="Q665" s="39" t="s">
        <v>262</v>
      </c>
    </row>
    <row r="666" spans="1:17" ht="14.4">
      <c r="A666" s="13">
        <v>267</v>
      </c>
      <c r="B666" s="14" t="s">
        <v>397</v>
      </c>
      <c r="C666" s="34">
        <v>45526</v>
      </c>
      <c r="D666" s="17">
        <v>0</v>
      </c>
      <c r="E666" s="17">
        <v>0</v>
      </c>
      <c r="F666" s="17">
        <v>0</v>
      </c>
      <c r="G666" s="17">
        <v>0</v>
      </c>
      <c r="H666" s="35"/>
      <c r="I666" s="17">
        <v>0</v>
      </c>
      <c r="J666" s="17">
        <v>0</v>
      </c>
      <c r="K666" s="17">
        <v>3</v>
      </c>
      <c r="L666" s="17">
        <v>0</v>
      </c>
      <c r="M666" s="14" t="s">
        <v>100</v>
      </c>
      <c r="N666" s="14" t="s">
        <v>87</v>
      </c>
      <c r="O666" s="14" t="s">
        <v>57</v>
      </c>
      <c r="P666" s="14"/>
      <c r="Q666" s="36" t="s">
        <v>263</v>
      </c>
    </row>
    <row r="667" spans="1:17" ht="14.4">
      <c r="A667" s="26">
        <v>329</v>
      </c>
      <c r="B667" s="19" t="s">
        <v>398</v>
      </c>
      <c r="C667" s="37">
        <v>45526</v>
      </c>
      <c r="D667" s="22">
        <v>0</v>
      </c>
      <c r="E667" s="22">
        <v>1</v>
      </c>
      <c r="F667" s="22">
        <v>0</v>
      </c>
      <c r="G667" s="22">
        <v>0</v>
      </c>
      <c r="H667" s="21" t="s">
        <v>329</v>
      </c>
      <c r="I667" s="22">
        <v>0</v>
      </c>
      <c r="J667" s="22">
        <v>0</v>
      </c>
      <c r="K667" s="22">
        <v>0</v>
      </c>
      <c r="L667" s="22">
        <v>0</v>
      </c>
      <c r="M667" s="19" t="s">
        <v>100</v>
      </c>
      <c r="N667" s="19" t="s">
        <v>91</v>
      </c>
      <c r="O667" s="19" t="s">
        <v>44</v>
      </c>
      <c r="P667" s="19"/>
      <c r="Q667" s="39" t="s">
        <v>262</v>
      </c>
    </row>
    <row r="668" spans="1:17" ht="14.4">
      <c r="A668" s="13">
        <v>329</v>
      </c>
      <c r="B668" s="14" t="s">
        <v>398</v>
      </c>
      <c r="C668" s="34">
        <v>45526</v>
      </c>
      <c r="D668" s="17">
        <v>1</v>
      </c>
      <c r="E668" s="17">
        <v>0</v>
      </c>
      <c r="F668" s="17">
        <v>0</v>
      </c>
      <c r="G668" s="17">
        <v>0</v>
      </c>
      <c r="H668" s="35"/>
      <c r="I668" s="17">
        <v>0</v>
      </c>
      <c r="J668" s="17">
        <v>0</v>
      </c>
      <c r="K668" s="17">
        <v>0</v>
      </c>
      <c r="L668" s="17">
        <v>0</v>
      </c>
      <c r="M668" s="14" t="s">
        <v>100</v>
      </c>
      <c r="N668" s="14" t="s">
        <v>91</v>
      </c>
      <c r="O668" s="14" t="s">
        <v>47</v>
      </c>
      <c r="P668" s="14"/>
      <c r="Q668" s="36" t="s">
        <v>259</v>
      </c>
    </row>
    <row r="669" spans="1:17" ht="14.4">
      <c r="A669" s="26">
        <v>329</v>
      </c>
      <c r="B669" s="19" t="s">
        <v>398</v>
      </c>
      <c r="C669" s="37">
        <v>45526</v>
      </c>
      <c r="D669" s="22">
        <v>3</v>
      </c>
      <c r="E669" s="22">
        <v>0</v>
      </c>
      <c r="F669" s="22">
        <v>0</v>
      </c>
      <c r="G669" s="22">
        <v>0</v>
      </c>
      <c r="H669" s="38"/>
      <c r="I669" s="22">
        <v>0</v>
      </c>
      <c r="J669" s="22">
        <v>0</v>
      </c>
      <c r="K669" s="22">
        <v>0</v>
      </c>
      <c r="L669" s="22">
        <v>0</v>
      </c>
      <c r="M669" s="19" t="s">
        <v>100</v>
      </c>
      <c r="N669" s="19" t="s">
        <v>87</v>
      </c>
      <c r="O669" s="19" t="s">
        <v>89</v>
      </c>
      <c r="P669" s="22">
        <v>2</v>
      </c>
      <c r="Q669" s="39" t="s">
        <v>259</v>
      </c>
    </row>
    <row r="670" spans="1:17" ht="14.4">
      <c r="A670" s="13">
        <v>329</v>
      </c>
      <c r="B670" s="14" t="s">
        <v>398</v>
      </c>
      <c r="C670" s="34">
        <v>45526</v>
      </c>
      <c r="D670" s="17">
        <v>0</v>
      </c>
      <c r="E670" s="17">
        <v>0</v>
      </c>
      <c r="F670" s="17">
        <v>0</v>
      </c>
      <c r="G670" s="17">
        <v>0</v>
      </c>
      <c r="H670" s="35"/>
      <c r="I670" s="17">
        <v>1</v>
      </c>
      <c r="J670" s="17">
        <v>0</v>
      </c>
      <c r="K670" s="17">
        <v>0</v>
      </c>
      <c r="L670" s="17">
        <v>0</v>
      </c>
      <c r="M670" s="14" t="s">
        <v>100</v>
      </c>
      <c r="N670" s="14" t="s">
        <v>87</v>
      </c>
      <c r="O670" s="14" t="s">
        <v>89</v>
      </c>
      <c r="P670" s="14"/>
      <c r="Q670" s="36" t="s">
        <v>260</v>
      </c>
    </row>
    <row r="671" spans="1:17" ht="14.4">
      <c r="A671" s="26">
        <v>317</v>
      </c>
      <c r="B671" s="19" t="s">
        <v>399</v>
      </c>
      <c r="C671" s="37">
        <v>45526</v>
      </c>
      <c r="D671" s="22">
        <v>1</v>
      </c>
      <c r="E671" s="22">
        <v>0</v>
      </c>
      <c r="F671" s="22">
        <v>0</v>
      </c>
      <c r="G671" s="22">
        <v>0</v>
      </c>
      <c r="H671" s="38"/>
      <c r="I671" s="22">
        <v>0</v>
      </c>
      <c r="J671" s="22">
        <v>0</v>
      </c>
      <c r="K671" s="22">
        <v>0</v>
      </c>
      <c r="L671" s="22">
        <v>0</v>
      </c>
      <c r="M671" s="19" t="s">
        <v>100</v>
      </c>
      <c r="N671" s="19" t="s">
        <v>87</v>
      </c>
      <c r="O671" s="19" t="s">
        <v>59</v>
      </c>
      <c r="P671" s="22">
        <v>1</v>
      </c>
      <c r="Q671" s="39" t="s">
        <v>259</v>
      </c>
    </row>
    <row r="672" spans="1:17" ht="14.4">
      <c r="A672" s="13">
        <v>317</v>
      </c>
      <c r="B672" s="14" t="s">
        <v>399</v>
      </c>
      <c r="C672" s="34">
        <v>45526</v>
      </c>
      <c r="D672" s="17">
        <v>0</v>
      </c>
      <c r="E672" s="17">
        <v>0</v>
      </c>
      <c r="F672" s="17">
        <v>0</v>
      </c>
      <c r="G672" s="17">
        <v>0</v>
      </c>
      <c r="H672" s="35"/>
      <c r="I672" s="17">
        <v>0</v>
      </c>
      <c r="J672" s="17">
        <v>0</v>
      </c>
      <c r="K672" s="17">
        <v>1</v>
      </c>
      <c r="L672" s="17">
        <v>0</v>
      </c>
      <c r="M672" s="14" t="s">
        <v>100</v>
      </c>
      <c r="N672" s="14" t="s">
        <v>87</v>
      </c>
      <c r="O672" s="14" t="s">
        <v>59</v>
      </c>
      <c r="P672" s="14"/>
      <c r="Q672" s="36" t="s">
        <v>263</v>
      </c>
    </row>
    <row r="673" spans="1:17" ht="14.4">
      <c r="A673" s="26">
        <v>510</v>
      </c>
      <c r="B673" s="19" t="s">
        <v>400</v>
      </c>
      <c r="C673" s="37">
        <v>45526</v>
      </c>
      <c r="D673" s="22">
        <v>0</v>
      </c>
      <c r="E673" s="22">
        <v>0</v>
      </c>
      <c r="F673" s="22">
        <v>0</v>
      </c>
      <c r="G673" s="22">
        <v>0</v>
      </c>
      <c r="H673" s="38"/>
      <c r="I673" s="22">
        <v>0</v>
      </c>
      <c r="J673" s="22">
        <v>0</v>
      </c>
      <c r="K673" s="22">
        <v>0</v>
      </c>
      <c r="L673" s="22">
        <v>1</v>
      </c>
      <c r="M673" s="19" t="s">
        <v>290</v>
      </c>
      <c r="N673" s="19" t="s">
        <v>91</v>
      </c>
      <c r="O673" s="19" t="s">
        <v>44</v>
      </c>
      <c r="P673" s="19"/>
      <c r="Q673" s="39" t="s">
        <v>284</v>
      </c>
    </row>
    <row r="674" spans="1:17" ht="14.4">
      <c r="A674" s="13">
        <v>510</v>
      </c>
      <c r="B674" s="14" t="s">
        <v>400</v>
      </c>
      <c r="C674" s="34">
        <v>45526</v>
      </c>
      <c r="D674" s="17">
        <v>0</v>
      </c>
      <c r="E674" s="17">
        <v>0</v>
      </c>
      <c r="F674" s="17">
        <v>0</v>
      </c>
      <c r="G674" s="17">
        <v>0</v>
      </c>
      <c r="H674" s="35"/>
      <c r="I674" s="17">
        <v>1</v>
      </c>
      <c r="J674" s="17">
        <v>0</v>
      </c>
      <c r="K674" s="17">
        <v>0</v>
      </c>
      <c r="L674" s="17">
        <v>0</v>
      </c>
      <c r="M674" s="14" t="s">
        <v>290</v>
      </c>
      <c r="N674" s="14" t="s">
        <v>91</v>
      </c>
      <c r="O674" s="14" t="s">
        <v>47</v>
      </c>
      <c r="P674" s="14"/>
      <c r="Q674" s="36" t="s">
        <v>260</v>
      </c>
    </row>
    <row r="675" spans="1:17" ht="14.4">
      <c r="A675" s="26">
        <v>510</v>
      </c>
      <c r="B675" s="19" t="s">
        <v>400</v>
      </c>
      <c r="C675" s="37">
        <v>45526</v>
      </c>
      <c r="D675" s="22">
        <v>0</v>
      </c>
      <c r="E675" s="22">
        <v>0</v>
      </c>
      <c r="F675" s="22">
        <v>0</v>
      </c>
      <c r="G675" s="22">
        <v>0</v>
      </c>
      <c r="H675" s="38"/>
      <c r="I675" s="22">
        <v>0</v>
      </c>
      <c r="J675" s="22">
        <v>1</v>
      </c>
      <c r="K675" s="22">
        <v>0</v>
      </c>
      <c r="L675" s="22">
        <v>0</v>
      </c>
      <c r="M675" s="19" t="s">
        <v>290</v>
      </c>
      <c r="N675" s="19" t="s">
        <v>91</v>
      </c>
      <c r="O675" s="19" t="s">
        <v>47</v>
      </c>
      <c r="P675" s="19"/>
      <c r="Q675" s="39" t="s">
        <v>263</v>
      </c>
    </row>
    <row r="676" spans="1:17" ht="14.4">
      <c r="A676" s="13">
        <v>510</v>
      </c>
      <c r="B676" s="14" t="s">
        <v>400</v>
      </c>
      <c r="C676" s="34">
        <v>45526</v>
      </c>
      <c r="D676" s="17">
        <v>1</v>
      </c>
      <c r="E676" s="17">
        <v>0</v>
      </c>
      <c r="F676" s="17">
        <v>0</v>
      </c>
      <c r="G676" s="17">
        <v>0</v>
      </c>
      <c r="H676" s="35"/>
      <c r="I676" s="17">
        <v>0</v>
      </c>
      <c r="J676" s="17">
        <v>0</v>
      </c>
      <c r="K676" s="17">
        <v>0</v>
      </c>
      <c r="L676" s="17">
        <v>0</v>
      </c>
      <c r="M676" s="14" t="s">
        <v>290</v>
      </c>
      <c r="N676" s="14" t="s">
        <v>87</v>
      </c>
      <c r="O676" s="14" t="s">
        <v>43</v>
      </c>
      <c r="P676" s="14"/>
      <c r="Q676" s="36" t="s">
        <v>259</v>
      </c>
    </row>
    <row r="677" spans="1:17" ht="14.4">
      <c r="A677" s="26">
        <v>510</v>
      </c>
      <c r="B677" s="19" t="s">
        <v>400</v>
      </c>
      <c r="C677" s="37">
        <v>45526</v>
      </c>
      <c r="D677" s="22">
        <v>0</v>
      </c>
      <c r="E677" s="22">
        <v>0</v>
      </c>
      <c r="F677" s="22">
        <v>0</v>
      </c>
      <c r="G677" s="22">
        <v>0</v>
      </c>
      <c r="H677" s="38"/>
      <c r="I677" s="22">
        <v>0</v>
      </c>
      <c r="J677" s="22">
        <v>2</v>
      </c>
      <c r="K677" s="22">
        <v>1</v>
      </c>
      <c r="L677" s="22">
        <v>0</v>
      </c>
      <c r="M677" s="19" t="s">
        <v>290</v>
      </c>
      <c r="N677" s="19" t="s">
        <v>87</v>
      </c>
      <c r="O677" s="19" t="s">
        <v>43</v>
      </c>
      <c r="P677" s="19"/>
      <c r="Q677" s="39" t="s">
        <v>263</v>
      </c>
    </row>
    <row r="678" spans="1:17" ht="14.4">
      <c r="A678" s="13">
        <v>510</v>
      </c>
      <c r="B678" s="14" t="s">
        <v>400</v>
      </c>
      <c r="C678" s="34">
        <v>45526</v>
      </c>
      <c r="D678" s="17">
        <v>0</v>
      </c>
      <c r="E678" s="17">
        <v>0</v>
      </c>
      <c r="F678" s="17">
        <v>0</v>
      </c>
      <c r="G678" s="17">
        <v>0</v>
      </c>
      <c r="H678" s="35"/>
      <c r="I678" s="17">
        <v>0</v>
      </c>
      <c r="J678" s="17">
        <v>0</v>
      </c>
      <c r="K678" s="17">
        <v>1</v>
      </c>
      <c r="L678" s="17">
        <v>0</v>
      </c>
      <c r="M678" s="14" t="s">
        <v>290</v>
      </c>
      <c r="N678" s="14" t="s">
        <v>87</v>
      </c>
      <c r="O678" s="14" t="s">
        <v>51</v>
      </c>
      <c r="P678" s="14"/>
      <c r="Q678" s="36" t="s">
        <v>263</v>
      </c>
    </row>
    <row r="679" spans="1:17" ht="14.4">
      <c r="A679" s="26">
        <v>510</v>
      </c>
      <c r="B679" s="19" t="s">
        <v>400</v>
      </c>
      <c r="C679" s="37">
        <v>45526</v>
      </c>
      <c r="D679" s="22">
        <v>1</v>
      </c>
      <c r="E679" s="22">
        <v>0</v>
      </c>
      <c r="F679" s="22">
        <v>0</v>
      </c>
      <c r="G679" s="22">
        <v>0</v>
      </c>
      <c r="H679" s="38"/>
      <c r="I679" s="22">
        <v>0</v>
      </c>
      <c r="J679" s="22">
        <v>0</v>
      </c>
      <c r="K679" s="22">
        <v>0</v>
      </c>
      <c r="L679" s="22">
        <v>0</v>
      </c>
      <c r="M679" s="19" t="s">
        <v>290</v>
      </c>
      <c r="N679" s="19" t="s">
        <v>87</v>
      </c>
      <c r="O679" s="19" t="s">
        <v>89</v>
      </c>
      <c r="P679" s="19"/>
      <c r="Q679" s="39" t="s">
        <v>259</v>
      </c>
    </row>
    <row r="680" spans="1:17" ht="14.4">
      <c r="A680" s="13">
        <v>510</v>
      </c>
      <c r="B680" s="14" t="s">
        <v>400</v>
      </c>
      <c r="C680" s="34">
        <v>45526</v>
      </c>
      <c r="D680" s="17">
        <v>1</v>
      </c>
      <c r="E680" s="17">
        <v>0</v>
      </c>
      <c r="F680" s="17">
        <v>0</v>
      </c>
      <c r="G680" s="17">
        <v>0</v>
      </c>
      <c r="H680" s="35"/>
      <c r="I680" s="17">
        <v>0</v>
      </c>
      <c r="J680" s="17">
        <v>0</v>
      </c>
      <c r="K680" s="17">
        <v>0</v>
      </c>
      <c r="L680" s="17">
        <v>0</v>
      </c>
      <c r="M680" s="14" t="s">
        <v>290</v>
      </c>
      <c r="N680" s="14" t="s">
        <v>87</v>
      </c>
      <c r="O680" s="14" t="s">
        <v>57</v>
      </c>
      <c r="P680" s="14"/>
      <c r="Q680" s="36" t="s">
        <v>259</v>
      </c>
    </row>
    <row r="681" spans="1:17" ht="14.4">
      <c r="A681" s="26">
        <v>510</v>
      </c>
      <c r="B681" s="19" t="s">
        <v>400</v>
      </c>
      <c r="C681" s="37">
        <v>45526</v>
      </c>
      <c r="D681" s="22">
        <v>0</v>
      </c>
      <c r="E681" s="22">
        <v>0</v>
      </c>
      <c r="F681" s="22">
        <v>0</v>
      </c>
      <c r="G681" s="22">
        <v>0</v>
      </c>
      <c r="H681" s="38"/>
      <c r="I681" s="22">
        <v>0</v>
      </c>
      <c r="J681" s="22">
        <v>1</v>
      </c>
      <c r="K681" s="22">
        <v>0</v>
      </c>
      <c r="L681" s="22">
        <v>0</v>
      </c>
      <c r="M681" s="19" t="s">
        <v>290</v>
      </c>
      <c r="N681" s="19" t="s">
        <v>87</v>
      </c>
      <c r="O681" s="19" t="s">
        <v>57</v>
      </c>
      <c r="P681" s="19"/>
      <c r="Q681" s="39" t="s">
        <v>263</v>
      </c>
    </row>
    <row r="682" spans="1:17" ht="14.4">
      <c r="A682" s="13">
        <v>510</v>
      </c>
      <c r="B682" s="14" t="s">
        <v>400</v>
      </c>
      <c r="C682" s="34">
        <v>45526</v>
      </c>
      <c r="D682" s="17">
        <v>2</v>
      </c>
      <c r="E682" s="17">
        <v>0</v>
      </c>
      <c r="F682" s="17">
        <v>0</v>
      </c>
      <c r="G682" s="17">
        <v>0</v>
      </c>
      <c r="H682" s="35"/>
      <c r="I682" s="17">
        <v>0</v>
      </c>
      <c r="J682" s="17">
        <v>0</v>
      </c>
      <c r="K682" s="17">
        <v>0</v>
      </c>
      <c r="L682" s="17">
        <v>0</v>
      </c>
      <c r="M682" s="14" t="s">
        <v>290</v>
      </c>
      <c r="N682" s="14" t="s">
        <v>87</v>
      </c>
      <c r="O682" s="14" t="s">
        <v>59</v>
      </c>
      <c r="P682" s="14"/>
      <c r="Q682" s="36" t="s">
        <v>259</v>
      </c>
    </row>
    <row r="683" spans="1:17" ht="14.4">
      <c r="A683" s="26">
        <v>518</v>
      </c>
      <c r="B683" s="19" t="s">
        <v>401</v>
      </c>
      <c r="C683" s="37">
        <v>45526</v>
      </c>
      <c r="D683" s="22">
        <v>1</v>
      </c>
      <c r="E683" s="22">
        <v>0</v>
      </c>
      <c r="F683" s="22">
        <v>0</v>
      </c>
      <c r="G683" s="22">
        <v>0</v>
      </c>
      <c r="H683" s="38"/>
      <c r="I683" s="22">
        <v>0</v>
      </c>
      <c r="J683" s="22">
        <v>0</v>
      </c>
      <c r="K683" s="22">
        <v>0</v>
      </c>
      <c r="L683" s="22">
        <v>0</v>
      </c>
      <c r="M683" s="19" t="s">
        <v>100</v>
      </c>
      <c r="N683" s="19" t="s">
        <v>87</v>
      </c>
      <c r="O683" s="19" t="s">
        <v>86</v>
      </c>
      <c r="P683" s="19"/>
      <c r="Q683" s="39" t="s">
        <v>259</v>
      </c>
    </row>
    <row r="684" spans="1:17" ht="14.4">
      <c r="A684" s="13">
        <v>518</v>
      </c>
      <c r="B684" s="14" t="s">
        <v>401</v>
      </c>
      <c r="C684" s="34">
        <v>45526</v>
      </c>
      <c r="D684" s="17">
        <v>1</v>
      </c>
      <c r="E684" s="17">
        <v>0</v>
      </c>
      <c r="F684" s="17">
        <v>0</v>
      </c>
      <c r="G684" s="17">
        <v>0</v>
      </c>
      <c r="H684" s="35"/>
      <c r="I684" s="17">
        <v>0</v>
      </c>
      <c r="J684" s="17">
        <v>0</v>
      </c>
      <c r="K684" s="17">
        <v>0</v>
      </c>
      <c r="L684" s="17">
        <v>0</v>
      </c>
      <c r="M684" s="14" t="s">
        <v>100</v>
      </c>
      <c r="N684" s="14" t="s">
        <v>87</v>
      </c>
      <c r="O684" s="14" t="s">
        <v>59</v>
      </c>
      <c r="P684" s="14"/>
      <c r="Q684" s="36" t="s">
        <v>259</v>
      </c>
    </row>
    <row r="685" spans="1:17" ht="14.4">
      <c r="A685" s="26">
        <v>640</v>
      </c>
      <c r="B685" s="19" t="s">
        <v>402</v>
      </c>
      <c r="C685" s="37">
        <v>45526</v>
      </c>
      <c r="D685" s="22">
        <v>2</v>
      </c>
      <c r="E685" s="22">
        <v>0</v>
      </c>
      <c r="F685" s="22">
        <v>0</v>
      </c>
      <c r="G685" s="22">
        <v>0</v>
      </c>
      <c r="H685" s="38"/>
      <c r="I685" s="22">
        <v>0</v>
      </c>
      <c r="J685" s="22">
        <v>0</v>
      </c>
      <c r="K685" s="22">
        <v>0</v>
      </c>
      <c r="L685" s="22">
        <v>0</v>
      </c>
      <c r="M685" s="19" t="s">
        <v>100</v>
      </c>
      <c r="N685" s="19" t="s">
        <v>87</v>
      </c>
      <c r="O685" s="19" t="s">
        <v>43</v>
      </c>
      <c r="P685" s="22">
        <v>1</v>
      </c>
      <c r="Q685" s="39" t="s">
        <v>259</v>
      </c>
    </row>
    <row r="686" spans="1:17" ht="14.4">
      <c r="A686" s="13">
        <v>640</v>
      </c>
      <c r="B686" s="14" t="s">
        <v>402</v>
      </c>
      <c r="C686" s="34">
        <v>45526</v>
      </c>
      <c r="D686" s="17">
        <v>0</v>
      </c>
      <c r="E686" s="17">
        <v>0</v>
      </c>
      <c r="F686" s="17">
        <v>0</v>
      </c>
      <c r="G686" s="17">
        <v>0</v>
      </c>
      <c r="H686" s="35"/>
      <c r="I686" s="17">
        <v>0</v>
      </c>
      <c r="J686" s="17">
        <v>2</v>
      </c>
      <c r="K686" s="17">
        <v>0</v>
      </c>
      <c r="L686" s="17">
        <v>0</v>
      </c>
      <c r="M686" s="14" t="s">
        <v>100</v>
      </c>
      <c r="N686" s="14" t="s">
        <v>87</v>
      </c>
      <c r="O686" s="14" t="s">
        <v>43</v>
      </c>
      <c r="P686" s="14"/>
      <c r="Q686" s="36" t="s">
        <v>263</v>
      </c>
    </row>
    <row r="687" spans="1:17" ht="14.4">
      <c r="A687" s="26">
        <v>643</v>
      </c>
      <c r="B687" s="19" t="s">
        <v>403</v>
      </c>
      <c r="C687" s="37">
        <v>45526</v>
      </c>
      <c r="D687" s="22">
        <v>0</v>
      </c>
      <c r="E687" s="22">
        <v>1</v>
      </c>
      <c r="F687" s="22">
        <v>0</v>
      </c>
      <c r="G687" s="22">
        <v>0</v>
      </c>
      <c r="H687" s="21" t="s">
        <v>272</v>
      </c>
      <c r="I687" s="22">
        <v>0</v>
      </c>
      <c r="J687" s="22">
        <v>0</v>
      </c>
      <c r="K687" s="22">
        <v>0</v>
      </c>
      <c r="L687" s="22">
        <v>0</v>
      </c>
      <c r="M687" s="19" t="s">
        <v>100</v>
      </c>
      <c r="N687" s="19" t="s">
        <v>87</v>
      </c>
      <c r="O687" s="19" t="s">
        <v>60</v>
      </c>
      <c r="P687" s="19"/>
      <c r="Q687" s="39" t="s">
        <v>262</v>
      </c>
    </row>
    <row r="688" spans="1:17" ht="14.4">
      <c r="A688" s="13">
        <v>643</v>
      </c>
      <c r="B688" s="14" t="s">
        <v>403</v>
      </c>
      <c r="C688" s="34">
        <v>45526</v>
      </c>
      <c r="D688" s="17">
        <v>0</v>
      </c>
      <c r="E688" s="17">
        <v>0</v>
      </c>
      <c r="F688" s="17">
        <v>0</v>
      </c>
      <c r="G688" s="17">
        <v>0</v>
      </c>
      <c r="H688" s="35"/>
      <c r="I688" s="17">
        <v>0</v>
      </c>
      <c r="J688" s="17">
        <v>0</v>
      </c>
      <c r="K688" s="17">
        <v>1</v>
      </c>
      <c r="L688" s="17">
        <v>0</v>
      </c>
      <c r="M688" s="14" t="s">
        <v>100</v>
      </c>
      <c r="N688" s="14" t="s">
        <v>87</v>
      </c>
      <c r="O688" s="14" t="s">
        <v>60</v>
      </c>
      <c r="P688" s="14"/>
      <c r="Q688" s="36" t="s">
        <v>263</v>
      </c>
    </row>
    <row r="689" spans="1:17" ht="14.4">
      <c r="A689" s="26">
        <v>643</v>
      </c>
      <c r="B689" s="19" t="s">
        <v>403</v>
      </c>
      <c r="C689" s="37">
        <v>45526</v>
      </c>
      <c r="D689" s="22">
        <v>2</v>
      </c>
      <c r="E689" s="22">
        <v>0</v>
      </c>
      <c r="F689" s="22">
        <v>0</v>
      </c>
      <c r="G689" s="22">
        <v>0</v>
      </c>
      <c r="H689" s="38"/>
      <c r="I689" s="22">
        <v>0</v>
      </c>
      <c r="J689" s="22">
        <v>0</v>
      </c>
      <c r="K689" s="22">
        <v>0</v>
      </c>
      <c r="L689" s="22">
        <v>0</v>
      </c>
      <c r="M689" s="19" t="s">
        <v>100</v>
      </c>
      <c r="N689" s="19" t="s">
        <v>87</v>
      </c>
      <c r="O689" s="19" t="s">
        <v>86</v>
      </c>
      <c r="P689" s="19"/>
      <c r="Q689" s="39" t="s">
        <v>259</v>
      </c>
    </row>
    <row r="690" spans="1:17" ht="14.4">
      <c r="A690" s="13">
        <v>512</v>
      </c>
      <c r="B690" s="14" t="s">
        <v>404</v>
      </c>
      <c r="C690" s="34">
        <v>45526</v>
      </c>
      <c r="D690" s="17">
        <v>0</v>
      </c>
      <c r="E690" s="17">
        <v>0</v>
      </c>
      <c r="F690" s="17">
        <v>0</v>
      </c>
      <c r="G690" s="17">
        <v>0</v>
      </c>
      <c r="H690" s="35"/>
      <c r="I690" s="17">
        <v>1</v>
      </c>
      <c r="J690" s="17">
        <v>0</v>
      </c>
      <c r="K690" s="17">
        <v>0</v>
      </c>
      <c r="L690" s="17">
        <v>0</v>
      </c>
      <c r="M690" s="14" t="s">
        <v>290</v>
      </c>
      <c r="N690" s="14" t="s">
        <v>91</v>
      </c>
      <c r="O690" s="14" t="s">
        <v>38</v>
      </c>
      <c r="P690" s="14"/>
      <c r="Q690" s="36" t="s">
        <v>260</v>
      </c>
    </row>
    <row r="691" spans="1:17" ht="14.4">
      <c r="A691" s="26">
        <v>512</v>
      </c>
      <c r="B691" s="19" t="s">
        <v>404</v>
      </c>
      <c r="C691" s="37">
        <v>45526</v>
      </c>
      <c r="D691" s="22">
        <v>0</v>
      </c>
      <c r="E691" s="22">
        <v>1</v>
      </c>
      <c r="F691" s="22">
        <v>0</v>
      </c>
      <c r="G691" s="22">
        <v>0</v>
      </c>
      <c r="H691" s="21" t="s">
        <v>275</v>
      </c>
      <c r="I691" s="22">
        <v>0</v>
      </c>
      <c r="J691" s="22">
        <v>0</v>
      </c>
      <c r="K691" s="22">
        <v>0</v>
      </c>
      <c r="L691" s="22">
        <v>0</v>
      </c>
      <c r="M691" s="19" t="s">
        <v>290</v>
      </c>
      <c r="N691" s="19" t="s">
        <v>91</v>
      </c>
      <c r="O691" s="19" t="s">
        <v>47</v>
      </c>
      <c r="P691" s="19"/>
      <c r="Q691" s="39" t="s">
        <v>262</v>
      </c>
    </row>
    <row r="692" spans="1:17" ht="14.4">
      <c r="A692" s="13">
        <v>512</v>
      </c>
      <c r="B692" s="14" t="s">
        <v>404</v>
      </c>
      <c r="C692" s="34">
        <v>45526</v>
      </c>
      <c r="D692" s="17">
        <v>0</v>
      </c>
      <c r="E692" s="17">
        <v>0</v>
      </c>
      <c r="F692" s="17">
        <v>0</v>
      </c>
      <c r="G692" s="17">
        <v>0</v>
      </c>
      <c r="H692" s="35"/>
      <c r="I692" s="17">
        <v>0</v>
      </c>
      <c r="J692" s="17">
        <v>0</v>
      </c>
      <c r="K692" s="17">
        <v>1</v>
      </c>
      <c r="L692" s="17">
        <v>0</v>
      </c>
      <c r="M692" s="14" t="s">
        <v>290</v>
      </c>
      <c r="N692" s="14" t="s">
        <v>91</v>
      </c>
      <c r="O692" s="14" t="s">
        <v>47</v>
      </c>
      <c r="P692" s="14"/>
      <c r="Q692" s="36" t="s">
        <v>263</v>
      </c>
    </row>
    <row r="693" spans="1:17" ht="14.4">
      <c r="A693" s="26">
        <v>512</v>
      </c>
      <c r="B693" s="19" t="s">
        <v>404</v>
      </c>
      <c r="C693" s="37">
        <v>45526</v>
      </c>
      <c r="D693" s="22">
        <v>0</v>
      </c>
      <c r="E693" s="22">
        <v>1</v>
      </c>
      <c r="F693" s="22">
        <v>0</v>
      </c>
      <c r="G693" s="22">
        <v>0</v>
      </c>
      <c r="H693" s="21" t="s">
        <v>272</v>
      </c>
      <c r="I693" s="22">
        <v>0</v>
      </c>
      <c r="J693" s="22">
        <v>0</v>
      </c>
      <c r="K693" s="22">
        <v>0</v>
      </c>
      <c r="L693" s="22">
        <v>0</v>
      </c>
      <c r="M693" s="19" t="s">
        <v>290</v>
      </c>
      <c r="N693" s="19" t="s">
        <v>91</v>
      </c>
      <c r="O693" s="19" t="s">
        <v>90</v>
      </c>
      <c r="P693" s="19"/>
      <c r="Q693" s="39" t="s">
        <v>262</v>
      </c>
    </row>
    <row r="694" spans="1:17" ht="14.4">
      <c r="A694" s="13">
        <v>512</v>
      </c>
      <c r="B694" s="14" t="s">
        <v>404</v>
      </c>
      <c r="C694" s="34">
        <v>45526</v>
      </c>
      <c r="D694" s="17">
        <v>0</v>
      </c>
      <c r="E694" s="17">
        <v>1</v>
      </c>
      <c r="F694" s="17">
        <v>0</v>
      </c>
      <c r="G694" s="17">
        <v>0</v>
      </c>
      <c r="H694" s="16" t="s">
        <v>405</v>
      </c>
      <c r="I694" s="17">
        <v>0</v>
      </c>
      <c r="J694" s="17">
        <v>0</v>
      </c>
      <c r="K694" s="17">
        <v>0</v>
      </c>
      <c r="L694" s="17">
        <v>0</v>
      </c>
      <c r="M694" s="14" t="s">
        <v>290</v>
      </c>
      <c r="N694" s="14" t="s">
        <v>87</v>
      </c>
      <c r="O694" s="14" t="s">
        <v>43</v>
      </c>
      <c r="P694" s="14"/>
      <c r="Q694" s="36" t="s">
        <v>262</v>
      </c>
    </row>
    <row r="695" spans="1:17" ht="14.4">
      <c r="A695" s="26">
        <v>512</v>
      </c>
      <c r="B695" s="19" t="s">
        <v>404</v>
      </c>
      <c r="C695" s="37">
        <v>45526</v>
      </c>
      <c r="D695" s="22">
        <v>0</v>
      </c>
      <c r="E695" s="22">
        <v>0</v>
      </c>
      <c r="F695" s="22">
        <v>0</v>
      </c>
      <c r="G695" s="22">
        <v>0</v>
      </c>
      <c r="H695" s="38"/>
      <c r="I695" s="22">
        <v>0</v>
      </c>
      <c r="J695" s="22">
        <v>0</v>
      </c>
      <c r="K695" s="22">
        <v>1</v>
      </c>
      <c r="L695" s="22">
        <v>0</v>
      </c>
      <c r="M695" s="19" t="s">
        <v>290</v>
      </c>
      <c r="N695" s="19" t="s">
        <v>87</v>
      </c>
      <c r="O695" s="19" t="s">
        <v>43</v>
      </c>
      <c r="P695" s="19"/>
      <c r="Q695" s="39" t="s">
        <v>263</v>
      </c>
    </row>
    <row r="696" spans="1:17" ht="14.4">
      <c r="A696" s="13">
        <v>512</v>
      </c>
      <c r="B696" s="14" t="s">
        <v>404</v>
      </c>
      <c r="C696" s="34">
        <v>45526</v>
      </c>
      <c r="D696" s="17">
        <v>0</v>
      </c>
      <c r="E696" s="17">
        <v>1</v>
      </c>
      <c r="F696" s="17">
        <v>0</v>
      </c>
      <c r="G696" s="17">
        <v>0</v>
      </c>
      <c r="H696" s="16" t="s">
        <v>261</v>
      </c>
      <c r="I696" s="17">
        <v>0</v>
      </c>
      <c r="J696" s="17">
        <v>0</v>
      </c>
      <c r="K696" s="17">
        <v>0</v>
      </c>
      <c r="L696" s="17">
        <v>0</v>
      </c>
      <c r="M696" s="14" t="s">
        <v>290</v>
      </c>
      <c r="N696" s="14" t="s">
        <v>87</v>
      </c>
      <c r="O696" s="14" t="s">
        <v>46</v>
      </c>
      <c r="P696" s="14"/>
      <c r="Q696" s="36" t="s">
        <v>262</v>
      </c>
    </row>
    <row r="697" spans="1:17" ht="14.4">
      <c r="A697" s="26">
        <v>512</v>
      </c>
      <c r="B697" s="19" t="s">
        <v>404</v>
      </c>
      <c r="C697" s="37">
        <v>45526</v>
      </c>
      <c r="D697" s="22">
        <v>0</v>
      </c>
      <c r="E697" s="22">
        <v>1</v>
      </c>
      <c r="F697" s="22">
        <v>0</v>
      </c>
      <c r="G697" s="22">
        <v>0</v>
      </c>
      <c r="H697" s="21" t="s">
        <v>275</v>
      </c>
      <c r="I697" s="22">
        <v>0</v>
      </c>
      <c r="J697" s="22">
        <v>0</v>
      </c>
      <c r="K697" s="22">
        <v>0</v>
      </c>
      <c r="L697" s="22">
        <v>0</v>
      </c>
      <c r="M697" s="19" t="s">
        <v>290</v>
      </c>
      <c r="N697" s="19" t="s">
        <v>87</v>
      </c>
      <c r="O697" s="19" t="s">
        <v>60</v>
      </c>
      <c r="P697" s="19"/>
      <c r="Q697" s="39" t="s">
        <v>262</v>
      </c>
    </row>
    <row r="698" spans="1:17" ht="14.4">
      <c r="A698" s="13">
        <v>512</v>
      </c>
      <c r="B698" s="14" t="s">
        <v>404</v>
      </c>
      <c r="C698" s="34">
        <v>45526</v>
      </c>
      <c r="D698" s="17">
        <v>0</v>
      </c>
      <c r="E698" s="17">
        <v>0</v>
      </c>
      <c r="F698" s="17">
        <v>0</v>
      </c>
      <c r="G698" s="17">
        <v>0</v>
      </c>
      <c r="H698" s="35"/>
      <c r="I698" s="17">
        <v>0</v>
      </c>
      <c r="J698" s="17">
        <v>0</v>
      </c>
      <c r="K698" s="17">
        <v>3</v>
      </c>
      <c r="L698" s="17">
        <v>0</v>
      </c>
      <c r="M698" s="14" t="s">
        <v>290</v>
      </c>
      <c r="N698" s="14" t="s">
        <v>87</v>
      </c>
      <c r="O698" s="14" t="s">
        <v>60</v>
      </c>
      <c r="P698" s="14"/>
      <c r="Q698" s="36" t="s">
        <v>263</v>
      </c>
    </row>
    <row r="699" spans="1:17" ht="14.4">
      <c r="A699" s="26">
        <v>512</v>
      </c>
      <c r="B699" s="19" t="s">
        <v>404</v>
      </c>
      <c r="C699" s="37">
        <v>45526</v>
      </c>
      <c r="D699" s="22">
        <v>0</v>
      </c>
      <c r="E699" s="22">
        <v>0</v>
      </c>
      <c r="F699" s="22">
        <v>0</v>
      </c>
      <c r="G699" s="22">
        <v>0</v>
      </c>
      <c r="H699" s="38"/>
      <c r="I699" s="22">
        <v>0</v>
      </c>
      <c r="J699" s="22">
        <v>0</v>
      </c>
      <c r="K699" s="22">
        <v>2</v>
      </c>
      <c r="L699" s="22">
        <v>0</v>
      </c>
      <c r="M699" s="19" t="s">
        <v>290</v>
      </c>
      <c r="N699" s="19" t="s">
        <v>87</v>
      </c>
      <c r="O699" s="19" t="s">
        <v>51</v>
      </c>
      <c r="P699" s="19"/>
      <c r="Q699" s="39" t="s">
        <v>263</v>
      </c>
    </row>
    <row r="700" spans="1:17" ht="14.4">
      <c r="A700" s="13">
        <v>512</v>
      </c>
      <c r="B700" s="14" t="s">
        <v>404</v>
      </c>
      <c r="C700" s="34">
        <v>45526</v>
      </c>
      <c r="D700" s="17">
        <v>0</v>
      </c>
      <c r="E700" s="17">
        <v>1</v>
      </c>
      <c r="F700" s="17">
        <v>0</v>
      </c>
      <c r="G700" s="17">
        <v>0</v>
      </c>
      <c r="H700" s="16" t="s">
        <v>275</v>
      </c>
      <c r="I700" s="17">
        <v>0</v>
      </c>
      <c r="J700" s="17">
        <v>0</v>
      </c>
      <c r="K700" s="17">
        <v>0</v>
      </c>
      <c r="L700" s="17">
        <v>0</v>
      </c>
      <c r="M700" s="14" t="s">
        <v>290</v>
      </c>
      <c r="N700" s="14" t="s">
        <v>87</v>
      </c>
      <c r="O700" s="14" t="s">
        <v>89</v>
      </c>
      <c r="P700" s="14"/>
      <c r="Q700" s="36" t="s">
        <v>262</v>
      </c>
    </row>
    <row r="701" spans="1:17" ht="14.4">
      <c r="A701" s="26">
        <v>512</v>
      </c>
      <c r="B701" s="19" t="s">
        <v>404</v>
      </c>
      <c r="C701" s="37">
        <v>45526</v>
      </c>
      <c r="D701" s="22">
        <v>1</v>
      </c>
      <c r="E701" s="22">
        <v>0</v>
      </c>
      <c r="F701" s="22">
        <v>0</v>
      </c>
      <c r="G701" s="22">
        <v>0</v>
      </c>
      <c r="H701" s="38"/>
      <c r="I701" s="22">
        <v>0</v>
      </c>
      <c r="J701" s="22">
        <v>0</v>
      </c>
      <c r="K701" s="22">
        <v>0</v>
      </c>
      <c r="L701" s="22">
        <v>0</v>
      </c>
      <c r="M701" s="19" t="s">
        <v>290</v>
      </c>
      <c r="N701" s="19" t="s">
        <v>87</v>
      </c>
      <c r="O701" s="19" t="s">
        <v>89</v>
      </c>
      <c r="P701" s="22">
        <v>1</v>
      </c>
      <c r="Q701" s="39" t="s">
        <v>259</v>
      </c>
    </row>
    <row r="702" spans="1:17" ht="14.4">
      <c r="A702" s="13">
        <v>512</v>
      </c>
      <c r="B702" s="14" t="s">
        <v>404</v>
      </c>
      <c r="C702" s="34">
        <v>45526</v>
      </c>
      <c r="D702" s="17">
        <v>0</v>
      </c>
      <c r="E702" s="17">
        <v>0</v>
      </c>
      <c r="F702" s="17">
        <v>0</v>
      </c>
      <c r="G702" s="17">
        <v>0</v>
      </c>
      <c r="H702" s="35"/>
      <c r="I702" s="17">
        <v>1</v>
      </c>
      <c r="J702" s="17">
        <v>0</v>
      </c>
      <c r="K702" s="17">
        <v>0</v>
      </c>
      <c r="L702" s="17">
        <v>0</v>
      </c>
      <c r="M702" s="14" t="s">
        <v>290</v>
      </c>
      <c r="N702" s="14" t="s">
        <v>87</v>
      </c>
      <c r="O702" s="14" t="s">
        <v>89</v>
      </c>
      <c r="P702" s="14"/>
      <c r="Q702" s="36" t="s">
        <v>260</v>
      </c>
    </row>
    <row r="703" spans="1:17" ht="14.4">
      <c r="A703" s="26">
        <v>512</v>
      </c>
      <c r="B703" s="19" t="s">
        <v>404</v>
      </c>
      <c r="C703" s="37">
        <v>45526</v>
      </c>
      <c r="D703" s="22">
        <v>0</v>
      </c>
      <c r="E703" s="22">
        <v>0</v>
      </c>
      <c r="F703" s="22">
        <v>0</v>
      </c>
      <c r="G703" s="22">
        <v>0</v>
      </c>
      <c r="H703" s="38"/>
      <c r="I703" s="22">
        <v>0</v>
      </c>
      <c r="J703" s="22">
        <v>1</v>
      </c>
      <c r="K703" s="22">
        <v>2</v>
      </c>
      <c r="L703" s="22">
        <v>0</v>
      </c>
      <c r="M703" s="19" t="s">
        <v>290</v>
      </c>
      <c r="N703" s="19" t="s">
        <v>87</v>
      </c>
      <c r="O703" s="19" t="s">
        <v>89</v>
      </c>
      <c r="P703" s="19"/>
      <c r="Q703" s="39" t="s">
        <v>263</v>
      </c>
    </row>
    <row r="704" spans="1:17" ht="14.4">
      <c r="A704" s="13">
        <v>512</v>
      </c>
      <c r="B704" s="14" t="s">
        <v>404</v>
      </c>
      <c r="C704" s="34">
        <v>45526</v>
      </c>
      <c r="D704" s="17">
        <v>3</v>
      </c>
      <c r="E704" s="17">
        <v>0</v>
      </c>
      <c r="F704" s="17">
        <v>0</v>
      </c>
      <c r="G704" s="17">
        <v>0</v>
      </c>
      <c r="H704" s="35"/>
      <c r="I704" s="17">
        <v>0</v>
      </c>
      <c r="J704" s="17">
        <v>0</v>
      </c>
      <c r="K704" s="17">
        <v>0</v>
      </c>
      <c r="L704" s="17">
        <v>0</v>
      </c>
      <c r="M704" s="14" t="s">
        <v>290</v>
      </c>
      <c r="N704" s="14" t="s">
        <v>87</v>
      </c>
      <c r="O704" s="14" t="s">
        <v>57</v>
      </c>
      <c r="P704" s="17">
        <v>1</v>
      </c>
      <c r="Q704" s="36" t="s">
        <v>259</v>
      </c>
    </row>
    <row r="705" spans="1:17" ht="14.4">
      <c r="A705" s="26">
        <v>512</v>
      </c>
      <c r="B705" s="19" t="s">
        <v>404</v>
      </c>
      <c r="C705" s="37">
        <v>45526</v>
      </c>
      <c r="D705" s="22">
        <v>0</v>
      </c>
      <c r="E705" s="22">
        <v>0</v>
      </c>
      <c r="F705" s="22">
        <v>0</v>
      </c>
      <c r="G705" s="22">
        <v>0</v>
      </c>
      <c r="H705" s="38"/>
      <c r="I705" s="22">
        <v>0</v>
      </c>
      <c r="J705" s="22">
        <v>1</v>
      </c>
      <c r="K705" s="22">
        <v>0</v>
      </c>
      <c r="L705" s="22">
        <v>0</v>
      </c>
      <c r="M705" s="19" t="s">
        <v>290</v>
      </c>
      <c r="N705" s="19" t="s">
        <v>87</v>
      </c>
      <c r="O705" s="19" t="s">
        <v>57</v>
      </c>
      <c r="P705" s="19"/>
      <c r="Q705" s="39" t="s">
        <v>263</v>
      </c>
    </row>
    <row r="706" spans="1:17" ht="14.4">
      <c r="A706" s="13">
        <v>512</v>
      </c>
      <c r="B706" s="14" t="s">
        <v>404</v>
      </c>
      <c r="C706" s="34">
        <v>45526</v>
      </c>
      <c r="D706" s="17">
        <v>4</v>
      </c>
      <c r="E706" s="17">
        <v>0</v>
      </c>
      <c r="F706" s="17">
        <v>0</v>
      </c>
      <c r="G706" s="17">
        <v>0</v>
      </c>
      <c r="H706" s="35"/>
      <c r="I706" s="17">
        <v>0</v>
      </c>
      <c r="J706" s="17">
        <v>0</v>
      </c>
      <c r="K706" s="17">
        <v>0</v>
      </c>
      <c r="L706" s="17">
        <v>0</v>
      </c>
      <c r="M706" s="14" t="s">
        <v>290</v>
      </c>
      <c r="N706" s="14" t="s">
        <v>87</v>
      </c>
      <c r="O706" s="14" t="s">
        <v>86</v>
      </c>
      <c r="P706" s="14"/>
      <c r="Q706" s="36" t="s">
        <v>259</v>
      </c>
    </row>
    <row r="707" spans="1:17" ht="14.4">
      <c r="A707" s="26">
        <v>512</v>
      </c>
      <c r="B707" s="19" t="s">
        <v>404</v>
      </c>
      <c r="C707" s="37">
        <v>45526</v>
      </c>
      <c r="D707" s="22">
        <v>0</v>
      </c>
      <c r="E707" s="22">
        <v>0</v>
      </c>
      <c r="F707" s="22">
        <v>0</v>
      </c>
      <c r="G707" s="22">
        <v>0</v>
      </c>
      <c r="H707" s="38"/>
      <c r="I707" s="22">
        <v>0</v>
      </c>
      <c r="J707" s="22">
        <v>1</v>
      </c>
      <c r="K707" s="22">
        <v>0</v>
      </c>
      <c r="L707" s="22">
        <v>0</v>
      </c>
      <c r="M707" s="19" t="s">
        <v>290</v>
      </c>
      <c r="N707" s="19" t="s">
        <v>87</v>
      </c>
      <c r="O707" s="19" t="s">
        <v>86</v>
      </c>
      <c r="P707" s="19"/>
      <c r="Q707" s="39" t="s">
        <v>263</v>
      </c>
    </row>
    <row r="708" spans="1:17" ht="14.4">
      <c r="A708" s="13">
        <v>512</v>
      </c>
      <c r="B708" s="14" t="s">
        <v>404</v>
      </c>
      <c r="C708" s="34">
        <v>45526</v>
      </c>
      <c r="D708" s="17">
        <v>0</v>
      </c>
      <c r="E708" s="17">
        <v>0</v>
      </c>
      <c r="F708" s="17">
        <v>0</v>
      </c>
      <c r="G708" s="17">
        <v>0</v>
      </c>
      <c r="H708" s="35"/>
      <c r="I708" s="17">
        <v>0</v>
      </c>
      <c r="J708" s="17">
        <v>4</v>
      </c>
      <c r="K708" s="17">
        <v>1</v>
      </c>
      <c r="L708" s="17">
        <v>0</v>
      </c>
      <c r="M708" s="14" t="s">
        <v>290</v>
      </c>
      <c r="N708" s="14" t="s">
        <v>87</v>
      </c>
      <c r="O708" s="14" t="s">
        <v>59</v>
      </c>
      <c r="P708" s="14"/>
      <c r="Q708" s="36" t="s">
        <v>263</v>
      </c>
    </row>
    <row r="709" spans="1:17" ht="14.4">
      <c r="A709" s="26">
        <v>513</v>
      </c>
      <c r="B709" s="19" t="s">
        <v>406</v>
      </c>
      <c r="C709" s="37">
        <v>45526</v>
      </c>
      <c r="D709" s="22">
        <v>2</v>
      </c>
      <c r="E709" s="22">
        <v>0</v>
      </c>
      <c r="F709" s="22">
        <v>0</v>
      </c>
      <c r="G709" s="22">
        <v>0</v>
      </c>
      <c r="H709" s="38"/>
      <c r="I709" s="22">
        <v>0</v>
      </c>
      <c r="J709" s="22">
        <v>0</v>
      </c>
      <c r="K709" s="22">
        <v>0</v>
      </c>
      <c r="L709" s="22">
        <v>0</v>
      </c>
      <c r="M709" s="19" t="s">
        <v>100</v>
      </c>
      <c r="N709" s="19" t="s">
        <v>87</v>
      </c>
      <c r="O709" s="19" t="s">
        <v>59</v>
      </c>
      <c r="P709" s="22">
        <v>2</v>
      </c>
      <c r="Q709" s="39" t="s">
        <v>259</v>
      </c>
    </row>
    <row r="710" spans="1:17" ht="14.4">
      <c r="A710" s="13">
        <v>513</v>
      </c>
      <c r="B710" s="14" t="s">
        <v>406</v>
      </c>
      <c r="C710" s="34">
        <v>45526</v>
      </c>
      <c r="D710" s="17">
        <v>0</v>
      </c>
      <c r="E710" s="17">
        <v>0</v>
      </c>
      <c r="F710" s="17">
        <v>0</v>
      </c>
      <c r="G710" s="17">
        <v>0</v>
      </c>
      <c r="H710" s="35"/>
      <c r="I710" s="17">
        <v>0</v>
      </c>
      <c r="J710" s="17">
        <v>1</v>
      </c>
      <c r="K710" s="17">
        <v>0</v>
      </c>
      <c r="L710" s="17">
        <v>0</v>
      </c>
      <c r="M710" s="14" t="s">
        <v>100</v>
      </c>
      <c r="N710" s="14" t="s">
        <v>87</v>
      </c>
      <c r="O710" s="14" t="s">
        <v>59</v>
      </c>
      <c r="P710" s="14"/>
      <c r="Q710" s="36" t="s">
        <v>263</v>
      </c>
    </row>
    <row r="711" spans="1:17" ht="14.4">
      <c r="A711" s="26">
        <v>333</v>
      </c>
      <c r="B711" s="19" t="s">
        <v>407</v>
      </c>
      <c r="C711" s="37">
        <v>45526</v>
      </c>
      <c r="D711" s="22">
        <v>2</v>
      </c>
      <c r="E711" s="22">
        <v>0</v>
      </c>
      <c r="F711" s="22">
        <v>0</v>
      </c>
      <c r="G711" s="22">
        <v>0</v>
      </c>
      <c r="H711" s="38"/>
      <c r="I711" s="22">
        <v>0</v>
      </c>
      <c r="J711" s="22">
        <v>0</v>
      </c>
      <c r="K711" s="22">
        <v>0</v>
      </c>
      <c r="L711" s="22">
        <v>0</v>
      </c>
      <c r="M711" s="19" t="s">
        <v>100</v>
      </c>
      <c r="N711" s="19" t="s">
        <v>91</v>
      </c>
      <c r="O711" s="19" t="s">
        <v>44</v>
      </c>
      <c r="P711" s="22">
        <v>1</v>
      </c>
      <c r="Q711" s="39" t="s">
        <v>259</v>
      </c>
    </row>
    <row r="712" spans="1:17" ht="14.4">
      <c r="A712" s="13">
        <v>333</v>
      </c>
      <c r="B712" s="14" t="s">
        <v>407</v>
      </c>
      <c r="C712" s="34">
        <v>45526</v>
      </c>
      <c r="D712" s="17">
        <v>0</v>
      </c>
      <c r="E712" s="17">
        <v>0</v>
      </c>
      <c r="F712" s="17">
        <v>0</v>
      </c>
      <c r="G712" s="17">
        <v>0</v>
      </c>
      <c r="H712" s="35"/>
      <c r="I712" s="17">
        <v>1</v>
      </c>
      <c r="J712" s="17">
        <v>0</v>
      </c>
      <c r="K712" s="17">
        <v>0</v>
      </c>
      <c r="L712" s="17">
        <v>0</v>
      </c>
      <c r="M712" s="14" t="s">
        <v>100</v>
      </c>
      <c r="N712" s="14" t="s">
        <v>91</v>
      </c>
      <c r="O712" s="14" t="s">
        <v>44</v>
      </c>
      <c r="P712" s="14"/>
      <c r="Q712" s="36" t="s">
        <v>260</v>
      </c>
    </row>
    <row r="713" spans="1:17" ht="14.4">
      <c r="A713" s="26">
        <v>333</v>
      </c>
      <c r="B713" s="19" t="s">
        <v>407</v>
      </c>
      <c r="C713" s="37">
        <v>45526</v>
      </c>
      <c r="D713" s="22">
        <v>0</v>
      </c>
      <c r="E713" s="22">
        <v>0</v>
      </c>
      <c r="F713" s="22">
        <v>0</v>
      </c>
      <c r="G713" s="22">
        <v>0</v>
      </c>
      <c r="H713" s="38"/>
      <c r="I713" s="22">
        <v>0</v>
      </c>
      <c r="J713" s="22">
        <v>1</v>
      </c>
      <c r="K713" s="22">
        <v>0</v>
      </c>
      <c r="L713" s="22">
        <v>0</v>
      </c>
      <c r="M713" s="19" t="s">
        <v>100</v>
      </c>
      <c r="N713" s="19" t="s">
        <v>91</v>
      </c>
      <c r="O713" s="19" t="s">
        <v>106</v>
      </c>
      <c r="P713" s="19"/>
      <c r="Q713" s="39" t="s">
        <v>263</v>
      </c>
    </row>
    <row r="714" spans="1:17" ht="14.4">
      <c r="A714" s="13">
        <v>333</v>
      </c>
      <c r="B714" s="14" t="s">
        <v>407</v>
      </c>
      <c r="C714" s="34">
        <v>45526</v>
      </c>
      <c r="D714" s="17">
        <v>0</v>
      </c>
      <c r="E714" s="17">
        <v>1</v>
      </c>
      <c r="F714" s="17">
        <v>0</v>
      </c>
      <c r="G714" s="17">
        <v>0</v>
      </c>
      <c r="H714" s="16" t="s">
        <v>303</v>
      </c>
      <c r="I714" s="17">
        <v>0</v>
      </c>
      <c r="J714" s="17">
        <v>0</v>
      </c>
      <c r="K714" s="17">
        <v>0</v>
      </c>
      <c r="L714" s="17">
        <v>0</v>
      </c>
      <c r="M714" s="14" t="s">
        <v>100</v>
      </c>
      <c r="N714" s="14" t="s">
        <v>91</v>
      </c>
      <c r="O714" s="14" t="s">
        <v>90</v>
      </c>
      <c r="P714" s="14"/>
      <c r="Q714" s="36" t="s">
        <v>262</v>
      </c>
    </row>
    <row r="715" spans="1:17" ht="14.4">
      <c r="A715" s="26">
        <v>333</v>
      </c>
      <c r="B715" s="19" t="s">
        <v>407</v>
      </c>
      <c r="C715" s="37">
        <v>45526</v>
      </c>
      <c r="D715" s="22">
        <v>1</v>
      </c>
      <c r="E715" s="22">
        <v>0</v>
      </c>
      <c r="F715" s="22">
        <v>0</v>
      </c>
      <c r="G715" s="22">
        <v>0</v>
      </c>
      <c r="H715" s="38"/>
      <c r="I715" s="22">
        <v>0</v>
      </c>
      <c r="J715" s="22">
        <v>0</v>
      </c>
      <c r="K715" s="22">
        <v>0</v>
      </c>
      <c r="L715" s="22">
        <v>0</v>
      </c>
      <c r="M715" s="19" t="s">
        <v>100</v>
      </c>
      <c r="N715" s="19" t="s">
        <v>87</v>
      </c>
      <c r="O715" s="19" t="s">
        <v>43</v>
      </c>
      <c r="P715" s="22">
        <v>1</v>
      </c>
      <c r="Q715" s="39" t="s">
        <v>259</v>
      </c>
    </row>
    <row r="716" spans="1:17" ht="14.4">
      <c r="A716" s="13">
        <v>333</v>
      </c>
      <c r="B716" s="14" t="s">
        <v>407</v>
      </c>
      <c r="C716" s="34">
        <v>45526</v>
      </c>
      <c r="D716" s="17">
        <v>0</v>
      </c>
      <c r="E716" s="17">
        <v>0</v>
      </c>
      <c r="F716" s="17">
        <v>0</v>
      </c>
      <c r="G716" s="17">
        <v>0</v>
      </c>
      <c r="H716" s="35"/>
      <c r="I716" s="17">
        <v>0</v>
      </c>
      <c r="J716" s="17">
        <v>1</v>
      </c>
      <c r="K716" s="17">
        <v>0</v>
      </c>
      <c r="L716" s="17">
        <v>0</v>
      </c>
      <c r="M716" s="14" t="s">
        <v>100</v>
      </c>
      <c r="N716" s="14" t="s">
        <v>87</v>
      </c>
      <c r="O716" s="14" t="s">
        <v>43</v>
      </c>
      <c r="P716" s="14"/>
      <c r="Q716" s="36" t="s">
        <v>263</v>
      </c>
    </row>
    <row r="717" spans="1:17" ht="14.4">
      <c r="A717" s="26">
        <v>333</v>
      </c>
      <c r="B717" s="19" t="s">
        <v>407</v>
      </c>
      <c r="C717" s="37">
        <v>45526</v>
      </c>
      <c r="D717" s="22">
        <v>0</v>
      </c>
      <c r="E717" s="22">
        <v>1</v>
      </c>
      <c r="F717" s="22">
        <v>0</v>
      </c>
      <c r="G717" s="22">
        <v>0</v>
      </c>
      <c r="H717" s="21" t="s">
        <v>303</v>
      </c>
      <c r="I717" s="22">
        <v>0</v>
      </c>
      <c r="J717" s="22">
        <v>0</v>
      </c>
      <c r="K717" s="22">
        <v>0</v>
      </c>
      <c r="L717" s="22">
        <v>0</v>
      </c>
      <c r="M717" s="19" t="s">
        <v>100</v>
      </c>
      <c r="N717" s="19" t="s">
        <v>87</v>
      </c>
      <c r="O717" s="19" t="s">
        <v>46</v>
      </c>
      <c r="P717" s="19"/>
      <c r="Q717" s="39" t="s">
        <v>262</v>
      </c>
    </row>
    <row r="718" spans="1:17" ht="14.4">
      <c r="A718" s="13">
        <v>333</v>
      </c>
      <c r="B718" s="14" t="s">
        <v>407</v>
      </c>
      <c r="C718" s="34">
        <v>45526</v>
      </c>
      <c r="D718" s="17">
        <v>0</v>
      </c>
      <c r="E718" s="17">
        <v>1</v>
      </c>
      <c r="F718" s="17">
        <v>0</v>
      </c>
      <c r="G718" s="17">
        <v>0</v>
      </c>
      <c r="H718" s="16" t="s">
        <v>371</v>
      </c>
      <c r="I718" s="17">
        <v>0</v>
      </c>
      <c r="J718" s="17">
        <v>0</v>
      </c>
      <c r="K718" s="17">
        <v>0</v>
      </c>
      <c r="L718" s="17">
        <v>0</v>
      </c>
      <c r="M718" s="14" t="s">
        <v>100</v>
      </c>
      <c r="N718" s="14" t="s">
        <v>87</v>
      </c>
      <c r="O718" s="14" t="s">
        <v>60</v>
      </c>
      <c r="P718" s="14"/>
      <c r="Q718" s="36" t="s">
        <v>262</v>
      </c>
    </row>
    <row r="719" spans="1:17" ht="14.4">
      <c r="A719" s="26">
        <v>333</v>
      </c>
      <c r="B719" s="19" t="s">
        <v>407</v>
      </c>
      <c r="C719" s="37">
        <v>45526</v>
      </c>
      <c r="D719" s="22">
        <v>1</v>
      </c>
      <c r="E719" s="22">
        <v>0</v>
      </c>
      <c r="F719" s="22">
        <v>0</v>
      </c>
      <c r="G719" s="22">
        <v>0</v>
      </c>
      <c r="H719" s="38"/>
      <c r="I719" s="22">
        <v>0</v>
      </c>
      <c r="J719" s="22">
        <v>0</v>
      </c>
      <c r="K719" s="22">
        <v>0</v>
      </c>
      <c r="L719" s="22">
        <v>0</v>
      </c>
      <c r="M719" s="19" t="s">
        <v>100</v>
      </c>
      <c r="N719" s="19" t="s">
        <v>87</v>
      </c>
      <c r="O719" s="19" t="s">
        <v>89</v>
      </c>
      <c r="P719" s="19"/>
      <c r="Q719" s="39" t="s">
        <v>259</v>
      </c>
    </row>
    <row r="720" spans="1:17" ht="14.4">
      <c r="A720" s="13">
        <v>333</v>
      </c>
      <c r="B720" s="14" t="s">
        <v>407</v>
      </c>
      <c r="C720" s="34">
        <v>45526</v>
      </c>
      <c r="D720" s="17">
        <v>0</v>
      </c>
      <c r="E720" s="17">
        <v>0</v>
      </c>
      <c r="F720" s="17">
        <v>0</v>
      </c>
      <c r="G720" s="17">
        <v>0</v>
      </c>
      <c r="H720" s="35"/>
      <c r="I720" s="17">
        <v>0</v>
      </c>
      <c r="J720" s="17">
        <v>1</v>
      </c>
      <c r="K720" s="17">
        <v>0</v>
      </c>
      <c r="L720" s="17">
        <v>0</v>
      </c>
      <c r="M720" s="14" t="s">
        <v>100</v>
      </c>
      <c r="N720" s="14" t="s">
        <v>87</v>
      </c>
      <c r="O720" s="14" t="s">
        <v>89</v>
      </c>
      <c r="P720" s="14"/>
      <c r="Q720" s="36" t="s">
        <v>263</v>
      </c>
    </row>
    <row r="721" spans="1:17" ht="14.4">
      <c r="A721" s="26">
        <v>333</v>
      </c>
      <c r="B721" s="19" t="s">
        <v>407</v>
      </c>
      <c r="C721" s="37">
        <v>45526</v>
      </c>
      <c r="D721" s="22">
        <v>1</v>
      </c>
      <c r="E721" s="22">
        <v>0</v>
      </c>
      <c r="F721" s="22">
        <v>0</v>
      </c>
      <c r="G721" s="22">
        <v>0</v>
      </c>
      <c r="H721" s="38"/>
      <c r="I721" s="22">
        <v>0</v>
      </c>
      <c r="J721" s="22">
        <v>0</v>
      </c>
      <c r="K721" s="22">
        <v>0</v>
      </c>
      <c r="L721" s="22">
        <v>0</v>
      </c>
      <c r="M721" s="19" t="s">
        <v>100</v>
      </c>
      <c r="N721" s="19" t="s">
        <v>87</v>
      </c>
      <c r="O721" s="19" t="s">
        <v>86</v>
      </c>
      <c r="P721" s="22">
        <v>1</v>
      </c>
      <c r="Q721" s="39" t="s">
        <v>259</v>
      </c>
    </row>
    <row r="722" spans="1:17" ht="14.4">
      <c r="A722" s="13">
        <v>900</v>
      </c>
      <c r="B722" s="14" t="s">
        <v>408</v>
      </c>
      <c r="C722" s="34">
        <v>45526</v>
      </c>
      <c r="D722" s="17">
        <v>3</v>
      </c>
      <c r="E722" s="17">
        <v>0</v>
      </c>
      <c r="F722" s="17">
        <v>0</v>
      </c>
      <c r="G722" s="17">
        <v>0</v>
      </c>
      <c r="H722" s="35"/>
      <c r="I722" s="17">
        <v>0</v>
      </c>
      <c r="J722" s="17">
        <v>0</v>
      </c>
      <c r="K722" s="17">
        <v>0</v>
      </c>
      <c r="L722" s="17">
        <v>0</v>
      </c>
      <c r="M722" s="14" t="s">
        <v>100</v>
      </c>
      <c r="N722" s="14" t="s">
        <v>87</v>
      </c>
      <c r="O722" s="14" t="s">
        <v>57</v>
      </c>
      <c r="P722" s="17">
        <v>1</v>
      </c>
      <c r="Q722" s="36" t="s">
        <v>259</v>
      </c>
    </row>
    <row r="723" spans="1:17" ht="14.4">
      <c r="A723" s="26">
        <v>900</v>
      </c>
      <c r="B723" s="19" t="s">
        <v>408</v>
      </c>
      <c r="C723" s="37">
        <v>45526</v>
      </c>
      <c r="D723" s="22">
        <v>2</v>
      </c>
      <c r="E723" s="22">
        <v>0</v>
      </c>
      <c r="F723" s="22">
        <v>0</v>
      </c>
      <c r="G723" s="22">
        <v>0</v>
      </c>
      <c r="H723" s="38"/>
      <c r="I723" s="22">
        <v>0</v>
      </c>
      <c r="J723" s="22">
        <v>0</v>
      </c>
      <c r="K723" s="22">
        <v>0</v>
      </c>
      <c r="L723" s="22">
        <v>0</v>
      </c>
      <c r="M723" s="19" t="s">
        <v>100</v>
      </c>
      <c r="N723" s="19" t="s">
        <v>87</v>
      </c>
      <c r="O723" s="19" t="s">
        <v>86</v>
      </c>
      <c r="P723" s="22">
        <v>1</v>
      </c>
      <c r="Q723" s="39" t="s">
        <v>259</v>
      </c>
    </row>
    <row r="724" spans="1:17" ht="14.4">
      <c r="A724" s="13">
        <v>900</v>
      </c>
      <c r="B724" s="14" t="s">
        <v>408</v>
      </c>
      <c r="C724" s="34">
        <v>45526</v>
      </c>
      <c r="D724" s="17">
        <v>4</v>
      </c>
      <c r="E724" s="17">
        <v>0</v>
      </c>
      <c r="F724" s="17">
        <v>0</v>
      </c>
      <c r="G724" s="17">
        <v>0</v>
      </c>
      <c r="H724" s="35"/>
      <c r="I724" s="17">
        <v>0</v>
      </c>
      <c r="J724" s="17">
        <v>0</v>
      </c>
      <c r="K724" s="17">
        <v>0</v>
      </c>
      <c r="L724" s="17">
        <v>0</v>
      </c>
      <c r="M724" s="14" t="s">
        <v>100</v>
      </c>
      <c r="N724" s="14" t="s">
        <v>87</v>
      </c>
      <c r="O724" s="14" t="s">
        <v>59</v>
      </c>
      <c r="P724" s="17">
        <v>2</v>
      </c>
      <c r="Q724" s="36" t="s">
        <v>259</v>
      </c>
    </row>
    <row r="725" spans="1:17" ht="14.4">
      <c r="A725" s="26">
        <v>155</v>
      </c>
      <c r="B725" s="19" t="s">
        <v>409</v>
      </c>
      <c r="C725" s="37">
        <v>45526</v>
      </c>
      <c r="D725" s="22">
        <v>0</v>
      </c>
      <c r="E725" s="22">
        <v>0</v>
      </c>
      <c r="F725" s="22">
        <v>0</v>
      </c>
      <c r="G725" s="22">
        <v>0</v>
      </c>
      <c r="H725" s="38"/>
      <c r="I725" s="22">
        <v>0</v>
      </c>
      <c r="J725" s="22">
        <v>1</v>
      </c>
      <c r="K725" s="22">
        <v>1</v>
      </c>
      <c r="L725" s="22">
        <v>0</v>
      </c>
      <c r="M725" s="19" t="s">
        <v>100</v>
      </c>
      <c r="N725" s="19" t="s">
        <v>87</v>
      </c>
      <c r="O725" s="19" t="s">
        <v>46</v>
      </c>
      <c r="P725" s="19"/>
      <c r="Q725" s="39" t="s">
        <v>263</v>
      </c>
    </row>
    <row r="726" spans="1:17" ht="14.4">
      <c r="A726" s="13">
        <v>154</v>
      </c>
      <c r="B726" s="14" t="s">
        <v>410</v>
      </c>
      <c r="C726" s="34">
        <v>45526</v>
      </c>
      <c r="D726" s="17">
        <v>3</v>
      </c>
      <c r="E726" s="17">
        <v>0</v>
      </c>
      <c r="F726" s="17">
        <v>0</v>
      </c>
      <c r="G726" s="17">
        <v>0</v>
      </c>
      <c r="H726" s="35"/>
      <c r="I726" s="17">
        <v>0</v>
      </c>
      <c r="J726" s="17">
        <v>0</v>
      </c>
      <c r="K726" s="17">
        <v>0</v>
      </c>
      <c r="L726" s="17">
        <v>0</v>
      </c>
      <c r="M726" s="14" t="s">
        <v>100</v>
      </c>
      <c r="N726" s="14" t="s">
        <v>87</v>
      </c>
      <c r="O726" s="14" t="s">
        <v>60</v>
      </c>
      <c r="P726" s="17">
        <v>2</v>
      </c>
      <c r="Q726" s="36" t="s">
        <v>259</v>
      </c>
    </row>
    <row r="727" spans="1:17" ht="14.4">
      <c r="A727" s="26">
        <v>540</v>
      </c>
      <c r="B727" s="19" t="s">
        <v>411</v>
      </c>
      <c r="C727" s="37">
        <v>45526</v>
      </c>
      <c r="D727" s="22">
        <v>0</v>
      </c>
      <c r="E727" s="22">
        <v>0</v>
      </c>
      <c r="F727" s="22">
        <v>0</v>
      </c>
      <c r="G727" s="22">
        <v>0</v>
      </c>
      <c r="H727" s="38"/>
      <c r="I727" s="22">
        <v>1</v>
      </c>
      <c r="J727" s="22">
        <v>0</v>
      </c>
      <c r="K727" s="22">
        <v>0</v>
      </c>
      <c r="L727" s="22">
        <v>0</v>
      </c>
      <c r="M727" s="19" t="s">
        <v>100</v>
      </c>
      <c r="N727" s="19" t="s">
        <v>91</v>
      </c>
      <c r="O727" s="19" t="s">
        <v>44</v>
      </c>
      <c r="P727" s="19"/>
      <c r="Q727" s="39" t="s">
        <v>260</v>
      </c>
    </row>
    <row r="728" spans="1:17" ht="14.4">
      <c r="A728" s="13">
        <v>160</v>
      </c>
      <c r="B728" s="14" t="s">
        <v>412</v>
      </c>
      <c r="C728" s="34">
        <v>45526</v>
      </c>
      <c r="D728" s="17">
        <v>1</v>
      </c>
      <c r="E728" s="17">
        <v>0</v>
      </c>
      <c r="F728" s="17">
        <v>0</v>
      </c>
      <c r="G728" s="17">
        <v>0</v>
      </c>
      <c r="H728" s="35"/>
      <c r="I728" s="17">
        <v>0</v>
      </c>
      <c r="J728" s="17">
        <v>0</v>
      </c>
      <c r="K728" s="17">
        <v>0</v>
      </c>
      <c r="L728" s="17">
        <v>0</v>
      </c>
      <c r="M728" s="14" t="s">
        <v>100</v>
      </c>
      <c r="N728" s="14" t="s">
        <v>91</v>
      </c>
      <c r="O728" s="14" t="s">
        <v>38</v>
      </c>
      <c r="P728" s="17">
        <v>1</v>
      </c>
      <c r="Q728" s="36" t="s">
        <v>259</v>
      </c>
    </row>
    <row r="729" spans="1:17" ht="14.4">
      <c r="A729" s="26">
        <v>674</v>
      </c>
      <c r="B729" s="19" t="s">
        <v>413</v>
      </c>
      <c r="C729" s="37">
        <v>45526</v>
      </c>
      <c r="D729" s="22">
        <v>1</v>
      </c>
      <c r="E729" s="22">
        <v>0</v>
      </c>
      <c r="F729" s="22">
        <v>0</v>
      </c>
      <c r="G729" s="22">
        <v>0</v>
      </c>
      <c r="H729" s="38"/>
      <c r="I729" s="22">
        <v>0</v>
      </c>
      <c r="J729" s="22">
        <v>0</v>
      </c>
      <c r="K729" s="22">
        <v>0</v>
      </c>
      <c r="L729" s="22">
        <v>0</v>
      </c>
      <c r="M729" s="19" t="s">
        <v>100</v>
      </c>
      <c r="N729" s="19" t="s">
        <v>91</v>
      </c>
      <c r="O729" s="19" t="s">
        <v>90</v>
      </c>
      <c r="P729" s="22">
        <v>1</v>
      </c>
      <c r="Q729" s="39" t="s">
        <v>259</v>
      </c>
    </row>
    <row r="730" spans="1:17" ht="14.4">
      <c r="A730" s="13">
        <v>674</v>
      </c>
      <c r="B730" s="14" t="s">
        <v>413</v>
      </c>
      <c r="C730" s="34">
        <v>45526</v>
      </c>
      <c r="D730" s="17">
        <v>0</v>
      </c>
      <c r="E730" s="17">
        <v>0</v>
      </c>
      <c r="F730" s="17">
        <v>0</v>
      </c>
      <c r="G730" s="17">
        <v>0</v>
      </c>
      <c r="H730" s="35"/>
      <c r="I730" s="17">
        <v>1</v>
      </c>
      <c r="J730" s="17">
        <v>0</v>
      </c>
      <c r="K730" s="17">
        <v>0</v>
      </c>
      <c r="L730" s="17">
        <v>0</v>
      </c>
      <c r="M730" s="14" t="s">
        <v>100</v>
      </c>
      <c r="N730" s="14" t="s">
        <v>91</v>
      </c>
      <c r="O730" s="14" t="s">
        <v>90</v>
      </c>
      <c r="P730" s="14"/>
      <c r="Q730" s="36" t="s">
        <v>260</v>
      </c>
    </row>
    <row r="731" spans="1:17" ht="14.4">
      <c r="A731" s="26">
        <v>674</v>
      </c>
      <c r="B731" s="19" t="s">
        <v>413</v>
      </c>
      <c r="C731" s="37">
        <v>45526</v>
      </c>
      <c r="D731" s="22">
        <v>0</v>
      </c>
      <c r="E731" s="22">
        <v>0</v>
      </c>
      <c r="F731" s="22">
        <v>0</v>
      </c>
      <c r="G731" s="22">
        <v>0</v>
      </c>
      <c r="H731" s="38"/>
      <c r="I731" s="22">
        <v>0</v>
      </c>
      <c r="J731" s="22">
        <v>1</v>
      </c>
      <c r="K731" s="22">
        <v>0</v>
      </c>
      <c r="L731" s="22">
        <v>0</v>
      </c>
      <c r="M731" s="19" t="s">
        <v>100</v>
      </c>
      <c r="N731" s="19" t="s">
        <v>91</v>
      </c>
      <c r="O731" s="19" t="s">
        <v>90</v>
      </c>
      <c r="P731" s="19"/>
      <c r="Q731" s="39" t="s">
        <v>263</v>
      </c>
    </row>
    <row r="732" spans="1:17" ht="14.4">
      <c r="A732" s="13">
        <v>674</v>
      </c>
      <c r="B732" s="14" t="s">
        <v>413</v>
      </c>
      <c r="C732" s="34">
        <v>45526</v>
      </c>
      <c r="D732" s="17">
        <v>0</v>
      </c>
      <c r="E732" s="17">
        <v>2</v>
      </c>
      <c r="F732" s="17">
        <v>0</v>
      </c>
      <c r="G732" s="17">
        <v>0</v>
      </c>
      <c r="H732" s="16" t="s">
        <v>414</v>
      </c>
      <c r="I732" s="17">
        <v>0</v>
      </c>
      <c r="J732" s="17">
        <v>0</v>
      </c>
      <c r="K732" s="17">
        <v>0</v>
      </c>
      <c r="L732" s="17">
        <v>0</v>
      </c>
      <c r="M732" s="14" t="s">
        <v>100</v>
      </c>
      <c r="N732" s="14" t="s">
        <v>87</v>
      </c>
      <c r="O732" s="14" t="s">
        <v>89</v>
      </c>
      <c r="P732" s="14"/>
      <c r="Q732" s="36" t="s">
        <v>262</v>
      </c>
    </row>
    <row r="733" spans="1:17" ht="14.4">
      <c r="A733" s="26">
        <v>674</v>
      </c>
      <c r="B733" s="19" t="s">
        <v>413</v>
      </c>
      <c r="C733" s="37">
        <v>45526</v>
      </c>
      <c r="D733" s="22">
        <v>0</v>
      </c>
      <c r="E733" s="22">
        <v>0</v>
      </c>
      <c r="F733" s="22">
        <v>0</v>
      </c>
      <c r="G733" s="22">
        <v>0</v>
      </c>
      <c r="H733" s="38"/>
      <c r="I733" s="22">
        <v>0</v>
      </c>
      <c r="J733" s="22">
        <v>1</v>
      </c>
      <c r="K733" s="22">
        <v>0</v>
      </c>
      <c r="L733" s="22">
        <v>0</v>
      </c>
      <c r="M733" s="19" t="s">
        <v>100</v>
      </c>
      <c r="N733" s="19" t="s">
        <v>87</v>
      </c>
      <c r="O733" s="19" t="s">
        <v>89</v>
      </c>
      <c r="P733" s="19"/>
      <c r="Q733" s="39" t="s">
        <v>263</v>
      </c>
    </row>
    <row r="734" spans="1:17" ht="14.4">
      <c r="A734" s="13">
        <v>109</v>
      </c>
      <c r="B734" s="14" t="s">
        <v>415</v>
      </c>
      <c r="C734" s="34">
        <v>45526</v>
      </c>
      <c r="D734" s="17">
        <v>1</v>
      </c>
      <c r="E734" s="17">
        <v>0</v>
      </c>
      <c r="F734" s="17">
        <v>0</v>
      </c>
      <c r="G734" s="17">
        <v>0</v>
      </c>
      <c r="H734" s="35"/>
      <c r="I734" s="17">
        <v>0</v>
      </c>
      <c r="J734" s="17">
        <v>0</v>
      </c>
      <c r="K734" s="17">
        <v>0</v>
      </c>
      <c r="L734" s="17">
        <v>0</v>
      </c>
      <c r="M734" s="14" t="s">
        <v>100</v>
      </c>
      <c r="N734" s="14" t="s">
        <v>91</v>
      </c>
      <c r="O734" s="14" t="s">
        <v>38</v>
      </c>
      <c r="P734" s="14"/>
      <c r="Q734" s="36" t="s">
        <v>259</v>
      </c>
    </row>
    <row r="735" spans="1:17" ht="14.4">
      <c r="A735" s="26">
        <v>109</v>
      </c>
      <c r="B735" s="19" t="s">
        <v>415</v>
      </c>
      <c r="C735" s="37">
        <v>45526</v>
      </c>
      <c r="D735" s="22">
        <v>0</v>
      </c>
      <c r="E735" s="22">
        <v>0</v>
      </c>
      <c r="F735" s="22">
        <v>0</v>
      </c>
      <c r="G735" s="22">
        <v>0</v>
      </c>
      <c r="H735" s="38"/>
      <c r="I735" s="22">
        <v>1</v>
      </c>
      <c r="J735" s="22">
        <v>0</v>
      </c>
      <c r="K735" s="22">
        <v>0</v>
      </c>
      <c r="L735" s="22">
        <v>0</v>
      </c>
      <c r="M735" s="19" t="s">
        <v>100</v>
      </c>
      <c r="N735" s="19" t="s">
        <v>91</v>
      </c>
      <c r="O735" s="19" t="s">
        <v>44</v>
      </c>
      <c r="P735" s="19"/>
      <c r="Q735" s="39" t="s">
        <v>260</v>
      </c>
    </row>
    <row r="736" spans="1:17" ht="14.4">
      <c r="A736" s="13">
        <v>109</v>
      </c>
      <c r="B736" s="14" t="s">
        <v>415</v>
      </c>
      <c r="C736" s="34">
        <v>45526</v>
      </c>
      <c r="D736" s="17">
        <v>4</v>
      </c>
      <c r="E736" s="17">
        <v>0</v>
      </c>
      <c r="F736" s="17">
        <v>0</v>
      </c>
      <c r="G736" s="17">
        <v>0</v>
      </c>
      <c r="H736" s="35"/>
      <c r="I736" s="17">
        <v>0</v>
      </c>
      <c r="J736" s="17">
        <v>0</v>
      </c>
      <c r="K736" s="17">
        <v>0</v>
      </c>
      <c r="L736" s="17">
        <v>0</v>
      </c>
      <c r="M736" s="14" t="s">
        <v>100</v>
      </c>
      <c r="N736" s="14" t="s">
        <v>87</v>
      </c>
      <c r="O736" s="14" t="s">
        <v>43</v>
      </c>
      <c r="P736" s="17">
        <v>1</v>
      </c>
      <c r="Q736" s="36" t="s">
        <v>259</v>
      </c>
    </row>
    <row r="737" spans="1:17" ht="14.4">
      <c r="A737" s="26">
        <v>109</v>
      </c>
      <c r="B737" s="19" t="s">
        <v>415</v>
      </c>
      <c r="C737" s="37">
        <v>45526</v>
      </c>
      <c r="D737" s="22">
        <v>0</v>
      </c>
      <c r="E737" s="22">
        <v>0</v>
      </c>
      <c r="F737" s="22">
        <v>0</v>
      </c>
      <c r="G737" s="22">
        <v>0</v>
      </c>
      <c r="H737" s="38"/>
      <c r="I737" s="22">
        <v>1</v>
      </c>
      <c r="J737" s="22">
        <v>0</v>
      </c>
      <c r="K737" s="22">
        <v>0</v>
      </c>
      <c r="L737" s="22">
        <v>0</v>
      </c>
      <c r="M737" s="19" t="s">
        <v>100</v>
      </c>
      <c r="N737" s="19" t="s">
        <v>87</v>
      </c>
      <c r="O737" s="19" t="s">
        <v>43</v>
      </c>
      <c r="P737" s="19"/>
      <c r="Q737" s="39" t="s">
        <v>260</v>
      </c>
    </row>
    <row r="738" spans="1:17" ht="14.4">
      <c r="A738" s="13">
        <v>109</v>
      </c>
      <c r="B738" s="14" t="s">
        <v>415</v>
      </c>
      <c r="C738" s="34">
        <v>45526</v>
      </c>
      <c r="D738" s="17">
        <v>3</v>
      </c>
      <c r="E738" s="17">
        <v>0</v>
      </c>
      <c r="F738" s="17">
        <v>0</v>
      </c>
      <c r="G738" s="17">
        <v>0</v>
      </c>
      <c r="H738" s="35"/>
      <c r="I738" s="17">
        <v>0</v>
      </c>
      <c r="J738" s="17">
        <v>0</v>
      </c>
      <c r="K738" s="17">
        <v>0</v>
      </c>
      <c r="L738" s="17">
        <v>0</v>
      </c>
      <c r="M738" s="14" t="s">
        <v>100</v>
      </c>
      <c r="N738" s="14" t="s">
        <v>87</v>
      </c>
      <c r="O738" s="14" t="s">
        <v>60</v>
      </c>
      <c r="P738" s="17">
        <v>3</v>
      </c>
      <c r="Q738" s="36" t="s">
        <v>259</v>
      </c>
    </row>
    <row r="739" spans="1:17" ht="14.4">
      <c r="A739" s="26">
        <v>109</v>
      </c>
      <c r="B739" s="19" t="s">
        <v>415</v>
      </c>
      <c r="C739" s="37">
        <v>45526</v>
      </c>
      <c r="D739" s="22">
        <v>0</v>
      </c>
      <c r="E739" s="22">
        <v>0</v>
      </c>
      <c r="F739" s="22">
        <v>0</v>
      </c>
      <c r="G739" s="22">
        <v>0</v>
      </c>
      <c r="H739" s="38"/>
      <c r="I739" s="22">
        <v>0</v>
      </c>
      <c r="J739" s="22">
        <v>1</v>
      </c>
      <c r="K739" s="22">
        <v>0</v>
      </c>
      <c r="L739" s="22">
        <v>0</v>
      </c>
      <c r="M739" s="19" t="s">
        <v>100</v>
      </c>
      <c r="N739" s="19" t="s">
        <v>87</v>
      </c>
      <c r="O739" s="19" t="s">
        <v>60</v>
      </c>
      <c r="P739" s="19"/>
      <c r="Q739" s="39" t="s">
        <v>263</v>
      </c>
    </row>
    <row r="740" spans="1:17" ht="14.4">
      <c r="A740" s="13">
        <v>109</v>
      </c>
      <c r="B740" s="14" t="s">
        <v>415</v>
      </c>
      <c r="C740" s="34">
        <v>45526</v>
      </c>
      <c r="D740" s="17">
        <v>2</v>
      </c>
      <c r="E740" s="17">
        <v>0</v>
      </c>
      <c r="F740" s="17">
        <v>0</v>
      </c>
      <c r="G740" s="17">
        <v>0</v>
      </c>
      <c r="H740" s="35"/>
      <c r="I740" s="17">
        <v>0</v>
      </c>
      <c r="J740" s="17">
        <v>0</v>
      </c>
      <c r="K740" s="17">
        <v>0</v>
      </c>
      <c r="L740" s="17">
        <v>0</v>
      </c>
      <c r="M740" s="14" t="s">
        <v>100</v>
      </c>
      <c r="N740" s="14" t="s">
        <v>87</v>
      </c>
      <c r="O740" s="14" t="s">
        <v>98</v>
      </c>
      <c r="P740" s="17">
        <v>1</v>
      </c>
      <c r="Q740" s="36" t="s">
        <v>259</v>
      </c>
    </row>
    <row r="741" spans="1:17" ht="14.4">
      <c r="A741" s="26">
        <v>109</v>
      </c>
      <c r="B741" s="19" t="s">
        <v>415</v>
      </c>
      <c r="C741" s="37">
        <v>45526</v>
      </c>
      <c r="D741" s="22">
        <v>0</v>
      </c>
      <c r="E741" s="22">
        <v>2</v>
      </c>
      <c r="F741" s="22">
        <v>0</v>
      </c>
      <c r="G741" s="22">
        <v>0</v>
      </c>
      <c r="H741" s="21" t="s">
        <v>416</v>
      </c>
      <c r="I741" s="22">
        <v>0</v>
      </c>
      <c r="J741" s="22">
        <v>0</v>
      </c>
      <c r="K741" s="22">
        <v>0</v>
      </c>
      <c r="L741" s="22">
        <v>0</v>
      </c>
      <c r="M741" s="19" t="s">
        <v>100</v>
      </c>
      <c r="N741" s="19" t="s">
        <v>87</v>
      </c>
      <c r="O741" s="19" t="s">
        <v>89</v>
      </c>
      <c r="P741" s="19"/>
      <c r="Q741" s="39" t="s">
        <v>262</v>
      </c>
    </row>
    <row r="742" spans="1:17" ht="14.4">
      <c r="A742" s="13">
        <v>109</v>
      </c>
      <c r="B742" s="14" t="s">
        <v>415</v>
      </c>
      <c r="C742" s="34">
        <v>45526</v>
      </c>
      <c r="D742" s="17">
        <v>0</v>
      </c>
      <c r="E742" s="17">
        <v>0</v>
      </c>
      <c r="F742" s="17">
        <v>0</v>
      </c>
      <c r="G742" s="17">
        <v>0</v>
      </c>
      <c r="H742" s="35"/>
      <c r="I742" s="17">
        <v>0</v>
      </c>
      <c r="J742" s="17">
        <v>1</v>
      </c>
      <c r="K742" s="17">
        <v>1</v>
      </c>
      <c r="L742" s="17">
        <v>0</v>
      </c>
      <c r="M742" s="14" t="s">
        <v>100</v>
      </c>
      <c r="N742" s="14" t="s">
        <v>87</v>
      </c>
      <c r="O742" s="14" t="s">
        <v>89</v>
      </c>
      <c r="P742" s="14"/>
      <c r="Q742" s="36" t="s">
        <v>263</v>
      </c>
    </row>
    <row r="743" spans="1:17" ht="14.4">
      <c r="A743" s="26">
        <v>109</v>
      </c>
      <c r="B743" s="19" t="s">
        <v>415</v>
      </c>
      <c r="C743" s="37">
        <v>45526</v>
      </c>
      <c r="D743" s="22">
        <v>1</v>
      </c>
      <c r="E743" s="22">
        <v>0</v>
      </c>
      <c r="F743" s="22">
        <v>0</v>
      </c>
      <c r="G743" s="22">
        <v>0</v>
      </c>
      <c r="H743" s="38"/>
      <c r="I743" s="22">
        <v>0</v>
      </c>
      <c r="J743" s="22">
        <v>0</v>
      </c>
      <c r="K743" s="22">
        <v>0</v>
      </c>
      <c r="L743" s="22">
        <v>0</v>
      </c>
      <c r="M743" s="19" t="s">
        <v>100</v>
      </c>
      <c r="N743" s="19" t="s">
        <v>87</v>
      </c>
      <c r="O743" s="19" t="s">
        <v>59</v>
      </c>
      <c r="P743" s="22">
        <v>1</v>
      </c>
      <c r="Q743" s="39" t="s">
        <v>259</v>
      </c>
    </row>
    <row r="744" spans="1:17" ht="14.4">
      <c r="A744" s="13">
        <v>109</v>
      </c>
      <c r="B744" s="14" t="s">
        <v>415</v>
      </c>
      <c r="C744" s="34">
        <v>45526</v>
      </c>
      <c r="D744" s="17">
        <v>0</v>
      </c>
      <c r="E744" s="17">
        <v>0</v>
      </c>
      <c r="F744" s="17">
        <v>0</v>
      </c>
      <c r="G744" s="17">
        <v>0</v>
      </c>
      <c r="H744" s="35"/>
      <c r="I744" s="17">
        <v>0</v>
      </c>
      <c r="J744" s="17">
        <v>1</v>
      </c>
      <c r="K744" s="17">
        <v>0</v>
      </c>
      <c r="L744" s="17">
        <v>0</v>
      </c>
      <c r="M744" s="14" t="s">
        <v>100</v>
      </c>
      <c r="N744" s="14" t="s">
        <v>87</v>
      </c>
      <c r="O744" s="14" t="s">
        <v>59</v>
      </c>
      <c r="P744" s="14"/>
      <c r="Q744" s="36" t="s">
        <v>263</v>
      </c>
    </row>
    <row r="745" spans="1:17" ht="14.4">
      <c r="A745" s="26">
        <v>675</v>
      </c>
      <c r="B745" s="19" t="s">
        <v>417</v>
      </c>
      <c r="C745" s="37">
        <v>45526</v>
      </c>
      <c r="D745" s="22">
        <v>0</v>
      </c>
      <c r="E745" s="22">
        <v>0</v>
      </c>
      <c r="F745" s="22">
        <v>0</v>
      </c>
      <c r="G745" s="22">
        <v>0</v>
      </c>
      <c r="H745" s="38"/>
      <c r="I745" s="22">
        <v>1</v>
      </c>
      <c r="J745" s="22">
        <v>0</v>
      </c>
      <c r="K745" s="22">
        <v>0</v>
      </c>
      <c r="L745" s="22">
        <v>0</v>
      </c>
      <c r="M745" s="19" t="s">
        <v>100</v>
      </c>
      <c r="N745" s="19" t="s">
        <v>91</v>
      </c>
      <c r="O745" s="19" t="s">
        <v>38</v>
      </c>
      <c r="P745" s="19"/>
      <c r="Q745" s="39" t="s">
        <v>260</v>
      </c>
    </row>
    <row r="746" spans="1:17" ht="14.4">
      <c r="A746" s="13">
        <v>675</v>
      </c>
      <c r="B746" s="14" t="s">
        <v>417</v>
      </c>
      <c r="C746" s="34">
        <v>45526</v>
      </c>
      <c r="D746" s="17">
        <v>0</v>
      </c>
      <c r="E746" s="17">
        <v>0</v>
      </c>
      <c r="F746" s="17">
        <v>0</v>
      </c>
      <c r="G746" s="17">
        <v>0</v>
      </c>
      <c r="H746" s="35"/>
      <c r="I746" s="17">
        <v>0</v>
      </c>
      <c r="J746" s="17">
        <v>1</v>
      </c>
      <c r="K746" s="17">
        <v>1</v>
      </c>
      <c r="L746" s="17">
        <v>0</v>
      </c>
      <c r="M746" s="14" t="s">
        <v>100</v>
      </c>
      <c r="N746" s="14" t="s">
        <v>91</v>
      </c>
      <c r="O746" s="14" t="s">
        <v>90</v>
      </c>
      <c r="P746" s="14"/>
      <c r="Q746" s="36" t="s">
        <v>263</v>
      </c>
    </row>
    <row r="747" spans="1:17" ht="14.4">
      <c r="A747" s="26">
        <v>675</v>
      </c>
      <c r="B747" s="19" t="s">
        <v>417</v>
      </c>
      <c r="C747" s="37">
        <v>45526</v>
      </c>
      <c r="D747" s="22">
        <v>0</v>
      </c>
      <c r="E747" s="22">
        <v>0</v>
      </c>
      <c r="F747" s="22">
        <v>1</v>
      </c>
      <c r="G747" s="22">
        <v>0</v>
      </c>
      <c r="H747" s="38"/>
      <c r="I747" s="22">
        <v>0</v>
      </c>
      <c r="J747" s="22">
        <v>0</v>
      </c>
      <c r="K747" s="22">
        <v>0</v>
      </c>
      <c r="L747" s="22">
        <v>0</v>
      </c>
      <c r="M747" s="19" t="s">
        <v>100</v>
      </c>
      <c r="N747" s="19" t="s">
        <v>87</v>
      </c>
      <c r="O747" s="19" t="s">
        <v>37</v>
      </c>
      <c r="P747" s="19"/>
      <c r="Q747" s="39" t="s">
        <v>262</v>
      </c>
    </row>
    <row r="748" spans="1:17" ht="14.4">
      <c r="A748" s="13">
        <v>675</v>
      </c>
      <c r="B748" s="14" t="s">
        <v>417</v>
      </c>
      <c r="C748" s="34">
        <v>45526</v>
      </c>
      <c r="D748" s="17">
        <v>1</v>
      </c>
      <c r="E748" s="17">
        <v>0</v>
      </c>
      <c r="F748" s="17">
        <v>0</v>
      </c>
      <c r="G748" s="17">
        <v>0</v>
      </c>
      <c r="H748" s="35"/>
      <c r="I748" s="17">
        <v>0</v>
      </c>
      <c r="J748" s="17">
        <v>0</v>
      </c>
      <c r="K748" s="17">
        <v>0</v>
      </c>
      <c r="L748" s="17">
        <v>0</v>
      </c>
      <c r="M748" s="14" t="s">
        <v>100</v>
      </c>
      <c r="N748" s="14" t="s">
        <v>87</v>
      </c>
      <c r="O748" s="14" t="s">
        <v>37</v>
      </c>
      <c r="P748" s="17">
        <v>1</v>
      </c>
      <c r="Q748" s="36" t="s">
        <v>259</v>
      </c>
    </row>
    <row r="749" spans="1:17" ht="14.4">
      <c r="A749" s="26">
        <v>675</v>
      </c>
      <c r="B749" s="19" t="s">
        <v>417</v>
      </c>
      <c r="C749" s="37">
        <v>45526</v>
      </c>
      <c r="D749" s="22">
        <v>0</v>
      </c>
      <c r="E749" s="22">
        <v>0</v>
      </c>
      <c r="F749" s="22">
        <v>0</v>
      </c>
      <c r="G749" s="22">
        <v>0</v>
      </c>
      <c r="H749" s="38"/>
      <c r="I749" s="22">
        <v>0</v>
      </c>
      <c r="J749" s="22">
        <v>1</v>
      </c>
      <c r="K749" s="22">
        <v>0</v>
      </c>
      <c r="L749" s="22">
        <v>0</v>
      </c>
      <c r="M749" s="19" t="s">
        <v>100</v>
      </c>
      <c r="N749" s="19" t="s">
        <v>87</v>
      </c>
      <c r="O749" s="19" t="s">
        <v>37</v>
      </c>
      <c r="P749" s="19"/>
      <c r="Q749" s="39" t="s">
        <v>263</v>
      </c>
    </row>
    <row r="750" spans="1:17" ht="14.4">
      <c r="A750" s="13">
        <v>675</v>
      </c>
      <c r="B750" s="14" t="s">
        <v>417</v>
      </c>
      <c r="C750" s="34">
        <v>45526</v>
      </c>
      <c r="D750" s="17">
        <v>1</v>
      </c>
      <c r="E750" s="17">
        <v>0</v>
      </c>
      <c r="F750" s="17">
        <v>0</v>
      </c>
      <c r="G750" s="17">
        <v>0</v>
      </c>
      <c r="H750" s="35"/>
      <c r="I750" s="17">
        <v>0</v>
      </c>
      <c r="J750" s="17">
        <v>0</v>
      </c>
      <c r="K750" s="17">
        <v>0</v>
      </c>
      <c r="L750" s="17">
        <v>0</v>
      </c>
      <c r="M750" s="14" t="s">
        <v>100</v>
      </c>
      <c r="N750" s="14" t="s">
        <v>87</v>
      </c>
      <c r="O750" s="14" t="s">
        <v>43</v>
      </c>
      <c r="P750" s="17">
        <v>1</v>
      </c>
      <c r="Q750" s="36" t="s">
        <v>259</v>
      </c>
    </row>
    <row r="751" spans="1:17" ht="14.4">
      <c r="A751" s="26">
        <v>675</v>
      </c>
      <c r="B751" s="19" t="s">
        <v>417</v>
      </c>
      <c r="C751" s="37">
        <v>45526</v>
      </c>
      <c r="D751" s="22">
        <v>0</v>
      </c>
      <c r="E751" s="22">
        <v>0</v>
      </c>
      <c r="F751" s="22">
        <v>0</v>
      </c>
      <c r="G751" s="22">
        <v>0</v>
      </c>
      <c r="H751" s="38"/>
      <c r="I751" s="22">
        <v>1</v>
      </c>
      <c r="J751" s="22">
        <v>0</v>
      </c>
      <c r="K751" s="22">
        <v>0</v>
      </c>
      <c r="L751" s="22">
        <v>0</v>
      </c>
      <c r="M751" s="19" t="s">
        <v>100</v>
      </c>
      <c r="N751" s="19" t="s">
        <v>87</v>
      </c>
      <c r="O751" s="19" t="s">
        <v>43</v>
      </c>
      <c r="P751" s="19"/>
      <c r="Q751" s="39" t="s">
        <v>260</v>
      </c>
    </row>
    <row r="752" spans="1:17" ht="14.4">
      <c r="A752" s="13">
        <v>675</v>
      </c>
      <c r="B752" s="14" t="s">
        <v>417</v>
      </c>
      <c r="C752" s="34">
        <v>45526</v>
      </c>
      <c r="D752" s="17">
        <v>0</v>
      </c>
      <c r="E752" s="17">
        <v>1</v>
      </c>
      <c r="F752" s="17">
        <v>0</v>
      </c>
      <c r="G752" s="17">
        <v>0</v>
      </c>
      <c r="H752" s="16" t="s">
        <v>351</v>
      </c>
      <c r="I752" s="17">
        <v>0</v>
      </c>
      <c r="J752" s="17">
        <v>0</v>
      </c>
      <c r="K752" s="17">
        <v>0</v>
      </c>
      <c r="L752" s="17">
        <v>0</v>
      </c>
      <c r="M752" s="14" t="s">
        <v>100</v>
      </c>
      <c r="N752" s="14" t="s">
        <v>87</v>
      </c>
      <c r="O752" s="14" t="s">
        <v>46</v>
      </c>
      <c r="P752" s="14"/>
      <c r="Q752" s="36" t="s">
        <v>262</v>
      </c>
    </row>
    <row r="753" spans="1:17" ht="14.4">
      <c r="A753" s="26">
        <v>675</v>
      </c>
      <c r="B753" s="19" t="s">
        <v>417</v>
      </c>
      <c r="C753" s="37">
        <v>45526</v>
      </c>
      <c r="D753" s="22">
        <v>0</v>
      </c>
      <c r="E753" s="22">
        <v>0</v>
      </c>
      <c r="F753" s="22">
        <v>0</v>
      </c>
      <c r="G753" s="22">
        <v>0</v>
      </c>
      <c r="H753" s="38"/>
      <c r="I753" s="22">
        <v>0</v>
      </c>
      <c r="J753" s="22">
        <v>2</v>
      </c>
      <c r="K753" s="22">
        <v>2</v>
      </c>
      <c r="L753" s="22">
        <v>0</v>
      </c>
      <c r="M753" s="19" t="s">
        <v>100</v>
      </c>
      <c r="N753" s="19" t="s">
        <v>87</v>
      </c>
      <c r="O753" s="19" t="s">
        <v>60</v>
      </c>
      <c r="P753" s="19"/>
      <c r="Q753" s="39" t="s">
        <v>263</v>
      </c>
    </row>
    <row r="754" spans="1:17" ht="14.4">
      <c r="A754" s="13">
        <v>675</v>
      </c>
      <c r="B754" s="14" t="s">
        <v>417</v>
      </c>
      <c r="C754" s="34">
        <v>45526</v>
      </c>
      <c r="D754" s="17">
        <v>0</v>
      </c>
      <c r="E754" s="17">
        <v>1</v>
      </c>
      <c r="F754" s="17">
        <v>0</v>
      </c>
      <c r="G754" s="17">
        <v>0</v>
      </c>
      <c r="H754" s="16" t="s">
        <v>265</v>
      </c>
      <c r="I754" s="17">
        <v>0</v>
      </c>
      <c r="J754" s="17">
        <v>0</v>
      </c>
      <c r="K754" s="17">
        <v>0</v>
      </c>
      <c r="L754" s="17">
        <v>0</v>
      </c>
      <c r="M754" s="14" t="s">
        <v>100</v>
      </c>
      <c r="N754" s="14" t="s">
        <v>87</v>
      </c>
      <c r="O754" s="14" t="s">
        <v>89</v>
      </c>
      <c r="P754" s="14"/>
      <c r="Q754" s="36" t="s">
        <v>262</v>
      </c>
    </row>
    <row r="755" spans="1:17" ht="14.4">
      <c r="A755" s="26">
        <v>675</v>
      </c>
      <c r="B755" s="19" t="s">
        <v>417</v>
      </c>
      <c r="C755" s="37">
        <v>45526</v>
      </c>
      <c r="D755" s="22">
        <v>0</v>
      </c>
      <c r="E755" s="22">
        <v>0</v>
      </c>
      <c r="F755" s="22">
        <v>0</v>
      </c>
      <c r="G755" s="22">
        <v>0</v>
      </c>
      <c r="H755" s="38"/>
      <c r="I755" s="22">
        <v>0</v>
      </c>
      <c r="J755" s="22">
        <v>2</v>
      </c>
      <c r="K755" s="22">
        <v>0</v>
      </c>
      <c r="L755" s="22">
        <v>0</v>
      </c>
      <c r="M755" s="19" t="s">
        <v>100</v>
      </c>
      <c r="N755" s="19" t="s">
        <v>87</v>
      </c>
      <c r="O755" s="19" t="s">
        <v>89</v>
      </c>
      <c r="P755" s="19"/>
      <c r="Q755" s="39" t="s">
        <v>263</v>
      </c>
    </row>
    <row r="756" spans="1:17" ht="14.4">
      <c r="A756" s="13">
        <v>675</v>
      </c>
      <c r="B756" s="14" t="s">
        <v>417</v>
      </c>
      <c r="C756" s="34">
        <v>45526</v>
      </c>
      <c r="D756" s="17">
        <v>1</v>
      </c>
      <c r="E756" s="17">
        <v>0</v>
      </c>
      <c r="F756" s="17">
        <v>0</v>
      </c>
      <c r="G756" s="17">
        <v>0</v>
      </c>
      <c r="H756" s="35"/>
      <c r="I756" s="17">
        <v>0</v>
      </c>
      <c r="J756" s="17">
        <v>0</v>
      </c>
      <c r="K756" s="17">
        <v>0</v>
      </c>
      <c r="L756" s="17">
        <v>0</v>
      </c>
      <c r="M756" s="14" t="s">
        <v>100</v>
      </c>
      <c r="N756" s="14" t="s">
        <v>87</v>
      </c>
      <c r="O756" s="14" t="s">
        <v>86</v>
      </c>
      <c r="P756" s="17">
        <v>1</v>
      </c>
      <c r="Q756" s="36" t="s">
        <v>259</v>
      </c>
    </row>
    <row r="757" spans="1:17" ht="14.4">
      <c r="A757" s="26">
        <v>675</v>
      </c>
      <c r="B757" s="19" t="s">
        <v>417</v>
      </c>
      <c r="C757" s="37">
        <v>45526</v>
      </c>
      <c r="D757" s="22">
        <v>0</v>
      </c>
      <c r="E757" s="22">
        <v>0</v>
      </c>
      <c r="F757" s="22">
        <v>0</v>
      </c>
      <c r="G757" s="22">
        <v>0</v>
      </c>
      <c r="H757" s="38"/>
      <c r="I757" s="22">
        <v>1</v>
      </c>
      <c r="J757" s="22">
        <v>0</v>
      </c>
      <c r="K757" s="22">
        <v>0</v>
      </c>
      <c r="L757" s="22">
        <v>0</v>
      </c>
      <c r="M757" s="19" t="s">
        <v>100</v>
      </c>
      <c r="N757" s="19" t="s">
        <v>87</v>
      </c>
      <c r="O757" s="19" t="s">
        <v>86</v>
      </c>
      <c r="P757" s="19"/>
      <c r="Q757" s="39" t="s">
        <v>260</v>
      </c>
    </row>
    <row r="758" spans="1:17" ht="14.4">
      <c r="A758" s="13">
        <v>638</v>
      </c>
      <c r="B758" s="14" t="s">
        <v>418</v>
      </c>
      <c r="C758" s="34">
        <v>45526</v>
      </c>
      <c r="D758" s="17">
        <v>19</v>
      </c>
      <c r="E758" s="17">
        <v>0</v>
      </c>
      <c r="F758" s="17">
        <v>0</v>
      </c>
      <c r="G758" s="17">
        <v>0</v>
      </c>
      <c r="H758" s="35"/>
      <c r="I758" s="17">
        <v>0</v>
      </c>
      <c r="J758" s="17">
        <v>0</v>
      </c>
      <c r="K758" s="17">
        <v>0</v>
      </c>
      <c r="L758" s="17">
        <v>0</v>
      </c>
      <c r="M758" s="14" t="s">
        <v>318</v>
      </c>
      <c r="N758" s="14" t="s">
        <v>91</v>
      </c>
      <c r="O758" s="14" t="s">
        <v>38</v>
      </c>
      <c r="P758" s="17">
        <v>10</v>
      </c>
      <c r="Q758" s="36" t="s">
        <v>259</v>
      </c>
    </row>
    <row r="759" spans="1:17" ht="14.4">
      <c r="A759" s="26">
        <v>638</v>
      </c>
      <c r="B759" s="19" t="s">
        <v>418</v>
      </c>
      <c r="C759" s="37">
        <v>45526</v>
      </c>
      <c r="D759" s="22">
        <v>1</v>
      </c>
      <c r="E759" s="22">
        <v>0</v>
      </c>
      <c r="F759" s="22">
        <v>0</v>
      </c>
      <c r="G759" s="22">
        <v>0</v>
      </c>
      <c r="H759" s="38"/>
      <c r="I759" s="22">
        <v>0</v>
      </c>
      <c r="J759" s="22">
        <v>0</v>
      </c>
      <c r="K759" s="22">
        <v>0</v>
      </c>
      <c r="L759" s="22">
        <v>0</v>
      </c>
      <c r="M759" s="19" t="s">
        <v>318</v>
      </c>
      <c r="N759" s="19" t="s">
        <v>91</v>
      </c>
      <c r="O759" s="19" t="s">
        <v>44</v>
      </c>
      <c r="P759" s="19"/>
      <c r="Q759" s="39" t="s">
        <v>259</v>
      </c>
    </row>
    <row r="760" spans="1:17" ht="14.4">
      <c r="A760" s="13">
        <v>638</v>
      </c>
      <c r="B760" s="14" t="s">
        <v>418</v>
      </c>
      <c r="C760" s="34">
        <v>45526</v>
      </c>
      <c r="D760" s="17">
        <v>2</v>
      </c>
      <c r="E760" s="17">
        <v>0</v>
      </c>
      <c r="F760" s="17">
        <v>0</v>
      </c>
      <c r="G760" s="17">
        <v>0</v>
      </c>
      <c r="H760" s="35"/>
      <c r="I760" s="17">
        <v>0</v>
      </c>
      <c r="J760" s="17">
        <v>0</v>
      </c>
      <c r="K760" s="17">
        <v>0</v>
      </c>
      <c r="L760" s="17">
        <v>0</v>
      </c>
      <c r="M760" s="14" t="s">
        <v>318</v>
      </c>
      <c r="N760" s="14" t="s">
        <v>91</v>
      </c>
      <c r="O760" s="14" t="s">
        <v>90</v>
      </c>
      <c r="P760" s="17">
        <v>2</v>
      </c>
      <c r="Q760" s="36" t="s">
        <v>259</v>
      </c>
    </row>
    <row r="761" spans="1:17" ht="14.4">
      <c r="A761" s="26">
        <v>638</v>
      </c>
      <c r="B761" s="19" t="s">
        <v>418</v>
      </c>
      <c r="C761" s="37">
        <v>45526</v>
      </c>
      <c r="D761" s="22">
        <v>0</v>
      </c>
      <c r="E761" s="22">
        <v>0</v>
      </c>
      <c r="F761" s="22">
        <v>0</v>
      </c>
      <c r="G761" s="22">
        <v>0</v>
      </c>
      <c r="H761" s="38"/>
      <c r="I761" s="22">
        <v>0</v>
      </c>
      <c r="J761" s="22">
        <v>2</v>
      </c>
      <c r="K761" s="22">
        <v>0</v>
      </c>
      <c r="L761" s="22">
        <v>0</v>
      </c>
      <c r="M761" s="19" t="s">
        <v>318</v>
      </c>
      <c r="N761" s="19" t="s">
        <v>91</v>
      </c>
      <c r="O761" s="19" t="s">
        <v>90</v>
      </c>
      <c r="P761" s="19"/>
      <c r="Q761" s="39" t="s">
        <v>263</v>
      </c>
    </row>
    <row r="762" spans="1:17" ht="14.4">
      <c r="A762" s="13">
        <v>638</v>
      </c>
      <c r="B762" s="14" t="s">
        <v>418</v>
      </c>
      <c r="C762" s="34">
        <v>45526</v>
      </c>
      <c r="D762" s="17">
        <v>0</v>
      </c>
      <c r="E762" s="17">
        <v>8</v>
      </c>
      <c r="F762" s="17">
        <v>0</v>
      </c>
      <c r="G762" s="17">
        <v>0</v>
      </c>
      <c r="H762" s="16" t="s">
        <v>419</v>
      </c>
      <c r="I762" s="17">
        <v>0</v>
      </c>
      <c r="J762" s="17">
        <v>0</v>
      </c>
      <c r="K762" s="17">
        <v>0</v>
      </c>
      <c r="L762" s="17">
        <v>0</v>
      </c>
      <c r="M762" s="14" t="s">
        <v>318</v>
      </c>
      <c r="N762" s="14" t="s">
        <v>87</v>
      </c>
      <c r="O762" s="14" t="s">
        <v>37</v>
      </c>
      <c r="P762" s="14"/>
      <c r="Q762" s="36" t="s">
        <v>262</v>
      </c>
    </row>
    <row r="763" spans="1:17" ht="14.4">
      <c r="A763" s="26">
        <v>638</v>
      </c>
      <c r="B763" s="19" t="s">
        <v>418</v>
      </c>
      <c r="C763" s="37">
        <v>45526</v>
      </c>
      <c r="D763" s="22">
        <v>2</v>
      </c>
      <c r="E763" s="22">
        <v>0</v>
      </c>
      <c r="F763" s="22">
        <v>0</v>
      </c>
      <c r="G763" s="22">
        <v>0</v>
      </c>
      <c r="H763" s="38"/>
      <c r="I763" s="22">
        <v>0</v>
      </c>
      <c r="J763" s="22">
        <v>0</v>
      </c>
      <c r="K763" s="22">
        <v>0</v>
      </c>
      <c r="L763" s="22">
        <v>0</v>
      </c>
      <c r="M763" s="19" t="s">
        <v>318</v>
      </c>
      <c r="N763" s="19" t="s">
        <v>87</v>
      </c>
      <c r="O763" s="19" t="s">
        <v>37</v>
      </c>
      <c r="P763" s="22">
        <v>1</v>
      </c>
      <c r="Q763" s="39" t="s">
        <v>259</v>
      </c>
    </row>
    <row r="764" spans="1:17" ht="14.4">
      <c r="A764" s="13">
        <v>638</v>
      </c>
      <c r="B764" s="14" t="s">
        <v>418</v>
      </c>
      <c r="C764" s="34">
        <v>45526</v>
      </c>
      <c r="D764" s="17">
        <v>0</v>
      </c>
      <c r="E764" s="17">
        <v>0</v>
      </c>
      <c r="F764" s="17">
        <v>0</v>
      </c>
      <c r="G764" s="17">
        <v>0</v>
      </c>
      <c r="H764" s="35"/>
      <c r="I764" s="17">
        <v>0</v>
      </c>
      <c r="J764" s="17">
        <v>1</v>
      </c>
      <c r="K764" s="17">
        <v>1</v>
      </c>
      <c r="L764" s="17">
        <v>0</v>
      </c>
      <c r="M764" s="14" t="s">
        <v>318</v>
      </c>
      <c r="N764" s="14" t="s">
        <v>87</v>
      </c>
      <c r="O764" s="14" t="s">
        <v>37</v>
      </c>
      <c r="P764" s="14"/>
      <c r="Q764" s="36" t="s">
        <v>263</v>
      </c>
    </row>
    <row r="765" spans="1:17" ht="14.4">
      <c r="A765" s="26">
        <v>638</v>
      </c>
      <c r="B765" s="19" t="s">
        <v>418</v>
      </c>
      <c r="C765" s="37">
        <v>45526</v>
      </c>
      <c r="D765" s="22">
        <v>0</v>
      </c>
      <c r="E765" s="22">
        <v>1</v>
      </c>
      <c r="F765" s="22">
        <v>0</v>
      </c>
      <c r="G765" s="22">
        <v>0</v>
      </c>
      <c r="H765" s="21" t="s">
        <v>275</v>
      </c>
      <c r="I765" s="22">
        <v>0</v>
      </c>
      <c r="J765" s="22">
        <v>0</v>
      </c>
      <c r="K765" s="22">
        <v>0</v>
      </c>
      <c r="L765" s="22">
        <v>0</v>
      </c>
      <c r="M765" s="19" t="s">
        <v>318</v>
      </c>
      <c r="N765" s="19" t="s">
        <v>87</v>
      </c>
      <c r="O765" s="19" t="s">
        <v>43</v>
      </c>
      <c r="P765" s="19"/>
      <c r="Q765" s="39" t="s">
        <v>262</v>
      </c>
    </row>
    <row r="766" spans="1:17" ht="14.4">
      <c r="A766" s="13">
        <v>638</v>
      </c>
      <c r="B766" s="14" t="s">
        <v>418</v>
      </c>
      <c r="C766" s="34">
        <v>45526</v>
      </c>
      <c r="D766" s="17">
        <v>5</v>
      </c>
      <c r="E766" s="17">
        <v>0</v>
      </c>
      <c r="F766" s="17">
        <v>0</v>
      </c>
      <c r="G766" s="17">
        <v>0</v>
      </c>
      <c r="H766" s="35"/>
      <c r="I766" s="17">
        <v>0</v>
      </c>
      <c r="J766" s="17">
        <v>0</v>
      </c>
      <c r="K766" s="17">
        <v>0</v>
      </c>
      <c r="L766" s="17">
        <v>0</v>
      </c>
      <c r="M766" s="14" t="s">
        <v>318</v>
      </c>
      <c r="N766" s="14" t="s">
        <v>87</v>
      </c>
      <c r="O766" s="14" t="s">
        <v>43</v>
      </c>
      <c r="P766" s="17">
        <v>2</v>
      </c>
      <c r="Q766" s="36" t="s">
        <v>259</v>
      </c>
    </row>
    <row r="767" spans="1:17" ht="14.4">
      <c r="A767" s="26">
        <v>638</v>
      </c>
      <c r="B767" s="19" t="s">
        <v>418</v>
      </c>
      <c r="C767" s="37">
        <v>45526</v>
      </c>
      <c r="D767" s="22">
        <v>0</v>
      </c>
      <c r="E767" s="22">
        <v>1</v>
      </c>
      <c r="F767" s="22">
        <v>0</v>
      </c>
      <c r="G767" s="22">
        <v>0</v>
      </c>
      <c r="H767" s="21" t="s">
        <v>420</v>
      </c>
      <c r="I767" s="22">
        <v>0</v>
      </c>
      <c r="J767" s="22">
        <v>0</v>
      </c>
      <c r="K767" s="22">
        <v>0</v>
      </c>
      <c r="L767" s="22">
        <v>0</v>
      </c>
      <c r="M767" s="19" t="s">
        <v>318</v>
      </c>
      <c r="N767" s="19" t="s">
        <v>87</v>
      </c>
      <c r="O767" s="19" t="s">
        <v>46</v>
      </c>
      <c r="P767" s="19"/>
      <c r="Q767" s="39" t="s">
        <v>262</v>
      </c>
    </row>
    <row r="768" spans="1:17" ht="14.4">
      <c r="A768" s="13">
        <v>638</v>
      </c>
      <c r="B768" s="14" t="s">
        <v>418</v>
      </c>
      <c r="C768" s="34">
        <v>45526</v>
      </c>
      <c r="D768" s="17">
        <v>5</v>
      </c>
      <c r="E768" s="17">
        <v>0</v>
      </c>
      <c r="F768" s="17">
        <v>0</v>
      </c>
      <c r="G768" s="17">
        <v>0</v>
      </c>
      <c r="H768" s="35"/>
      <c r="I768" s="17">
        <v>0</v>
      </c>
      <c r="J768" s="17">
        <v>0</v>
      </c>
      <c r="K768" s="17">
        <v>0</v>
      </c>
      <c r="L768" s="17">
        <v>0</v>
      </c>
      <c r="M768" s="14" t="s">
        <v>318</v>
      </c>
      <c r="N768" s="14" t="s">
        <v>87</v>
      </c>
      <c r="O768" s="14" t="s">
        <v>60</v>
      </c>
      <c r="P768" s="17">
        <v>2</v>
      </c>
      <c r="Q768" s="36" t="s">
        <v>259</v>
      </c>
    </row>
    <row r="769" spans="1:17" ht="14.4">
      <c r="A769" s="26">
        <v>638</v>
      </c>
      <c r="B769" s="19" t="s">
        <v>418</v>
      </c>
      <c r="C769" s="37">
        <v>45526</v>
      </c>
      <c r="D769" s="22">
        <v>0</v>
      </c>
      <c r="E769" s="22">
        <v>0</v>
      </c>
      <c r="F769" s="22">
        <v>0</v>
      </c>
      <c r="G769" s="22">
        <v>0</v>
      </c>
      <c r="H769" s="38"/>
      <c r="I769" s="22">
        <v>3</v>
      </c>
      <c r="J769" s="22">
        <v>0</v>
      </c>
      <c r="K769" s="22">
        <v>0</v>
      </c>
      <c r="L769" s="22">
        <v>0</v>
      </c>
      <c r="M769" s="19" t="s">
        <v>318</v>
      </c>
      <c r="N769" s="19" t="s">
        <v>87</v>
      </c>
      <c r="O769" s="19" t="s">
        <v>60</v>
      </c>
      <c r="P769" s="19"/>
      <c r="Q769" s="39" t="s">
        <v>260</v>
      </c>
    </row>
    <row r="770" spans="1:17" ht="14.4">
      <c r="A770" s="13">
        <v>638</v>
      </c>
      <c r="B770" s="14" t="s">
        <v>418</v>
      </c>
      <c r="C770" s="34">
        <v>45526</v>
      </c>
      <c r="D770" s="17">
        <v>0</v>
      </c>
      <c r="E770" s="17">
        <v>0</v>
      </c>
      <c r="F770" s="17">
        <v>0</v>
      </c>
      <c r="G770" s="17">
        <v>1</v>
      </c>
      <c r="H770" s="35"/>
      <c r="I770" s="17">
        <v>0</v>
      </c>
      <c r="J770" s="17">
        <v>0</v>
      </c>
      <c r="K770" s="17">
        <v>0</v>
      </c>
      <c r="L770" s="17">
        <v>0</v>
      </c>
      <c r="M770" s="14" t="s">
        <v>318</v>
      </c>
      <c r="N770" s="14" t="s">
        <v>87</v>
      </c>
      <c r="O770" s="14" t="s">
        <v>98</v>
      </c>
      <c r="P770" s="14"/>
      <c r="Q770" s="36" t="s">
        <v>262</v>
      </c>
    </row>
    <row r="771" spans="1:17" ht="14.4">
      <c r="A771" s="26">
        <v>638</v>
      </c>
      <c r="B771" s="19" t="s">
        <v>418</v>
      </c>
      <c r="C771" s="37">
        <v>45526</v>
      </c>
      <c r="D771" s="22">
        <v>14</v>
      </c>
      <c r="E771" s="22">
        <v>0</v>
      </c>
      <c r="F771" s="22">
        <v>0</v>
      </c>
      <c r="G771" s="22">
        <v>0</v>
      </c>
      <c r="H771" s="38"/>
      <c r="I771" s="22">
        <v>0</v>
      </c>
      <c r="J771" s="22">
        <v>0</v>
      </c>
      <c r="K771" s="22">
        <v>0</v>
      </c>
      <c r="L771" s="22">
        <v>0</v>
      </c>
      <c r="M771" s="19" t="s">
        <v>318</v>
      </c>
      <c r="N771" s="19" t="s">
        <v>87</v>
      </c>
      <c r="O771" s="19" t="s">
        <v>98</v>
      </c>
      <c r="P771" s="22">
        <v>13</v>
      </c>
      <c r="Q771" s="39" t="s">
        <v>259</v>
      </c>
    </row>
    <row r="772" spans="1:17" ht="14.4">
      <c r="A772" s="13">
        <v>638</v>
      </c>
      <c r="B772" s="14" t="s">
        <v>418</v>
      </c>
      <c r="C772" s="34">
        <v>45526</v>
      </c>
      <c r="D772" s="17">
        <v>1</v>
      </c>
      <c r="E772" s="17">
        <v>0</v>
      </c>
      <c r="F772" s="17">
        <v>0</v>
      </c>
      <c r="G772" s="17">
        <v>0</v>
      </c>
      <c r="H772" s="35"/>
      <c r="I772" s="17">
        <v>0</v>
      </c>
      <c r="J772" s="17">
        <v>0</v>
      </c>
      <c r="K772" s="17">
        <v>0</v>
      </c>
      <c r="L772" s="17">
        <v>0</v>
      </c>
      <c r="M772" s="14" t="s">
        <v>318</v>
      </c>
      <c r="N772" s="14" t="s">
        <v>87</v>
      </c>
      <c r="O772" s="14" t="s">
        <v>89</v>
      </c>
      <c r="P772" s="17">
        <v>1</v>
      </c>
      <c r="Q772" s="36" t="s">
        <v>259</v>
      </c>
    </row>
    <row r="773" spans="1:17" ht="14.4">
      <c r="A773" s="26">
        <v>638</v>
      </c>
      <c r="B773" s="19" t="s">
        <v>418</v>
      </c>
      <c r="C773" s="37">
        <v>45526</v>
      </c>
      <c r="D773" s="22">
        <v>3</v>
      </c>
      <c r="E773" s="22">
        <v>0</v>
      </c>
      <c r="F773" s="22">
        <v>0</v>
      </c>
      <c r="G773" s="22">
        <v>0</v>
      </c>
      <c r="H773" s="38"/>
      <c r="I773" s="22">
        <v>0</v>
      </c>
      <c r="J773" s="22">
        <v>0</v>
      </c>
      <c r="K773" s="22">
        <v>0</v>
      </c>
      <c r="L773" s="22">
        <v>0</v>
      </c>
      <c r="M773" s="19" t="s">
        <v>318</v>
      </c>
      <c r="N773" s="19" t="s">
        <v>87</v>
      </c>
      <c r="O773" s="19" t="s">
        <v>57</v>
      </c>
      <c r="P773" s="22">
        <v>2</v>
      </c>
      <c r="Q773" s="39" t="s">
        <v>259</v>
      </c>
    </row>
    <row r="774" spans="1:17" ht="14.4">
      <c r="A774" s="13">
        <v>638</v>
      </c>
      <c r="B774" s="14" t="s">
        <v>418</v>
      </c>
      <c r="C774" s="34">
        <v>45526</v>
      </c>
      <c r="D774" s="17">
        <v>0</v>
      </c>
      <c r="E774" s="17">
        <v>0</v>
      </c>
      <c r="F774" s="17">
        <v>0</v>
      </c>
      <c r="G774" s="17">
        <v>0</v>
      </c>
      <c r="H774" s="35"/>
      <c r="I774" s="17">
        <v>1</v>
      </c>
      <c r="J774" s="17">
        <v>0</v>
      </c>
      <c r="K774" s="17">
        <v>0</v>
      </c>
      <c r="L774" s="17">
        <v>0</v>
      </c>
      <c r="M774" s="14" t="s">
        <v>318</v>
      </c>
      <c r="N774" s="14" t="s">
        <v>87</v>
      </c>
      <c r="O774" s="14" t="s">
        <v>57</v>
      </c>
      <c r="P774" s="14"/>
      <c r="Q774" s="36" t="s">
        <v>260</v>
      </c>
    </row>
    <row r="775" spans="1:17" ht="14.4">
      <c r="A775" s="26">
        <v>638</v>
      </c>
      <c r="B775" s="19" t="s">
        <v>418</v>
      </c>
      <c r="C775" s="37">
        <v>45526</v>
      </c>
      <c r="D775" s="22">
        <v>1</v>
      </c>
      <c r="E775" s="22">
        <v>0</v>
      </c>
      <c r="F775" s="22">
        <v>0</v>
      </c>
      <c r="G775" s="22">
        <v>0</v>
      </c>
      <c r="H775" s="38"/>
      <c r="I775" s="22">
        <v>0</v>
      </c>
      <c r="J775" s="22">
        <v>0</v>
      </c>
      <c r="K775" s="22">
        <v>0</v>
      </c>
      <c r="L775" s="22">
        <v>0</v>
      </c>
      <c r="M775" s="19" t="s">
        <v>318</v>
      </c>
      <c r="N775" s="19" t="s">
        <v>87</v>
      </c>
      <c r="O775" s="19" t="s">
        <v>59</v>
      </c>
      <c r="P775" s="19"/>
      <c r="Q775" s="39" t="s">
        <v>259</v>
      </c>
    </row>
    <row r="776" spans="1:17" ht="14.4">
      <c r="A776" s="13">
        <v>490</v>
      </c>
      <c r="B776" s="14" t="s">
        <v>421</v>
      </c>
      <c r="C776" s="34">
        <v>45526</v>
      </c>
      <c r="D776" s="17">
        <v>0</v>
      </c>
      <c r="E776" s="17">
        <v>0</v>
      </c>
      <c r="F776" s="17">
        <v>0</v>
      </c>
      <c r="G776" s="17">
        <v>0</v>
      </c>
      <c r="H776" s="35"/>
      <c r="I776" s="17">
        <v>2</v>
      </c>
      <c r="J776" s="17">
        <v>0</v>
      </c>
      <c r="K776" s="17">
        <v>0</v>
      </c>
      <c r="L776" s="17">
        <v>0</v>
      </c>
      <c r="M776" s="14" t="s">
        <v>290</v>
      </c>
      <c r="N776" s="14" t="s">
        <v>91</v>
      </c>
      <c r="O776" s="14" t="s">
        <v>90</v>
      </c>
      <c r="P776" s="14"/>
      <c r="Q776" s="36" t="s">
        <v>260</v>
      </c>
    </row>
    <row r="777" spans="1:17" ht="14.4">
      <c r="A777" s="26">
        <v>490</v>
      </c>
      <c r="B777" s="19" t="s">
        <v>421</v>
      </c>
      <c r="C777" s="37">
        <v>45526</v>
      </c>
      <c r="D777" s="22">
        <v>0</v>
      </c>
      <c r="E777" s="22">
        <v>0</v>
      </c>
      <c r="F777" s="22">
        <v>0</v>
      </c>
      <c r="G777" s="22">
        <v>0</v>
      </c>
      <c r="H777" s="38"/>
      <c r="I777" s="22">
        <v>0</v>
      </c>
      <c r="J777" s="22">
        <v>1</v>
      </c>
      <c r="K777" s="22">
        <v>1</v>
      </c>
      <c r="L777" s="22">
        <v>0</v>
      </c>
      <c r="M777" s="19" t="s">
        <v>290</v>
      </c>
      <c r="N777" s="19" t="s">
        <v>91</v>
      </c>
      <c r="O777" s="19" t="s">
        <v>90</v>
      </c>
      <c r="P777" s="19"/>
      <c r="Q777" s="39" t="s">
        <v>263</v>
      </c>
    </row>
    <row r="778" spans="1:17" ht="14.4">
      <c r="A778" s="13">
        <v>490</v>
      </c>
      <c r="B778" s="14" t="s">
        <v>421</v>
      </c>
      <c r="C778" s="34">
        <v>45526</v>
      </c>
      <c r="D778" s="17">
        <v>2</v>
      </c>
      <c r="E778" s="17">
        <v>0</v>
      </c>
      <c r="F778" s="17">
        <v>0</v>
      </c>
      <c r="G778" s="17">
        <v>0</v>
      </c>
      <c r="H778" s="35"/>
      <c r="I778" s="17">
        <v>0</v>
      </c>
      <c r="J778" s="17">
        <v>0</v>
      </c>
      <c r="K778" s="17">
        <v>0</v>
      </c>
      <c r="L778" s="17">
        <v>0</v>
      </c>
      <c r="M778" s="14" t="s">
        <v>290</v>
      </c>
      <c r="N778" s="14" t="s">
        <v>87</v>
      </c>
      <c r="O778" s="14" t="s">
        <v>59</v>
      </c>
      <c r="P778" s="17">
        <v>1</v>
      </c>
      <c r="Q778" s="36" t="s">
        <v>259</v>
      </c>
    </row>
    <row r="779" spans="1:17" ht="14.4">
      <c r="A779" s="26">
        <v>490</v>
      </c>
      <c r="B779" s="19" t="s">
        <v>421</v>
      </c>
      <c r="C779" s="37">
        <v>45526</v>
      </c>
      <c r="D779" s="22">
        <v>0</v>
      </c>
      <c r="E779" s="22">
        <v>0</v>
      </c>
      <c r="F779" s="22">
        <v>0</v>
      </c>
      <c r="G779" s="22">
        <v>0</v>
      </c>
      <c r="H779" s="38"/>
      <c r="I779" s="22">
        <v>0</v>
      </c>
      <c r="J779" s="22">
        <v>1</v>
      </c>
      <c r="K779" s="22">
        <v>1</v>
      </c>
      <c r="L779" s="22">
        <v>0</v>
      </c>
      <c r="M779" s="19" t="s">
        <v>290</v>
      </c>
      <c r="N779" s="19" t="s">
        <v>87</v>
      </c>
      <c r="O779" s="19" t="s">
        <v>59</v>
      </c>
      <c r="P779" s="19"/>
      <c r="Q779" s="39" t="s">
        <v>263</v>
      </c>
    </row>
    <row r="780" spans="1:17" ht="14.4">
      <c r="A780" s="13">
        <v>189</v>
      </c>
      <c r="B780" s="14" t="s">
        <v>422</v>
      </c>
      <c r="C780" s="34">
        <v>45526</v>
      </c>
      <c r="D780" s="17">
        <v>0</v>
      </c>
      <c r="E780" s="17">
        <v>0</v>
      </c>
      <c r="F780" s="17">
        <v>1</v>
      </c>
      <c r="G780" s="17">
        <v>0</v>
      </c>
      <c r="H780" s="35"/>
      <c r="I780" s="17">
        <v>0</v>
      </c>
      <c r="J780" s="17">
        <v>0</v>
      </c>
      <c r="K780" s="17">
        <v>0</v>
      </c>
      <c r="L780" s="17">
        <v>0</v>
      </c>
      <c r="M780" s="14" t="s">
        <v>100</v>
      </c>
      <c r="N780" s="14" t="s">
        <v>91</v>
      </c>
      <c r="O780" s="14" t="s">
        <v>38</v>
      </c>
      <c r="P780" s="14"/>
      <c r="Q780" s="36" t="s">
        <v>262</v>
      </c>
    </row>
    <row r="781" spans="1:17" ht="14.4">
      <c r="A781" s="26">
        <v>189</v>
      </c>
      <c r="B781" s="19" t="s">
        <v>422</v>
      </c>
      <c r="C781" s="37">
        <v>45526</v>
      </c>
      <c r="D781" s="22">
        <v>1</v>
      </c>
      <c r="E781" s="22">
        <v>0</v>
      </c>
      <c r="F781" s="22">
        <v>0</v>
      </c>
      <c r="G781" s="22">
        <v>0</v>
      </c>
      <c r="H781" s="38"/>
      <c r="I781" s="22">
        <v>0</v>
      </c>
      <c r="J781" s="22">
        <v>0</v>
      </c>
      <c r="K781" s="22">
        <v>0</v>
      </c>
      <c r="L781" s="22">
        <v>0</v>
      </c>
      <c r="M781" s="19" t="s">
        <v>100</v>
      </c>
      <c r="N781" s="19" t="s">
        <v>91</v>
      </c>
      <c r="O781" s="19" t="s">
        <v>90</v>
      </c>
      <c r="P781" s="22">
        <v>1</v>
      </c>
      <c r="Q781" s="39" t="s">
        <v>259</v>
      </c>
    </row>
    <row r="782" spans="1:17" ht="14.4">
      <c r="A782" s="13">
        <v>189</v>
      </c>
      <c r="B782" s="14" t="s">
        <v>422</v>
      </c>
      <c r="C782" s="34">
        <v>45526</v>
      </c>
      <c r="D782" s="17">
        <v>0</v>
      </c>
      <c r="E782" s="17">
        <v>0</v>
      </c>
      <c r="F782" s="17">
        <v>0</v>
      </c>
      <c r="G782" s="17">
        <v>0</v>
      </c>
      <c r="H782" s="35"/>
      <c r="I782" s="17">
        <v>1</v>
      </c>
      <c r="J782" s="17">
        <v>0</v>
      </c>
      <c r="K782" s="17">
        <v>0</v>
      </c>
      <c r="L782" s="17">
        <v>0</v>
      </c>
      <c r="M782" s="14" t="s">
        <v>100</v>
      </c>
      <c r="N782" s="14" t="s">
        <v>91</v>
      </c>
      <c r="O782" s="14" t="s">
        <v>90</v>
      </c>
      <c r="P782" s="14"/>
      <c r="Q782" s="36" t="s">
        <v>260</v>
      </c>
    </row>
    <row r="783" spans="1:17" ht="14.4">
      <c r="A783" s="26">
        <v>189</v>
      </c>
      <c r="B783" s="19" t="s">
        <v>422</v>
      </c>
      <c r="C783" s="37">
        <v>45526</v>
      </c>
      <c r="D783" s="22">
        <v>1</v>
      </c>
      <c r="E783" s="22">
        <v>0</v>
      </c>
      <c r="F783" s="22">
        <v>0</v>
      </c>
      <c r="G783" s="22">
        <v>0</v>
      </c>
      <c r="H783" s="38"/>
      <c r="I783" s="22">
        <v>0</v>
      </c>
      <c r="J783" s="22">
        <v>0</v>
      </c>
      <c r="K783" s="22">
        <v>0</v>
      </c>
      <c r="L783" s="22">
        <v>0</v>
      </c>
      <c r="M783" s="19" t="s">
        <v>100</v>
      </c>
      <c r="N783" s="19" t="s">
        <v>87</v>
      </c>
      <c r="O783" s="19" t="s">
        <v>98</v>
      </c>
      <c r="P783" s="22">
        <v>1</v>
      </c>
      <c r="Q783" s="39" t="s">
        <v>259</v>
      </c>
    </row>
    <row r="784" spans="1:17" ht="14.4">
      <c r="A784" s="13">
        <v>189</v>
      </c>
      <c r="B784" s="14" t="s">
        <v>422</v>
      </c>
      <c r="C784" s="34">
        <v>45526</v>
      </c>
      <c r="D784" s="17">
        <v>2</v>
      </c>
      <c r="E784" s="17">
        <v>0</v>
      </c>
      <c r="F784" s="17">
        <v>0</v>
      </c>
      <c r="G784" s="17">
        <v>0</v>
      </c>
      <c r="H784" s="35"/>
      <c r="I784" s="17">
        <v>0</v>
      </c>
      <c r="J784" s="17">
        <v>0</v>
      </c>
      <c r="K784" s="17">
        <v>0</v>
      </c>
      <c r="L784" s="17">
        <v>0</v>
      </c>
      <c r="M784" s="14" t="s">
        <v>100</v>
      </c>
      <c r="N784" s="14" t="s">
        <v>87</v>
      </c>
      <c r="O784" s="14" t="s">
        <v>57</v>
      </c>
      <c r="P784" s="17">
        <v>2</v>
      </c>
      <c r="Q784" s="36" t="s">
        <v>259</v>
      </c>
    </row>
    <row r="785" spans="1:17" ht="14.4">
      <c r="A785" s="26">
        <v>189</v>
      </c>
      <c r="B785" s="19" t="s">
        <v>422</v>
      </c>
      <c r="C785" s="37">
        <v>45526</v>
      </c>
      <c r="D785" s="22">
        <v>0</v>
      </c>
      <c r="E785" s="22">
        <v>0</v>
      </c>
      <c r="F785" s="22">
        <v>0</v>
      </c>
      <c r="G785" s="22">
        <v>0</v>
      </c>
      <c r="H785" s="38"/>
      <c r="I785" s="22">
        <v>1</v>
      </c>
      <c r="J785" s="22">
        <v>0</v>
      </c>
      <c r="K785" s="22">
        <v>0</v>
      </c>
      <c r="L785" s="22">
        <v>0</v>
      </c>
      <c r="M785" s="19" t="s">
        <v>100</v>
      </c>
      <c r="N785" s="19" t="s">
        <v>87</v>
      </c>
      <c r="O785" s="19" t="s">
        <v>57</v>
      </c>
      <c r="P785" s="19"/>
      <c r="Q785" s="39" t="s">
        <v>260</v>
      </c>
    </row>
    <row r="786" spans="1:17" ht="14.4">
      <c r="A786" s="13">
        <v>189</v>
      </c>
      <c r="B786" s="14" t="s">
        <v>422</v>
      </c>
      <c r="C786" s="34">
        <v>45526</v>
      </c>
      <c r="D786" s="17">
        <v>1</v>
      </c>
      <c r="E786" s="17">
        <v>0</v>
      </c>
      <c r="F786" s="17">
        <v>0</v>
      </c>
      <c r="G786" s="17">
        <v>0</v>
      </c>
      <c r="H786" s="35"/>
      <c r="I786" s="17">
        <v>0</v>
      </c>
      <c r="J786" s="17">
        <v>0</v>
      </c>
      <c r="K786" s="17">
        <v>0</v>
      </c>
      <c r="L786" s="17">
        <v>0</v>
      </c>
      <c r="M786" s="14" t="s">
        <v>100</v>
      </c>
      <c r="N786" s="14" t="s">
        <v>87</v>
      </c>
      <c r="O786" s="14" t="s">
        <v>59</v>
      </c>
      <c r="P786" s="14"/>
      <c r="Q786" s="36" t="s">
        <v>259</v>
      </c>
    </row>
    <row r="787" spans="1:17" ht="14.4">
      <c r="A787" s="26">
        <v>189</v>
      </c>
      <c r="B787" s="19" t="s">
        <v>422</v>
      </c>
      <c r="C787" s="37">
        <v>45526</v>
      </c>
      <c r="D787" s="22">
        <v>0</v>
      </c>
      <c r="E787" s="22">
        <v>0</v>
      </c>
      <c r="F787" s="22">
        <v>0</v>
      </c>
      <c r="G787" s="22">
        <v>0</v>
      </c>
      <c r="H787" s="38"/>
      <c r="I787" s="22">
        <v>1</v>
      </c>
      <c r="J787" s="22">
        <v>0</v>
      </c>
      <c r="K787" s="22">
        <v>0</v>
      </c>
      <c r="L787" s="22">
        <v>0</v>
      </c>
      <c r="M787" s="19" t="s">
        <v>100</v>
      </c>
      <c r="N787" s="19" t="s">
        <v>87</v>
      </c>
      <c r="O787" s="19" t="s">
        <v>59</v>
      </c>
      <c r="P787" s="19"/>
      <c r="Q787" s="39" t="s">
        <v>260</v>
      </c>
    </row>
    <row r="788" spans="1:17" ht="14.4">
      <c r="A788" s="13">
        <v>152</v>
      </c>
      <c r="B788" s="14" t="s">
        <v>423</v>
      </c>
      <c r="C788" s="34">
        <v>45526</v>
      </c>
      <c r="D788" s="17">
        <v>0</v>
      </c>
      <c r="E788" s="17">
        <v>1</v>
      </c>
      <c r="F788" s="17">
        <v>0</v>
      </c>
      <c r="G788" s="17">
        <v>0</v>
      </c>
      <c r="H788" s="16" t="s">
        <v>424</v>
      </c>
      <c r="I788" s="17">
        <v>0</v>
      </c>
      <c r="J788" s="17">
        <v>0</v>
      </c>
      <c r="K788" s="17">
        <v>0</v>
      </c>
      <c r="L788" s="17">
        <v>0</v>
      </c>
      <c r="M788" s="14" t="s">
        <v>100</v>
      </c>
      <c r="N788" s="14" t="s">
        <v>87</v>
      </c>
      <c r="O788" s="14" t="s">
        <v>60</v>
      </c>
      <c r="P788" s="14"/>
      <c r="Q788" s="36" t="s">
        <v>262</v>
      </c>
    </row>
    <row r="789" spans="1:17" ht="14.4">
      <c r="A789" s="26">
        <v>152</v>
      </c>
      <c r="B789" s="19" t="s">
        <v>423</v>
      </c>
      <c r="C789" s="37">
        <v>45526</v>
      </c>
      <c r="D789" s="22">
        <v>2</v>
      </c>
      <c r="E789" s="22">
        <v>0</v>
      </c>
      <c r="F789" s="22">
        <v>0</v>
      </c>
      <c r="G789" s="22">
        <v>0</v>
      </c>
      <c r="H789" s="38"/>
      <c r="I789" s="22">
        <v>0</v>
      </c>
      <c r="J789" s="22">
        <v>0</v>
      </c>
      <c r="K789" s="22">
        <v>0</v>
      </c>
      <c r="L789" s="22">
        <v>0</v>
      </c>
      <c r="M789" s="19" t="s">
        <v>100</v>
      </c>
      <c r="N789" s="19" t="s">
        <v>87</v>
      </c>
      <c r="O789" s="19" t="s">
        <v>60</v>
      </c>
      <c r="P789" s="19"/>
      <c r="Q789" s="39" t="s">
        <v>259</v>
      </c>
    </row>
    <row r="790" spans="1:17" ht="14.4">
      <c r="A790" s="13">
        <v>288</v>
      </c>
      <c r="B790" s="14" t="s">
        <v>425</v>
      </c>
      <c r="C790" s="34">
        <v>45526</v>
      </c>
      <c r="D790" s="17">
        <v>1</v>
      </c>
      <c r="E790" s="17">
        <v>0</v>
      </c>
      <c r="F790" s="17">
        <v>0</v>
      </c>
      <c r="G790" s="17">
        <v>0</v>
      </c>
      <c r="H790" s="35"/>
      <c r="I790" s="17">
        <v>0</v>
      </c>
      <c r="J790" s="17">
        <v>0</v>
      </c>
      <c r="K790" s="17">
        <v>0</v>
      </c>
      <c r="L790" s="17">
        <v>0</v>
      </c>
      <c r="M790" s="14" t="s">
        <v>100</v>
      </c>
      <c r="N790" s="14" t="s">
        <v>87</v>
      </c>
      <c r="O790" s="14" t="s">
        <v>89</v>
      </c>
      <c r="P790" s="14"/>
      <c r="Q790" s="36" t="s">
        <v>259</v>
      </c>
    </row>
    <row r="791" spans="1:17" ht="14.4">
      <c r="A791" s="26">
        <v>122</v>
      </c>
      <c r="B791" s="19" t="s">
        <v>426</v>
      </c>
      <c r="C791" s="37">
        <v>45526</v>
      </c>
      <c r="D791" s="22">
        <v>1</v>
      </c>
      <c r="E791" s="22">
        <v>0</v>
      </c>
      <c r="F791" s="22">
        <v>0</v>
      </c>
      <c r="G791" s="22">
        <v>0</v>
      </c>
      <c r="H791" s="38"/>
      <c r="I791" s="22">
        <v>0</v>
      </c>
      <c r="J791" s="22">
        <v>0</v>
      </c>
      <c r="K791" s="22">
        <v>0</v>
      </c>
      <c r="L791" s="22">
        <v>0</v>
      </c>
      <c r="M791" s="19" t="s">
        <v>100</v>
      </c>
      <c r="N791" s="19" t="s">
        <v>91</v>
      </c>
      <c r="O791" s="19" t="s">
        <v>47</v>
      </c>
      <c r="P791" s="22">
        <v>1</v>
      </c>
      <c r="Q791" s="39" t="s">
        <v>259</v>
      </c>
    </row>
    <row r="792" spans="1:17" ht="14.4">
      <c r="A792" s="13">
        <v>122</v>
      </c>
      <c r="B792" s="14" t="s">
        <v>426</v>
      </c>
      <c r="C792" s="34">
        <v>45526</v>
      </c>
      <c r="D792" s="17">
        <v>2</v>
      </c>
      <c r="E792" s="17">
        <v>0</v>
      </c>
      <c r="F792" s="17">
        <v>0</v>
      </c>
      <c r="G792" s="17">
        <v>0</v>
      </c>
      <c r="H792" s="35"/>
      <c r="I792" s="17">
        <v>0</v>
      </c>
      <c r="J792" s="17">
        <v>0</v>
      </c>
      <c r="K792" s="17">
        <v>0</v>
      </c>
      <c r="L792" s="17">
        <v>0</v>
      </c>
      <c r="M792" s="14" t="s">
        <v>100</v>
      </c>
      <c r="N792" s="14" t="s">
        <v>91</v>
      </c>
      <c r="O792" s="14" t="s">
        <v>90</v>
      </c>
      <c r="P792" s="17">
        <v>1</v>
      </c>
      <c r="Q792" s="36" t="s">
        <v>259</v>
      </c>
    </row>
    <row r="793" spans="1:17" ht="14.4">
      <c r="A793" s="26">
        <v>122</v>
      </c>
      <c r="B793" s="19" t="s">
        <v>426</v>
      </c>
      <c r="C793" s="37">
        <v>45526</v>
      </c>
      <c r="D793" s="22">
        <v>0</v>
      </c>
      <c r="E793" s="22">
        <v>1</v>
      </c>
      <c r="F793" s="22">
        <v>0</v>
      </c>
      <c r="G793" s="22">
        <v>0</v>
      </c>
      <c r="H793" s="21" t="s">
        <v>427</v>
      </c>
      <c r="I793" s="22">
        <v>0</v>
      </c>
      <c r="J793" s="22">
        <v>0</v>
      </c>
      <c r="K793" s="22">
        <v>0</v>
      </c>
      <c r="L793" s="22">
        <v>0</v>
      </c>
      <c r="M793" s="19" t="s">
        <v>100</v>
      </c>
      <c r="N793" s="19" t="s">
        <v>87</v>
      </c>
      <c r="O793" s="19" t="s">
        <v>86</v>
      </c>
      <c r="P793" s="19"/>
      <c r="Q793" s="39" t="s">
        <v>262</v>
      </c>
    </row>
    <row r="794" spans="1:17" ht="14.4">
      <c r="A794" s="13">
        <v>122</v>
      </c>
      <c r="B794" s="14" t="s">
        <v>426</v>
      </c>
      <c r="C794" s="34">
        <v>45526</v>
      </c>
      <c r="D794" s="17">
        <v>1</v>
      </c>
      <c r="E794" s="17">
        <v>0</v>
      </c>
      <c r="F794" s="17">
        <v>0</v>
      </c>
      <c r="G794" s="17">
        <v>0</v>
      </c>
      <c r="H794" s="35"/>
      <c r="I794" s="17">
        <v>0</v>
      </c>
      <c r="J794" s="17">
        <v>0</v>
      </c>
      <c r="K794" s="17">
        <v>0</v>
      </c>
      <c r="L794" s="17">
        <v>0</v>
      </c>
      <c r="M794" s="14" t="s">
        <v>100</v>
      </c>
      <c r="N794" s="14" t="s">
        <v>87</v>
      </c>
      <c r="O794" s="14" t="s">
        <v>59</v>
      </c>
      <c r="P794" s="17">
        <v>1</v>
      </c>
      <c r="Q794" s="36" t="s">
        <v>259</v>
      </c>
    </row>
    <row r="795" spans="1:17" ht="14.4">
      <c r="A795" s="26">
        <v>210</v>
      </c>
      <c r="B795" s="19" t="s">
        <v>428</v>
      </c>
      <c r="C795" s="37">
        <v>45526</v>
      </c>
      <c r="D795" s="22">
        <v>0</v>
      </c>
      <c r="E795" s="22">
        <v>3</v>
      </c>
      <c r="F795" s="22">
        <v>0</v>
      </c>
      <c r="G795" s="22">
        <v>0</v>
      </c>
      <c r="H795" s="21" t="s">
        <v>275</v>
      </c>
      <c r="I795" s="22">
        <v>0</v>
      </c>
      <c r="J795" s="22">
        <v>0</v>
      </c>
      <c r="K795" s="22">
        <v>0</v>
      </c>
      <c r="L795" s="22">
        <v>0</v>
      </c>
      <c r="M795" s="19" t="s">
        <v>100</v>
      </c>
      <c r="N795" s="19" t="s">
        <v>91</v>
      </c>
      <c r="O795" s="19" t="s">
        <v>44</v>
      </c>
      <c r="P795" s="19"/>
      <c r="Q795" s="39" t="s">
        <v>262</v>
      </c>
    </row>
    <row r="796" spans="1:17" ht="14.4">
      <c r="A796" s="13">
        <v>210</v>
      </c>
      <c r="B796" s="14" t="s">
        <v>428</v>
      </c>
      <c r="C796" s="34">
        <v>45526</v>
      </c>
      <c r="D796" s="17">
        <v>1</v>
      </c>
      <c r="E796" s="17">
        <v>0</v>
      </c>
      <c r="F796" s="17">
        <v>0</v>
      </c>
      <c r="G796" s="17">
        <v>0</v>
      </c>
      <c r="H796" s="35"/>
      <c r="I796" s="17">
        <v>0</v>
      </c>
      <c r="J796" s="17">
        <v>0</v>
      </c>
      <c r="K796" s="17">
        <v>0</v>
      </c>
      <c r="L796" s="17">
        <v>0</v>
      </c>
      <c r="M796" s="14" t="s">
        <v>100</v>
      </c>
      <c r="N796" s="14" t="s">
        <v>91</v>
      </c>
      <c r="O796" s="14" t="s">
        <v>44</v>
      </c>
      <c r="P796" s="17">
        <v>1</v>
      </c>
      <c r="Q796" s="36" t="s">
        <v>259</v>
      </c>
    </row>
    <row r="797" spans="1:17" ht="14.4">
      <c r="A797" s="26">
        <v>210</v>
      </c>
      <c r="B797" s="19" t="s">
        <v>428</v>
      </c>
      <c r="C797" s="37">
        <v>45526</v>
      </c>
      <c r="D797" s="22">
        <v>0</v>
      </c>
      <c r="E797" s="22">
        <v>0</v>
      </c>
      <c r="F797" s="22">
        <v>0</v>
      </c>
      <c r="G797" s="22">
        <v>0</v>
      </c>
      <c r="H797" s="38"/>
      <c r="I797" s="22">
        <v>0</v>
      </c>
      <c r="J797" s="22">
        <v>1</v>
      </c>
      <c r="K797" s="22">
        <v>0</v>
      </c>
      <c r="L797" s="22">
        <v>0</v>
      </c>
      <c r="M797" s="19" t="s">
        <v>100</v>
      </c>
      <c r="N797" s="19" t="s">
        <v>91</v>
      </c>
      <c r="O797" s="19" t="s">
        <v>44</v>
      </c>
      <c r="P797" s="19"/>
      <c r="Q797" s="39" t="s">
        <v>263</v>
      </c>
    </row>
    <row r="798" spans="1:17" ht="14.4">
      <c r="A798" s="13">
        <v>210</v>
      </c>
      <c r="B798" s="14" t="s">
        <v>428</v>
      </c>
      <c r="C798" s="34">
        <v>45526</v>
      </c>
      <c r="D798" s="17">
        <v>0</v>
      </c>
      <c r="E798" s="17">
        <v>1</v>
      </c>
      <c r="F798" s="17">
        <v>0</v>
      </c>
      <c r="G798" s="17">
        <v>0</v>
      </c>
      <c r="H798" s="16" t="s">
        <v>275</v>
      </c>
      <c r="I798" s="17">
        <v>0</v>
      </c>
      <c r="J798" s="17">
        <v>0</v>
      </c>
      <c r="K798" s="17">
        <v>0</v>
      </c>
      <c r="L798" s="17">
        <v>0</v>
      </c>
      <c r="M798" s="14" t="s">
        <v>100</v>
      </c>
      <c r="N798" s="14" t="s">
        <v>91</v>
      </c>
      <c r="O798" s="14" t="s">
        <v>90</v>
      </c>
      <c r="P798" s="14"/>
      <c r="Q798" s="36" t="s">
        <v>262</v>
      </c>
    </row>
    <row r="799" spans="1:17" ht="14.4">
      <c r="A799" s="26">
        <v>210</v>
      </c>
      <c r="B799" s="19" t="s">
        <v>428</v>
      </c>
      <c r="C799" s="37">
        <v>45526</v>
      </c>
      <c r="D799" s="22">
        <v>2</v>
      </c>
      <c r="E799" s="22">
        <v>0</v>
      </c>
      <c r="F799" s="22">
        <v>0</v>
      </c>
      <c r="G799" s="22">
        <v>0</v>
      </c>
      <c r="H799" s="38"/>
      <c r="I799" s="22">
        <v>0</v>
      </c>
      <c r="J799" s="22">
        <v>0</v>
      </c>
      <c r="K799" s="22">
        <v>0</v>
      </c>
      <c r="L799" s="22">
        <v>0</v>
      </c>
      <c r="M799" s="19" t="s">
        <v>100</v>
      </c>
      <c r="N799" s="19" t="s">
        <v>91</v>
      </c>
      <c r="O799" s="19" t="s">
        <v>90</v>
      </c>
      <c r="P799" s="22">
        <v>2</v>
      </c>
      <c r="Q799" s="39" t="s">
        <v>259</v>
      </c>
    </row>
    <row r="800" spans="1:17" ht="14.4">
      <c r="A800" s="13">
        <v>210</v>
      </c>
      <c r="B800" s="14" t="s">
        <v>428</v>
      </c>
      <c r="C800" s="34">
        <v>45526</v>
      </c>
      <c r="D800" s="17">
        <v>0</v>
      </c>
      <c r="E800" s="17">
        <v>0</v>
      </c>
      <c r="F800" s="17">
        <v>0</v>
      </c>
      <c r="G800" s="17">
        <v>0</v>
      </c>
      <c r="H800" s="35"/>
      <c r="I800" s="17">
        <v>0</v>
      </c>
      <c r="J800" s="17">
        <v>3</v>
      </c>
      <c r="K800" s="17">
        <v>0</v>
      </c>
      <c r="L800" s="17">
        <v>0</v>
      </c>
      <c r="M800" s="14" t="s">
        <v>100</v>
      </c>
      <c r="N800" s="14" t="s">
        <v>91</v>
      </c>
      <c r="O800" s="14" t="s">
        <v>90</v>
      </c>
      <c r="P800" s="14"/>
      <c r="Q800" s="36" t="s">
        <v>263</v>
      </c>
    </row>
    <row r="801" spans="1:17" ht="14.4">
      <c r="A801" s="26">
        <v>210</v>
      </c>
      <c r="B801" s="19" t="s">
        <v>428</v>
      </c>
      <c r="C801" s="37">
        <v>45526</v>
      </c>
      <c r="D801" s="22">
        <v>0</v>
      </c>
      <c r="E801" s="22">
        <v>2</v>
      </c>
      <c r="F801" s="22">
        <v>0</v>
      </c>
      <c r="G801" s="22">
        <v>0</v>
      </c>
      <c r="H801" s="21" t="s">
        <v>261</v>
      </c>
      <c r="I801" s="22">
        <v>0</v>
      </c>
      <c r="J801" s="22">
        <v>0</v>
      </c>
      <c r="K801" s="22">
        <v>0</v>
      </c>
      <c r="L801" s="22">
        <v>0</v>
      </c>
      <c r="M801" s="19" t="s">
        <v>100</v>
      </c>
      <c r="N801" s="19" t="s">
        <v>87</v>
      </c>
      <c r="O801" s="19" t="s">
        <v>37</v>
      </c>
      <c r="P801" s="19"/>
      <c r="Q801" s="39" t="s">
        <v>262</v>
      </c>
    </row>
    <row r="802" spans="1:17" ht="14.4">
      <c r="A802" s="13">
        <v>210</v>
      </c>
      <c r="B802" s="14" t="s">
        <v>428</v>
      </c>
      <c r="C802" s="34">
        <v>45526</v>
      </c>
      <c r="D802" s="17">
        <v>0</v>
      </c>
      <c r="E802" s="17">
        <v>0</v>
      </c>
      <c r="F802" s="17">
        <v>0</v>
      </c>
      <c r="G802" s="17">
        <v>0</v>
      </c>
      <c r="H802" s="35"/>
      <c r="I802" s="17">
        <v>0</v>
      </c>
      <c r="J802" s="17">
        <v>0</v>
      </c>
      <c r="K802" s="17">
        <v>2</v>
      </c>
      <c r="L802" s="17">
        <v>0</v>
      </c>
      <c r="M802" s="14" t="s">
        <v>100</v>
      </c>
      <c r="N802" s="14" t="s">
        <v>87</v>
      </c>
      <c r="O802" s="14" t="s">
        <v>37</v>
      </c>
      <c r="P802" s="14"/>
      <c r="Q802" s="36" t="s">
        <v>263</v>
      </c>
    </row>
    <row r="803" spans="1:17" ht="14.4">
      <c r="A803" s="26">
        <v>210</v>
      </c>
      <c r="B803" s="19" t="s">
        <v>428</v>
      </c>
      <c r="C803" s="37">
        <v>45526</v>
      </c>
      <c r="D803" s="22">
        <v>0</v>
      </c>
      <c r="E803" s="22">
        <v>0</v>
      </c>
      <c r="F803" s="22">
        <v>1</v>
      </c>
      <c r="G803" s="22">
        <v>0</v>
      </c>
      <c r="H803" s="38"/>
      <c r="I803" s="22">
        <v>0</v>
      </c>
      <c r="J803" s="22">
        <v>0</v>
      </c>
      <c r="K803" s="22">
        <v>0</v>
      </c>
      <c r="L803" s="22">
        <v>0</v>
      </c>
      <c r="M803" s="19" t="s">
        <v>100</v>
      </c>
      <c r="N803" s="19" t="s">
        <v>87</v>
      </c>
      <c r="O803" s="19" t="s">
        <v>43</v>
      </c>
      <c r="P803" s="19"/>
      <c r="Q803" s="39" t="s">
        <v>262</v>
      </c>
    </row>
    <row r="804" spans="1:17" ht="14.4">
      <c r="A804" s="13">
        <v>210</v>
      </c>
      <c r="B804" s="14" t="s">
        <v>428</v>
      </c>
      <c r="C804" s="34">
        <v>45526</v>
      </c>
      <c r="D804" s="17">
        <v>0</v>
      </c>
      <c r="E804" s="17">
        <v>0</v>
      </c>
      <c r="F804" s="17">
        <v>0</v>
      </c>
      <c r="G804" s="17">
        <v>0</v>
      </c>
      <c r="H804" s="35"/>
      <c r="I804" s="17">
        <v>0</v>
      </c>
      <c r="J804" s="17">
        <v>2</v>
      </c>
      <c r="K804" s="17">
        <v>0</v>
      </c>
      <c r="L804" s="17">
        <v>0</v>
      </c>
      <c r="M804" s="14" t="s">
        <v>100</v>
      </c>
      <c r="N804" s="14" t="s">
        <v>87</v>
      </c>
      <c r="O804" s="14" t="s">
        <v>46</v>
      </c>
      <c r="P804" s="14"/>
      <c r="Q804" s="36" t="s">
        <v>263</v>
      </c>
    </row>
    <row r="805" spans="1:17" ht="14.4">
      <c r="A805" s="26">
        <v>210</v>
      </c>
      <c r="B805" s="19" t="s">
        <v>428</v>
      </c>
      <c r="C805" s="37">
        <v>45526</v>
      </c>
      <c r="D805" s="22">
        <v>0</v>
      </c>
      <c r="E805" s="22">
        <v>1</v>
      </c>
      <c r="F805" s="22">
        <v>1</v>
      </c>
      <c r="G805" s="22">
        <v>0</v>
      </c>
      <c r="H805" s="21" t="s">
        <v>275</v>
      </c>
      <c r="I805" s="22">
        <v>0</v>
      </c>
      <c r="J805" s="22">
        <v>0</v>
      </c>
      <c r="K805" s="22">
        <v>0</v>
      </c>
      <c r="L805" s="22">
        <v>0</v>
      </c>
      <c r="M805" s="19" t="s">
        <v>100</v>
      </c>
      <c r="N805" s="19" t="s">
        <v>87</v>
      </c>
      <c r="O805" s="19" t="s">
        <v>98</v>
      </c>
      <c r="P805" s="19"/>
      <c r="Q805" s="39" t="s">
        <v>262</v>
      </c>
    </row>
    <row r="806" spans="1:17" ht="14.4">
      <c r="A806" s="13">
        <v>210</v>
      </c>
      <c r="B806" s="14" t="s">
        <v>428</v>
      </c>
      <c r="C806" s="34">
        <v>45526</v>
      </c>
      <c r="D806" s="17">
        <v>2</v>
      </c>
      <c r="E806" s="17">
        <v>0</v>
      </c>
      <c r="F806" s="17">
        <v>0</v>
      </c>
      <c r="G806" s="17">
        <v>0</v>
      </c>
      <c r="H806" s="35"/>
      <c r="I806" s="17">
        <v>0</v>
      </c>
      <c r="J806" s="17">
        <v>0</v>
      </c>
      <c r="K806" s="17">
        <v>0</v>
      </c>
      <c r="L806" s="17">
        <v>0</v>
      </c>
      <c r="M806" s="14" t="s">
        <v>100</v>
      </c>
      <c r="N806" s="14" t="s">
        <v>87</v>
      </c>
      <c r="O806" s="14" t="s">
        <v>98</v>
      </c>
      <c r="P806" s="14"/>
      <c r="Q806" s="36" t="s">
        <v>259</v>
      </c>
    </row>
    <row r="807" spans="1:17" ht="14.4">
      <c r="A807" s="26">
        <v>210</v>
      </c>
      <c r="B807" s="19" t="s">
        <v>428</v>
      </c>
      <c r="C807" s="37">
        <v>45526</v>
      </c>
      <c r="D807" s="22">
        <v>4</v>
      </c>
      <c r="E807" s="22">
        <v>0</v>
      </c>
      <c r="F807" s="22">
        <v>0</v>
      </c>
      <c r="G807" s="22">
        <v>0</v>
      </c>
      <c r="H807" s="38"/>
      <c r="I807" s="22">
        <v>0</v>
      </c>
      <c r="J807" s="22">
        <v>0</v>
      </c>
      <c r="K807" s="22">
        <v>0</v>
      </c>
      <c r="L807" s="22">
        <v>0</v>
      </c>
      <c r="M807" s="19" t="s">
        <v>100</v>
      </c>
      <c r="N807" s="19" t="s">
        <v>87</v>
      </c>
      <c r="O807" s="19" t="s">
        <v>89</v>
      </c>
      <c r="P807" s="22">
        <v>3</v>
      </c>
      <c r="Q807" s="39" t="s">
        <v>259</v>
      </c>
    </row>
    <row r="808" spans="1:17" ht="14.4">
      <c r="A808" s="13">
        <v>210</v>
      </c>
      <c r="B808" s="14" t="s">
        <v>428</v>
      </c>
      <c r="C808" s="34">
        <v>45526</v>
      </c>
      <c r="D808" s="17">
        <v>0</v>
      </c>
      <c r="E808" s="17">
        <v>0</v>
      </c>
      <c r="F808" s="17">
        <v>0</v>
      </c>
      <c r="G808" s="17">
        <v>0</v>
      </c>
      <c r="H808" s="35"/>
      <c r="I808" s="17">
        <v>1</v>
      </c>
      <c r="J808" s="17">
        <v>0</v>
      </c>
      <c r="K808" s="17">
        <v>0</v>
      </c>
      <c r="L808" s="17">
        <v>0</v>
      </c>
      <c r="M808" s="14" t="s">
        <v>100</v>
      </c>
      <c r="N808" s="14" t="s">
        <v>87</v>
      </c>
      <c r="O808" s="14" t="s">
        <v>89</v>
      </c>
      <c r="P808" s="14"/>
      <c r="Q808" s="36" t="s">
        <v>260</v>
      </c>
    </row>
    <row r="809" spans="1:17" ht="14.4">
      <c r="A809" s="26">
        <v>210</v>
      </c>
      <c r="B809" s="19" t="s">
        <v>428</v>
      </c>
      <c r="C809" s="37">
        <v>45526</v>
      </c>
      <c r="D809" s="22">
        <v>1</v>
      </c>
      <c r="E809" s="22">
        <v>0</v>
      </c>
      <c r="F809" s="22">
        <v>0</v>
      </c>
      <c r="G809" s="22">
        <v>0</v>
      </c>
      <c r="H809" s="38"/>
      <c r="I809" s="22">
        <v>0</v>
      </c>
      <c r="J809" s="22">
        <v>0</v>
      </c>
      <c r="K809" s="22">
        <v>0</v>
      </c>
      <c r="L809" s="22">
        <v>0</v>
      </c>
      <c r="M809" s="19" t="s">
        <v>100</v>
      </c>
      <c r="N809" s="19" t="s">
        <v>87</v>
      </c>
      <c r="O809" s="19" t="s">
        <v>57</v>
      </c>
      <c r="P809" s="19"/>
      <c r="Q809" s="39" t="s">
        <v>259</v>
      </c>
    </row>
    <row r="810" spans="1:17" ht="14.4">
      <c r="A810" s="13">
        <v>210</v>
      </c>
      <c r="B810" s="14" t="s">
        <v>428</v>
      </c>
      <c r="C810" s="34">
        <v>45526</v>
      </c>
      <c r="D810" s="17">
        <v>1</v>
      </c>
      <c r="E810" s="17">
        <v>0</v>
      </c>
      <c r="F810" s="17">
        <v>0</v>
      </c>
      <c r="G810" s="17">
        <v>0</v>
      </c>
      <c r="H810" s="35"/>
      <c r="I810" s="17">
        <v>0</v>
      </c>
      <c r="J810" s="17">
        <v>0</v>
      </c>
      <c r="K810" s="17">
        <v>0</v>
      </c>
      <c r="L810" s="17">
        <v>0</v>
      </c>
      <c r="M810" s="14" t="s">
        <v>100</v>
      </c>
      <c r="N810" s="14" t="s">
        <v>87</v>
      </c>
      <c r="O810" s="14" t="s">
        <v>86</v>
      </c>
      <c r="P810" s="17">
        <v>1</v>
      </c>
      <c r="Q810" s="36" t="s">
        <v>259</v>
      </c>
    </row>
    <row r="811" spans="1:17" ht="14.4">
      <c r="A811" s="26">
        <v>210</v>
      </c>
      <c r="B811" s="19" t="s">
        <v>428</v>
      </c>
      <c r="C811" s="37">
        <v>45526</v>
      </c>
      <c r="D811" s="22">
        <v>0</v>
      </c>
      <c r="E811" s="22">
        <v>0</v>
      </c>
      <c r="F811" s="22">
        <v>0</v>
      </c>
      <c r="G811" s="22">
        <v>0</v>
      </c>
      <c r="H811" s="38"/>
      <c r="I811" s="22">
        <v>1</v>
      </c>
      <c r="J811" s="22">
        <v>0</v>
      </c>
      <c r="K811" s="22">
        <v>0</v>
      </c>
      <c r="L811" s="22">
        <v>0</v>
      </c>
      <c r="M811" s="19" t="s">
        <v>100</v>
      </c>
      <c r="N811" s="19" t="s">
        <v>87</v>
      </c>
      <c r="O811" s="19" t="s">
        <v>86</v>
      </c>
      <c r="P811" s="19"/>
      <c r="Q811" s="39" t="s">
        <v>260</v>
      </c>
    </row>
    <row r="812" spans="1:17" ht="14.4">
      <c r="A812" s="13">
        <v>210</v>
      </c>
      <c r="B812" s="14" t="s">
        <v>428</v>
      </c>
      <c r="C812" s="34">
        <v>45526</v>
      </c>
      <c r="D812" s="17">
        <v>1</v>
      </c>
      <c r="E812" s="17">
        <v>0</v>
      </c>
      <c r="F812" s="17">
        <v>0</v>
      </c>
      <c r="G812" s="17">
        <v>0</v>
      </c>
      <c r="H812" s="35"/>
      <c r="I812" s="17">
        <v>0</v>
      </c>
      <c r="J812" s="17">
        <v>0</v>
      </c>
      <c r="K812" s="17">
        <v>0</v>
      </c>
      <c r="L812" s="17">
        <v>0</v>
      </c>
      <c r="M812" s="14" t="s">
        <v>100</v>
      </c>
      <c r="N812" s="14" t="s">
        <v>87</v>
      </c>
      <c r="O812" s="14" t="s">
        <v>59</v>
      </c>
      <c r="P812" s="14"/>
      <c r="Q812" s="36" t="s">
        <v>259</v>
      </c>
    </row>
    <row r="813" spans="1:17" ht="14.4">
      <c r="A813" s="26">
        <v>212</v>
      </c>
      <c r="B813" s="19" t="s">
        <v>429</v>
      </c>
      <c r="C813" s="37">
        <v>45526</v>
      </c>
      <c r="D813" s="22">
        <v>0</v>
      </c>
      <c r="E813" s="22">
        <v>0</v>
      </c>
      <c r="F813" s="22">
        <v>0</v>
      </c>
      <c r="G813" s="22">
        <v>0</v>
      </c>
      <c r="H813" s="38"/>
      <c r="I813" s="22">
        <v>0</v>
      </c>
      <c r="J813" s="22">
        <v>2</v>
      </c>
      <c r="K813" s="22">
        <v>0</v>
      </c>
      <c r="L813" s="22">
        <v>0</v>
      </c>
      <c r="M813" s="19" t="s">
        <v>100</v>
      </c>
      <c r="N813" s="19" t="s">
        <v>91</v>
      </c>
      <c r="O813" s="19" t="s">
        <v>38</v>
      </c>
      <c r="P813" s="19"/>
      <c r="Q813" s="39" t="s">
        <v>263</v>
      </c>
    </row>
    <row r="814" spans="1:17" ht="14.4">
      <c r="A814" s="13">
        <v>212</v>
      </c>
      <c r="B814" s="14" t="s">
        <v>429</v>
      </c>
      <c r="C814" s="34">
        <v>45526</v>
      </c>
      <c r="D814" s="17">
        <v>0</v>
      </c>
      <c r="E814" s="17">
        <v>2</v>
      </c>
      <c r="F814" s="17">
        <v>0</v>
      </c>
      <c r="G814" s="17">
        <v>0</v>
      </c>
      <c r="H814" s="16" t="s">
        <v>275</v>
      </c>
      <c r="I814" s="17">
        <v>0</v>
      </c>
      <c r="J814" s="17">
        <v>0</v>
      </c>
      <c r="K814" s="17">
        <v>0</v>
      </c>
      <c r="L814" s="17">
        <v>0</v>
      </c>
      <c r="M814" s="14" t="s">
        <v>100</v>
      </c>
      <c r="N814" s="14" t="s">
        <v>91</v>
      </c>
      <c r="O814" s="14" t="s">
        <v>44</v>
      </c>
      <c r="P814" s="14"/>
      <c r="Q814" s="36" t="s">
        <v>262</v>
      </c>
    </row>
    <row r="815" spans="1:17" ht="14.4">
      <c r="A815" s="26">
        <v>212</v>
      </c>
      <c r="B815" s="19" t="s">
        <v>429</v>
      </c>
      <c r="C815" s="37">
        <v>45526</v>
      </c>
      <c r="D815" s="22">
        <v>0</v>
      </c>
      <c r="E815" s="22">
        <v>2</v>
      </c>
      <c r="F815" s="22">
        <v>0</v>
      </c>
      <c r="G815" s="22">
        <v>0</v>
      </c>
      <c r="H815" s="21" t="s">
        <v>269</v>
      </c>
      <c r="I815" s="22">
        <v>0</v>
      </c>
      <c r="J815" s="22">
        <v>0</v>
      </c>
      <c r="K815" s="22">
        <v>0</v>
      </c>
      <c r="L815" s="22">
        <v>0</v>
      </c>
      <c r="M815" s="19" t="s">
        <v>100</v>
      </c>
      <c r="N815" s="19" t="s">
        <v>87</v>
      </c>
      <c r="O815" s="19" t="s">
        <v>89</v>
      </c>
      <c r="P815" s="19"/>
      <c r="Q815" s="39" t="s">
        <v>262</v>
      </c>
    </row>
    <row r="816" spans="1:17" ht="14.4">
      <c r="A816" s="13">
        <v>202</v>
      </c>
      <c r="B816" s="14" t="s">
        <v>430</v>
      </c>
      <c r="C816" s="34">
        <v>45526</v>
      </c>
      <c r="D816" s="17">
        <v>0</v>
      </c>
      <c r="E816" s="17">
        <v>0</v>
      </c>
      <c r="F816" s="17">
        <v>0</v>
      </c>
      <c r="G816" s="17">
        <v>0</v>
      </c>
      <c r="H816" s="35"/>
      <c r="I816" s="17">
        <v>1</v>
      </c>
      <c r="J816" s="17">
        <v>0</v>
      </c>
      <c r="K816" s="17">
        <v>0</v>
      </c>
      <c r="L816" s="17">
        <v>0</v>
      </c>
      <c r="M816" s="14" t="s">
        <v>100</v>
      </c>
      <c r="N816" s="14" t="s">
        <v>91</v>
      </c>
      <c r="O816" s="14" t="s">
        <v>44</v>
      </c>
      <c r="P816" s="14"/>
      <c r="Q816" s="36" t="s">
        <v>260</v>
      </c>
    </row>
    <row r="817" spans="1:17" ht="14.4">
      <c r="A817" s="26">
        <v>202</v>
      </c>
      <c r="B817" s="19" t="s">
        <v>430</v>
      </c>
      <c r="C817" s="37">
        <v>45526</v>
      </c>
      <c r="D817" s="22">
        <v>0</v>
      </c>
      <c r="E817" s="22">
        <v>1</v>
      </c>
      <c r="F817" s="22">
        <v>0</v>
      </c>
      <c r="G817" s="22">
        <v>0</v>
      </c>
      <c r="H817" s="21" t="s">
        <v>431</v>
      </c>
      <c r="I817" s="22">
        <v>0</v>
      </c>
      <c r="J817" s="22">
        <v>0</v>
      </c>
      <c r="K817" s="22">
        <v>0</v>
      </c>
      <c r="L817" s="22">
        <v>0</v>
      </c>
      <c r="M817" s="19" t="s">
        <v>100</v>
      </c>
      <c r="N817" s="19" t="s">
        <v>91</v>
      </c>
      <c r="O817" s="19" t="s">
        <v>47</v>
      </c>
      <c r="P817" s="19"/>
      <c r="Q817" s="39" t="s">
        <v>262</v>
      </c>
    </row>
    <row r="818" spans="1:17" ht="14.4">
      <c r="A818" s="13">
        <v>202</v>
      </c>
      <c r="B818" s="14" t="s">
        <v>430</v>
      </c>
      <c r="C818" s="34">
        <v>45526</v>
      </c>
      <c r="D818" s="17">
        <v>14</v>
      </c>
      <c r="E818" s="17">
        <v>0</v>
      </c>
      <c r="F818" s="17">
        <v>0</v>
      </c>
      <c r="G818" s="17">
        <v>0</v>
      </c>
      <c r="H818" s="35"/>
      <c r="I818" s="17">
        <v>0</v>
      </c>
      <c r="J818" s="17">
        <v>0</v>
      </c>
      <c r="K818" s="17">
        <v>0</v>
      </c>
      <c r="L818" s="17">
        <v>0</v>
      </c>
      <c r="M818" s="14" t="s">
        <v>100</v>
      </c>
      <c r="N818" s="14" t="s">
        <v>91</v>
      </c>
      <c r="O818" s="14" t="s">
        <v>47</v>
      </c>
      <c r="P818" s="17">
        <v>4</v>
      </c>
      <c r="Q818" s="36" t="s">
        <v>259</v>
      </c>
    </row>
    <row r="819" spans="1:17" ht="14.4">
      <c r="A819" s="26">
        <v>202</v>
      </c>
      <c r="B819" s="19" t="s">
        <v>430</v>
      </c>
      <c r="C819" s="37">
        <v>45526</v>
      </c>
      <c r="D819" s="22">
        <v>0</v>
      </c>
      <c r="E819" s="22">
        <v>0</v>
      </c>
      <c r="F819" s="22">
        <v>0</v>
      </c>
      <c r="G819" s="22">
        <v>0</v>
      </c>
      <c r="H819" s="38"/>
      <c r="I819" s="22">
        <v>0</v>
      </c>
      <c r="J819" s="22">
        <v>0</v>
      </c>
      <c r="K819" s="22">
        <v>1</v>
      </c>
      <c r="L819" s="22">
        <v>0</v>
      </c>
      <c r="M819" s="19" t="s">
        <v>100</v>
      </c>
      <c r="N819" s="19" t="s">
        <v>91</v>
      </c>
      <c r="O819" s="19" t="s">
        <v>47</v>
      </c>
      <c r="P819" s="19"/>
      <c r="Q819" s="39" t="s">
        <v>263</v>
      </c>
    </row>
    <row r="820" spans="1:17" ht="14.4">
      <c r="A820" s="13">
        <v>202</v>
      </c>
      <c r="B820" s="14" t="s">
        <v>430</v>
      </c>
      <c r="C820" s="34">
        <v>45526</v>
      </c>
      <c r="D820" s="17">
        <v>0</v>
      </c>
      <c r="E820" s="17">
        <v>1</v>
      </c>
      <c r="F820" s="17">
        <v>0</v>
      </c>
      <c r="G820" s="17">
        <v>0</v>
      </c>
      <c r="H820" s="16" t="s">
        <v>432</v>
      </c>
      <c r="I820" s="17">
        <v>0</v>
      </c>
      <c r="J820" s="17">
        <v>0</v>
      </c>
      <c r="K820" s="17">
        <v>0</v>
      </c>
      <c r="L820" s="17">
        <v>0</v>
      </c>
      <c r="M820" s="14" t="s">
        <v>100</v>
      </c>
      <c r="N820" s="14" t="s">
        <v>91</v>
      </c>
      <c r="O820" s="14" t="s">
        <v>90</v>
      </c>
      <c r="P820" s="14"/>
      <c r="Q820" s="36" t="s">
        <v>262</v>
      </c>
    </row>
    <row r="821" spans="1:17" ht="14.4">
      <c r="A821" s="26">
        <v>202</v>
      </c>
      <c r="B821" s="19" t="s">
        <v>430</v>
      </c>
      <c r="C821" s="37">
        <v>45526</v>
      </c>
      <c r="D821" s="22">
        <v>0</v>
      </c>
      <c r="E821" s="22">
        <v>0</v>
      </c>
      <c r="F821" s="22">
        <v>0</v>
      </c>
      <c r="G821" s="22">
        <v>0</v>
      </c>
      <c r="H821" s="38"/>
      <c r="I821" s="22">
        <v>0</v>
      </c>
      <c r="J821" s="22">
        <v>3</v>
      </c>
      <c r="K821" s="22">
        <v>1</v>
      </c>
      <c r="L821" s="22">
        <v>0</v>
      </c>
      <c r="M821" s="19" t="s">
        <v>100</v>
      </c>
      <c r="N821" s="19" t="s">
        <v>91</v>
      </c>
      <c r="O821" s="19" t="s">
        <v>90</v>
      </c>
      <c r="P821" s="19"/>
      <c r="Q821" s="39" t="s">
        <v>263</v>
      </c>
    </row>
    <row r="822" spans="1:17" ht="14.4">
      <c r="A822" s="13">
        <v>202</v>
      </c>
      <c r="B822" s="14" t="s">
        <v>430</v>
      </c>
      <c r="C822" s="34">
        <v>45526</v>
      </c>
      <c r="D822" s="17">
        <v>0</v>
      </c>
      <c r="E822" s="17">
        <v>2</v>
      </c>
      <c r="F822" s="17">
        <v>0</v>
      </c>
      <c r="G822" s="17">
        <v>0</v>
      </c>
      <c r="H822" s="16" t="s">
        <v>351</v>
      </c>
      <c r="I822" s="17">
        <v>0</v>
      </c>
      <c r="J822" s="17">
        <v>0</v>
      </c>
      <c r="K822" s="17">
        <v>0</v>
      </c>
      <c r="L822" s="17">
        <v>0</v>
      </c>
      <c r="M822" s="14" t="s">
        <v>100</v>
      </c>
      <c r="N822" s="14" t="s">
        <v>87</v>
      </c>
      <c r="O822" s="14" t="s">
        <v>37</v>
      </c>
      <c r="P822" s="14"/>
      <c r="Q822" s="36" t="s">
        <v>262</v>
      </c>
    </row>
    <row r="823" spans="1:17" ht="14.4">
      <c r="A823" s="26">
        <v>202</v>
      </c>
      <c r="B823" s="19" t="s">
        <v>430</v>
      </c>
      <c r="C823" s="37">
        <v>45526</v>
      </c>
      <c r="D823" s="22">
        <v>0</v>
      </c>
      <c r="E823" s="22">
        <v>0</v>
      </c>
      <c r="F823" s="22">
        <v>0</v>
      </c>
      <c r="G823" s="22">
        <v>0</v>
      </c>
      <c r="H823" s="38"/>
      <c r="I823" s="22">
        <v>0</v>
      </c>
      <c r="J823" s="22">
        <v>0</v>
      </c>
      <c r="K823" s="22">
        <v>2</v>
      </c>
      <c r="L823" s="22">
        <v>0</v>
      </c>
      <c r="M823" s="19" t="s">
        <v>100</v>
      </c>
      <c r="N823" s="19" t="s">
        <v>87</v>
      </c>
      <c r="O823" s="19" t="s">
        <v>37</v>
      </c>
      <c r="P823" s="19"/>
      <c r="Q823" s="39" t="s">
        <v>263</v>
      </c>
    </row>
    <row r="824" spans="1:17" ht="14.4">
      <c r="A824" s="13">
        <v>202</v>
      </c>
      <c r="B824" s="14" t="s">
        <v>430</v>
      </c>
      <c r="C824" s="34">
        <v>45526</v>
      </c>
      <c r="D824" s="17">
        <v>1</v>
      </c>
      <c r="E824" s="17">
        <v>0</v>
      </c>
      <c r="F824" s="17">
        <v>0</v>
      </c>
      <c r="G824" s="17">
        <v>0</v>
      </c>
      <c r="H824" s="35"/>
      <c r="I824" s="17">
        <v>0</v>
      </c>
      <c r="J824" s="17">
        <v>0</v>
      </c>
      <c r="K824" s="17">
        <v>0</v>
      </c>
      <c r="L824" s="17">
        <v>0</v>
      </c>
      <c r="M824" s="14" t="s">
        <v>100</v>
      </c>
      <c r="N824" s="14" t="s">
        <v>87</v>
      </c>
      <c r="O824" s="14" t="s">
        <v>43</v>
      </c>
      <c r="P824" s="17">
        <v>1</v>
      </c>
      <c r="Q824" s="36" t="s">
        <v>259</v>
      </c>
    </row>
    <row r="825" spans="1:17" ht="14.4">
      <c r="A825" s="26">
        <v>202</v>
      </c>
      <c r="B825" s="19" t="s">
        <v>430</v>
      </c>
      <c r="C825" s="37">
        <v>45526</v>
      </c>
      <c r="D825" s="22">
        <v>78</v>
      </c>
      <c r="E825" s="22">
        <v>0</v>
      </c>
      <c r="F825" s="22">
        <v>0</v>
      </c>
      <c r="G825" s="22">
        <v>0</v>
      </c>
      <c r="H825" s="38"/>
      <c r="I825" s="22">
        <v>0</v>
      </c>
      <c r="J825" s="22">
        <v>0</v>
      </c>
      <c r="K825" s="22">
        <v>0</v>
      </c>
      <c r="L825" s="22">
        <v>0</v>
      </c>
      <c r="M825" s="19" t="s">
        <v>100</v>
      </c>
      <c r="N825" s="19" t="s">
        <v>87</v>
      </c>
      <c r="O825" s="19" t="s">
        <v>89</v>
      </c>
      <c r="P825" s="22">
        <v>13</v>
      </c>
      <c r="Q825" s="39" t="s">
        <v>259</v>
      </c>
    </row>
    <row r="826" spans="1:17" ht="14.4">
      <c r="A826" s="13">
        <v>202</v>
      </c>
      <c r="B826" s="14" t="s">
        <v>430</v>
      </c>
      <c r="C826" s="34">
        <v>45526</v>
      </c>
      <c r="D826" s="17">
        <v>0</v>
      </c>
      <c r="E826" s="17">
        <v>0</v>
      </c>
      <c r="F826" s="17">
        <v>0</v>
      </c>
      <c r="G826" s="17">
        <v>0</v>
      </c>
      <c r="H826" s="35"/>
      <c r="I826" s="17">
        <v>1</v>
      </c>
      <c r="J826" s="17">
        <v>0</v>
      </c>
      <c r="K826" s="17">
        <v>0</v>
      </c>
      <c r="L826" s="17">
        <v>0</v>
      </c>
      <c r="M826" s="14" t="s">
        <v>100</v>
      </c>
      <c r="N826" s="14" t="s">
        <v>87</v>
      </c>
      <c r="O826" s="14" t="s">
        <v>89</v>
      </c>
      <c r="P826" s="14"/>
      <c r="Q826" s="36" t="s">
        <v>260</v>
      </c>
    </row>
    <row r="827" spans="1:17" ht="14.4">
      <c r="A827" s="26">
        <v>202</v>
      </c>
      <c r="B827" s="19" t="s">
        <v>430</v>
      </c>
      <c r="C827" s="37">
        <v>45526</v>
      </c>
      <c r="D827" s="22">
        <v>1</v>
      </c>
      <c r="E827" s="22">
        <v>0</v>
      </c>
      <c r="F827" s="22">
        <v>0</v>
      </c>
      <c r="G827" s="22">
        <v>0</v>
      </c>
      <c r="H827" s="38"/>
      <c r="I827" s="22">
        <v>0</v>
      </c>
      <c r="J827" s="22">
        <v>0</v>
      </c>
      <c r="K827" s="22">
        <v>0</v>
      </c>
      <c r="L827" s="22">
        <v>0</v>
      </c>
      <c r="M827" s="19" t="s">
        <v>100</v>
      </c>
      <c r="N827" s="19" t="s">
        <v>87</v>
      </c>
      <c r="O827" s="19" t="s">
        <v>57</v>
      </c>
      <c r="P827" s="22">
        <v>1</v>
      </c>
      <c r="Q827" s="39" t="s">
        <v>259</v>
      </c>
    </row>
    <row r="828" spans="1:17" ht="14.4">
      <c r="A828" s="13">
        <v>202</v>
      </c>
      <c r="B828" s="14" t="s">
        <v>430</v>
      </c>
      <c r="C828" s="34">
        <v>45526</v>
      </c>
      <c r="D828" s="17">
        <v>0</v>
      </c>
      <c r="E828" s="17">
        <v>0</v>
      </c>
      <c r="F828" s="17">
        <v>0</v>
      </c>
      <c r="G828" s="17">
        <v>0</v>
      </c>
      <c r="H828" s="35"/>
      <c r="I828" s="17">
        <v>0</v>
      </c>
      <c r="J828" s="17">
        <v>4</v>
      </c>
      <c r="K828" s="17">
        <v>2</v>
      </c>
      <c r="L828" s="17">
        <v>0</v>
      </c>
      <c r="M828" s="14" t="s">
        <v>100</v>
      </c>
      <c r="N828" s="14" t="s">
        <v>87</v>
      </c>
      <c r="O828" s="14" t="s">
        <v>57</v>
      </c>
      <c r="P828" s="14"/>
      <c r="Q828" s="36" t="s">
        <v>263</v>
      </c>
    </row>
    <row r="829" spans="1:17" ht="14.4">
      <c r="A829" s="26">
        <v>202</v>
      </c>
      <c r="B829" s="19" t="s">
        <v>430</v>
      </c>
      <c r="C829" s="37">
        <v>45526</v>
      </c>
      <c r="D829" s="22">
        <v>0</v>
      </c>
      <c r="E829" s="22">
        <v>1</v>
      </c>
      <c r="F829" s="22">
        <v>0</v>
      </c>
      <c r="G829" s="22">
        <v>0</v>
      </c>
      <c r="H829" s="21" t="s">
        <v>272</v>
      </c>
      <c r="I829" s="22">
        <v>0</v>
      </c>
      <c r="J829" s="22">
        <v>0</v>
      </c>
      <c r="K829" s="22">
        <v>0</v>
      </c>
      <c r="L829" s="22">
        <v>0</v>
      </c>
      <c r="M829" s="19" t="s">
        <v>100</v>
      </c>
      <c r="N829" s="19" t="s">
        <v>87</v>
      </c>
      <c r="O829" s="19" t="s">
        <v>86</v>
      </c>
      <c r="P829" s="19"/>
      <c r="Q829" s="39" t="s">
        <v>262</v>
      </c>
    </row>
    <row r="830" spans="1:17" ht="14.4">
      <c r="A830" s="13">
        <v>526</v>
      </c>
      <c r="B830" s="14" t="s">
        <v>433</v>
      </c>
      <c r="C830" s="34">
        <v>45526</v>
      </c>
      <c r="D830" s="17">
        <v>1</v>
      </c>
      <c r="E830" s="17">
        <v>0</v>
      </c>
      <c r="F830" s="17">
        <v>0</v>
      </c>
      <c r="G830" s="17">
        <v>0</v>
      </c>
      <c r="H830" s="35"/>
      <c r="I830" s="17">
        <v>0</v>
      </c>
      <c r="J830" s="17">
        <v>0</v>
      </c>
      <c r="K830" s="17">
        <v>0</v>
      </c>
      <c r="L830" s="17">
        <v>0</v>
      </c>
      <c r="M830" s="14" t="s">
        <v>100</v>
      </c>
      <c r="N830" s="14" t="s">
        <v>87</v>
      </c>
      <c r="O830" s="14" t="s">
        <v>43</v>
      </c>
      <c r="P830" s="14"/>
      <c r="Q830" s="36" t="s">
        <v>259</v>
      </c>
    </row>
    <row r="831" spans="1:17" ht="14.4">
      <c r="A831" s="26">
        <v>526</v>
      </c>
      <c r="B831" s="19" t="s">
        <v>433</v>
      </c>
      <c r="C831" s="37">
        <v>45526</v>
      </c>
      <c r="D831" s="22">
        <v>1</v>
      </c>
      <c r="E831" s="22">
        <v>0</v>
      </c>
      <c r="F831" s="22">
        <v>0</v>
      </c>
      <c r="G831" s="22">
        <v>0</v>
      </c>
      <c r="H831" s="38"/>
      <c r="I831" s="22">
        <v>0</v>
      </c>
      <c r="J831" s="22">
        <v>0</v>
      </c>
      <c r="K831" s="22">
        <v>0</v>
      </c>
      <c r="L831" s="22">
        <v>0</v>
      </c>
      <c r="M831" s="19" t="s">
        <v>100</v>
      </c>
      <c r="N831" s="19" t="s">
        <v>87</v>
      </c>
      <c r="O831" s="19" t="s">
        <v>57</v>
      </c>
      <c r="P831" s="19"/>
      <c r="Q831" s="39" t="s">
        <v>259</v>
      </c>
    </row>
    <row r="832" spans="1:17" ht="14.4">
      <c r="A832" s="13">
        <v>526</v>
      </c>
      <c r="B832" s="14" t="s">
        <v>433</v>
      </c>
      <c r="C832" s="34">
        <v>45526</v>
      </c>
      <c r="D832" s="17">
        <v>2</v>
      </c>
      <c r="E832" s="17">
        <v>0</v>
      </c>
      <c r="F832" s="17">
        <v>0</v>
      </c>
      <c r="G832" s="17">
        <v>0</v>
      </c>
      <c r="H832" s="35"/>
      <c r="I832" s="17">
        <v>0</v>
      </c>
      <c r="J832" s="17">
        <v>0</v>
      </c>
      <c r="K832" s="17">
        <v>0</v>
      </c>
      <c r="L832" s="17">
        <v>0</v>
      </c>
      <c r="M832" s="14" t="s">
        <v>100</v>
      </c>
      <c r="N832" s="14" t="s">
        <v>87</v>
      </c>
      <c r="O832" s="14" t="s">
        <v>86</v>
      </c>
      <c r="P832" s="14"/>
      <c r="Q832" s="36" t="s">
        <v>259</v>
      </c>
    </row>
    <row r="833" spans="1:17" ht="14.4">
      <c r="A833" s="26">
        <v>526</v>
      </c>
      <c r="B833" s="19" t="s">
        <v>433</v>
      </c>
      <c r="C833" s="37">
        <v>45526</v>
      </c>
      <c r="D833" s="22">
        <v>0</v>
      </c>
      <c r="E833" s="22">
        <v>0</v>
      </c>
      <c r="F833" s="22">
        <v>0</v>
      </c>
      <c r="G833" s="22">
        <v>0</v>
      </c>
      <c r="H833" s="38"/>
      <c r="I833" s="22">
        <v>0</v>
      </c>
      <c r="J833" s="22">
        <v>2</v>
      </c>
      <c r="K833" s="22">
        <v>0</v>
      </c>
      <c r="L833" s="22">
        <v>0</v>
      </c>
      <c r="M833" s="19" t="s">
        <v>100</v>
      </c>
      <c r="N833" s="19" t="s">
        <v>87</v>
      </c>
      <c r="O833" s="19" t="s">
        <v>86</v>
      </c>
      <c r="P833" s="19"/>
      <c r="Q833" s="39" t="s">
        <v>263</v>
      </c>
    </row>
    <row r="834" spans="1:17" ht="14.4">
      <c r="A834" s="13">
        <v>128</v>
      </c>
      <c r="B834" s="14" t="s">
        <v>434</v>
      </c>
      <c r="C834" s="34">
        <v>45526</v>
      </c>
      <c r="D834" s="17">
        <v>3</v>
      </c>
      <c r="E834" s="17">
        <v>0</v>
      </c>
      <c r="F834" s="17">
        <v>0</v>
      </c>
      <c r="G834" s="17">
        <v>0</v>
      </c>
      <c r="H834" s="35"/>
      <c r="I834" s="17">
        <v>0</v>
      </c>
      <c r="J834" s="17">
        <v>0</v>
      </c>
      <c r="K834" s="17">
        <v>0</v>
      </c>
      <c r="L834" s="17">
        <v>0</v>
      </c>
      <c r="M834" s="14" t="s">
        <v>296</v>
      </c>
      <c r="N834" s="14" t="s">
        <v>91</v>
      </c>
      <c r="O834" s="14" t="s">
        <v>38</v>
      </c>
      <c r="P834" s="17">
        <v>1</v>
      </c>
      <c r="Q834" s="36" t="s">
        <v>259</v>
      </c>
    </row>
    <row r="835" spans="1:17" ht="14.4">
      <c r="A835" s="26">
        <v>128</v>
      </c>
      <c r="B835" s="19" t="s">
        <v>434</v>
      </c>
      <c r="C835" s="37">
        <v>45526</v>
      </c>
      <c r="D835" s="22">
        <v>0</v>
      </c>
      <c r="E835" s="22">
        <v>1</v>
      </c>
      <c r="F835" s="22">
        <v>0</v>
      </c>
      <c r="G835" s="22">
        <v>0</v>
      </c>
      <c r="H835" s="21" t="s">
        <v>269</v>
      </c>
      <c r="I835" s="22">
        <v>0</v>
      </c>
      <c r="J835" s="22">
        <v>0</v>
      </c>
      <c r="K835" s="22">
        <v>0</v>
      </c>
      <c r="L835" s="22">
        <v>0</v>
      </c>
      <c r="M835" s="19" t="s">
        <v>296</v>
      </c>
      <c r="N835" s="19" t="s">
        <v>91</v>
      </c>
      <c r="O835" s="19" t="s">
        <v>44</v>
      </c>
      <c r="P835" s="19"/>
      <c r="Q835" s="39" t="s">
        <v>262</v>
      </c>
    </row>
    <row r="836" spans="1:17" ht="14.4">
      <c r="A836" s="13">
        <v>128</v>
      </c>
      <c r="B836" s="14" t="s">
        <v>434</v>
      </c>
      <c r="C836" s="34">
        <v>45526</v>
      </c>
      <c r="D836" s="17">
        <v>0</v>
      </c>
      <c r="E836" s="17">
        <v>0</v>
      </c>
      <c r="F836" s="17">
        <v>0</v>
      </c>
      <c r="G836" s="17">
        <v>0</v>
      </c>
      <c r="H836" s="35"/>
      <c r="I836" s="17">
        <v>0</v>
      </c>
      <c r="J836" s="17">
        <v>1</v>
      </c>
      <c r="K836" s="17">
        <v>0</v>
      </c>
      <c r="L836" s="17">
        <v>0</v>
      </c>
      <c r="M836" s="14" t="s">
        <v>296</v>
      </c>
      <c r="N836" s="14" t="s">
        <v>91</v>
      </c>
      <c r="O836" s="14" t="s">
        <v>44</v>
      </c>
      <c r="P836" s="14"/>
      <c r="Q836" s="36" t="s">
        <v>263</v>
      </c>
    </row>
    <row r="837" spans="1:17" ht="14.4">
      <c r="A837" s="26">
        <v>128</v>
      </c>
      <c r="B837" s="19" t="s">
        <v>434</v>
      </c>
      <c r="C837" s="37">
        <v>45526</v>
      </c>
      <c r="D837" s="22">
        <v>0</v>
      </c>
      <c r="E837" s="22">
        <v>1</v>
      </c>
      <c r="F837" s="22">
        <v>0</v>
      </c>
      <c r="G837" s="22">
        <v>0</v>
      </c>
      <c r="H837" s="21" t="s">
        <v>435</v>
      </c>
      <c r="I837" s="22">
        <v>0</v>
      </c>
      <c r="J837" s="22">
        <v>0</v>
      </c>
      <c r="K837" s="22">
        <v>0</v>
      </c>
      <c r="L837" s="22">
        <v>0</v>
      </c>
      <c r="M837" s="19" t="s">
        <v>296</v>
      </c>
      <c r="N837" s="19" t="s">
        <v>91</v>
      </c>
      <c r="O837" s="19" t="s">
        <v>47</v>
      </c>
      <c r="P837" s="19"/>
      <c r="Q837" s="39" t="s">
        <v>262</v>
      </c>
    </row>
    <row r="838" spans="1:17" ht="14.4">
      <c r="A838" s="13">
        <v>128</v>
      </c>
      <c r="B838" s="14" t="s">
        <v>434</v>
      </c>
      <c r="C838" s="34">
        <v>45526</v>
      </c>
      <c r="D838" s="17">
        <v>0</v>
      </c>
      <c r="E838" s="17">
        <v>0</v>
      </c>
      <c r="F838" s="17">
        <v>0</v>
      </c>
      <c r="G838" s="17">
        <v>0</v>
      </c>
      <c r="H838" s="35"/>
      <c r="I838" s="17">
        <v>1</v>
      </c>
      <c r="J838" s="17">
        <v>0</v>
      </c>
      <c r="K838" s="17">
        <v>0</v>
      </c>
      <c r="L838" s="17">
        <v>0</v>
      </c>
      <c r="M838" s="14" t="s">
        <v>296</v>
      </c>
      <c r="N838" s="14" t="s">
        <v>91</v>
      </c>
      <c r="O838" s="14" t="s">
        <v>47</v>
      </c>
      <c r="P838" s="14"/>
      <c r="Q838" s="36" t="s">
        <v>260</v>
      </c>
    </row>
    <row r="839" spans="1:17" ht="14.4">
      <c r="A839" s="26">
        <v>128</v>
      </c>
      <c r="B839" s="19" t="s">
        <v>434</v>
      </c>
      <c r="C839" s="37">
        <v>45526</v>
      </c>
      <c r="D839" s="22">
        <v>0</v>
      </c>
      <c r="E839" s="22">
        <v>0</v>
      </c>
      <c r="F839" s="22">
        <v>1</v>
      </c>
      <c r="G839" s="22">
        <v>0</v>
      </c>
      <c r="H839" s="38"/>
      <c r="I839" s="22">
        <v>0</v>
      </c>
      <c r="J839" s="22">
        <v>0</v>
      </c>
      <c r="K839" s="22">
        <v>0</v>
      </c>
      <c r="L839" s="22">
        <v>0</v>
      </c>
      <c r="M839" s="19" t="s">
        <v>296</v>
      </c>
      <c r="N839" s="19" t="s">
        <v>91</v>
      </c>
      <c r="O839" s="19" t="s">
        <v>90</v>
      </c>
      <c r="P839" s="19"/>
      <c r="Q839" s="39" t="s">
        <v>262</v>
      </c>
    </row>
    <row r="840" spans="1:17" ht="14.4">
      <c r="A840" s="13">
        <v>128</v>
      </c>
      <c r="B840" s="14" t="s">
        <v>434</v>
      </c>
      <c r="C840" s="34">
        <v>45526</v>
      </c>
      <c r="D840" s="17">
        <v>1</v>
      </c>
      <c r="E840" s="17">
        <v>0</v>
      </c>
      <c r="F840" s="17">
        <v>0</v>
      </c>
      <c r="G840" s="17">
        <v>0</v>
      </c>
      <c r="H840" s="35"/>
      <c r="I840" s="17">
        <v>0</v>
      </c>
      <c r="J840" s="17">
        <v>0</v>
      </c>
      <c r="K840" s="17">
        <v>0</v>
      </c>
      <c r="L840" s="17">
        <v>0</v>
      </c>
      <c r="M840" s="14" t="s">
        <v>296</v>
      </c>
      <c r="N840" s="14" t="s">
        <v>91</v>
      </c>
      <c r="O840" s="14" t="s">
        <v>90</v>
      </c>
      <c r="P840" s="14"/>
      <c r="Q840" s="36" t="s">
        <v>259</v>
      </c>
    </row>
    <row r="841" spans="1:17" ht="14.4">
      <c r="A841" s="26">
        <v>128</v>
      </c>
      <c r="B841" s="19" t="s">
        <v>434</v>
      </c>
      <c r="C841" s="37">
        <v>45526</v>
      </c>
      <c r="D841" s="22">
        <v>0</v>
      </c>
      <c r="E841" s="22">
        <v>0</v>
      </c>
      <c r="F841" s="22">
        <v>0</v>
      </c>
      <c r="G841" s="22">
        <v>0</v>
      </c>
      <c r="H841" s="38"/>
      <c r="I841" s="22">
        <v>2</v>
      </c>
      <c r="J841" s="22">
        <v>0</v>
      </c>
      <c r="K841" s="22">
        <v>0</v>
      </c>
      <c r="L841" s="22">
        <v>0</v>
      </c>
      <c r="M841" s="19" t="s">
        <v>296</v>
      </c>
      <c r="N841" s="19" t="s">
        <v>91</v>
      </c>
      <c r="O841" s="19" t="s">
        <v>90</v>
      </c>
      <c r="P841" s="19"/>
      <c r="Q841" s="39" t="s">
        <v>260</v>
      </c>
    </row>
    <row r="842" spans="1:17" ht="14.4">
      <c r="A842" s="13">
        <v>128</v>
      </c>
      <c r="B842" s="14" t="s">
        <v>434</v>
      </c>
      <c r="C842" s="34">
        <v>45526</v>
      </c>
      <c r="D842" s="17">
        <v>0</v>
      </c>
      <c r="E842" s="17">
        <v>0</v>
      </c>
      <c r="F842" s="17">
        <v>0</v>
      </c>
      <c r="G842" s="17">
        <v>0</v>
      </c>
      <c r="H842" s="35"/>
      <c r="I842" s="17">
        <v>0</v>
      </c>
      <c r="J842" s="17">
        <v>0</v>
      </c>
      <c r="K842" s="17">
        <v>0</v>
      </c>
      <c r="L842" s="17">
        <v>1</v>
      </c>
      <c r="M842" s="14" t="s">
        <v>296</v>
      </c>
      <c r="N842" s="14" t="s">
        <v>87</v>
      </c>
      <c r="O842" s="14" t="s">
        <v>37</v>
      </c>
      <c r="P842" s="14"/>
      <c r="Q842" s="36" t="s">
        <v>284</v>
      </c>
    </row>
    <row r="843" spans="1:17" ht="14.4">
      <c r="A843" s="26">
        <v>128</v>
      </c>
      <c r="B843" s="19" t="s">
        <v>434</v>
      </c>
      <c r="C843" s="37">
        <v>45526</v>
      </c>
      <c r="D843" s="22">
        <v>0</v>
      </c>
      <c r="E843" s="22">
        <v>1</v>
      </c>
      <c r="F843" s="22">
        <v>0</v>
      </c>
      <c r="G843" s="22">
        <v>0</v>
      </c>
      <c r="H843" s="21" t="s">
        <v>405</v>
      </c>
      <c r="I843" s="22">
        <v>0</v>
      </c>
      <c r="J843" s="22">
        <v>0</v>
      </c>
      <c r="K843" s="22">
        <v>0</v>
      </c>
      <c r="L843" s="22">
        <v>0</v>
      </c>
      <c r="M843" s="19" t="s">
        <v>296</v>
      </c>
      <c r="N843" s="19" t="s">
        <v>87</v>
      </c>
      <c r="O843" s="19" t="s">
        <v>37</v>
      </c>
      <c r="P843" s="19"/>
      <c r="Q843" s="39" t="s">
        <v>262</v>
      </c>
    </row>
    <row r="844" spans="1:17" ht="14.4">
      <c r="A844" s="13">
        <v>128</v>
      </c>
      <c r="B844" s="14" t="s">
        <v>434</v>
      </c>
      <c r="C844" s="34">
        <v>45526</v>
      </c>
      <c r="D844" s="17">
        <v>1</v>
      </c>
      <c r="E844" s="17">
        <v>0</v>
      </c>
      <c r="F844" s="17">
        <v>0</v>
      </c>
      <c r="G844" s="17">
        <v>0</v>
      </c>
      <c r="H844" s="35"/>
      <c r="I844" s="17">
        <v>0</v>
      </c>
      <c r="J844" s="17">
        <v>0</v>
      </c>
      <c r="K844" s="17">
        <v>0</v>
      </c>
      <c r="L844" s="17">
        <v>0</v>
      </c>
      <c r="M844" s="14" t="s">
        <v>296</v>
      </c>
      <c r="N844" s="14" t="s">
        <v>87</v>
      </c>
      <c r="O844" s="14" t="s">
        <v>37</v>
      </c>
      <c r="P844" s="17">
        <v>1</v>
      </c>
      <c r="Q844" s="36" t="s">
        <v>259</v>
      </c>
    </row>
    <row r="845" spans="1:17" ht="14.4">
      <c r="A845" s="26">
        <v>128</v>
      </c>
      <c r="B845" s="19" t="s">
        <v>434</v>
      </c>
      <c r="C845" s="37">
        <v>45526</v>
      </c>
      <c r="D845" s="22">
        <v>0</v>
      </c>
      <c r="E845" s="22">
        <v>0</v>
      </c>
      <c r="F845" s="22">
        <v>0</v>
      </c>
      <c r="G845" s="22">
        <v>0</v>
      </c>
      <c r="H845" s="38"/>
      <c r="I845" s="22">
        <v>0</v>
      </c>
      <c r="J845" s="22">
        <v>1</v>
      </c>
      <c r="K845" s="22">
        <v>0</v>
      </c>
      <c r="L845" s="22">
        <v>0</v>
      </c>
      <c r="M845" s="19" t="s">
        <v>296</v>
      </c>
      <c r="N845" s="19" t="s">
        <v>87</v>
      </c>
      <c r="O845" s="19" t="s">
        <v>37</v>
      </c>
      <c r="P845" s="19"/>
      <c r="Q845" s="39" t="s">
        <v>263</v>
      </c>
    </row>
    <row r="846" spans="1:17" ht="14.4">
      <c r="A846" s="13">
        <v>128</v>
      </c>
      <c r="B846" s="14" t="s">
        <v>434</v>
      </c>
      <c r="C846" s="34">
        <v>45526</v>
      </c>
      <c r="D846" s="17">
        <v>0</v>
      </c>
      <c r="E846" s="17">
        <v>1</v>
      </c>
      <c r="F846" s="17">
        <v>0</v>
      </c>
      <c r="G846" s="17">
        <v>0</v>
      </c>
      <c r="H846" s="16" t="s">
        <v>275</v>
      </c>
      <c r="I846" s="17">
        <v>0</v>
      </c>
      <c r="J846" s="17">
        <v>0</v>
      </c>
      <c r="K846" s="17">
        <v>0</v>
      </c>
      <c r="L846" s="17">
        <v>0</v>
      </c>
      <c r="M846" s="14" t="s">
        <v>296</v>
      </c>
      <c r="N846" s="14" t="s">
        <v>87</v>
      </c>
      <c r="O846" s="14" t="s">
        <v>43</v>
      </c>
      <c r="P846" s="14"/>
      <c r="Q846" s="36" t="s">
        <v>262</v>
      </c>
    </row>
    <row r="847" spans="1:17" ht="14.4">
      <c r="A847" s="26">
        <v>128</v>
      </c>
      <c r="B847" s="19" t="s">
        <v>434</v>
      </c>
      <c r="C847" s="37">
        <v>45526</v>
      </c>
      <c r="D847" s="22">
        <v>9</v>
      </c>
      <c r="E847" s="22">
        <v>0</v>
      </c>
      <c r="F847" s="22">
        <v>0</v>
      </c>
      <c r="G847" s="22">
        <v>0</v>
      </c>
      <c r="H847" s="38"/>
      <c r="I847" s="22">
        <v>0</v>
      </c>
      <c r="J847" s="22">
        <v>0</v>
      </c>
      <c r="K847" s="22">
        <v>0</v>
      </c>
      <c r="L847" s="22">
        <v>0</v>
      </c>
      <c r="M847" s="19" t="s">
        <v>296</v>
      </c>
      <c r="N847" s="19" t="s">
        <v>87</v>
      </c>
      <c r="O847" s="19" t="s">
        <v>43</v>
      </c>
      <c r="P847" s="22">
        <v>4</v>
      </c>
      <c r="Q847" s="39" t="s">
        <v>259</v>
      </c>
    </row>
    <row r="848" spans="1:17" ht="14.4">
      <c r="A848" s="13">
        <v>128</v>
      </c>
      <c r="B848" s="14" t="s">
        <v>434</v>
      </c>
      <c r="C848" s="34">
        <v>45526</v>
      </c>
      <c r="D848" s="17">
        <v>0</v>
      </c>
      <c r="E848" s="17">
        <v>0</v>
      </c>
      <c r="F848" s="17">
        <v>0</v>
      </c>
      <c r="G848" s="17">
        <v>0</v>
      </c>
      <c r="H848" s="35"/>
      <c r="I848" s="17">
        <v>0</v>
      </c>
      <c r="J848" s="17">
        <v>1</v>
      </c>
      <c r="K848" s="17">
        <v>0</v>
      </c>
      <c r="L848" s="17">
        <v>0</v>
      </c>
      <c r="M848" s="14" t="s">
        <v>296</v>
      </c>
      <c r="N848" s="14" t="s">
        <v>87</v>
      </c>
      <c r="O848" s="14" t="s">
        <v>43</v>
      </c>
      <c r="P848" s="14"/>
      <c r="Q848" s="36" t="s">
        <v>263</v>
      </c>
    </row>
    <row r="849" spans="1:17" ht="14.4">
      <c r="A849" s="26">
        <v>128</v>
      </c>
      <c r="B849" s="19" t="s">
        <v>434</v>
      </c>
      <c r="C849" s="37">
        <v>45526</v>
      </c>
      <c r="D849" s="22">
        <v>0</v>
      </c>
      <c r="E849" s="22">
        <v>0</v>
      </c>
      <c r="F849" s="22">
        <v>0</v>
      </c>
      <c r="G849" s="22">
        <v>0</v>
      </c>
      <c r="H849" s="38"/>
      <c r="I849" s="22">
        <v>0</v>
      </c>
      <c r="J849" s="22">
        <v>0</v>
      </c>
      <c r="K849" s="22">
        <v>0</v>
      </c>
      <c r="L849" s="22">
        <v>1</v>
      </c>
      <c r="M849" s="19" t="s">
        <v>296</v>
      </c>
      <c r="N849" s="19" t="s">
        <v>87</v>
      </c>
      <c r="O849" s="19" t="s">
        <v>46</v>
      </c>
      <c r="P849" s="19"/>
      <c r="Q849" s="39" t="s">
        <v>284</v>
      </c>
    </row>
    <row r="850" spans="1:17" ht="14.4">
      <c r="A850" s="13">
        <v>128</v>
      </c>
      <c r="B850" s="14" t="s">
        <v>434</v>
      </c>
      <c r="C850" s="34">
        <v>45526</v>
      </c>
      <c r="D850" s="17">
        <v>0</v>
      </c>
      <c r="E850" s="17">
        <v>1</v>
      </c>
      <c r="F850" s="17">
        <v>0</v>
      </c>
      <c r="G850" s="17">
        <v>0</v>
      </c>
      <c r="H850" s="16" t="s">
        <v>427</v>
      </c>
      <c r="I850" s="17">
        <v>0</v>
      </c>
      <c r="J850" s="17">
        <v>0</v>
      </c>
      <c r="K850" s="17">
        <v>0</v>
      </c>
      <c r="L850" s="17">
        <v>0</v>
      </c>
      <c r="M850" s="14" t="s">
        <v>296</v>
      </c>
      <c r="N850" s="14" t="s">
        <v>87</v>
      </c>
      <c r="O850" s="14" t="s">
        <v>46</v>
      </c>
      <c r="P850" s="14"/>
      <c r="Q850" s="36" t="s">
        <v>262</v>
      </c>
    </row>
    <row r="851" spans="1:17" ht="14.4">
      <c r="A851" s="26">
        <v>128</v>
      </c>
      <c r="B851" s="19" t="s">
        <v>434</v>
      </c>
      <c r="C851" s="37">
        <v>45526</v>
      </c>
      <c r="D851" s="22">
        <v>1</v>
      </c>
      <c r="E851" s="22">
        <v>0</v>
      </c>
      <c r="F851" s="22">
        <v>0</v>
      </c>
      <c r="G851" s="22">
        <v>0</v>
      </c>
      <c r="H851" s="38"/>
      <c r="I851" s="22">
        <v>0</v>
      </c>
      <c r="J851" s="22">
        <v>0</v>
      </c>
      <c r="K851" s="22">
        <v>0</v>
      </c>
      <c r="L851" s="22">
        <v>0</v>
      </c>
      <c r="M851" s="19" t="s">
        <v>296</v>
      </c>
      <c r="N851" s="19" t="s">
        <v>87</v>
      </c>
      <c r="O851" s="19" t="s">
        <v>60</v>
      </c>
      <c r="P851" s="19"/>
      <c r="Q851" s="39" t="s">
        <v>259</v>
      </c>
    </row>
    <row r="852" spans="1:17" ht="14.4">
      <c r="A852" s="13">
        <v>128</v>
      </c>
      <c r="B852" s="14" t="s">
        <v>434</v>
      </c>
      <c r="C852" s="34">
        <v>45526</v>
      </c>
      <c r="D852" s="17">
        <v>0</v>
      </c>
      <c r="E852" s="17">
        <v>0</v>
      </c>
      <c r="F852" s="17">
        <v>0</v>
      </c>
      <c r="G852" s="17">
        <v>0</v>
      </c>
      <c r="H852" s="35"/>
      <c r="I852" s="17">
        <v>0</v>
      </c>
      <c r="J852" s="17">
        <v>1</v>
      </c>
      <c r="K852" s="17">
        <v>0</v>
      </c>
      <c r="L852" s="17">
        <v>0</v>
      </c>
      <c r="M852" s="14" t="s">
        <v>296</v>
      </c>
      <c r="N852" s="14" t="s">
        <v>87</v>
      </c>
      <c r="O852" s="14" t="s">
        <v>60</v>
      </c>
      <c r="P852" s="14"/>
      <c r="Q852" s="36" t="s">
        <v>263</v>
      </c>
    </row>
    <row r="853" spans="1:17" ht="14.4">
      <c r="A853" s="26">
        <v>128</v>
      </c>
      <c r="B853" s="19" t="s">
        <v>434</v>
      </c>
      <c r="C853" s="37">
        <v>45526</v>
      </c>
      <c r="D853" s="22">
        <v>0</v>
      </c>
      <c r="E853" s="22">
        <v>0</v>
      </c>
      <c r="F853" s="22">
        <v>1</v>
      </c>
      <c r="G853" s="22">
        <v>0</v>
      </c>
      <c r="H853" s="38"/>
      <c r="I853" s="22">
        <v>0</v>
      </c>
      <c r="J853" s="22">
        <v>0</v>
      </c>
      <c r="K853" s="22">
        <v>0</v>
      </c>
      <c r="L853" s="22">
        <v>0</v>
      </c>
      <c r="M853" s="19" t="s">
        <v>296</v>
      </c>
      <c r="N853" s="19" t="s">
        <v>87</v>
      </c>
      <c r="O853" s="19" t="s">
        <v>51</v>
      </c>
      <c r="P853" s="19"/>
      <c r="Q853" s="39" t="s">
        <v>262</v>
      </c>
    </row>
    <row r="854" spans="1:17" ht="14.4">
      <c r="A854" s="13">
        <v>128</v>
      </c>
      <c r="B854" s="14" t="s">
        <v>434</v>
      </c>
      <c r="C854" s="34">
        <v>45526</v>
      </c>
      <c r="D854" s="17">
        <v>0</v>
      </c>
      <c r="E854" s="17">
        <v>0</v>
      </c>
      <c r="F854" s="17">
        <v>0</v>
      </c>
      <c r="G854" s="17">
        <v>0</v>
      </c>
      <c r="H854" s="35"/>
      <c r="I854" s="17">
        <v>0</v>
      </c>
      <c r="J854" s="17">
        <v>0</v>
      </c>
      <c r="K854" s="17">
        <v>1</v>
      </c>
      <c r="L854" s="17">
        <v>0</v>
      </c>
      <c r="M854" s="14" t="s">
        <v>296</v>
      </c>
      <c r="N854" s="14" t="s">
        <v>87</v>
      </c>
      <c r="O854" s="14" t="s">
        <v>51</v>
      </c>
      <c r="P854" s="14"/>
      <c r="Q854" s="36" t="s">
        <v>263</v>
      </c>
    </row>
    <row r="855" spans="1:17" ht="14.4">
      <c r="A855" s="26">
        <v>128</v>
      </c>
      <c r="B855" s="19" t="s">
        <v>434</v>
      </c>
      <c r="C855" s="37">
        <v>45526</v>
      </c>
      <c r="D855" s="22">
        <v>0</v>
      </c>
      <c r="E855" s="22">
        <v>0</v>
      </c>
      <c r="F855" s="22">
        <v>0</v>
      </c>
      <c r="G855" s="22">
        <v>0</v>
      </c>
      <c r="H855" s="38"/>
      <c r="I855" s="22">
        <v>1</v>
      </c>
      <c r="J855" s="22">
        <v>0</v>
      </c>
      <c r="K855" s="22">
        <v>0</v>
      </c>
      <c r="L855" s="22">
        <v>0</v>
      </c>
      <c r="M855" s="19" t="s">
        <v>296</v>
      </c>
      <c r="N855" s="19" t="s">
        <v>87</v>
      </c>
      <c r="O855" s="19" t="s">
        <v>98</v>
      </c>
      <c r="P855" s="19"/>
      <c r="Q855" s="39" t="s">
        <v>260</v>
      </c>
    </row>
    <row r="856" spans="1:17" ht="14.4">
      <c r="A856" s="13">
        <v>128</v>
      </c>
      <c r="B856" s="14" t="s">
        <v>434</v>
      </c>
      <c r="C856" s="34">
        <v>45526</v>
      </c>
      <c r="D856" s="17">
        <v>7</v>
      </c>
      <c r="E856" s="17">
        <v>0</v>
      </c>
      <c r="F856" s="17">
        <v>0</v>
      </c>
      <c r="G856" s="17">
        <v>0</v>
      </c>
      <c r="H856" s="35"/>
      <c r="I856" s="17">
        <v>0</v>
      </c>
      <c r="J856" s="17">
        <v>0</v>
      </c>
      <c r="K856" s="17">
        <v>0</v>
      </c>
      <c r="L856" s="17">
        <v>0</v>
      </c>
      <c r="M856" s="14" t="s">
        <v>296</v>
      </c>
      <c r="N856" s="14" t="s">
        <v>87</v>
      </c>
      <c r="O856" s="14" t="s">
        <v>89</v>
      </c>
      <c r="P856" s="17">
        <v>6</v>
      </c>
      <c r="Q856" s="36" t="s">
        <v>259</v>
      </c>
    </row>
    <row r="857" spans="1:17" ht="14.4">
      <c r="A857" s="26">
        <v>128</v>
      </c>
      <c r="B857" s="19" t="s">
        <v>434</v>
      </c>
      <c r="C857" s="37">
        <v>45526</v>
      </c>
      <c r="D857" s="22">
        <v>0</v>
      </c>
      <c r="E857" s="22">
        <v>0</v>
      </c>
      <c r="F857" s="22">
        <v>0</v>
      </c>
      <c r="G857" s="22">
        <v>0</v>
      </c>
      <c r="H857" s="38"/>
      <c r="I857" s="22">
        <v>2</v>
      </c>
      <c r="J857" s="22">
        <v>0</v>
      </c>
      <c r="K857" s="22">
        <v>0</v>
      </c>
      <c r="L857" s="22">
        <v>0</v>
      </c>
      <c r="M857" s="19" t="s">
        <v>296</v>
      </c>
      <c r="N857" s="19" t="s">
        <v>87</v>
      </c>
      <c r="O857" s="19" t="s">
        <v>89</v>
      </c>
      <c r="P857" s="19"/>
      <c r="Q857" s="39" t="s">
        <v>260</v>
      </c>
    </row>
    <row r="858" spans="1:17" ht="14.4">
      <c r="A858" s="13">
        <v>128</v>
      </c>
      <c r="B858" s="14" t="s">
        <v>434</v>
      </c>
      <c r="C858" s="34">
        <v>45526</v>
      </c>
      <c r="D858" s="17">
        <v>0</v>
      </c>
      <c r="E858" s="17">
        <v>0</v>
      </c>
      <c r="F858" s="17">
        <v>0</v>
      </c>
      <c r="G858" s="17">
        <v>0</v>
      </c>
      <c r="H858" s="35"/>
      <c r="I858" s="17">
        <v>0</v>
      </c>
      <c r="J858" s="17">
        <v>3</v>
      </c>
      <c r="K858" s="17">
        <v>0</v>
      </c>
      <c r="L858" s="17">
        <v>0</v>
      </c>
      <c r="M858" s="14" t="s">
        <v>296</v>
      </c>
      <c r="N858" s="14" t="s">
        <v>87</v>
      </c>
      <c r="O858" s="14" t="s">
        <v>89</v>
      </c>
      <c r="P858" s="14"/>
      <c r="Q858" s="36" t="s">
        <v>263</v>
      </c>
    </row>
    <row r="859" spans="1:17" ht="14.4">
      <c r="A859" s="26">
        <v>128</v>
      </c>
      <c r="B859" s="19" t="s">
        <v>434</v>
      </c>
      <c r="C859" s="37">
        <v>45526</v>
      </c>
      <c r="D859" s="22">
        <v>3</v>
      </c>
      <c r="E859" s="22">
        <v>0</v>
      </c>
      <c r="F859" s="22">
        <v>0</v>
      </c>
      <c r="G859" s="22">
        <v>0</v>
      </c>
      <c r="H859" s="38"/>
      <c r="I859" s="22">
        <v>0</v>
      </c>
      <c r="J859" s="22">
        <v>0</v>
      </c>
      <c r="K859" s="22">
        <v>0</v>
      </c>
      <c r="L859" s="22">
        <v>0</v>
      </c>
      <c r="M859" s="19" t="s">
        <v>296</v>
      </c>
      <c r="N859" s="19" t="s">
        <v>87</v>
      </c>
      <c r="O859" s="19" t="s">
        <v>57</v>
      </c>
      <c r="P859" s="22">
        <v>1</v>
      </c>
      <c r="Q859" s="39" t="s">
        <v>259</v>
      </c>
    </row>
    <row r="860" spans="1:17" ht="14.4">
      <c r="A860" s="13">
        <v>128</v>
      </c>
      <c r="B860" s="14" t="s">
        <v>434</v>
      </c>
      <c r="C860" s="34">
        <v>45526</v>
      </c>
      <c r="D860" s="17">
        <v>0</v>
      </c>
      <c r="E860" s="17">
        <v>0</v>
      </c>
      <c r="F860" s="17">
        <v>0</v>
      </c>
      <c r="G860" s="17">
        <v>0</v>
      </c>
      <c r="H860" s="35"/>
      <c r="I860" s="17">
        <v>0</v>
      </c>
      <c r="J860" s="17">
        <v>2</v>
      </c>
      <c r="K860" s="17">
        <v>0</v>
      </c>
      <c r="L860" s="17">
        <v>0</v>
      </c>
      <c r="M860" s="14" t="s">
        <v>296</v>
      </c>
      <c r="N860" s="14" t="s">
        <v>87</v>
      </c>
      <c r="O860" s="14" t="s">
        <v>57</v>
      </c>
      <c r="P860" s="14"/>
      <c r="Q860" s="36" t="s">
        <v>263</v>
      </c>
    </row>
    <row r="861" spans="1:17" ht="14.4">
      <c r="A861" s="26">
        <v>128</v>
      </c>
      <c r="B861" s="19" t="s">
        <v>434</v>
      </c>
      <c r="C861" s="37">
        <v>45526</v>
      </c>
      <c r="D861" s="22">
        <v>8</v>
      </c>
      <c r="E861" s="22">
        <v>0</v>
      </c>
      <c r="F861" s="22">
        <v>0</v>
      </c>
      <c r="G861" s="22">
        <v>0</v>
      </c>
      <c r="H861" s="38"/>
      <c r="I861" s="22">
        <v>0</v>
      </c>
      <c r="J861" s="22">
        <v>0</v>
      </c>
      <c r="K861" s="22">
        <v>0</v>
      </c>
      <c r="L861" s="22">
        <v>0</v>
      </c>
      <c r="M861" s="19" t="s">
        <v>296</v>
      </c>
      <c r="N861" s="19" t="s">
        <v>87</v>
      </c>
      <c r="O861" s="19" t="s">
        <v>59</v>
      </c>
      <c r="P861" s="22">
        <v>1</v>
      </c>
      <c r="Q861" s="39" t="s">
        <v>259</v>
      </c>
    </row>
    <row r="862" spans="1:17" ht="14.4">
      <c r="A862" s="13">
        <v>696</v>
      </c>
      <c r="B862" s="14" t="s">
        <v>436</v>
      </c>
      <c r="C862" s="34">
        <v>45526</v>
      </c>
      <c r="D862" s="17">
        <v>1</v>
      </c>
      <c r="E862" s="17">
        <v>0</v>
      </c>
      <c r="F862" s="17">
        <v>0</v>
      </c>
      <c r="G862" s="17">
        <v>0</v>
      </c>
      <c r="H862" s="35"/>
      <c r="I862" s="17">
        <v>0</v>
      </c>
      <c r="J862" s="17">
        <v>0</v>
      </c>
      <c r="K862" s="17">
        <v>0</v>
      </c>
      <c r="L862" s="17">
        <v>0</v>
      </c>
      <c r="M862" s="14" t="s">
        <v>100</v>
      </c>
      <c r="N862" s="14" t="s">
        <v>87</v>
      </c>
      <c r="O862" s="14" t="s">
        <v>86</v>
      </c>
      <c r="P862" s="14"/>
      <c r="Q862" s="36" t="s">
        <v>259</v>
      </c>
    </row>
    <row r="863" spans="1:17" ht="14.4">
      <c r="A863" s="26">
        <v>257</v>
      </c>
      <c r="B863" s="19" t="s">
        <v>437</v>
      </c>
      <c r="C863" s="37">
        <v>45526</v>
      </c>
      <c r="D863" s="22">
        <v>1</v>
      </c>
      <c r="E863" s="22">
        <v>0</v>
      </c>
      <c r="F863" s="22">
        <v>0</v>
      </c>
      <c r="G863" s="22">
        <v>0</v>
      </c>
      <c r="H863" s="38"/>
      <c r="I863" s="22">
        <v>0</v>
      </c>
      <c r="J863" s="22">
        <v>0</v>
      </c>
      <c r="K863" s="22">
        <v>0</v>
      </c>
      <c r="L863" s="22">
        <v>0</v>
      </c>
      <c r="M863" s="19" t="s">
        <v>100</v>
      </c>
      <c r="N863" s="19" t="s">
        <v>91</v>
      </c>
      <c r="O863" s="19" t="s">
        <v>38</v>
      </c>
      <c r="P863" s="19"/>
      <c r="Q863" s="39" t="s">
        <v>259</v>
      </c>
    </row>
    <row r="864" spans="1:17" ht="14.4">
      <c r="A864" s="13">
        <v>257</v>
      </c>
      <c r="B864" s="14" t="s">
        <v>437</v>
      </c>
      <c r="C864" s="34">
        <v>45526</v>
      </c>
      <c r="D864" s="17">
        <v>3</v>
      </c>
      <c r="E864" s="17">
        <v>0</v>
      </c>
      <c r="F864" s="17">
        <v>0</v>
      </c>
      <c r="G864" s="17">
        <v>0</v>
      </c>
      <c r="H864" s="35"/>
      <c r="I864" s="17">
        <v>0</v>
      </c>
      <c r="J864" s="17">
        <v>0</v>
      </c>
      <c r="K864" s="17">
        <v>0</v>
      </c>
      <c r="L864" s="17">
        <v>0</v>
      </c>
      <c r="M864" s="14" t="s">
        <v>100</v>
      </c>
      <c r="N864" s="14" t="s">
        <v>87</v>
      </c>
      <c r="O864" s="14" t="s">
        <v>37</v>
      </c>
      <c r="P864" s="17">
        <v>1</v>
      </c>
      <c r="Q864" s="36" t="s">
        <v>259</v>
      </c>
    </row>
    <row r="865" spans="1:17" ht="14.4">
      <c r="A865" s="26">
        <v>257</v>
      </c>
      <c r="B865" s="19" t="s">
        <v>437</v>
      </c>
      <c r="C865" s="37">
        <v>45526</v>
      </c>
      <c r="D865" s="22">
        <v>0</v>
      </c>
      <c r="E865" s="22">
        <v>0</v>
      </c>
      <c r="F865" s="22">
        <v>0</v>
      </c>
      <c r="G865" s="22">
        <v>0</v>
      </c>
      <c r="H865" s="38"/>
      <c r="I865" s="22">
        <v>0</v>
      </c>
      <c r="J865" s="22">
        <v>0</v>
      </c>
      <c r="K865" s="22">
        <v>0</v>
      </c>
      <c r="L865" s="22">
        <v>1</v>
      </c>
      <c r="M865" s="19" t="s">
        <v>100</v>
      </c>
      <c r="N865" s="19" t="s">
        <v>87</v>
      </c>
      <c r="O865" s="19" t="s">
        <v>60</v>
      </c>
      <c r="P865" s="19"/>
      <c r="Q865" s="39" t="s">
        <v>284</v>
      </c>
    </row>
    <row r="866" spans="1:17" ht="14.4">
      <c r="A866" s="13">
        <v>257</v>
      </c>
      <c r="B866" s="14" t="s">
        <v>437</v>
      </c>
      <c r="C866" s="34">
        <v>45526</v>
      </c>
      <c r="D866" s="17">
        <v>27</v>
      </c>
      <c r="E866" s="17">
        <v>0</v>
      </c>
      <c r="F866" s="17">
        <v>0</v>
      </c>
      <c r="G866" s="17">
        <v>0</v>
      </c>
      <c r="H866" s="35"/>
      <c r="I866" s="17">
        <v>0</v>
      </c>
      <c r="J866" s="17">
        <v>0</v>
      </c>
      <c r="K866" s="17">
        <v>0</v>
      </c>
      <c r="L866" s="17">
        <v>0</v>
      </c>
      <c r="M866" s="14" t="s">
        <v>100</v>
      </c>
      <c r="N866" s="14" t="s">
        <v>87</v>
      </c>
      <c r="O866" s="14" t="s">
        <v>89</v>
      </c>
      <c r="P866" s="17">
        <v>3</v>
      </c>
      <c r="Q866" s="36" t="s">
        <v>259</v>
      </c>
    </row>
    <row r="867" spans="1:17" ht="14.4">
      <c r="A867" s="26">
        <v>515</v>
      </c>
      <c r="B867" s="19" t="s">
        <v>438</v>
      </c>
      <c r="C867" s="37">
        <v>45526</v>
      </c>
      <c r="D867" s="22">
        <v>1</v>
      </c>
      <c r="E867" s="22">
        <v>0</v>
      </c>
      <c r="F867" s="22">
        <v>0</v>
      </c>
      <c r="G867" s="22">
        <v>0</v>
      </c>
      <c r="H867" s="38"/>
      <c r="I867" s="22">
        <v>0</v>
      </c>
      <c r="J867" s="22">
        <v>0</v>
      </c>
      <c r="K867" s="22">
        <v>0</v>
      </c>
      <c r="L867" s="22">
        <v>0</v>
      </c>
      <c r="M867" s="19" t="s">
        <v>290</v>
      </c>
      <c r="N867" s="19" t="s">
        <v>91</v>
      </c>
      <c r="O867" s="19" t="s">
        <v>38</v>
      </c>
      <c r="P867" s="19"/>
      <c r="Q867" s="39" t="s">
        <v>259</v>
      </c>
    </row>
    <row r="868" spans="1:17" ht="14.4">
      <c r="A868" s="13">
        <v>515</v>
      </c>
      <c r="B868" s="14" t="s">
        <v>438</v>
      </c>
      <c r="C868" s="34">
        <v>45526</v>
      </c>
      <c r="D868" s="17">
        <v>0</v>
      </c>
      <c r="E868" s="17">
        <v>0</v>
      </c>
      <c r="F868" s="17">
        <v>0</v>
      </c>
      <c r="G868" s="17">
        <v>0</v>
      </c>
      <c r="H868" s="35"/>
      <c r="I868" s="17">
        <v>1</v>
      </c>
      <c r="J868" s="17">
        <v>0</v>
      </c>
      <c r="K868" s="17">
        <v>0</v>
      </c>
      <c r="L868" s="17">
        <v>0</v>
      </c>
      <c r="M868" s="14" t="s">
        <v>290</v>
      </c>
      <c r="N868" s="14" t="s">
        <v>91</v>
      </c>
      <c r="O868" s="14" t="s">
        <v>38</v>
      </c>
      <c r="P868" s="14"/>
      <c r="Q868" s="36" t="s">
        <v>260</v>
      </c>
    </row>
    <row r="869" spans="1:17" ht="14.4">
      <c r="A869" s="26">
        <v>515</v>
      </c>
      <c r="B869" s="19" t="s">
        <v>438</v>
      </c>
      <c r="C869" s="37">
        <v>45526</v>
      </c>
      <c r="D869" s="22">
        <v>1</v>
      </c>
      <c r="E869" s="22">
        <v>0</v>
      </c>
      <c r="F869" s="22">
        <v>0</v>
      </c>
      <c r="G869" s="22">
        <v>0</v>
      </c>
      <c r="H869" s="38"/>
      <c r="I869" s="22">
        <v>0</v>
      </c>
      <c r="J869" s="22">
        <v>0</v>
      </c>
      <c r="K869" s="22">
        <v>0</v>
      </c>
      <c r="L869" s="22">
        <v>0</v>
      </c>
      <c r="M869" s="19" t="s">
        <v>290</v>
      </c>
      <c r="N869" s="19" t="s">
        <v>91</v>
      </c>
      <c r="O869" s="19" t="s">
        <v>44</v>
      </c>
      <c r="P869" s="22">
        <v>1</v>
      </c>
      <c r="Q869" s="39" t="s">
        <v>259</v>
      </c>
    </row>
    <row r="870" spans="1:17" ht="14.4">
      <c r="A870" s="13">
        <v>515</v>
      </c>
      <c r="B870" s="14" t="s">
        <v>438</v>
      </c>
      <c r="C870" s="34">
        <v>45526</v>
      </c>
      <c r="D870" s="17">
        <v>0</v>
      </c>
      <c r="E870" s="17">
        <v>0</v>
      </c>
      <c r="F870" s="17">
        <v>0</v>
      </c>
      <c r="G870" s="17">
        <v>0</v>
      </c>
      <c r="H870" s="35"/>
      <c r="I870" s="17">
        <v>1</v>
      </c>
      <c r="J870" s="17">
        <v>0</v>
      </c>
      <c r="K870" s="17">
        <v>0</v>
      </c>
      <c r="L870" s="17">
        <v>0</v>
      </c>
      <c r="M870" s="14" t="s">
        <v>290</v>
      </c>
      <c r="N870" s="14" t="s">
        <v>91</v>
      </c>
      <c r="O870" s="14" t="s">
        <v>44</v>
      </c>
      <c r="P870" s="14"/>
      <c r="Q870" s="36" t="s">
        <v>260</v>
      </c>
    </row>
    <row r="871" spans="1:17" ht="14.4">
      <c r="A871" s="26">
        <v>515</v>
      </c>
      <c r="B871" s="19" t="s">
        <v>438</v>
      </c>
      <c r="C871" s="37">
        <v>45526</v>
      </c>
      <c r="D871" s="22">
        <v>0</v>
      </c>
      <c r="E871" s="22">
        <v>1</v>
      </c>
      <c r="F871" s="22">
        <v>0</v>
      </c>
      <c r="G871" s="22">
        <v>0</v>
      </c>
      <c r="H871" s="21" t="s">
        <v>275</v>
      </c>
      <c r="I871" s="22">
        <v>0</v>
      </c>
      <c r="J871" s="22">
        <v>0</v>
      </c>
      <c r="K871" s="22">
        <v>0</v>
      </c>
      <c r="L871" s="22">
        <v>0</v>
      </c>
      <c r="M871" s="19" t="s">
        <v>290</v>
      </c>
      <c r="N871" s="19" t="s">
        <v>91</v>
      </c>
      <c r="O871" s="19" t="s">
        <v>47</v>
      </c>
      <c r="P871" s="19"/>
      <c r="Q871" s="39" t="s">
        <v>262</v>
      </c>
    </row>
    <row r="872" spans="1:17" ht="14.4">
      <c r="A872" s="13">
        <v>515</v>
      </c>
      <c r="B872" s="14" t="s">
        <v>438</v>
      </c>
      <c r="C872" s="34">
        <v>45526</v>
      </c>
      <c r="D872" s="17">
        <v>3</v>
      </c>
      <c r="E872" s="17">
        <v>0</v>
      </c>
      <c r="F872" s="17">
        <v>0</v>
      </c>
      <c r="G872" s="17">
        <v>0</v>
      </c>
      <c r="H872" s="35"/>
      <c r="I872" s="17">
        <v>0</v>
      </c>
      <c r="J872" s="17">
        <v>0</v>
      </c>
      <c r="K872" s="17">
        <v>0</v>
      </c>
      <c r="L872" s="17">
        <v>0</v>
      </c>
      <c r="M872" s="14" t="s">
        <v>290</v>
      </c>
      <c r="N872" s="14" t="s">
        <v>91</v>
      </c>
      <c r="O872" s="14" t="s">
        <v>47</v>
      </c>
      <c r="P872" s="17">
        <v>3</v>
      </c>
      <c r="Q872" s="36" t="s">
        <v>259</v>
      </c>
    </row>
    <row r="873" spans="1:17" ht="14.4">
      <c r="A873" s="26">
        <v>515</v>
      </c>
      <c r="B873" s="19" t="s">
        <v>438</v>
      </c>
      <c r="C873" s="37">
        <v>45526</v>
      </c>
      <c r="D873" s="22">
        <v>0</v>
      </c>
      <c r="E873" s="22">
        <v>0</v>
      </c>
      <c r="F873" s="22">
        <v>0</v>
      </c>
      <c r="G873" s="22">
        <v>0</v>
      </c>
      <c r="H873" s="38"/>
      <c r="I873" s="22">
        <v>1</v>
      </c>
      <c r="J873" s="22">
        <v>0</v>
      </c>
      <c r="K873" s="22">
        <v>0</v>
      </c>
      <c r="L873" s="22">
        <v>0</v>
      </c>
      <c r="M873" s="19" t="s">
        <v>290</v>
      </c>
      <c r="N873" s="19" t="s">
        <v>91</v>
      </c>
      <c r="O873" s="19" t="s">
        <v>47</v>
      </c>
      <c r="P873" s="19"/>
      <c r="Q873" s="39" t="s">
        <v>260</v>
      </c>
    </row>
    <row r="874" spans="1:17" ht="14.4">
      <c r="A874" s="13">
        <v>515</v>
      </c>
      <c r="B874" s="14" t="s">
        <v>438</v>
      </c>
      <c r="C874" s="34">
        <v>45526</v>
      </c>
      <c r="D874" s="17">
        <v>0</v>
      </c>
      <c r="E874" s="17">
        <v>0</v>
      </c>
      <c r="F874" s="17">
        <v>0</v>
      </c>
      <c r="G874" s="17">
        <v>0</v>
      </c>
      <c r="H874" s="35"/>
      <c r="I874" s="17">
        <v>0</v>
      </c>
      <c r="J874" s="17">
        <v>0</v>
      </c>
      <c r="K874" s="17">
        <v>1</v>
      </c>
      <c r="L874" s="17">
        <v>0</v>
      </c>
      <c r="M874" s="14" t="s">
        <v>290</v>
      </c>
      <c r="N874" s="14" t="s">
        <v>91</v>
      </c>
      <c r="O874" s="14" t="s">
        <v>47</v>
      </c>
      <c r="P874" s="14"/>
      <c r="Q874" s="36" t="s">
        <v>263</v>
      </c>
    </row>
    <row r="875" spans="1:17" ht="14.4">
      <c r="A875" s="26">
        <v>515</v>
      </c>
      <c r="B875" s="19" t="s">
        <v>438</v>
      </c>
      <c r="C875" s="37">
        <v>45526</v>
      </c>
      <c r="D875" s="22">
        <v>0</v>
      </c>
      <c r="E875" s="22">
        <v>1</v>
      </c>
      <c r="F875" s="22">
        <v>0</v>
      </c>
      <c r="G875" s="22">
        <v>0</v>
      </c>
      <c r="H875" s="21" t="s">
        <v>272</v>
      </c>
      <c r="I875" s="22">
        <v>0</v>
      </c>
      <c r="J875" s="22">
        <v>0</v>
      </c>
      <c r="K875" s="22">
        <v>0</v>
      </c>
      <c r="L875" s="22">
        <v>0</v>
      </c>
      <c r="M875" s="19" t="s">
        <v>290</v>
      </c>
      <c r="N875" s="19" t="s">
        <v>91</v>
      </c>
      <c r="O875" s="19" t="s">
        <v>90</v>
      </c>
      <c r="P875" s="19"/>
      <c r="Q875" s="39" t="s">
        <v>262</v>
      </c>
    </row>
    <row r="876" spans="1:17" ht="14.4">
      <c r="A876" s="13">
        <v>515</v>
      </c>
      <c r="B876" s="14" t="s">
        <v>438</v>
      </c>
      <c r="C876" s="34">
        <v>45526</v>
      </c>
      <c r="D876" s="17">
        <v>0</v>
      </c>
      <c r="E876" s="17">
        <v>1</v>
      </c>
      <c r="F876" s="17">
        <v>0</v>
      </c>
      <c r="G876" s="17">
        <v>0</v>
      </c>
      <c r="H876" s="16" t="s">
        <v>269</v>
      </c>
      <c r="I876" s="17">
        <v>0</v>
      </c>
      <c r="J876" s="17">
        <v>0</v>
      </c>
      <c r="K876" s="17">
        <v>0</v>
      </c>
      <c r="L876" s="17">
        <v>0</v>
      </c>
      <c r="M876" s="14" t="s">
        <v>290</v>
      </c>
      <c r="N876" s="14" t="s">
        <v>87</v>
      </c>
      <c r="O876" s="14" t="s">
        <v>37</v>
      </c>
      <c r="P876" s="14"/>
      <c r="Q876" s="36" t="s">
        <v>262</v>
      </c>
    </row>
    <row r="877" spans="1:17" ht="14.4">
      <c r="A877" s="26">
        <v>515</v>
      </c>
      <c r="B877" s="19" t="s">
        <v>438</v>
      </c>
      <c r="C877" s="37">
        <v>45526</v>
      </c>
      <c r="D877" s="22">
        <v>0</v>
      </c>
      <c r="E877" s="22">
        <v>1</v>
      </c>
      <c r="F877" s="22">
        <v>0</v>
      </c>
      <c r="G877" s="22">
        <v>0</v>
      </c>
      <c r="H877" s="21" t="s">
        <v>283</v>
      </c>
      <c r="I877" s="22">
        <v>0</v>
      </c>
      <c r="J877" s="22">
        <v>0</v>
      </c>
      <c r="K877" s="22">
        <v>0</v>
      </c>
      <c r="L877" s="22">
        <v>0</v>
      </c>
      <c r="M877" s="19" t="s">
        <v>290</v>
      </c>
      <c r="N877" s="19" t="s">
        <v>87</v>
      </c>
      <c r="O877" s="19" t="s">
        <v>43</v>
      </c>
      <c r="P877" s="19"/>
      <c r="Q877" s="39" t="s">
        <v>262</v>
      </c>
    </row>
    <row r="878" spans="1:17" ht="14.4">
      <c r="A878" s="13">
        <v>515</v>
      </c>
      <c r="B878" s="14" t="s">
        <v>438</v>
      </c>
      <c r="C878" s="34">
        <v>45526</v>
      </c>
      <c r="D878" s="17">
        <v>3</v>
      </c>
      <c r="E878" s="17">
        <v>0</v>
      </c>
      <c r="F878" s="17">
        <v>0</v>
      </c>
      <c r="G878" s="17">
        <v>0</v>
      </c>
      <c r="H878" s="35"/>
      <c r="I878" s="17">
        <v>0</v>
      </c>
      <c r="J878" s="17">
        <v>0</v>
      </c>
      <c r="K878" s="17">
        <v>0</v>
      </c>
      <c r="L878" s="17">
        <v>0</v>
      </c>
      <c r="M878" s="14" t="s">
        <v>290</v>
      </c>
      <c r="N878" s="14" t="s">
        <v>87</v>
      </c>
      <c r="O878" s="14" t="s">
        <v>43</v>
      </c>
      <c r="P878" s="17">
        <v>2</v>
      </c>
      <c r="Q878" s="36" t="s">
        <v>259</v>
      </c>
    </row>
    <row r="879" spans="1:17" ht="14.4">
      <c r="A879" s="26">
        <v>515</v>
      </c>
      <c r="B879" s="19" t="s">
        <v>438</v>
      </c>
      <c r="C879" s="37">
        <v>45526</v>
      </c>
      <c r="D879" s="22">
        <v>0</v>
      </c>
      <c r="E879" s="22">
        <v>0</v>
      </c>
      <c r="F879" s="22">
        <v>0</v>
      </c>
      <c r="G879" s="22">
        <v>0</v>
      </c>
      <c r="H879" s="38"/>
      <c r="I879" s="22">
        <v>0</v>
      </c>
      <c r="J879" s="22">
        <v>2</v>
      </c>
      <c r="K879" s="22">
        <v>1</v>
      </c>
      <c r="L879" s="22">
        <v>0</v>
      </c>
      <c r="M879" s="19" t="s">
        <v>290</v>
      </c>
      <c r="N879" s="19" t="s">
        <v>87</v>
      </c>
      <c r="O879" s="19" t="s">
        <v>43</v>
      </c>
      <c r="P879" s="19"/>
      <c r="Q879" s="39" t="s">
        <v>263</v>
      </c>
    </row>
    <row r="880" spans="1:17" ht="14.4">
      <c r="A880" s="13">
        <v>515</v>
      </c>
      <c r="B880" s="14" t="s">
        <v>438</v>
      </c>
      <c r="C880" s="34">
        <v>45526</v>
      </c>
      <c r="D880" s="17">
        <v>0</v>
      </c>
      <c r="E880" s="17">
        <v>1</v>
      </c>
      <c r="F880" s="17">
        <v>0</v>
      </c>
      <c r="G880" s="17">
        <v>0</v>
      </c>
      <c r="H880" s="16" t="s">
        <v>261</v>
      </c>
      <c r="I880" s="17">
        <v>0</v>
      </c>
      <c r="J880" s="17">
        <v>0</v>
      </c>
      <c r="K880" s="17">
        <v>0</v>
      </c>
      <c r="L880" s="17">
        <v>0</v>
      </c>
      <c r="M880" s="14" t="s">
        <v>290</v>
      </c>
      <c r="N880" s="14" t="s">
        <v>87</v>
      </c>
      <c r="O880" s="14" t="s">
        <v>46</v>
      </c>
      <c r="P880" s="14"/>
      <c r="Q880" s="36" t="s">
        <v>262</v>
      </c>
    </row>
    <row r="881" spans="1:17" ht="14.4">
      <c r="A881" s="26">
        <v>515</v>
      </c>
      <c r="B881" s="19" t="s">
        <v>438</v>
      </c>
      <c r="C881" s="37">
        <v>45526</v>
      </c>
      <c r="D881" s="22">
        <v>0</v>
      </c>
      <c r="E881" s="22">
        <v>0</v>
      </c>
      <c r="F881" s="22">
        <v>0</v>
      </c>
      <c r="G881" s="22">
        <v>0</v>
      </c>
      <c r="H881" s="38"/>
      <c r="I881" s="22">
        <v>0</v>
      </c>
      <c r="J881" s="22">
        <v>2</v>
      </c>
      <c r="K881" s="22">
        <v>1</v>
      </c>
      <c r="L881" s="22">
        <v>0</v>
      </c>
      <c r="M881" s="19" t="s">
        <v>290</v>
      </c>
      <c r="N881" s="19" t="s">
        <v>87</v>
      </c>
      <c r="O881" s="19" t="s">
        <v>60</v>
      </c>
      <c r="P881" s="19"/>
      <c r="Q881" s="39" t="s">
        <v>263</v>
      </c>
    </row>
    <row r="882" spans="1:17" ht="14.4">
      <c r="A882" s="13">
        <v>515</v>
      </c>
      <c r="B882" s="14" t="s">
        <v>438</v>
      </c>
      <c r="C882" s="34">
        <v>45526</v>
      </c>
      <c r="D882" s="17">
        <v>0</v>
      </c>
      <c r="E882" s="17">
        <v>1</v>
      </c>
      <c r="F882" s="17">
        <v>0</v>
      </c>
      <c r="G882" s="17">
        <v>0</v>
      </c>
      <c r="H882" s="16" t="s">
        <v>261</v>
      </c>
      <c r="I882" s="17">
        <v>0</v>
      </c>
      <c r="J882" s="17">
        <v>0</v>
      </c>
      <c r="K882" s="17">
        <v>0</v>
      </c>
      <c r="L882" s="17">
        <v>0</v>
      </c>
      <c r="M882" s="14" t="s">
        <v>290</v>
      </c>
      <c r="N882" s="14" t="s">
        <v>87</v>
      </c>
      <c r="O882" s="14" t="s">
        <v>51</v>
      </c>
      <c r="P882" s="14"/>
      <c r="Q882" s="36" t="s">
        <v>262</v>
      </c>
    </row>
    <row r="883" spans="1:17" ht="14.4">
      <c r="A883" s="26">
        <v>515</v>
      </c>
      <c r="B883" s="19" t="s">
        <v>438</v>
      </c>
      <c r="C883" s="37">
        <v>45526</v>
      </c>
      <c r="D883" s="22">
        <v>0</v>
      </c>
      <c r="E883" s="22">
        <v>0</v>
      </c>
      <c r="F883" s="22">
        <v>0</v>
      </c>
      <c r="G883" s="22">
        <v>0</v>
      </c>
      <c r="H883" s="38"/>
      <c r="I883" s="22">
        <v>0</v>
      </c>
      <c r="J883" s="22">
        <v>0</v>
      </c>
      <c r="K883" s="22">
        <v>1</v>
      </c>
      <c r="L883" s="22">
        <v>0</v>
      </c>
      <c r="M883" s="19" t="s">
        <v>290</v>
      </c>
      <c r="N883" s="19" t="s">
        <v>87</v>
      </c>
      <c r="O883" s="19" t="s">
        <v>51</v>
      </c>
      <c r="P883" s="19"/>
      <c r="Q883" s="39" t="s">
        <v>263</v>
      </c>
    </row>
    <row r="884" spans="1:17" ht="14.4">
      <c r="A884" s="13">
        <v>515</v>
      </c>
      <c r="B884" s="14" t="s">
        <v>438</v>
      </c>
      <c r="C884" s="34">
        <v>45526</v>
      </c>
      <c r="D884" s="17">
        <v>1</v>
      </c>
      <c r="E884" s="17">
        <v>0</v>
      </c>
      <c r="F884" s="17">
        <v>0</v>
      </c>
      <c r="G884" s="17">
        <v>0</v>
      </c>
      <c r="H884" s="35"/>
      <c r="I884" s="17">
        <v>0</v>
      </c>
      <c r="J884" s="17">
        <v>0</v>
      </c>
      <c r="K884" s="17">
        <v>0</v>
      </c>
      <c r="L884" s="17">
        <v>0</v>
      </c>
      <c r="M884" s="14" t="s">
        <v>290</v>
      </c>
      <c r="N884" s="14" t="s">
        <v>87</v>
      </c>
      <c r="O884" s="14" t="s">
        <v>98</v>
      </c>
      <c r="P884" s="14"/>
      <c r="Q884" s="36" t="s">
        <v>259</v>
      </c>
    </row>
    <row r="885" spans="1:17" ht="14.4">
      <c r="A885" s="26">
        <v>515</v>
      </c>
      <c r="B885" s="19" t="s">
        <v>438</v>
      </c>
      <c r="C885" s="37">
        <v>45526</v>
      </c>
      <c r="D885" s="22">
        <v>0</v>
      </c>
      <c r="E885" s="22">
        <v>0</v>
      </c>
      <c r="F885" s="22">
        <v>0</v>
      </c>
      <c r="G885" s="22">
        <v>0</v>
      </c>
      <c r="H885" s="38"/>
      <c r="I885" s="22">
        <v>0</v>
      </c>
      <c r="J885" s="22">
        <v>0</v>
      </c>
      <c r="K885" s="22">
        <v>1</v>
      </c>
      <c r="L885" s="22">
        <v>0</v>
      </c>
      <c r="M885" s="19" t="s">
        <v>290</v>
      </c>
      <c r="N885" s="19" t="s">
        <v>87</v>
      </c>
      <c r="O885" s="19" t="s">
        <v>98</v>
      </c>
      <c r="P885" s="19"/>
      <c r="Q885" s="39" t="s">
        <v>263</v>
      </c>
    </row>
    <row r="886" spans="1:17" ht="14.4">
      <c r="A886" s="13">
        <v>515</v>
      </c>
      <c r="B886" s="14" t="s">
        <v>438</v>
      </c>
      <c r="C886" s="34">
        <v>45526</v>
      </c>
      <c r="D886" s="17">
        <v>0</v>
      </c>
      <c r="E886" s="17">
        <v>1</v>
      </c>
      <c r="F886" s="17">
        <v>0</v>
      </c>
      <c r="G886" s="17">
        <v>0</v>
      </c>
      <c r="H886" s="16" t="s">
        <v>275</v>
      </c>
      <c r="I886" s="17">
        <v>0</v>
      </c>
      <c r="J886" s="17">
        <v>0</v>
      </c>
      <c r="K886" s="17">
        <v>0</v>
      </c>
      <c r="L886" s="17">
        <v>0</v>
      </c>
      <c r="M886" s="14" t="s">
        <v>290</v>
      </c>
      <c r="N886" s="14" t="s">
        <v>87</v>
      </c>
      <c r="O886" s="14" t="s">
        <v>89</v>
      </c>
      <c r="P886" s="14"/>
      <c r="Q886" s="36" t="s">
        <v>262</v>
      </c>
    </row>
    <row r="887" spans="1:17" ht="14.4">
      <c r="A887" s="26">
        <v>515</v>
      </c>
      <c r="B887" s="19" t="s">
        <v>438</v>
      </c>
      <c r="C887" s="37">
        <v>45526</v>
      </c>
      <c r="D887" s="22">
        <v>0</v>
      </c>
      <c r="E887" s="22">
        <v>0</v>
      </c>
      <c r="F887" s="22">
        <v>0</v>
      </c>
      <c r="G887" s="22">
        <v>0</v>
      </c>
      <c r="H887" s="38"/>
      <c r="I887" s="22">
        <v>0</v>
      </c>
      <c r="J887" s="22">
        <v>0</v>
      </c>
      <c r="K887" s="22">
        <v>1</v>
      </c>
      <c r="L887" s="22">
        <v>0</v>
      </c>
      <c r="M887" s="19" t="s">
        <v>290</v>
      </c>
      <c r="N887" s="19" t="s">
        <v>87</v>
      </c>
      <c r="O887" s="19" t="s">
        <v>89</v>
      </c>
      <c r="P887" s="19"/>
      <c r="Q887" s="39" t="s">
        <v>263</v>
      </c>
    </row>
    <row r="888" spans="1:17" ht="14.4">
      <c r="A888" s="13">
        <v>515</v>
      </c>
      <c r="B888" s="14" t="s">
        <v>438</v>
      </c>
      <c r="C888" s="34">
        <v>45526</v>
      </c>
      <c r="D888" s="17">
        <v>0</v>
      </c>
      <c r="E888" s="17">
        <v>0</v>
      </c>
      <c r="F888" s="17">
        <v>1</v>
      </c>
      <c r="G888" s="17">
        <v>0</v>
      </c>
      <c r="H888" s="35"/>
      <c r="I888" s="17">
        <v>0</v>
      </c>
      <c r="J888" s="17">
        <v>0</v>
      </c>
      <c r="K888" s="17">
        <v>0</v>
      </c>
      <c r="L888" s="17">
        <v>0</v>
      </c>
      <c r="M888" s="14" t="s">
        <v>290</v>
      </c>
      <c r="N888" s="14" t="s">
        <v>87</v>
      </c>
      <c r="O888" s="14" t="s">
        <v>57</v>
      </c>
      <c r="P888" s="14"/>
      <c r="Q888" s="36" t="s">
        <v>262</v>
      </c>
    </row>
    <row r="889" spans="1:17" ht="14.4">
      <c r="A889" s="26">
        <v>515</v>
      </c>
      <c r="B889" s="19" t="s">
        <v>438</v>
      </c>
      <c r="C889" s="37">
        <v>45526</v>
      </c>
      <c r="D889" s="22">
        <v>3</v>
      </c>
      <c r="E889" s="22">
        <v>0</v>
      </c>
      <c r="F889" s="22">
        <v>0</v>
      </c>
      <c r="G889" s="22">
        <v>0</v>
      </c>
      <c r="H889" s="38"/>
      <c r="I889" s="22">
        <v>0</v>
      </c>
      <c r="J889" s="22">
        <v>0</v>
      </c>
      <c r="K889" s="22">
        <v>0</v>
      </c>
      <c r="L889" s="22">
        <v>0</v>
      </c>
      <c r="M889" s="19" t="s">
        <v>290</v>
      </c>
      <c r="N889" s="19" t="s">
        <v>87</v>
      </c>
      <c r="O889" s="19" t="s">
        <v>57</v>
      </c>
      <c r="P889" s="22">
        <v>2</v>
      </c>
      <c r="Q889" s="39" t="s">
        <v>259</v>
      </c>
    </row>
    <row r="890" spans="1:17" ht="14.4">
      <c r="A890" s="13">
        <v>515</v>
      </c>
      <c r="B890" s="14" t="s">
        <v>438</v>
      </c>
      <c r="C890" s="34">
        <v>45526</v>
      </c>
      <c r="D890" s="17">
        <v>0</v>
      </c>
      <c r="E890" s="17">
        <v>0</v>
      </c>
      <c r="F890" s="17">
        <v>0</v>
      </c>
      <c r="G890" s="17">
        <v>0</v>
      </c>
      <c r="H890" s="35"/>
      <c r="I890" s="17">
        <v>0</v>
      </c>
      <c r="J890" s="17">
        <v>2</v>
      </c>
      <c r="K890" s="17">
        <v>0</v>
      </c>
      <c r="L890" s="17">
        <v>0</v>
      </c>
      <c r="M890" s="14" t="s">
        <v>290</v>
      </c>
      <c r="N890" s="14" t="s">
        <v>87</v>
      </c>
      <c r="O890" s="14" t="s">
        <v>57</v>
      </c>
      <c r="P890" s="14"/>
      <c r="Q890" s="36" t="s">
        <v>263</v>
      </c>
    </row>
    <row r="891" spans="1:17" ht="14.4">
      <c r="A891" s="26">
        <v>515</v>
      </c>
      <c r="B891" s="19" t="s">
        <v>438</v>
      </c>
      <c r="C891" s="37">
        <v>45526</v>
      </c>
      <c r="D891" s="22">
        <v>0</v>
      </c>
      <c r="E891" s="22">
        <v>1</v>
      </c>
      <c r="F891" s="22">
        <v>1</v>
      </c>
      <c r="G891" s="22">
        <v>0</v>
      </c>
      <c r="H891" s="21" t="s">
        <v>275</v>
      </c>
      <c r="I891" s="22">
        <v>0</v>
      </c>
      <c r="J891" s="22">
        <v>0</v>
      </c>
      <c r="K891" s="22">
        <v>0</v>
      </c>
      <c r="L891" s="22">
        <v>0</v>
      </c>
      <c r="M891" s="19" t="s">
        <v>290</v>
      </c>
      <c r="N891" s="19" t="s">
        <v>87</v>
      </c>
      <c r="O891" s="19" t="s">
        <v>86</v>
      </c>
      <c r="P891" s="19"/>
      <c r="Q891" s="39" t="s">
        <v>262</v>
      </c>
    </row>
    <row r="892" spans="1:17" ht="14.4">
      <c r="A892" s="13">
        <v>515</v>
      </c>
      <c r="B892" s="14" t="s">
        <v>438</v>
      </c>
      <c r="C892" s="34">
        <v>45526</v>
      </c>
      <c r="D892" s="17">
        <v>2</v>
      </c>
      <c r="E892" s="17">
        <v>0</v>
      </c>
      <c r="F892" s="17">
        <v>0</v>
      </c>
      <c r="G892" s="17">
        <v>0</v>
      </c>
      <c r="H892" s="35"/>
      <c r="I892" s="17">
        <v>0</v>
      </c>
      <c r="J892" s="17">
        <v>0</v>
      </c>
      <c r="K892" s="17">
        <v>0</v>
      </c>
      <c r="L892" s="17">
        <v>0</v>
      </c>
      <c r="M892" s="14" t="s">
        <v>290</v>
      </c>
      <c r="N892" s="14" t="s">
        <v>87</v>
      </c>
      <c r="O892" s="14" t="s">
        <v>86</v>
      </c>
      <c r="P892" s="17">
        <v>1</v>
      </c>
      <c r="Q892" s="36" t="s">
        <v>259</v>
      </c>
    </row>
    <row r="893" spans="1:17" ht="14.4">
      <c r="A893" s="26">
        <v>515</v>
      </c>
      <c r="B893" s="19" t="s">
        <v>438</v>
      </c>
      <c r="C893" s="37">
        <v>45526</v>
      </c>
      <c r="D893" s="22">
        <v>0</v>
      </c>
      <c r="E893" s="22">
        <v>0</v>
      </c>
      <c r="F893" s="22">
        <v>0</v>
      </c>
      <c r="G893" s="22">
        <v>0</v>
      </c>
      <c r="H893" s="38"/>
      <c r="I893" s="22">
        <v>0</v>
      </c>
      <c r="J893" s="22">
        <v>1</v>
      </c>
      <c r="K893" s="22">
        <v>0</v>
      </c>
      <c r="L893" s="22">
        <v>0</v>
      </c>
      <c r="M893" s="19" t="s">
        <v>290</v>
      </c>
      <c r="N893" s="19" t="s">
        <v>87</v>
      </c>
      <c r="O893" s="19" t="s">
        <v>86</v>
      </c>
      <c r="P893" s="19"/>
      <c r="Q893" s="39" t="s">
        <v>263</v>
      </c>
    </row>
    <row r="894" spans="1:17" ht="14.4">
      <c r="A894" s="13">
        <v>515</v>
      </c>
      <c r="B894" s="14" t="s">
        <v>438</v>
      </c>
      <c r="C894" s="34">
        <v>45526</v>
      </c>
      <c r="D894" s="17">
        <v>5</v>
      </c>
      <c r="E894" s="17">
        <v>0</v>
      </c>
      <c r="F894" s="17">
        <v>0</v>
      </c>
      <c r="G894" s="17">
        <v>0</v>
      </c>
      <c r="H894" s="35"/>
      <c r="I894" s="17">
        <v>0</v>
      </c>
      <c r="J894" s="17">
        <v>0</v>
      </c>
      <c r="K894" s="17">
        <v>0</v>
      </c>
      <c r="L894" s="17">
        <v>0</v>
      </c>
      <c r="M894" s="14" t="s">
        <v>290</v>
      </c>
      <c r="N894" s="14" t="s">
        <v>87</v>
      </c>
      <c r="O894" s="14" t="s">
        <v>59</v>
      </c>
      <c r="P894" s="17">
        <v>1</v>
      </c>
      <c r="Q894" s="36" t="s">
        <v>259</v>
      </c>
    </row>
    <row r="895" spans="1:17" ht="14.4">
      <c r="A895" s="26">
        <v>515</v>
      </c>
      <c r="B895" s="19" t="s">
        <v>438</v>
      </c>
      <c r="C895" s="37">
        <v>45526</v>
      </c>
      <c r="D895" s="22">
        <v>0</v>
      </c>
      <c r="E895" s="22">
        <v>0</v>
      </c>
      <c r="F895" s="22">
        <v>0</v>
      </c>
      <c r="G895" s="22">
        <v>0</v>
      </c>
      <c r="H895" s="38"/>
      <c r="I895" s="22">
        <v>0</v>
      </c>
      <c r="J895" s="22">
        <v>3</v>
      </c>
      <c r="K895" s="22">
        <v>1</v>
      </c>
      <c r="L895" s="22">
        <v>0</v>
      </c>
      <c r="M895" s="19" t="s">
        <v>290</v>
      </c>
      <c r="N895" s="19" t="s">
        <v>87</v>
      </c>
      <c r="O895" s="19" t="s">
        <v>59</v>
      </c>
      <c r="P895" s="19"/>
      <c r="Q895" s="39" t="s">
        <v>263</v>
      </c>
    </row>
    <row r="896" spans="1:17" ht="14.4">
      <c r="A896" s="13">
        <v>169</v>
      </c>
      <c r="B896" s="14" t="s">
        <v>439</v>
      </c>
      <c r="C896" s="34">
        <v>45526</v>
      </c>
      <c r="D896" s="17">
        <v>1</v>
      </c>
      <c r="E896" s="17">
        <v>0</v>
      </c>
      <c r="F896" s="17">
        <v>0</v>
      </c>
      <c r="G896" s="17">
        <v>0</v>
      </c>
      <c r="H896" s="35"/>
      <c r="I896" s="17">
        <v>0</v>
      </c>
      <c r="J896" s="17">
        <v>0</v>
      </c>
      <c r="K896" s="17">
        <v>0</v>
      </c>
      <c r="L896" s="17">
        <v>0</v>
      </c>
      <c r="M896" s="14" t="s">
        <v>100</v>
      </c>
      <c r="N896" s="14" t="s">
        <v>87</v>
      </c>
      <c r="O896" s="14" t="s">
        <v>60</v>
      </c>
      <c r="P896" s="17">
        <v>1</v>
      </c>
      <c r="Q896" s="36" t="s">
        <v>259</v>
      </c>
    </row>
    <row r="897" spans="1:17" ht="14.4">
      <c r="A897" s="26">
        <v>169</v>
      </c>
      <c r="B897" s="19" t="s">
        <v>439</v>
      </c>
      <c r="C897" s="37">
        <v>45526</v>
      </c>
      <c r="D897" s="22">
        <v>0</v>
      </c>
      <c r="E897" s="22">
        <v>0</v>
      </c>
      <c r="F897" s="22">
        <v>0</v>
      </c>
      <c r="G897" s="22">
        <v>0</v>
      </c>
      <c r="H897" s="38"/>
      <c r="I897" s="22">
        <v>1</v>
      </c>
      <c r="J897" s="22">
        <v>0</v>
      </c>
      <c r="K897" s="22">
        <v>0</v>
      </c>
      <c r="L897" s="22">
        <v>0</v>
      </c>
      <c r="M897" s="19" t="s">
        <v>100</v>
      </c>
      <c r="N897" s="19" t="s">
        <v>87</v>
      </c>
      <c r="O897" s="19" t="s">
        <v>60</v>
      </c>
      <c r="P897" s="19"/>
      <c r="Q897" s="39" t="s">
        <v>260</v>
      </c>
    </row>
    <row r="898" spans="1:17" ht="14.4">
      <c r="A898" s="13">
        <v>169</v>
      </c>
      <c r="B898" s="14" t="s">
        <v>439</v>
      </c>
      <c r="C898" s="34">
        <v>45526</v>
      </c>
      <c r="D898" s="17">
        <v>2</v>
      </c>
      <c r="E898" s="17">
        <v>0</v>
      </c>
      <c r="F898" s="17">
        <v>0</v>
      </c>
      <c r="G898" s="17">
        <v>0</v>
      </c>
      <c r="H898" s="35"/>
      <c r="I898" s="17">
        <v>0</v>
      </c>
      <c r="J898" s="17">
        <v>0</v>
      </c>
      <c r="K898" s="17">
        <v>0</v>
      </c>
      <c r="L898" s="17">
        <v>0</v>
      </c>
      <c r="M898" s="14" t="s">
        <v>100</v>
      </c>
      <c r="N898" s="14" t="s">
        <v>87</v>
      </c>
      <c r="O898" s="14" t="s">
        <v>57</v>
      </c>
      <c r="P898" s="14"/>
      <c r="Q898" s="36" t="s">
        <v>259</v>
      </c>
    </row>
    <row r="899" spans="1:17" ht="14.4">
      <c r="A899" s="26">
        <v>524</v>
      </c>
      <c r="B899" s="19" t="s">
        <v>440</v>
      </c>
      <c r="C899" s="37">
        <v>45526</v>
      </c>
      <c r="D899" s="22">
        <v>0</v>
      </c>
      <c r="E899" s="22">
        <v>0</v>
      </c>
      <c r="F899" s="22">
        <v>0</v>
      </c>
      <c r="G899" s="22">
        <v>0</v>
      </c>
      <c r="H899" s="38"/>
      <c r="I899" s="22">
        <v>0</v>
      </c>
      <c r="J899" s="22">
        <v>1</v>
      </c>
      <c r="K899" s="22">
        <v>0</v>
      </c>
      <c r="L899" s="22">
        <v>0</v>
      </c>
      <c r="M899" s="19" t="s">
        <v>100</v>
      </c>
      <c r="N899" s="19" t="s">
        <v>87</v>
      </c>
      <c r="O899" s="19" t="s">
        <v>59</v>
      </c>
      <c r="P899" s="19"/>
      <c r="Q899" s="39" t="s">
        <v>263</v>
      </c>
    </row>
    <row r="900" spans="1:17" ht="14.4">
      <c r="A900" s="13">
        <v>604</v>
      </c>
      <c r="B900" s="14" t="s">
        <v>441</v>
      </c>
      <c r="C900" s="34">
        <v>45526</v>
      </c>
      <c r="D900" s="17">
        <v>0</v>
      </c>
      <c r="E900" s="17">
        <v>0</v>
      </c>
      <c r="F900" s="17">
        <v>0</v>
      </c>
      <c r="G900" s="17">
        <v>0</v>
      </c>
      <c r="H900" s="35"/>
      <c r="I900" s="17">
        <v>0</v>
      </c>
      <c r="J900" s="17">
        <v>1</v>
      </c>
      <c r="K900" s="17">
        <v>2</v>
      </c>
      <c r="L900" s="17">
        <v>0</v>
      </c>
      <c r="M900" s="14" t="s">
        <v>100</v>
      </c>
      <c r="N900" s="14" t="s">
        <v>87</v>
      </c>
      <c r="O900" s="14" t="s">
        <v>43</v>
      </c>
      <c r="P900" s="14"/>
      <c r="Q900" s="36" t="s">
        <v>263</v>
      </c>
    </row>
    <row r="901" spans="1:17" ht="14.4">
      <c r="A901" s="26">
        <v>604</v>
      </c>
      <c r="B901" s="19" t="s">
        <v>441</v>
      </c>
      <c r="C901" s="37">
        <v>45526</v>
      </c>
      <c r="D901" s="22">
        <v>1</v>
      </c>
      <c r="E901" s="22">
        <v>0</v>
      </c>
      <c r="F901" s="22">
        <v>0</v>
      </c>
      <c r="G901" s="22">
        <v>0</v>
      </c>
      <c r="H901" s="38"/>
      <c r="I901" s="22">
        <v>0</v>
      </c>
      <c r="J901" s="22">
        <v>0</v>
      </c>
      <c r="K901" s="22">
        <v>0</v>
      </c>
      <c r="L901" s="22">
        <v>0</v>
      </c>
      <c r="M901" s="19" t="s">
        <v>100</v>
      </c>
      <c r="N901" s="19" t="s">
        <v>87</v>
      </c>
      <c r="O901" s="19" t="s">
        <v>60</v>
      </c>
      <c r="P901" s="22">
        <v>1</v>
      </c>
      <c r="Q901" s="39" t="s">
        <v>259</v>
      </c>
    </row>
    <row r="902" spans="1:17" ht="14.4">
      <c r="A902" s="13">
        <v>238</v>
      </c>
      <c r="B902" s="14" t="s">
        <v>442</v>
      </c>
      <c r="C902" s="34">
        <v>45526</v>
      </c>
      <c r="D902" s="17">
        <v>0</v>
      </c>
      <c r="E902" s="17">
        <v>0</v>
      </c>
      <c r="F902" s="17">
        <v>0</v>
      </c>
      <c r="G902" s="17">
        <v>0</v>
      </c>
      <c r="H902" s="35"/>
      <c r="I902" s="17">
        <v>0</v>
      </c>
      <c r="J902" s="17">
        <v>0</v>
      </c>
      <c r="K902" s="17">
        <v>1</v>
      </c>
      <c r="L902" s="17">
        <v>0</v>
      </c>
      <c r="M902" s="14" t="s">
        <v>100</v>
      </c>
      <c r="N902" s="14" t="s">
        <v>91</v>
      </c>
      <c r="O902" s="14" t="s">
        <v>44</v>
      </c>
      <c r="P902" s="14"/>
      <c r="Q902" s="36" t="s">
        <v>263</v>
      </c>
    </row>
    <row r="903" spans="1:17" ht="14.4">
      <c r="A903" s="26">
        <v>238</v>
      </c>
      <c r="B903" s="19" t="s">
        <v>442</v>
      </c>
      <c r="C903" s="37">
        <v>45526</v>
      </c>
      <c r="D903" s="22">
        <v>0</v>
      </c>
      <c r="E903" s="22">
        <v>0</v>
      </c>
      <c r="F903" s="22">
        <v>0</v>
      </c>
      <c r="G903" s="22">
        <v>0</v>
      </c>
      <c r="H903" s="38"/>
      <c r="I903" s="22">
        <v>0</v>
      </c>
      <c r="J903" s="22">
        <v>1</v>
      </c>
      <c r="K903" s="22">
        <v>0</v>
      </c>
      <c r="L903" s="22">
        <v>0</v>
      </c>
      <c r="M903" s="19" t="s">
        <v>100</v>
      </c>
      <c r="N903" s="19" t="s">
        <v>87</v>
      </c>
      <c r="O903" s="19" t="s">
        <v>51</v>
      </c>
      <c r="P903" s="19"/>
      <c r="Q903" s="39" t="s">
        <v>263</v>
      </c>
    </row>
    <row r="904" spans="1:17" ht="14.4">
      <c r="A904" s="13">
        <v>238</v>
      </c>
      <c r="B904" s="14" t="s">
        <v>442</v>
      </c>
      <c r="C904" s="34">
        <v>45526</v>
      </c>
      <c r="D904" s="17">
        <v>0</v>
      </c>
      <c r="E904" s="17">
        <v>1</v>
      </c>
      <c r="F904" s="17">
        <v>0</v>
      </c>
      <c r="G904" s="17">
        <v>0</v>
      </c>
      <c r="H904" s="16" t="s">
        <v>272</v>
      </c>
      <c r="I904" s="17">
        <v>0</v>
      </c>
      <c r="J904" s="17">
        <v>0</v>
      </c>
      <c r="K904" s="17">
        <v>0</v>
      </c>
      <c r="L904" s="17">
        <v>0</v>
      </c>
      <c r="M904" s="14" t="s">
        <v>100</v>
      </c>
      <c r="N904" s="14" t="s">
        <v>87</v>
      </c>
      <c r="O904" s="14" t="s">
        <v>57</v>
      </c>
      <c r="P904" s="14"/>
      <c r="Q904" s="36" t="s">
        <v>262</v>
      </c>
    </row>
    <row r="905" spans="1:17" ht="14.4">
      <c r="A905" s="26">
        <v>238</v>
      </c>
      <c r="B905" s="19" t="s">
        <v>442</v>
      </c>
      <c r="C905" s="37">
        <v>45526</v>
      </c>
      <c r="D905" s="22">
        <v>5</v>
      </c>
      <c r="E905" s="22">
        <v>0</v>
      </c>
      <c r="F905" s="22">
        <v>0</v>
      </c>
      <c r="G905" s="22">
        <v>0</v>
      </c>
      <c r="H905" s="38"/>
      <c r="I905" s="22">
        <v>0</v>
      </c>
      <c r="J905" s="22">
        <v>0</v>
      </c>
      <c r="K905" s="22">
        <v>0</v>
      </c>
      <c r="L905" s="22">
        <v>0</v>
      </c>
      <c r="M905" s="19" t="s">
        <v>100</v>
      </c>
      <c r="N905" s="19" t="s">
        <v>87</v>
      </c>
      <c r="O905" s="19" t="s">
        <v>86</v>
      </c>
      <c r="P905" s="19"/>
      <c r="Q905" s="39" t="s">
        <v>259</v>
      </c>
    </row>
    <row r="906" spans="1:17" ht="14.4">
      <c r="A906" s="13">
        <v>238</v>
      </c>
      <c r="B906" s="14" t="s">
        <v>442</v>
      </c>
      <c r="C906" s="34">
        <v>45526</v>
      </c>
      <c r="D906" s="17">
        <v>1</v>
      </c>
      <c r="E906" s="17">
        <v>0</v>
      </c>
      <c r="F906" s="17">
        <v>0</v>
      </c>
      <c r="G906" s="17">
        <v>0</v>
      </c>
      <c r="H906" s="35"/>
      <c r="I906" s="17">
        <v>0</v>
      </c>
      <c r="J906" s="17">
        <v>0</v>
      </c>
      <c r="K906" s="17">
        <v>0</v>
      </c>
      <c r="L906" s="17">
        <v>0</v>
      </c>
      <c r="M906" s="14" t="s">
        <v>100</v>
      </c>
      <c r="N906" s="14" t="s">
        <v>87</v>
      </c>
      <c r="O906" s="14" t="s">
        <v>59</v>
      </c>
      <c r="P906" s="14"/>
      <c r="Q906" s="36" t="s">
        <v>259</v>
      </c>
    </row>
    <row r="907" spans="1:17" ht="14.4">
      <c r="A907" s="26">
        <v>551</v>
      </c>
      <c r="B907" s="19" t="s">
        <v>443</v>
      </c>
      <c r="C907" s="37">
        <v>45526</v>
      </c>
      <c r="D907" s="22">
        <v>1</v>
      </c>
      <c r="E907" s="22">
        <v>0</v>
      </c>
      <c r="F907" s="22">
        <v>0</v>
      </c>
      <c r="G907" s="22">
        <v>0</v>
      </c>
      <c r="H907" s="38"/>
      <c r="I907" s="22">
        <v>0</v>
      </c>
      <c r="J907" s="22">
        <v>0</v>
      </c>
      <c r="K907" s="22">
        <v>0</v>
      </c>
      <c r="L907" s="22">
        <v>0</v>
      </c>
      <c r="M907" s="19" t="s">
        <v>290</v>
      </c>
      <c r="N907" s="19" t="s">
        <v>91</v>
      </c>
      <c r="O907" s="19" t="s">
        <v>44</v>
      </c>
      <c r="P907" s="22">
        <v>1</v>
      </c>
      <c r="Q907" s="39" t="s">
        <v>259</v>
      </c>
    </row>
    <row r="908" spans="1:17" ht="14.4">
      <c r="A908" s="13">
        <v>551</v>
      </c>
      <c r="B908" s="14" t="s">
        <v>443</v>
      </c>
      <c r="C908" s="34">
        <v>45526</v>
      </c>
      <c r="D908" s="17">
        <v>0</v>
      </c>
      <c r="E908" s="17">
        <v>0</v>
      </c>
      <c r="F908" s="17">
        <v>0</v>
      </c>
      <c r="G908" s="17">
        <v>0</v>
      </c>
      <c r="H908" s="35"/>
      <c r="I908" s="17">
        <v>0</v>
      </c>
      <c r="J908" s="17">
        <v>2</v>
      </c>
      <c r="K908" s="17">
        <v>0</v>
      </c>
      <c r="L908" s="17">
        <v>0</v>
      </c>
      <c r="M908" s="14" t="s">
        <v>290</v>
      </c>
      <c r="N908" s="14" t="s">
        <v>91</v>
      </c>
      <c r="O908" s="14" t="s">
        <v>44</v>
      </c>
      <c r="P908" s="14"/>
      <c r="Q908" s="36" t="s">
        <v>263</v>
      </c>
    </row>
    <row r="909" spans="1:17" ht="14.4">
      <c r="A909" s="26">
        <v>551</v>
      </c>
      <c r="B909" s="19" t="s">
        <v>443</v>
      </c>
      <c r="C909" s="37">
        <v>45526</v>
      </c>
      <c r="D909" s="22">
        <v>3</v>
      </c>
      <c r="E909" s="22">
        <v>0</v>
      </c>
      <c r="F909" s="22">
        <v>0</v>
      </c>
      <c r="G909" s="22">
        <v>0</v>
      </c>
      <c r="H909" s="38"/>
      <c r="I909" s="22">
        <v>0</v>
      </c>
      <c r="J909" s="22">
        <v>0</v>
      </c>
      <c r="K909" s="22">
        <v>0</v>
      </c>
      <c r="L909" s="22">
        <v>0</v>
      </c>
      <c r="M909" s="19" t="s">
        <v>290</v>
      </c>
      <c r="N909" s="19" t="s">
        <v>91</v>
      </c>
      <c r="O909" s="19" t="s">
        <v>47</v>
      </c>
      <c r="P909" s="22">
        <v>3</v>
      </c>
      <c r="Q909" s="39" t="s">
        <v>259</v>
      </c>
    </row>
    <row r="910" spans="1:17" ht="14.4">
      <c r="A910" s="13">
        <v>551</v>
      </c>
      <c r="B910" s="14" t="s">
        <v>443</v>
      </c>
      <c r="C910" s="34">
        <v>45526</v>
      </c>
      <c r="D910" s="17">
        <v>0</v>
      </c>
      <c r="E910" s="17">
        <v>0</v>
      </c>
      <c r="F910" s="17">
        <v>0</v>
      </c>
      <c r="G910" s="17">
        <v>0</v>
      </c>
      <c r="H910" s="35"/>
      <c r="I910" s="17">
        <v>3</v>
      </c>
      <c r="J910" s="17">
        <v>0</v>
      </c>
      <c r="K910" s="17">
        <v>0</v>
      </c>
      <c r="L910" s="17">
        <v>0</v>
      </c>
      <c r="M910" s="14" t="s">
        <v>290</v>
      </c>
      <c r="N910" s="14" t="s">
        <v>91</v>
      </c>
      <c r="O910" s="14" t="s">
        <v>47</v>
      </c>
      <c r="P910" s="14"/>
      <c r="Q910" s="36" t="s">
        <v>260</v>
      </c>
    </row>
    <row r="911" spans="1:17" ht="14.4">
      <c r="A911" s="26">
        <v>551</v>
      </c>
      <c r="B911" s="19" t="s">
        <v>443</v>
      </c>
      <c r="C911" s="37">
        <v>45526</v>
      </c>
      <c r="D911" s="22">
        <v>0</v>
      </c>
      <c r="E911" s="22">
        <v>0</v>
      </c>
      <c r="F911" s="22">
        <v>0</v>
      </c>
      <c r="G911" s="22">
        <v>0</v>
      </c>
      <c r="H911" s="38"/>
      <c r="I911" s="22">
        <v>0</v>
      </c>
      <c r="J911" s="22">
        <v>1</v>
      </c>
      <c r="K911" s="22">
        <v>0</v>
      </c>
      <c r="L911" s="22">
        <v>0</v>
      </c>
      <c r="M911" s="19" t="s">
        <v>290</v>
      </c>
      <c r="N911" s="19" t="s">
        <v>91</v>
      </c>
      <c r="O911" s="19" t="s">
        <v>47</v>
      </c>
      <c r="P911" s="19"/>
      <c r="Q911" s="39" t="s">
        <v>263</v>
      </c>
    </row>
    <row r="912" spans="1:17" ht="14.4">
      <c r="A912" s="13">
        <v>551</v>
      </c>
      <c r="B912" s="14" t="s">
        <v>443</v>
      </c>
      <c r="C912" s="34">
        <v>45526</v>
      </c>
      <c r="D912" s="17">
        <v>4</v>
      </c>
      <c r="E912" s="17">
        <v>0</v>
      </c>
      <c r="F912" s="17">
        <v>0</v>
      </c>
      <c r="G912" s="17">
        <v>0</v>
      </c>
      <c r="H912" s="35"/>
      <c r="I912" s="17">
        <v>0</v>
      </c>
      <c r="J912" s="17">
        <v>0</v>
      </c>
      <c r="K912" s="17">
        <v>0</v>
      </c>
      <c r="L912" s="17">
        <v>0</v>
      </c>
      <c r="M912" s="14" t="s">
        <v>290</v>
      </c>
      <c r="N912" s="14" t="s">
        <v>91</v>
      </c>
      <c r="O912" s="14" t="s">
        <v>90</v>
      </c>
      <c r="P912" s="17">
        <v>3</v>
      </c>
      <c r="Q912" s="36" t="s">
        <v>259</v>
      </c>
    </row>
    <row r="913" spans="1:17" ht="14.4">
      <c r="A913" s="26">
        <v>551</v>
      </c>
      <c r="B913" s="19" t="s">
        <v>443</v>
      </c>
      <c r="C913" s="37">
        <v>45526</v>
      </c>
      <c r="D913" s="22">
        <v>0</v>
      </c>
      <c r="E913" s="22">
        <v>0</v>
      </c>
      <c r="F913" s="22">
        <v>0</v>
      </c>
      <c r="G913" s="22">
        <v>0</v>
      </c>
      <c r="H913" s="38"/>
      <c r="I913" s="22">
        <v>2</v>
      </c>
      <c r="J913" s="22">
        <v>0</v>
      </c>
      <c r="K913" s="22">
        <v>0</v>
      </c>
      <c r="L913" s="22">
        <v>0</v>
      </c>
      <c r="M913" s="19" t="s">
        <v>290</v>
      </c>
      <c r="N913" s="19" t="s">
        <v>91</v>
      </c>
      <c r="O913" s="19" t="s">
        <v>90</v>
      </c>
      <c r="P913" s="19"/>
      <c r="Q913" s="39" t="s">
        <v>260</v>
      </c>
    </row>
    <row r="914" spans="1:17" ht="14.4">
      <c r="A914" s="13">
        <v>551</v>
      </c>
      <c r="B914" s="14" t="s">
        <v>443</v>
      </c>
      <c r="C914" s="34">
        <v>45526</v>
      </c>
      <c r="D914" s="17">
        <v>1</v>
      </c>
      <c r="E914" s="17">
        <v>0</v>
      </c>
      <c r="F914" s="17">
        <v>0</v>
      </c>
      <c r="G914" s="17">
        <v>0</v>
      </c>
      <c r="H914" s="35"/>
      <c r="I914" s="17">
        <v>0</v>
      </c>
      <c r="J914" s="17">
        <v>0</v>
      </c>
      <c r="K914" s="17">
        <v>0</v>
      </c>
      <c r="L914" s="17">
        <v>0</v>
      </c>
      <c r="M914" s="14" t="s">
        <v>290</v>
      </c>
      <c r="N914" s="14" t="s">
        <v>87</v>
      </c>
      <c r="O914" s="14" t="s">
        <v>37</v>
      </c>
      <c r="P914" s="14"/>
      <c r="Q914" s="36" t="s">
        <v>259</v>
      </c>
    </row>
    <row r="915" spans="1:17" ht="14.4">
      <c r="A915" s="26">
        <v>551</v>
      </c>
      <c r="B915" s="19" t="s">
        <v>443</v>
      </c>
      <c r="C915" s="37">
        <v>45526</v>
      </c>
      <c r="D915" s="22">
        <v>0</v>
      </c>
      <c r="E915" s="22">
        <v>0</v>
      </c>
      <c r="F915" s="22">
        <v>0</v>
      </c>
      <c r="G915" s="22">
        <v>0</v>
      </c>
      <c r="H915" s="38"/>
      <c r="I915" s="22">
        <v>1</v>
      </c>
      <c r="J915" s="22">
        <v>0</v>
      </c>
      <c r="K915" s="22">
        <v>0</v>
      </c>
      <c r="L915" s="22">
        <v>0</v>
      </c>
      <c r="M915" s="19" t="s">
        <v>290</v>
      </c>
      <c r="N915" s="19" t="s">
        <v>87</v>
      </c>
      <c r="O915" s="19" t="s">
        <v>37</v>
      </c>
      <c r="P915" s="19"/>
      <c r="Q915" s="39" t="s">
        <v>260</v>
      </c>
    </row>
    <row r="916" spans="1:17" ht="14.4">
      <c r="A916" s="13">
        <v>551</v>
      </c>
      <c r="B916" s="14" t="s">
        <v>443</v>
      </c>
      <c r="C916" s="34">
        <v>45526</v>
      </c>
      <c r="D916" s="17">
        <v>0</v>
      </c>
      <c r="E916" s="17">
        <v>0</v>
      </c>
      <c r="F916" s="17">
        <v>0</v>
      </c>
      <c r="G916" s="17">
        <v>0</v>
      </c>
      <c r="H916" s="35"/>
      <c r="I916" s="17">
        <v>0</v>
      </c>
      <c r="J916" s="17">
        <v>0</v>
      </c>
      <c r="K916" s="17">
        <v>1</v>
      </c>
      <c r="L916" s="17">
        <v>0</v>
      </c>
      <c r="M916" s="14" t="s">
        <v>290</v>
      </c>
      <c r="N916" s="14" t="s">
        <v>87</v>
      </c>
      <c r="O916" s="14" t="s">
        <v>37</v>
      </c>
      <c r="P916" s="14"/>
      <c r="Q916" s="36" t="s">
        <v>263</v>
      </c>
    </row>
    <row r="917" spans="1:17" ht="14.4">
      <c r="A917" s="26">
        <v>551</v>
      </c>
      <c r="B917" s="19" t="s">
        <v>443</v>
      </c>
      <c r="C917" s="37">
        <v>45526</v>
      </c>
      <c r="D917" s="22">
        <v>1</v>
      </c>
      <c r="E917" s="22">
        <v>0</v>
      </c>
      <c r="F917" s="22">
        <v>0</v>
      </c>
      <c r="G917" s="22">
        <v>0</v>
      </c>
      <c r="H917" s="38"/>
      <c r="I917" s="22">
        <v>0</v>
      </c>
      <c r="J917" s="22">
        <v>0</v>
      </c>
      <c r="K917" s="22">
        <v>0</v>
      </c>
      <c r="L917" s="22">
        <v>0</v>
      </c>
      <c r="M917" s="19" t="s">
        <v>290</v>
      </c>
      <c r="N917" s="19" t="s">
        <v>87</v>
      </c>
      <c r="O917" s="19" t="s">
        <v>43</v>
      </c>
      <c r="P917" s="22">
        <v>1</v>
      </c>
      <c r="Q917" s="39" t="s">
        <v>259</v>
      </c>
    </row>
    <row r="918" spans="1:17" ht="14.4">
      <c r="A918" s="13">
        <v>551</v>
      </c>
      <c r="B918" s="14" t="s">
        <v>443</v>
      </c>
      <c r="C918" s="34">
        <v>45526</v>
      </c>
      <c r="D918" s="17">
        <v>0</v>
      </c>
      <c r="E918" s="17">
        <v>0</v>
      </c>
      <c r="F918" s="17">
        <v>0</v>
      </c>
      <c r="G918" s="17">
        <v>0</v>
      </c>
      <c r="H918" s="35"/>
      <c r="I918" s="17">
        <v>1</v>
      </c>
      <c r="J918" s="17">
        <v>0</v>
      </c>
      <c r="K918" s="17">
        <v>0</v>
      </c>
      <c r="L918" s="17">
        <v>0</v>
      </c>
      <c r="M918" s="14" t="s">
        <v>290</v>
      </c>
      <c r="N918" s="14" t="s">
        <v>87</v>
      </c>
      <c r="O918" s="14" t="s">
        <v>43</v>
      </c>
      <c r="P918" s="14"/>
      <c r="Q918" s="36" t="s">
        <v>260</v>
      </c>
    </row>
    <row r="919" spans="1:17" ht="14.4">
      <c r="A919" s="26">
        <v>551</v>
      </c>
      <c r="B919" s="19" t="s">
        <v>443</v>
      </c>
      <c r="C919" s="37">
        <v>45526</v>
      </c>
      <c r="D919" s="22">
        <v>0</v>
      </c>
      <c r="E919" s="22">
        <v>1</v>
      </c>
      <c r="F919" s="22">
        <v>0</v>
      </c>
      <c r="G919" s="22">
        <v>0</v>
      </c>
      <c r="H919" s="21" t="s">
        <v>444</v>
      </c>
      <c r="I919" s="22">
        <v>0</v>
      </c>
      <c r="J919" s="22">
        <v>0</v>
      </c>
      <c r="K919" s="22">
        <v>0</v>
      </c>
      <c r="L919" s="22">
        <v>0</v>
      </c>
      <c r="M919" s="19" t="s">
        <v>290</v>
      </c>
      <c r="N919" s="19" t="s">
        <v>87</v>
      </c>
      <c r="O919" s="19" t="s">
        <v>60</v>
      </c>
      <c r="P919" s="19"/>
      <c r="Q919" s="39" t="s">
        <v>262</v>
      </c>
    </row>
    <row r="920" spans="1:17" ht="14.4">
      <c r="A920" s="13">
        <v>551</v>
      </c>
      <c r="B920" s="14" t="s">
        <v>443</v>
      </c>
      <c r="C920" s="34">
        <v>45526</v>
      </c>
      <c r="D920" s="17">
        <v>0</v>
      </c>
      <c r="E920" s="17">
        <v>0</v>
      </c>
      <c r="F920" s="17">
        <v>0</v>
      </c>
      <c r="G920" s="17">
        <v>0</v>
      </c>
      <c r="H920" s="35"/>
      <c r="I920" s="17">
        <v>1</v>
      </c>
      <c r="J920" s="17">
        <v>0</v>
      </c>
      <c r="K920" s="17">
        <v>0</v>
      </c>
      <c r="L920" s="17">
        <v>0</v>
      </c>
      <c r="M920" s="14" t="s">
        <v>290</v>
      </c>
      <c r="N920" s="14" t="s">
        <v>87</v>
      </c>
      <c r="O920" s="14" t="s">
        <v>98</v>
      </c>
      <c r="P920" s="14"/>
      <c r="Q920" s="36" t="s">
        <v>260</v>
      </c>
    </row>
    <row r="921" spans="1:17" ht="14.4">
      <c r="A921" s="26">
        <v>551</v>
      </c>
      <c r="B921" s="19" t="s">
        <v>443</v>
      </c>
      <c r="C921" s="37">
        <v>45526</v>
      </c>
      <c r="D921" s="22">
        <v>0</v>
      </c>
      <c r="E921" s="22">
        <v>0</v>
      </c>
      <c r="F921" s="22">
        <v>0</v>
      </c>
      <c r="G921" s="22">
        <v>0</v>
      </c>
      <c r="H921" s="38"/>
      <c r="I921" s="22">
        <v>0</v>
      </c>
      <c r="J921" s="22">
        <v>0</v>
      </c>
      <c r="K921" s="22">
        <v>0</v>
      </c>
      <c r="L921" s="22">
        <v>2</v>
      </c>
      <c r="M921" s="19" t="s">
        <v>290</v>
      </c>
      <c r="N921" s="19" t="s">
        <v>87</v>
      </c>
      <c r="O921" s="19" t="s">
        <v>57</v>
      </c>
      <c r="P921" s="19"/>
      <c r="Q921" s="39" t="s">
        <v>284</v>
      </c>
    </row>
    <row r="922" spans="1:17" ht="14.4">
      <c r="A922" s="13">
        <v>551</v>
      </c>
      <c r="B922" s="14" t="s">
        <v>443</v>
      </c>
      <c r="C922" s="34">
        <v>45526</v>
      </c>
      <c r="D922" s="17">
        <v>2</v>
      </c>
      <c r="E922" s="17">
        <v>0</v>
      </c>
      <c r="F922" s="17">
        <v>0</v>
      </c>
      <c r="G922" s="17">
        <v>0</v>
      </c>
      <c r="H922" s="35"/>
      <c r="I922" s="17">
        <v>0</v>
      </c>
      <c r="J922" s="17">
        <v>0</v>
      </c>
      <c r="K922" s="17">
        <v>0</v>
      </c>
      <c r="L922" s="17">
        <v>0</v>
      </c>
      <c r="M922" s="14" t="s">
        <v>290</v>
      </c>
      <c r="N922" s="14" t="s">
        <v>87</v>
      </c>
      <c r="O922" s="14" t="s">
        <v>86</v>
      </c>
      <c r="P922" s="17">
        <v>2</v>
      </c>
      <c r="Q922" s="36" t="s">
        <v>259</v>
      </c>
    </row>
    <row r="923" spans="1:17" ht="14.4">
      <c r="A923" s="26">
        <v>551</v>
      </c>
      <c r="B923" s="19" t="s">
        <v>443</v>
      </c>
      <c r="C923" s="37">
        <v>45526</v>
      </c>
      <c r="D923" s="22">
        <v>0</v>
      </c>
      <c r="E923" s="22">
        <v>0</v>
      </c>
      <c r="F923" s="22">
        <v>0</v>
      </c>
      <c r="G923" s="22">
        <v>0</v>
      </c>
      <c r="H923" s="38"/>
      <c r="I923" s="22">
        <v>1</v>
      </c>
      <c r="J923" s="22">
        <v>0</v>
      </c>
      <c r="K923" s="22">
        <v>0</v>
      </c>
      <c r="L923" s="22">
        <v>0</v>
      </c>
      <c r="M923" s="19" t="s">
        <v>290</v>
      </c>
      <c r="N923" s="19" t="s">
        <v>87</v>
      </c>
      <c r="O923" s="19" t="s">
        <v>86</v>
      </c>
      <c r="P923" s="19"/>
      <c r="Q923" s="39" t="s">
        <v>260</v>
      </c>
    </row>
    <row r="924" spans="1:17" ht="14.4">
      <c r="A924" s="13">
        <v>551</v>
      </c>
      <c r="B924" s="14" t="s">
        <v>443</v>
      </c>
      <c r="C924" s="34">
        <v>45526</v>
      </c>
      <c r="D924" s="17">
        <v>0</v>
      </c>
      <c r="E924" s="17">
        <v>0</v>
      </c>
      <c r="F924" s="17">
        <v>0</v>
      </c>
      <c r="G924" s="17">
        <v>0</v>
      </c>
      <c r="H924" s="35"/>
      <c r="I924" s="17">
        <v>0</v>
      </c>
      <c r="J924" s="17">
        <v>1</v>
      </c>
      <c r="K924" s="17">
        <v>0</v>
      </c>
      <c r="L924" s="17">
        <v>0</v>
      </c>
      <c r="M924" s="14" t="s">
        <v>290</v>
      </c>
      <c r="N924" s="14" t="s">
        <v>87</v>
      </c>
      <c r="O924" s="14" t="s">
        <v>86</v>
      </c>
      <c r="P924" s="14"/>
      <c r="Q924" s="36" t="s">
        <v>263</v>
      </c>
    </row>
    <row r="925" spans="1:17" ht="14.4">
      <c r="A925" s="26">
        <v>551</v>
      </c>
      <c r="B925" s="19" t="s">
        <v>443</v>
      </c>
      <c r="C925" s="37">
        <v>45526</v>
      </c>
      <c r="D925" s="22">
        <v>3</v>
      </c>
      <c r="E925" s="22">
        <v>0</v>
      </c>
      <c r="F925" s="22">
        <v>0</v>
      </c>
      <c r="G925" s="22">
        <v>0</v>
      </c>
      <c r="H925" s="38"/>
      <c r="I925" s="22">
        <v>0</v>
      </c>
      <c r="J925" s="22">
        <v>0</v>
      </c>
      <c r="K925" s="22">
        <v>0</v>
      </c>
      <c r="L925" s="22">
        <v>0</v>
      </c>
      <c r="M925" s="19" t="s">
        <v>290</v>
      </c>
      <c r="N925" s="19" t="s">
        <v>87</v>
      </c>
      <c r="O925" s="19" t="s">
        <v>59</v>
      </c>
      <c r="P925" s="22">
        <v>2</v>
      </c>
      <c r="Q925" s="39" t="s">
        <v>259</v>
      </c>
    </row>
    <row r="926" spans="1:17" ht="14.4">
      <c r="A926" s="13">
        <v>235</v>
      </c>
      <c r="B926" s="14" t="s">
        <v>445</v>
      </c>
      <c r="C926" s="34">
        <v>45526</v>
      </c>
      <c r="D926" s="17">
        <v>1</v>
      </c>
      <c r="E926" s="17">
        <v>0</v>
      </c>
      <c r="F926" s="17">
        <v>0</v>
      </c>
      <c r="G926" s="17">
        <v>0</v>
      </c>
      <c r="H926" s="35"/>
      <c r="I926" s="17">
        <v>0</v>
      </c>
      <c r="J926" s="17">
        <v>0</v>
      </c>
      <c r="K926" s="17">
        <v>0</v>
      </c>
      <c r="L926" s="17">
        <v>0</v>
      </c>
      <c r="M926" s="14" t="s">
        <v>100</v>
      </c>
      <c r="N926" s="14" t="s">
        <v>91</v>
      </c>
      <c r="O926" s="14" t="s">
        <v>90</v>
      </c>
      <c r="P926" s="17">
        <v>1</v>
      </c>
      <c r="Q926" s="36" t="s">
        <v>259</v>
      </c>
    </row>
    <row r="927" spans="1:17" ht="14.4">
      <c r="A927" s="26">
        <v>235</v>
      </c>
      <c r="B927" s="19" t="s">
        <v>445</v>
      </c>
      <c r="C927" s="37">
        <v>45526</v>
      </c>
      <c r="D927" s="22">
        <v>0</v>
      </c>
      <c r="E927" s="22">
        <v>0</v>
      </c>
      <c r="F927" s="22">
        <v>0</v>
      </c>
      <c r="G927" s="22">
        <v>0</v>
      </c>
      <c r="H927" s="38"/>
      <c r="I927" s="22">
        <v>1</v>
      </c>
      <c r="J927" s="22">
        <v>0</v>
      </c>
      <c r="K927" s="22">
        <v>0</v>
      </c>
      <c r="L927" s="22">
        <v>0</v>
      </c>
      <c r="M927" s="19" t="s">
        <v>100</v>
      </c>
      <c r="N927" s="19" t="s">
        <v>91</v>
      </c>
      <c r="O927" s="19" t="s">
        <v>90</v>
      </c>
      <c r="P927" s="19"/>
      <c r="Q927" s="39" t="s">
        <v>260</v>
      </c>
    </row>
    <row r="928" spans="1:17" ht="14.4">
      <c r="A928" s="13">
        <v>235</v>
      </c>
      <c r="B928" s="14" t="s">
        <v>445</v>
      </c>
      <c r="C928" s="34">
        <v>45526</v>
      </c>
      <c r="D928" s="17">
        <v>0</v>
      </c>
      <c r="E928" s="17">
        <v>0</v>
      </c>
      <c r="F928" s="17">
        <v>0</v>
      </c>
      <c r="G928" s="17">
        <v>0</v>
      </c>
      <c r="H928" s="35"/>
      <c r="I928" s="17">
        <v>0</v>
      </c>
      <c r="J928" s="17">
        <v>0</v>
      </c>
      <c r="K928" s="17">
        <v>1</v>
      </c>
      <c r="L928" s="17">
        <v>0</v>
      </c>
      <c r="M928" s="14" t="s">
        <v>100</v>
      </c>
      <c r="N928" s="14" t="s">
        <v>91</v>
      </c>
      <c r="O928" s="14" t="s">
        <v>90</v>
      </c>
      <c r="P928" s="14"/>
      <c r="Q928" s="36" t="s">
        <v>263</v>
      </c>
    </row>
    <row r="929" spans="1:17" ht="14.4">
      <c r="A929" s="26">
        <v>235</v>
      </c>
      <c r="B929" s="19" t="s">
        <v>445</v>
      </c>
      <c r="C929" s="37">
        <v>45526</v>
      </c>
      <c r="D929" s="22">
        <v>0</v>
      </c>
      <c r="E929" s="22">
        <v>1</v>
      </c>
      <c r="F929" s="22">
        <v>0</v>
      </c>
      <c r="G929" s="22">
        <v>0</v>
      </c>
      <c r="H929" s="21" t="s">
        <v>269</v>
      </c>
      <c r="I929" s="22">
        <v>0</v>
      </c>
      <c r="J929" s="22">
        <v>0</v>
      </c>
      <c r="K929" s="22">
        <v>0</v>
      </c>
      <c r="L929" s="22">
        <v>0</v>
      </c>
      <c r="M929" s="19" t="s">
        <v>100</v>
      </c>
      <c r="N929" s="19" t="s">
        <v>87</v>
      </c>
      <c r="O929" s="19" t="s">
        <v>60</v>
      </c>
      <c r="P929" s="19"/>
      <c r="Q929" s="39" t="s">
        <v>262</v>
      </c>
    </row>
    <row r="930" spans="1:17" ht="14.4">
      <c r="A930" s="13">
        <v>235</v>
      </c>
      <c r="B930" s="14" t="s">
        <v>445</v>
      </c>
      <c r="C930" s="34">
        <v>45526</v>
      </c>
      <c r="D930" s="17">
        <v>0</v>
      </c>
      <c r="E930" s="17">
        <v>0</v>
      </c>
      <c r="F930" s="17">
        <v>0</v>
      </c>
      <c r="G930" s="17">
        <v>0</v>
      </c>
      <c r="H930" s="35"/>
      <c r="I930" s="17">
        <v>0</v>
      </c>
      <c r="J930" s="17">
        <v>0</v>
      </c>
      <c r="K930" s="17">
        <v>1</v>
      </c>
      <c r="L930" s="17">
        <v>0</v>
      </c>
      <c r="M930" s="14" t="s">
        <v>100</v>
      </c>
      <c r="N930" s="14" t="s">
        <v>87</v>
      </c>
      <c r="O930" s="14" t="s">
        <v>60</v>
      </c>
      <c r="P930" s="14"/>
      <c r="Q930" s="36" t="s">
        <v>263</v>
      </c>
    </row>
    <row r="931" spans="1:17" ht="14.4">
      <c r="A931" s="26">
        <v>235</v>
      </c>
      <c r="B931" s="19" t="s">
        <v>445</v>
      </c>
      <c r="C931" s="37">
        <v>45526</v>
      </c>
      <c r="D931" s="22">
        <v>1</v>
      </c>
      <c r="E931" s="22">
        <v>0</v>
      </c>
      <c r="F931" s="22">
        <v>0</v>
      </c>
      <c r="G931" s="22">
        <v>0</v>
      </c>
      <c r="H931" s="38"/>
      <c r="I931" s="22">
        <v>0</v>
      </c>
      <c r="J931" s="22">
        <v>0</v>
      </c>
      <c r="K931" s="22">
        <v>0</v>
      </c>
      <c r="L931" s="22">
        <v>0</v>
      </c>
      <c r="M931" s="19" t="s">
        <v>100</v>
      </c>
      <c r="N931" s="19" t="s">
        <v>87</v>
      </c>
      <c r="O931" s="19" t="s">
        <v>59</v>
      </c>
      <c r="P931" s="19"/>
      <c r="Q931" s="39" t="s">
        <v>259</v>
      </c>
    </row>
    <row r="932" spans="1:17" ht="14.4">
      <c r="A932" s="13">
        <v>527</v>
      </c>
      <c r="B932" s="14" t="s">
        <v>446</v>
      </c>
      <c r="C932" s="34">
        <v>45526</v>
      </c>
      <c r="D932" s="17">
        <v>0</v>
      </c>
      <c r="E932" s="17">
        <v>0</v>
      </c>
      <c r="F932" s="17">
        <v>0</v>
      </c>
      <c r="G932" s="17">
        <v>0</v>
      </c>
      <c r="H932" s="35"/>
      <c r="I932" s="17">
        <v>1</v>
      </c>
      <c r="J932" s="17">
        <v>0</v>
      </c>
      <c r="K932" s="17">
        <v>0</v>
      </c>
      <c r="L932" s="17">
        <v>0</v>
      </c>
      <c r="M932" s="14" t="s">
        <v>100</v>
      </c>
      <c r="N932" s="14" t="s">
        <v>91</v>
      </c>
      <c r="O932" s="14" t="s">
        <v>38</v>
      </c>
      <c r="P932" s="14"/>
      <c r="Q932" s="36" t="s">
        <v>260</v>
      </c>
    </row>
    <row r="933" spans="1:17" ht="14.4">
      <c r="A933" s="26">
        <v>527</v>
      </c>
      <c r="B933" s="19" t="s">
        <v>446</v>
      </c>
      <c r="C933" s="37">
        <v>45526</v>
      </c>
      <c r="D933" s="22">
        <v>0</v>
      </c>
      <c r="E933" s="22">
        <v>0</v>
      </c>
      <c r="F933" s="22">
        <v>0</v>
      </c>
      <c r="G933" s="22">
        <v>0</v>
      </c>
      <c r="H933" s="38"/>
      <c r="I933" s="22">
        <v>0</v>
      </c>
      <c r="J933" s="22">
        <v>1</v>
      </c>
      <c r="K933" s="22">
        <v>0</v>
      </c>
      <c r="L933" s="22">
        <v>0</v>
      </c>
      <c r="M933" s="19" t="s">
        <v>100</v>
      </c>
      <c r="N933" s="19" t="s">
        <v>91</v>
      </c>
      <c r="O933" s="19" t="s">
        <v>38</v>
      </c>
      <c r="P933" s="19"/>
      <c r="Q933" s="39" t="s">
        <v>263</v>
      </c>
    </row>
    <row r="934" spans="1:17" ht="14.4">
      <c r="A934" s="13">
        <v>527</v>
      </c>
      <c r="B934" s="14" t="s">
        <v>446</v>
      </c>
      <c r="C934" s="34">
        <v>45526</v>
      </c>
      <c r="D934" s="17">
        <v>0</v>
      </c>
      <c r="E934" s="17">
        <v>1</v>
      </c>
      <c r="F934" s="17">
        <v>0</v>
      </c>
      <c r="G934" s="17">
        <v>0</v>
      </c>
      <c r="H934" s="16" t="s">
        <v>275</v>
      </c>
      <c r="I934" s="17">
        <v>0</v>
      </c>
      <c r="J934" s="17">
        <v>0</v>
      </c>
      <c r="K934" s="17">
        <v>0</v>
      </c>
      <c r="L934" s="17">
        <v>0</v>
      </c>
      <c r="M934" s="14" t="s">
        <v>100</v>
      </c>
      <c r="N934" s="14" t="s">
        <v>91</v>
      </c>
      <c r="O934" s="14" t="s">
        <v>47</v>
      </c>
      <c r="P934" s="14"/>
      <c r="Q934" s="36" t="s">
        <v>262</v>
      </c>
    </row>
    <row r="935" spans="1:17" ht="14.4">
      <c r="A935" s="26">
        <v>527</v>
      </c>
      <c r="B935" s="19" t="s">
        <v>446</v>
      </c>
      <c r="C935" s="37">
        <v>45526</v>
      </c>
      <c r="D935" s="22">
        <v>0</v>
      </c>
      <c r="E935" s="22">
        <v>0</v>
      </c>
      <c r="F935" s="22">
        <v>0</v>
      </c>
      <c r="G935" s="22">
        <v>0</v>
      </c>
      <c r="H935" s="38"/>
      <c r="I935" s="22">
        <v>0</v>
      </c>
      <c r="J935" s="22">
        <v>0</v>
      </c>
      <c r="K935" s="22">
        <v>1</v>
      </c>
      <c r="L935" s="22">
        <v>0</v>
      </c>
      <c r="M935" s="19" t="s">
        <v>100</v>
      </c>
      <c r="N935" s="19" t="s">
        <v>91</v>
      </c>
      <c r="O935" s="19" t="s">
        <v>47</v>
      </c>
      <c r="P935" s="19"/>
      <c r="Q935" s="39" t="s">
        <v>263</v>
      </c>
    </row>
    <row r="936" spans="1:17" ht="14.4">
      <c r="A936" s="13">
        <v>527</v>
      </c>
      <c r="B936" s="14" t="s">
        <v>446</v>
      </c>
      <c r="C936" s="34">
        <v>45526</v>
      </c>
      <c r="D936" s="17">
        <v>0</v>
      </c>
      <c r="E936" s="17">
        <v>1</v>
      </c>
      <c r="F936" s="17">
        <v>0</v>
      </c>
      <c r="G936" s="17">
        <v>0</v>
      </c>
      <c r="H936" s="16" t="s">
        <v>272</v>
      </c>
      <c r="I936" s="17">
        <v>0</v>
      </c>
      <c r="J936" s="17">
        <v>0</v>
      </c>
      <c r="K936" s="17">
        <v>0</v>
      </c>
      <c r="L936" s="17">
        <v>0</v>
      </c>
      <c r="M936" s="14" t="s">
        <v>100</v>
      </c>
      <c r="N936" s="14" t="s">
        <v>91</v>
      </c>
      <c r="O936" s="14" t="s">
        <v>90</v>
      </c>
      <c r="P936" s="14"/>
      <c r="Q936" s="36" t="s">
        <v>262</v>
      </c>
    </row>
    <row r="937" spans="1:17" ht="14.4">
      <c r="A937" s="26">
        <v>527</v>
      </c>
      <c r="B937" s="19" t="s">
        <v>446</v>
      </c>
      <c r="C937" s="37">
        <v>45526</v>
      </c>
      <c r="D937" s="22">
        <v>1</v>
      </c>
      <c r="E937" s="22">
        <v>0</v>
      </c>
      <c r="F937" s="22">
        <v>0</v>
      </c>
      <c r="G937" s="22">
        <v>0</v>
      </c>
      <c r="H937" s="38"/>
      <c r="I937" s="22">
        <v>0</v>
      </c>
      <c r="J937" s="22">
        <v>0</v>
      </c>
      <c r="K937" s="22">
        <v>0</v>
      </c>
      <c r="L937" s="22">
        <v>0</v>
      </c>
      <c r="M937" s="19" t="s">
        <v>100</v>
      </c>
      <c r="N937" s="19" t="s">
        <v>87</v>
      </c>
      <c r="O937" s="19" t="s">
        <v>37</v>
      </c>
      <c r="P937" s="22">
        <v>1</v>
      </c>
      <c r="Q937" s="39" t="s">
        <v>259</v>
      </c>
    </row>
    <row r="938" spans="1:17" ht="14.4">
      <c r="A938" s="13">
        <v>527</v>
      </c>
      <c r="B938" s="14" t="s">
        <v>446</v>
      </c>
      <c r="C938" s="34">
        <v>45526</v>
      </c>
      <c r="D938" s="17">
        <v>0</v>
      </c>
      <c r="E938" s="17">
        <v>0</v>
      </c>
      <c r="F938" s="17">
        <v>0</v>
      </c>
      <c r="G938" s="17">
        <v>0</v>
      </c>
      <c r="H938" s="35"/>
      <c r="I938" s="17">
        <v>0</v>
      </c>
      <c r="J938" s="17">
        <v>2</v>
      </c>
      <c r="K938" s="17">
        <v>0</v>
      </c>
      <c r="L938" s="17">
        <v>0</v>
      </c>
      <c r="M938" s="14" t="s">
        <v>100</v>
      </c>
      <c r="N938" s="14" t="s">
        <v>87</v>
      </c>
      <c r="O938" s="14" t="s">
        <v>37</v>
      </c>
      <c r="P938" s="14"/>
      <c r="Q938" s="36" t="s">
        <v>263</v>
      </c>
    </row>
    <row r="939" spans="1:17" ht="14.4">
      <c r="A939" s="26">
        <v>527</v>
      </c>
      <c r="B939" s="19" t="s">
        <v>446</v>
      </c>
      <c r="C939" s="37">
        <v>45526</v>
      </c>
      <c r="D939" s="22">
        <v>0</v>
      </c>
      <c r="E939" s="22">
        <v>1</v>
      </c>
      <c r="F939" s="22">
        <v>0</v>
      </c>
      <c r="G939" s="22">
        <v>0</v>
      </c>
      <c r="H939" s="21" t="s">
        <v>405</v>
      </c>
      <c r="I939" s="22">
        <v>0</v>
      </c>
      <c r="J939" s="22">
        <v>0</v>
      </c>
      <c r="K939" s="22">
        <v>0</v>
      </c>
      <c r="L939" s="22">
        <v>0</v>
      </c>
      <c r="M939" s="19" t="s">
        <v>100</v>
      </c>
      <c r="N939" s="19" t="s">
        <v>87</v>
      </c>
      <c r="O939" s="19" t="s">
        <v>43</v>
      </c>
      <c r="P939" s="19"/>
      <c r="Q939" s="39" t="s">
        <v>262</v>
      </c>
    </row>
    <row r="940" spans="1:17" ht="14.4">
      <c r="A940" s="13">
        <v>527</v>
      </c>
      <c r="B940" s="14" t="s">
        <v>446</v>
      </c>
      <c r="C940" s="34">
        <v>45526</v>
      </c>
      <c r="D940" s="17">
        <v>0</v>
      </c>
      <c r="E940" s="17">
        <v>0</v>
      </c>
      <c r="F940" s="17">
        <v>0</v>
      </c>
      <c r="G940" s="17">
        <v>0</v>
      </c>
      <c r="H940" s="35"/>
      <c r="I940" s="17">
        <v>0</v>
      </c>
      <c r="J940" s="17">
        <v>0</v>
      </c>
      <c r="K940" s="17">
        <v>1</v>
      </c>
      <c r="L940" s="17">
        <v>0</v>
      </c>
      <c r="M940" s="14" t="s">
        <v>100</v>
      </c>
      <c r="N940" s="14" t="s">
        <v>87</v>
      </c>
      <c r="O940" s="14" t="s">
        <v>43</v>
      </c>
      <c r="P940" s="14"/>
      <c r="Q940" s="36" t="s">
        <v>263</v>
      </c>
    </row>
    <row r="941" spans="1:17" ht="14.4">
      <c r="A941" s="26">
        <v>527</v>
      </c>
      <c r="B941" s="19" t="s">
        <v>446</v>
      </c>
      <c r="C941" s="37">
        <v>45526</v>
      </c>
      <c r="D941" s="22">
        <v>0</v>
      </c>
      <c r="E941" s="22">
        <v>0</v>
      </c>
      <c r="F941" s="22">
        <v>1</v>
      </c>
      <c r="G941" s="22">
        <v>0</v>
      </c>
      <c r="H941" s="38"/>
      <c r="I941" s="22">
        <v>0</v>
      </c>
      <c r="J941" s="22">
        <v>0</v>
      </c>
      <c r="K941" s="22">
        <v>0</v>
      </c>
      <c r="L941" s="22">
        <v>0</v>
      </c>
      <c r="M941" s="19" t="s">
        <v>100</v>
      </c>
      <c r="N941" s="19" t="s">
        <v>87</v>
      </c>
      <c r="O941" s="19" t="s">
        <v>60</v>
      </c>
      <c r="P941" s="19"/>
      <c r="Q941" s="39" t="s">
        <v>362</v>
      </c>
    </row>
    <row r="942" spans="1:17" ht="14.4">
      <c r="A942" s="13">
        <v>527</v>
      </c>
      <c r="B942" s="14" t="s">
        <v>446</v>
      </c>
      <c r="C942" s="34">
        <v>45526</v>
      </c>
      <c r="D942" s="17">
        <v>2</v>
      </c>
      <c r="E942" s="17">
        <v>0</v>
      </c>
      <c r="F942" s="17">
        <v>0</v>
      </c>
      <c r="G942" s="17">
        <v>0</v>
      </c>
      <c r="H942" s="35"/>
      <c r="I942" s="17">
        <v>0</v>
      </c>
      <c r="J942" s="17">
        <v>0</v>
      </c>
      <c r="K942" s="17">
        <v>0</v>
      </c>
      <c r="L942" s="17">
        <v>0</v>
      </c>
      <c r="M942" s="14" t="s">
        <v>100</v>
      </c>
      <c r="N942" s="14" t="s">
        <v>87</v>
      </c>
      <c r="O942" s="14" t="s">
        <v>60</v>
      </c>
      <c r="P942" s="17">
        <v>1</v>
      </c>
      <c r="Q942" s="36" t="s">
        <v>259</v>
      </c>
    </row>
    <row r="943" spans="1:17" ht="14.4">
      <c r="A943" s="26">
        <v>527</v>
      </c>
      <c r="B943" s="19" t="s">
        <v>446</v>
      </c>
      <c r="C943" s="37">
        <v>45526</v>
      </c>
      <c r="D943" s="22">
        <v>0</v>
      </c>
      <c r="E943" s="22">
        <v>0</v>
      </c>
      <c r="F943" s="22">
        <v>0</v>
      </c>
      <c r="G943" s="22">
        <v>0</v>
      </c>
      <c r="H943" s="38"/>
      <c r="I943" s="22">
        <v>1</v>
      </c>
      <c r="J943" s="22">
        <v>0</v>
      </c>
      <c r="K943" s="22">
        <v>0</v>
      </c>
      <c r="L943" s="22">
        <v>0</v>
      </c>
      <c r="M943" s="19" t="s">
        <v>100</v>
      </c>
      <c r="N943" s="19" t="s">
        <v>87</v>
      </c>
      <c r="O943" s="19" t="s">
        <v>60</v>
      </c>
      <c r="P943" s="19"/>
      <c r="Q943" s="39" t="s">
        <v>260</v>
      </c>
    </row>
    <row r="944" spans="1:17" ht="14.4">
      <c r="A944" s="13">
        <v>527</v>
      </c>
      <c r="B944" s="14" t="s">
        <v>446</v>
      </c>
      <c r="C944" s="34">
        <v>45526</v>
      </c>
      <c r="D944" s="17">
        <v>0</v>
      </c>
      <c r="E944" s="17">
        <v>3</v>
      </c>
      <c r="F944" s="17">
        <v>0</v>
      </c>
      <c r="G944" s="17">
        <v>0</v>
      </c>
      <c r="H944" s="16" t="s">
        <v>447</v>
      </c>
      <c r="I944" s="17">
        <v>0</v>
      </c>
      <c r="J944" s="17">
        <v>0</v>
      </c>
      <c r="K944" s="17">
        <v>0</v>
      </c>
      <c r="L944" s="17">
        <v>0</v>
      </c>
      <c r="M944" s="14" t="s">
        <v>100</v>
      </c>
      <c r="N944" s="14" t="s">
        <v>87</v>
      </c>
      <c r="O944" s="14" t="s">
        <v>51</v>
      </c>
      <c r="P944" s="14"/>
      <c r="Q944" s="36" t="s">
        <v>262</v>
      </c>
    </row>
    <row r="945" spans="1:17" ht="14.4">
      <c r="A945" s="26">
        <v>527</v>
      </c>
      <c r="B945" s="19" t="s">
        <v>446</v>
      </c>
      <c r="C945" s="37">
        <v>45526</v>
      </c>
      <c r="D945" s="22">
        <v>0</v>
      </c>
      <c r="E945" s="22">
        <v>0</v>
      </c>
      <c r="F945" s="22">
        <v>0</v>
      </c>
      <c r="G945" s="22">
        <v>0</v>
      </c>
      <c r="H945" s="38"/>
      <c r="I945" s="22">
        <v>0</v>
      </c>
      <c r="J945" s="22">
        <v>0</v>
      </c>
      <c r="K945" s="22">
        <v>1</v>
      </c>
      <c r="L945" s="22">
        <v>0</v>
      </c>
      <c r="M945" s="19" t="s">
        <v>100</v>
      </c>
      <c r="N945" s="19" t="s">
        <v>87</v>
      </c>
      <c r="O945" s="19" t="s">
        <v>51</v>
      </c>
      <c r="P945" s="19"/>
      <c r="Q945" s="39" t="s">
        <v>263</v>
      </c>
    </row>
    <row r="946" spans="1:17" ht="14.4">
      <c r="A946" s="13">
        <v>527</v>
      </c>
      <c r="B946" s="14" t="s">
        <v>446</v>
      </c>
      <c r="C946" s="34">
        <v>45526</v>
      </c>
      <c r="D946" s="17">
        <v>1</v>
      </c>
      <c r="E946" s="17">
        <v>0</v>
      </c>
      <c r="F946" s="17">
        <v>0</v>
      </c>
      <c r="G946" s="17">
        <v>0</v>
      </c>
      <c r="H946" s="35"/>
      <c r="I946" s="17">
        <v>0</v>
      </c>
      <c r="J946" s="17">
        <v>0</v>
      </c>
      <c r="K946" s="17">
        <v>0</v>
      </c>
      <c r="L946" s="17">
        <v>0</v>
      </c>
      <c r="M946" s="14" t="s">
        <v>100</v>
      </c>
      <c r="N946" s="14" t="s">
        <v>87</v>
      </c>
      <c r="O946" s="14" t="s">
        <v>98</v>
      </c>
      <c r="P946" s="17">
        <v>1</v>
      </c>
      <c r="Q946" s="36" t="s">
        <v>259</v>
      </c>
    </row>
    <row r="947" spans="1:17" ht="14.4">
      <c r="A947" s="26">
        <v>527</v>
      </c>
      <c r="B947" s="19" t="s">
        <v>446</v>
      </c>
      <c r="C947" s="37">
        <v>45526</v>
      </c>
      <c r="D947" s="22">
        <v>0</v>
      </c>
      <c r="E947" s="22">
        <v>0</v>
      </c>
      <c r="F947" s="22">
        <v>0</v>
      </c>
      <c r="G947" s="22">
        <v>0</v>
      </c>
      <c r="H947" s="38"/>
      <c r="I947" s="22">
        <v>1</v>
      </c>
      <c r="J947" s="22">
        <v>0</v>
      </c>
      <c r="K947" s="22">
        <v>0</v>
      </c>
      <c r="L947" s="22">
        <v>0</v>
      </c>
      <c r="M947" s="19" t="s">
        <v>100</v>
      </c>
      <c r="N947" s="19" t="s">
        <v>87</v>
      </c>
      <c r="O947" s="19" t="s">
        <v>98</v>
      </c>
      <c r="P947" s="19"/>
      <c r="Q947" s="39" t="s">
        <v>260</v>
      </c>
    </row>
    <row r="948" spans="1:17" ht="14.4">
      <c r="A948" s="13">
        <v>527</v>
      </c>
      <c r="B948" s="14" t="s">
        <v>446</v>
      </c>
      <c r="C948" s="34">
        <v>45526</v>
      </c>
      <c r="D948" s="17">
        <v>0</v>
      </c>
      <c r="E948" s="17">
        <v>4</v>
      </c>
      <c r="F948" s="17">
        <v>0</v>
      </c>
      <c r="G948" s="17">
        <v>0</v>
      </c>
      <c r="H948" s="16" t="s">
        <v>275</v>
      </c>
      <c r="I948" s="17">
        <v>0</v>
      </c>
      <c r="J948" s="17">
        <v>0</v>
      </c>
      <c r="K948" s="17">
        <v>0</v>
      </c>
      <c r="L948" s="17">
        <v>0</v>
      </c>
      <c r="M948" s="14" t="s">
        <v>100</v>
      </c>
      <c r="N948" s="14" t="s">
        <v>87</v>
      </c>
      <c r="O948" s="14" t="s">
        <v>89</v>
      </c>
      <c r="P948" s="14"/>
      <c r="Q948" s="36" t="s">
        <v>262</v>
      </c>
    </row>
    <row r="949" spans="1:17" ht="14.4">
      <c r="A949" s="26">
        <v>527</v>
      </c>
      <c r="B949" s="19" t="s">
        <v>446</v>
      </c>
      <c r="C949" s="37">
        <v>45526</v>
      </c>
      <c r="D949" s="22">
        <v>0</v>
      </c>
      <c r="E949" s="22">
        <v>0</v>
      </c>
      <c r="F949" s="22">
        <v>0</v>
      </c>
      <c r="G949" s="22">
        <v>0</v>
      </c>
      <c r="H949" s="38"/>
      <c r="I949" s="22">
        <v>1</v>
      </c>
      <c r="J949" s="22">
        <v>0</v>
      </c>
      <c r="K949" s="22">
        <v>0</v>
      </c>
      <c r="L949" s="22">
        <v>0</v>
      </c>
      <c r="M949" s="19" t="s">
        <v>100</v>
      </c>
      <c r="N949" s="19" t="s">
        <v>87</v>
      </c>
      <c r="O949" s="19" t="s">
        <v>89</v>
      </c>
      <c r="P949" s="19"/>
      <c r="Q949" s="39" t="s">
        <v>260</v>
      </c>
    </row>
    <row r="950" spans="1:17" ht="14.4">
      <c r="A950" s="13">
        <v>527</v>
      </c>
      <c r="B950" s="14" t="s">
        <v>446</v>
      </c>
      <c r="C950" s="34">
        <v>45526</v>
      </c>
      <c r="D950" s="17">
        <v>0</v>
      </c>
      <c r="E950" s="17">
        <v>0</v>
      </c>
      <c r="F950" s="17">
        <v>0</v>
      </c>
      <c r="G950" s="17">
        <v>0</v>
      </c>
      <c r="H950" s="35"/>
      <c r="I950" s="17">
        <v>0</v>
      </c>
      <c r="J950" s="17">
        <v>0</v>
      </c>
      <c r="K950" s="17">
        <v>2</v>
      </c>
      <c r="L950" s="17">
        <v>0</v>
      </c>
      <c r="M950" s="14" t="s">
        <v>100</v>
      </c>
      <c r="N950" s="14" t="s">
        <v>87</v>
      </c>
      <c r="O950" s="14" t="s">
        <v>89</v>
      </c>
      <c r="P950" s="14"/>
      <c r="Q950" s="36" t="s">
        <v>263</v>
      </c>
    </row>
    <row r="951" spans="1:17" ht="14.4">
      <c r="A951" s="26">
        <v>527</v>
      </c>
      <c r="B951" s="19" t="s">
        <v>446</v>
      </c>
      <c r="C951" s="37">
        <v>45526</v>
      </c>
      <c r="D951" s="22">
        <v>5</v>
      </c>
      <c r="E951" s="22">
        <v>0</v>
      </c>
      <c r="F951" s="22">
        <v>0</v>
      </c>
      <c r="G951" s="22">
        <v>0</v>
      </c>
      <c r="H951" s="38"/>
      <c r="I951" s="22">
        <v>0</v>
      </c>
      <c r="J951" s="22">
        <v>0</v>
      </c>
      <c r="K951" s="22">
        <v>0</v>
      </c>
      <c r="L951" s="22">
        <v>0</v>
      </c>
      <c r="M951" s="19" t="s">
        <v>100</v>
      </c>
      <c r="N951" s="19" t="s">
        <v>87</v>
      </c>
      <c r="O951" s="19" t="s">
        <v>57</v>
      </c>
      <c r="P951" s="22">
        <v>3</v>
      </c>
      <c r="Q951" s="39" t="s">
        <v>259</v>
      </c>
    </row>
    <row r="952" spans="1:17" ht="14.4">
      <c r="A952" s="13">
        <v>527</v>
      </c>
      <c r="B952" s="14" t="s">
        <v>446</v>
      </c>
      <c r="C952" s="34">
        <v>45526</v>
      </c>
      <c r="D952" s="17">
        <v>9</v>
      </c>
      <c r="E952" s="17">
        <v>0</v>
      </c>
      <c r="F952" s="17">
        <v>0</v>
      </c>
      <c r="G952" s="17">
        <v>0</v>
      </c>
      <c r="H952" s="35"/>
      <c r="I952" s="17">
        <v>0</v>
      </c>
      <c r="J952" s="17">
        <v>0</v>
      </c>
      <c r="K952" s="17">
        <v>0</v>
      </c>
      <c r="L952" s="17">
        <v>0</v>
      </c>
      <c r="M952" s="14" t="s">
        <v>100</v>
      </c>
      <c r="N952" s="14" t="s">
        <v>87</v>
      </c>
      <c r="O952" s="14" t="s">
        <v>86</v>
      </c>
      <c r="P952" s="17">
        <v>3</v>
      </c>
      <c r="Q952" s="36" t="s">
        <v>259</v>
      </c>
    </row>
    <row r="953" spans="1:17" ht="14.4">
      <c r="A953" s="26">
        <v>527</v>
      </c>
      <c r="B953" s="19" t="s">
        <v>446</v>
      </c>
      <c r="C953" s="37">
        <v>45526</v>
      </c>
      <c r="D953" s="22">
        <v>0</v>
      </c>
      <c r="E953" s="22">
        <v>0</v>
      </c>
      <c r="F953" s="22">
        <v>0</v>
      </c>
      <c r="G953" s="22">
        <v>0</v>
      </c>
      <c r="H953" s="38"/>
      <c r="I953" s="22">
        <v>0</v>
      </c>
      <c r="J953" s="22">
        <v>3</v>
      </c>
      <c r="K953" s="22">
        <v>0</v>
      </c>
      <c r="L953" s="22">
        <v>0</v>
      </c>
      <c r="M953" s="19" t="s">
        <v>100</v>
      </c>
      <c r="N953" s="19" t="s">
        <v>87</v>
      </c>
      <c r="O953" s="19" t="s">
        <v>86</v>
      </c>
      <c r="P953" s="19"/>
      <c r="Q953" s="39" t="s">
        <v>263</v>
      </c>
    </row>
    <row r="954" spans="1:17" ht="14.4">
      <c r="A954" s="13">
        <v>527</v>
      </c>
      <c r="B954" s="14" t="s">
        <v>446</v>
      </c>
      <c r="C954" s="34">
        <v>45526</v>
      </c>
      <c r="D954" s="17">
        <v>6</v>
      </c>
      <c r="E954" s="17">
        <v>0</v>
      </c>
      <c r="F954" s="17">
        <v>0</v>
      </c>
      <c r="G954" s="17">
        <v>0</v>
      </c>
      <c r="H954" s="35"/>
      <c r="I954" s="17">
        <v>0</v>
      </c>
      <c r="J954" s="17">
        <v>0</v>
      </c>
      <c r="K954" s="17">
        <v>0</v>
      </c>
      <c r="L954" s="17">
        <v>0</v>
      </c>
      <c r="M954" s="14" t="s">
        <v>100</v>
      </c>
      <c r="N954" s="14" t="s">
        <v>87</v>
      </c>
      <c r="O954" s="14" t="s">
        <v>59</v>
      </c>
      <c r="P954" s="17">
        <v>3</v>
      </c>
      <c r="Q954" s="36" t="s">
        <v>259</v>
      </c>
    </row>
    <row r="955" spans="1:17" ht="14.4">
      <c r="A955" s="26">
        <v>527</v>
      </c>
      <c r="B955" s="19" t="s">
        <v>446</v>
      </c>
      <c r="C955" s="37">
        <v>45526</v>
      </c>
      <c r="D955" s="22">
        <v>0</v>
      </c>
      <c r="E955" s="22">
        <v>0</v>
      </c>
      <c r="F955" s="22">
        <v>0</v>
      </c>
      <c r="G955" s="22">
        <v>0</v>
      </c>
      <c r="H955" s="38"/>
      <c r="I955" s="22">
        <v>0</v>
      </c>
      <c r="J955" s="22">
        <v>1</v>
      </c>
      <c r="K955" s="22">
        <v>0</v>
      </c>
      <c r="L955" s="22">
        <v>0</v>
      </c>
      <c r="M955" s="19" t="s">
        <v>100</v>
      </c>
      <c r="N955" s="19" t="s">
        <v>87</v>
      </c>
      <c r="O955" s="19" t="s">
        <v>59</v>
      </c>
      <c r="P955" s="19"/>
      <c r="Q955" s="39" t="s">
        <v>263</v>
      </c>
    </row>
    <row r="956" spans="1:17" ht="14.4">
      <c r="A956" s="13">
        <v>268</v>
      </c>
      <c r="B956" s="14" t="s">
        <v>448</v>
      </c>
      <c r="C956" s="34">
        <v>45526</v>
      </c>
      <c r="D956" s="17">
        <v>0</v>
      </c>
      <c r="E956" s="17">
        <v>2</v>
      </c>
      <c r="F956" s="17">
        <v>0</v>
      </c>
      <c r="G956" s="17">
        <v>0</v>
      </c>
      <c r="H956" s="16" t="s">
        <v>275</v>
      </c>
      <c r="I956" s="17">
        <v>0</v>
      </c>
      <c r="J956" s="17">
        <v>0</v>
      </c>
      <c r="K956" s="17">
        <v>0</v>
      </c>
      <c r="L956" s="17">
        <v>0</v>
      </c>
      <c r="M956" s="14" t="s">
        <v>100</v>
      </c>
      <c r="N956" s="14" t="s">
        <v>87</v>
      </c>
      <c r="O956" s="14" t="s">
        <v>60</v>
      </c>
      <c r="P956" s="14"/>
      <c r="Q956" s="36" t="s">
        <v>262</v>
      </c>
    </row>
    <row r="957" spans="1:17" ht="14.4">
      <c r="A957" s="26">
        <v>477</v>
      </c>
      <c r="B957" s="19" t="s">
        <v>449</v>
      </c>
      <c r="C957" s="37">
        <v>45526</v>
      </c>
      <c r="D957" s="22">
        <v>0</v>
      </c>
      <c r="E957" s="22">
        <v>0</v>
      </c>
      <c r="F957" s="22">
        <v>0</v>
      </c>
      <c r="G957" s="22">
        <v>0</v>
      </c>
      <c r="H957" s="38"/>
      <c r="I957" s="22">
        <v>1</v>
      </c>
      <c r="J957" s="22">
        <v>0</v>
      </c>
      <c r="K957" s="22">
        <v>0</v>
      </c>
      <c r="L957" s="22">
        <v>0</v>
      </c>
      <c r="M957" s="19" t="s">
        <v>290</v>
      </c>
      <c r="N957" s="19" t="s">
        <v>91</v>
      </c>
      <c r="O957" s="19" t="s">
        <v>38</v>
      </c>
      <c r="P957" s="19"/>
      <c r="Q957" s="39" t="s">
        <v>260</v>
      </c>
    </row>
    <row r="958" spans="1:17" ht="14.4">
      <c r="A958" s="13">
        <v>477</v>
      </c>
      <c r="B958" s="14" t="s">
        <v>449</v>
      </c>
      <c r="C958" s="34">
        <v>45526</v>
      </c>
      <c r="D958" s="17">
        <v>1</v>
      </c>
      <c r="E958" s="17">
        <v>0</v>
      </c>
      <c r="F958" s="17">
        <v>0</v>
      </c>
      <c r="G958" s="17">
        <v>0</v>
      </c>
      <c r="H958" s="35"/>
      <c r="I958" s="17">
        <v>0</v>
      </c>
      <c r="J958" s="17">
        <v>0</v>
      </c>
      <c r="K958" s="17">
        <v>0</v>
      </c>
      <c r="L958" s="17">
        <v>0</v>
      </c>
      <c r="M958" s="14" t="s">
        <v>290</v>
      </c>
      <c r="N958" s="14" t="s">
        <v>91</v>
      </c>
      <c r="O958" s="14" t="s">
        <v>47</v>
      </c>
      <c r="P958" s="17">
        <v>1</v>
      </c>
      <c r="Q958" s="36" t="s">
        <v>259</v>
      </c>
    </row>
    <row r="959" spans="1:17" ht="14.4">
      <c r="A959" s="26">
        <v>477</v>
      </c>
      <c r="B959" s="19" t="s">
        <v>449</v>
      </c>
      <c r="C959" s="37">
        <v>45526</v>
      </c>
      <c r="D959" s="22">
        <v>0</v>
      </c>
      <c r="E959" s="22">
        <v>0</v>
      </c>
      <c r="F959" s="22">
        <v>0</v>
      </c>
      <c r="G959" s="22">
        <v>0</v>
      </c>
      <c r="H959" s="38"/>
      <c r="I959" s="22">
        <v>1</v>
      </c>
      <c r="J959" s="22">
        <v>0</v>
      </c>
      <c r="K959" s="22">
        <v>0</v>
      </c>
      <c r="L959" s="22">
        <v>0</v>
      </c>
      <c r="M959" s="19" t="s">
        <v>290</v>
      </c>
      <c r="N959" s="19" t="s">
        <v>91</v>
      </c>
      <c r="O959" s="19" t="s">
        <v>47</v>
      </c>
      <c r="P959" s="19"/>
      <c r="Q959" s="39" t="s">
        <v>260</v>
      </c>
    </row>
    <row r="960" spans="1:17" ht="14.4">
      <c r="A960" s="13">
        <v>477</v>
      </c>
      <c r="B960" s="14" t="s">
        <v>449</v>
      </c>
      <c r="C960" s="34">
        <v>45526</v>
      </c>
      <c r="D960" s="17">
        <v>1</v>
      </c>
      <c r="E960" s="17">
        <v>0</v>
      </c>
      <c r="F960" s="17">
        <v>0</v>
      </c>
      <c r="G960" s="17">
        <v>0</v>
      </c>
      <c r="H960" s="35"/>
      <c r="I960" s="17">
        <v>0</v>
      </c>
      <c r="J960" s="17">
        <v>0</v>
      </c>
      <c r="K960" s="17">
        <v>0</v>
      </c>
      <c r="L960" s="17">
        <v>0</v>
      </c>
      <c r="M960" s="14" t="s">
        <v>290</v>
      </c>
      <c r="N960" s="14" t="s">
        <v>87</v>
      </c>
      <c r="O960" s="14" t="s">
        <v>60</v>
      </c>
      <c r="P960" s="17">
        <v>1</v>
      </c>
      <c r="Q960" s="36" t="s">
        <v>259</v>
      </c>
    </row>
    <row r="961" spans="1:17" ht="14.4">
      <c r="A961" s="26">
        <v>477</v>
      </c>
      <c r="B961" s="19" t="s">
        <v>449</v>
      </c>
      <c r="C961" s="37">
        <v>45526</v>
      </c>
      <c r="D961" s="22">
        <v>0</v>
      </c>
      <c r="E961" s="22">
        <v>0</v>
      </c>
      <c r="F961" s="22">
        <v>0</v>
      </c>
      <c r="G961" s="22">
        <v>0</v>
      </c>
      <c r="H961" s="38"/>
      <c r="I961" s="22">
        <v>1</v>
      </c>
      <c r="J961" s="22">
        <v>0</v>
      </c>
      <c r="K961" s="22">
        <v>0</v>
      </c>
      <c r="L961" s="22">
        <v>0</v>
      </c>
      <c r="M961" s="19" t="s">
        <v>290</v>
      </c>
      <c r="N961" s="19" t="s">
        <v>87</v>
      </c>
      <c r="O961" s="19" t="s">
        <v>60</v>
      </c>
      <c r="P961" s="19"/>
      <c r="Q961" s="39" t="s">
        <v>260</v>
      </c>
    </row>
    <row r="962" spans="1:17" ht="14.4">
      <c r="A962" s="13">
        <v>477</v>
      </c>
      <c r="B962" s="14" t="s">
        <v>449</v>
      </c>
      <c r="C962" s="34">
        <v>45526</v>
      </c>
      <c r="D962" s="17">
        <v>0</v>
      </c>
      <c r="E962" s="17">
        <v>0</v>
      </c>
      <c r="F962" s="17">
        <v>0</v>
      </c>
      <c r="G962" s="17">
        <v>0</v>
      </c>
      <c r="H962" s="35"/>
      <c r="I962" s="17">
        <v>0</v>
      </c>
      <c r="J962" s="17">
        <v>1</v>
      </c>
      <c r="K962" s="17">
        <v>0</v>
      </c>
      <c r="L962" s="17">
        <v>0</v>
      </c>
      <c r="M962" s="14" t="s">
        <v>290</v>
      </c>
      <c r="N962" s="14" t="s">
        <v>87</v>
      </c>
      <c r="O962" s="14" t="s">
        <v>60</v>
      </c>
      <c r="P962" s="14"/>
      <c r="Q962" s="36" t="s">
        <v>263</v>
      </c>
    </row>
    <row r="963" spans="1:17" ht="14.4">
      <c r="A963" s="26">
        <v>477</v>
      </c>
      <c r="B963" s="19" t="s">
        <v>449</v>
      </c>
      <c r="C963" s="37">
        <v>45526</v>
      </c>
      <c r="D963" s="22">
        <v>1</v>
      </c>
      <c r="E963" s="22">
        <v>0</v>
      </c>
      <c r="F963" s="22">
        <v>0</v>
      </c>
      <c r="G963" s="22">
        <v>0</v>
      </c>
      <c r="H963" s="38"/>
      <c r="I963" s="22">
        <v>0</v>
      </c>
      <c r="J963" s="22">
        <v>0</v>
      </c>
      <c r="K963" s="22">
        <v>0</v>
      </c>
      <c r="L963" s="22">
        <v>0</v>
      </c>
      <c r="M963" s="19" t="s">
        <v>290</v>
      </c>
      <c r="N963" s="19" t="s">
        <v>87</v>
      </c>
      <c r="O963" s="19" t="s">
        <v>98</v>
      </c>
      <c r="P963" s="22">
        <v>1</v>
      </c>
      <c r="Q963" s="39" t="s">
        <v>259</v>
      </c>
    </row>
    <row r="964" spans="1:17" ht="14.4">
      <c r="A964" s="13">
        <v>477</v>
      </c>
      <c r="B964" s="14" t="s">
        <v>449</v>
      </c>
      <c r="C964" s="34">
        <v>45526</v>
      </c>
      <c r="D964" s="17">
        <v>2</v>
      </c>
      <c r="E964" s="17">
        <v>0</v>
      </c>
      <c r="F964" s="17">
        <v>0</v>
      </c>
      <c r="G964" s="17">
        <v>0</v>
      </c>
      <c r="H964" s="35"/>
      <c r="I964" s="17">
        <v>0</v>
      </c>
      <c r="J964" s="17">
        <v>0</v>
      </c>
      <c r="K964" s="17">
        <v>0</v>
      </c>
      <c r="L964" s="17">
        <v>0</v>
      </c>
      <c r="M964" s="14" t="s">
        <v>290</v>
      </c>
      <c r="N964" s="14" t="s">
        <v>87</v>
      </c>
      <c r="O964" s="14" t="s">
        <v>89</v>
      </c>
      <c r="P964" s="17">
        <v>2</v>
      </c>
      <c r="Q964" s="36" t="s">
        <v>259</v>
      </c>
    </row>
    <row r="965" spans="1:17" ht="14.4">
      <c r="A965" s="26">
        <v>477</v>
      </c>
      <c r="B965" s="19" t="s">
        <v>449</v>
      </c>
      <c r="C965" s="37">
        <v>45526</v>
      </c>
      <c r="D965" s="22">
        <v>0</v>
      </c>
      <c r="E965" s="22">
        <v>1</v>
      </c>
      <c r="F965" s="22">
        <v>0</v>
      </c>
      <c r="G965" s="22">
        <v>0</v>
      </c>
      <c r="H965" s="21" t="s">
        <v>420</v>
      </c>
      <c r="I965" s="22">
        <v>0</v>
      </c>
      <c r="J965" s="22">
        <v>0</v>
      </c>
      <c r="K965" s="22">
        <v>0</v>
      </c>
      <c r="L965" s="22">
        <v>0</v>
      </c>
      <c r="M965" s="19" t="s">
        <v>290</v>
      </c>
      <c r="N965" s="19" t="s">
        <v>87</v>
      </c>
      <c r="O965" s="19" t="s">
        <v>57</v>
      </c>
      <c r="P965" s="19"/>
      <c r="Q965" s="39" t="s">
        <v>262</v>
      </c>
    </row>
    <row r="966" spans="1:17" ht="14.4">
      <c r="A966" s="13">
        <v>477</v>
      </c>
      <c r="B966" s="14" t="s">
        <v>449</v>
      </c>
      <c r="C966" s="34">
        <v>45526</v>
      </c>
      <c r="D966" s="17">
        <v>1</v>
      </c>
      <c r="E966" s="17">
        <v>0</v>
      </c>
      <c r="F966" s="17">
        <v>0</v>
      </c>
      <c r="G966" s="17">
        <v>0</v>
      </c>
      <c r="H966" s="35"/>
      <c r="I966" s="17">
        <v>0</v>
      </c>
      <c r="J966" s="17">
        <v>0</v>
      </c>
      <c r="K966" s="17">
        <v>0</v>
      </c>
      <c r="L966" s="17">
        <v>0</v>
      </c>
      <c r="M966" s="14" t="s">
        <v>290</v>
      </c>
      <c r="N966" s="14" t="s">
        <v>87</v>
      </c>
      <c r="O966" s="14" t="s">
        <v>57</v>
      </c>
      <c r="P966" s="17">
        <v>1</v>
      </c>
      <c r="Q966" s="36" t="s">
        <v>259</v>
      </c>
    </row>
    <row r="967" spans="1:17" ht="14.4">
      <c r="A967" s="26">
        <v>477</v>
      </c>
      <c r="B967" s="19" t="s">
        <v>449</v>
      </c>
      <c r="C967" s="37">
        <v>45526</v>
      </c>
      <c r="D967" s="22">
        <v>0</v>
      </c>
      <c r="E967" s="22">
        <v>0</v>
      </c>
      <c r="F967" s="22">
        <v>0</v>
      </c>
      <c r="G967" s="22">
        <v>0</v>
      </c>
      <c r="H967" s="38"/>
      <c r="I967" s="22">
        <v>0</v>
      </c>
      <c r="J967" s="22">
        <v>2</v>
      </c>
      <c r="K967" s="22">
        <v>2</v>
      </c>
      <c r="L967" s="22">
        <v>0</v>
      </c>
      <c r="M967" s="19" t="s">
        <v>290</v>
      </c>
      <c r="N967" s="19" t="s">
        <v>87</v>
      </c>
      <c r="O967" s="19" t="s">
        <v>57</v>
      </c>
      <c r="P967" s="19"/>
      <c r="Q967" s="39" t="s">
        <v>263</v>
      </c>
    </row>
    <row r="968" spans="1:17" ht="14.4">
      <c r="A968" s="13">
        <v>477</v>
      </c>
      <c r="B968" s="14" t="s">
        <v>449</v>
      </c>
      <c r="C968" s="34">
        <v>45526</v>
      </c>
      <c r="D968" s="17">
        <v>2</v>
      </c>
      <c r="E968" s="17">
        <v>0</v>
      </c>
      <c r="F968" s="17">
        <v>0</v>
      </c>
      <c r="G968" s="17">
        <v>0</v>
      </c>
      <c r="H968" s="35"/>
      <c r="I968" s="17">
        <v>0</v>
      </c>
      <c r="J968" s="17">
        <v>0</v>
      </c>
      <c r="K968" s="17">
        <v>0</v>
      </c>
      <c r="L968" s="17">
        <v>0</v>
      </c>
      <c r="M968" s="14" t="s">
        <v>290</v>
      </c>
      <c r="N968" s="14" t="s">
        <v>87</v>
      </c>
      <c r="O968" s="14" t="s">
        <v>59</v>
      </c>
      <c r="P968" s="17">
        <v>1</v>
      </c>
      <c r="Q968" s="36" t="s">
        <v>259</v>
      </c>
    </row>
    <row r="969" spans="1:17" ht="14.4">
      <c r="A969" s="26">
        <v>477</v>
      </c>
      <c r="B969" s="19" t="s">
        <v>449</v>
      </c>
      <c r="C969" s="37">
        <v>45526</v>
      </c>
      <c r="D969" s="22">
        <v>0</v>
      </c>
      <c r="E969" s="22">
        <v>0</v>
      </c>
      <c r="F969" s="22">
        <v>0</v>
      </c>
      <c r="G969" s="22">
        <v>0</v>
      </c>
      <c r="H969" s="38"/>
      <c r="I969" s="22">
        <v>0</v>
      </c>
      <c r="J969" s="22">
        <v>2</v>
      </c>
      <c r="K969" s="22">
        <v>1</v>
      </c>
      <c r="L969" s="22">
        <v>0</v>
      </c>
      <c r="M969" s="19" t="s">
        <v>290</v>
      </c>
      <c r="N969" s="19" t="s">
        <v>87</v>
      </c>
      <c r="O969" s="19" t="s">
        <v>59</v>
      </c>
      <c r="P969" s="19"/>
      <c r="Q969" s="39" t="s">
        <v>263</v>
      </c>
    </row>
    <row r="970" spans="1:17" ht="14.4">
      <c r="A970" s="13">
        <v>166</v>
      </c>
      <c r="B970" s="14" t="s">
        <v>450</v>
      </c>
      <c r="C970" s="34">
        <v>45526</v>
      </c>
      <c r="D970" s="17">
        <v>0</v>
      </c>
      <c r="E970" s="17">
        <v>0</v>
      </c>
      <c r="F970" s="17">
        <v>1</v>
      </c>
      <c r="G970" s="17">
        <v>0</v>
      </c>
      <c r="H970" s="35"/>
      <c r="I970" s="17">
        <v>0</v>
      </c>
      <c r="J970" s="17">
        <v>0</v>
      </c>
      <c r="K970" s="17">
        <v>0</v>
      </c>
      <c r="L970" s="17">
        <v>0</v>
      </c>
      <c r="M970" s="14" t="s">
        <v>296</v>
      </c>
      <c r="N970" s="14" t="s">
        <v>91</v>
      </c>
      <c r="O970" s="14" t="s">
        <v>38</v>
      </c>
      <c r="P970" s="14"/>
      <c r="Q970" s="36" t="s">
        <v>262</v>
      </c>
    </row>
    <row r="971" spans="1:17" ht="14.4">
      <c r="A971" s="26">
        <v>166</v>
      </c>
      <c r="B971" s="19" t="s">
        <v>450</v>
      </c>
      <c r="C971" s="37">
        <v>45526</v>
      </c>
      <c r="D971" s="22">
        <v>1</v>
      </c>
      <c r="E971" s="22">
        <v>0</v>
      </c>
      <c r="F971" s="22">
        <v>0</v>
      </c>
      <c r="G971" s="22">
        <v>0</v>
      </c>
      <c r="H971" s="38"/>
      <c r="I971" s="22">
        <v>0</v>
      </c>
      <c r="J971" s="22">
        <v>0</v>
      </c>
      <c r="K971" s="22">
        <v>0</v>
      </c>
      <c r="L971" s="22">
        <v>0</v>
      </c>
      <c r="M971" s="19" t="s">
        <v>296</v>
      </c>
      <c r="N971" s="19" t="s">
        <v>91</v>
      </c>
      <c r="O971" s="19" t="s">
        <v>38</v>
      </c>
      <c r="P971" s="22">
        <v>1</v>
      </c>
      <c r="Q971" s="39" t="s">
        <v>259</v>
      </c>
    </row>
    <row r="972" spans="1:17" ht="14.4">
      <c r="A972" s="13">
        <v>166</v>
      </c>
      <c r="B972" s="14" t="s">
        <v>450</v>
      </c>
      <c r="C972" s="34">
        <v>45526</v>
      </c>
      <c r="D972" s="17">
        <v>0</v>
      </c>
      <c r="E972" s="17">
        <v>0</v>
      </c>
      <c r="F972" s="17">
        <v>0</v>
      </c>
      <c r="G972" s="17">
        <v>0</v>
      </c>
      <c r="H972" s="35"/>
      <c r="I972" s="17">
        <v>1</v>
      </c>
      <c r="J972" s="17">
        <v>0</v>
      </c>
      <c r="K972" s="17">
        <v>0</v>
      </c>
      <c r="L972" s="17">
        <v>0</v>
      </c>
      <c r="M972" s="14" t="s">
        <v>296</v>
      </c>
      <c r="N972" s="14" t="s">
        <v>91</v>
      </c>
      <c r="O972" s="14" t="s">
        <v>38</v>
      </c>
      <c r="P972" s="14"/>
      <c r="Q972" s="36" t="s">
        <v>260</v>
      </c>
    </row>
    <row r="973" spans="1:17" ht="14.4">
      <c r="A973" s="26">
        <v>166</v>
      </c>
      <c r="B973" s="19" t="s">
        <v>450</v>
      </c>
      <c r="C973" s="37">
        <v>45526</v>
      </c>
      <c r="D973" s="22">
        <v>0</v>
      </c>
      <c r="E973" s="22">
        <v>0</v>
      </c>
      <c r="F973" s="22">
        <v>0</v>
      </c>
      <c r="G973" s="22">
        <v>0</v>
      </c>
      <c r="H973" s="38"/>
      <c r="I973" s="22">
        <v>0</v>
      </c>
      <c r="J973" s="22">
        <v>1</v>
      </c>
      <c r="K973" s="22">
        <v>0</v>
      </c>
      <c r="L973" s="22">
        <v>0</v>
      </c>
      <c r="M973" s="19" t="s">
        <v>296</v>
      </c>
      <c r="N973" s="19" t="s">
        <v>91</v>
      </c>
      <c r="O973" s="19" t="s">
        <v>38</v>
      </c>
      <c r="P973" s="19"/>
      <c r="Q973" s="39" t="s">
        <v>263</v>
      </c>
    </row>
    <row r="974" spans="1:17" ht="14.4">
      <c r="A974" s="13">
        <v>166</v>
      </c>
      <c r="B974" s="14" t="s">
        <v>450</v>
      </c>
      <c r="C974" s="34">
        <v>45526</v>
      </c>
      <c r="D974" s="17">
        <v>3</v>
      </c>
      <c r="E974" s="17">
        <v>0</v>
      </c>
      <c r="F974" s="17">
        <v>0</v>
      </c>
      <c r="G974" s="17">
        <v>0</v>
      </c>
      <c r="H974" s="35"/>
      <c r="I974" s="17">
        <v>0</v>
      </c>
      <c r="J974" s="17">
        <v>0</v>
      </c>
      <c r="K974" s="17">
        <v>0</v>
      </c>
      <c r="L974" s="17">
        <v>0</v>
      </c>
      <c r="M974" s="14" t="s">
        <v>296</v>
      </c>
      <c r="N974" s="14" t="s">
        <v>91</v>
      </c>
      <c r="O974" s="14" t="s">
        <v>44</v>
      </c>
      <c r="P974" s="17">
        <v>3</v>
      </c>
      <c r="Q974" s="36" t="s">
        <v>259</v>
      </c>
    </row>
    <row r="975" spans="1:17" ht="14.4">
      <c r="A975" s="26">
        <v>166</v>
      </c>
      <c r="B975" s="19" t="s">
        <v>450</v>
      </c>
      <c r="C975" s="37">
        <v>45526</v>
      </c>
      <c r="D975" s="22">
        <v>0</v>
      </c>
      <c r="E975" s="22">
        <v>0</v>
      </c>
      <c r="F975" s="22">
        <v>0</v>
      </c>
      <c r="G975" s="22">
        <v>0</v>
      </c>
      <c r="H975" s="38"/>
      <c r="I975" s="22">
        <v>3</v>
      </c>
      <c r="J975" s="22">
        <v>0</v>
      </c>
      <c r="K975" s="22">
        <v>0</v>
      </c>
      <c r="L975" s="22">
        <v>0</v>
      </c>
      <c r="M975" s="19" t="s">
        <v>296</v>
      </c>
      <c r="N975" s="19" t="s">
        <v>91</v>
      </c>
      <c r="O975" s="19" t="s">
        <v>44</v>
      </c>
      <c r="P975" s="19"/>
      <c r="Q975" s="39" t="s">
        <v>260</v>
      </c>
    </row>
    <row r="976" spans="1:17" ht="14.4">
      <c r="A976" s="13">
        <v>166</v>
      </c>
      <c r="B976" s="14" t="s">
        <v>450</v>
      </c>
      <c r="C976" s="34">
        <v>45526</v>
      </c>
      <c r="D976" s="17">
        <v>0</v>
      </c>
      <c r="E976" s="17">
        <v>1</v>
      </c>
      <c r="F976" s="17">
        <v>0</v>
      </c>
      <c r="G976" s="17">
        <v>0</v>
      </c>
      <c r="H976" s="16" t="s">
        <v>272</v>
      </c>
      <c r="I976" s="17">
        <v>0</v>
      </c>
      <c r="J976" s="17">
        <v>0</v>
      </c>
      <c r="K976" s="17">
        <v>0</v>
      </c>
      <c r="L976" s="17">
        <v>0</v>
      </c>
      <c r="M976" s="14" t="s">
        <v>296</v>
      </c>
      <c r="N976" s="14" t="s">
        <v>91</v>
      </c>
      <c r="O976" s="14" t="s">
        <v>47</v>
      </c>
      <c r="P976" s="14"/>
      <c r="Q976" s="36" t="s">
        <v>262</v>
      </c>
    </row>
    <row r="977" spans="1:17" ht="14.4">
      <c r="A977" s="26">
        <v>166</v>
      </c>
      <c r="B977" s="19" t="s">
        <v>450</v>
      </c>
      <c r="C977" s="37">
        <v>45526</v>
      </c>
      <c r="D977" s="22">
        <v>8</v>
      </c>
      <c r="E977" s="22">
        <v>0</v>
      </c>
      <c r="F977" s="22">
        <v>0</v>
      </c>
      <c r="G977" s="22">
        <v>0</v>
      </c>
      <c r="H977" s="38"/>
      <c r="I977" s="22">
        <v>0</v>
      </c>
      <c r="J977" s="22">
        <v>0</v>
      </c>
      <c r="K977" s="22">
        <v>0</v>
      </c>
      <c r="L977" s="22">
        <v>0</v>
      </c>
      <c r="M977" s="19" t="s">
        <v>296</v>
      </c>
      <c r="N977" s="19" t="s">
        <v>91</v>
      </c>
      <c r="O977" s="19" t="s">
        <v>47</v>
      </c>
      <c r="P977" s="22">
        <v>7</v>
      </c>
      <c r="Q977" s="39" t="s">
        <v>259</v>
      </c>
    </row>
    <row r="978" spans="1:17" ht="14.4">
      <c r="A978" s="13">
        <v>166</v>
      </c>
      <c r="B978" s="14" t="s">
        <v>450</v>
      </c>
      <c r="C978" s="34">
        <v>45526</v>
      </c>
      <c r="D978" s="17">
        <v>0</v>
      </c>
      <c r="E978" s="17">
        <v>0</v>
      </c>
      <c r="F978" s="17">
        <v>0</v>
      </c>
      <c r="G978" s="17">
        <v>0</v>
      </c>
      <c r="H978" s="35"/>
      <c r="I978" s="17">
        <v>0</v>
      </c>
      <c r="J978" s="17">
        <v>1</v>
      </c>
      <c r="K978" s="17">
        <v>0</v>
      </c>
      <c r="L978" s="17">
        <v>0</v>
      </c>
      <c r="M978" s="14" t="s">
        <v>296</v>
      </c>
      <c r="N978" s="14" t="s">
        <v>91</v>
      </c>
      <c r="O978" s="14" t="s">
        <v>47</v>
      </c>
      <c r="P978" s="14"/>
      <c r="Q978" s="36" t="s">
        <v>263</v>
      </c>
    </row>
    <row r="979" spans="1:17" ht="14.4">
      <c r="A979" s="26">
        <v>166</v>
      </c>
      <c r="B979" s="19" t="s">
        <v>450</v>
      </c>
      <c r="C979" s="37">
        <v>45526</v>
      </c>
      <c r="D979" s="22">
        <v>0</v>
      </c>
      <c r="E979" s="22">
        <v>0</v>
      </c>
      <c r="F979" s="22">
        <v>1</v>
      </c>
      <c r="G979" s="22">
        <v>0</v>
      </c>
      <c r="H979" s="38"/>
      <c r="I979" s="22">
        <v>0</v>
      </c>
      <c r="J979" s="22">
        <v>0</v>
      </c>
      <c r="K979" s="22">
        <v>0</v>
      </c>
      <c r="L979" s="22">
        <v>0</v>
      </c>
      <c r="M979" s="19" t="s">
        <v>296</v>
      </c>
      <c r="N979" s="19" t="s">
        <v>91</v>
      </c>
      <c r="O979" s="19" t="s">
        <v>106</v>
      </c>
      <c r="P979" s="19"/>
      <c r="Q979" s="39" t="s">
        <v>262</v>
      </c>
    </row>
    <row r="980" spans="1:17" ht="14.4">
      <c r="A980" s="13">
        <v>166</v>
      </c>
      <c r="B980" s="14" t="s">
        <v>450</v>
      </c>
      <c r="C980" s="34">
        <v>45526</v>
      </c>
      <c r="D980" s="17">
        <v>0</v>
      </c>
      <c r="E980" s="17">
        <v>0</v>
      </c>
      <c r="F980" s="17">
        <v>1</v>
      </c>
      <c r="G980" s="17">
        <v>0</v>
      </c>
      <c r="H980" s="35"/>
      <c r="I980" s="17">
        <v>0</v>
      </c>
      <c r="J980" s="17">
        <v>0</v>
      </c>
      <c r="K980" s="17">
        <v>0</v>
      </c>
      <c r="L980" s="17">
        <v>0</v>
      </c>
      <c r="M980" s="14" t="s">
        <v>296</v>
      </c>
      <c r="N980" s="14" t="s">
        <v>91</v>
      </c>
      <c r="O980" s="14" t="s">
        <v>90</v>
      </c>
      <c r="P980" s="14"/>
      <c r="Q980" s="36" t="s">
        <v>262</v>
      </c>
    </row>
    <row r="981" spans="1:17" ht="14.4">
      <c r="A981" s="26">
        <v>166</v>
      </c>
      <c r="B981" s="19" t="s">
        <v>450</v>
      </c>
      <c r="C981" s="37">
        <v>45526</v>
      </c>
      <c r="D981" s="22">
        <v>0</v>
      </c>
      <c r="E981" s="22">
        <v>0</v>
      </c>
      <c r="F981" s="22">
        <v>0</v>
      </c>
      <c r="G981" s="22">
        <v>0</v>
      </c>
      <c r="H981" s="38"/>
      <c r="I981" s="22">
        <v>0</v>
      </c>
      <c r="J981" s="22">
        <v>1</v>
      </c>
      <c r="K981" s="22">
        <v>0</v>
      </c>
      <c r="L981" s="22">
        <v>0</v>
      </c>
      <c r="M981" s="19" t="s">
        <v>296</v>
      </c>
      <c r="N981" s="19" t="s">
        <v>91</v>
      </c>
      <c r="O981" s="19" t="s">
        <v>90</v>
      </c>
      <c r="P981" s="19"/>
      <c r="Q981" s="39" t="s">
        <v>263</v>
      </c>
    </row>
    <row r="982" spans="1:17" ht="14.4">
      <c r="A982" s="13">
        <v>166</v>
      </c>
      <c r="B982" s="14" t="s">
        <v>450</v>
      </c>
      <c r="C982" s="34">
        <v>45526</v>
      </c>
      <c r="D982" s="17">
        <v>0</v>
      </c>
      <c r="E982" s="17">
        <v>0</v>
      </c>
      <c r="F982" s="17">
        <v>1</v>
      </c>
      <c r="G982" s="17">
        <v>0</v>
      </c>
      <c r="H982" s="35"/>
      <c r="I982" s="17">
        <v>0</v>
      </c>
      <c r="J982" s="17">
        <v>0</v>
      </c>
      <c r="K982" s="17">
        <v>0</v>
      </c>
      <c r="L982" s="17">
        <v>0</v>
      </c>
      <c r="M982" s="14" t="s">
        <v>296</v>
      </c>
      <c r="N982" s="14" t="s">
        <v>87</v>
      </c>
      <c r="O982" s="14" t="s">
        <v>37</v>
      </c>
      <c r="P982" s="14"/>
      <c r="Q982" s="36" t="s">
        <v>262</v>
      </c>
    </row>
    <row r="983" spans="1:17" ht="14.4">
      <c r="A983" s="26">
        <v>166</v>
      </c>
      <c r="B983" s="19" t="s">
        <v>450</v>
      </c>
      <c r="C983" s="37">
        <v>45526</v>
      </c>
      <c r="D983" s="22">
        <v>3</v>
      </c>
      <c r="E983" s="22">
        <v>0</v>
      </c>
      <c r="F983" s="22">
        <v>0</v>
      </c>
      <c r="G983" s="22">
        <v>0</v>
      </c>
      <c r="H983" s="38"/>
      <c r="I983" s="22">
        <v>0</v>
      </c>
      <c r="J983" s="22">
        <v>0</v>
      </c>
      <c r="K983" s="22">
        <v>0</v>
      </c>
      <c r="L983" s="22">
        <v>0</v>
      </c>
      <c r="M983" s="19" t="s">
        <v>296</v>
      </c>
      <c r="N983" s="19" t="s">
        <v>87</v>
      </c>
      <c r="O983" s="19" t="s">
        <v>43</v>
      </c>
      <c r="P983" s="22">
        <v>2</v>
      </c>
      <c r="Q983" s="39" t="s">
        <v>259</v>
      </c>
    </row>
    <row r="984" spans="1:17" ht="14.4">
      <c r="A984" s="13">
        <v>166</v>
      </c>
      <c r="B984" s="14" t="s">
        <v>450</v>
      </c>
      <c r="C984" s="34">
        <v>45526</v>
      </c>
      <c r="D984" s="17">
        <v>0</v>
      </c>
      <c r="E984" s="17">
        <v>0</v>
      </c>
      <c r="F984" s="17">
        <v>0</v>
      </c>
      <c r="G984" s="17">
        <v>0</v>
      </c>
      <c r="H984" s="35"/>
      <c r="I984" s="17">
        <v>1</v>
      </c>
      <c r="J984" s="17">
        <v>0</v>
      </c>
      <c r="K984" s="17">
        <v>0</v>
      </c>
      <c r="L984" s="17">
        <v>0</v>
      </c>
      <c r="M984" s="14" t="s">
        <v>296</v>
      </c>
      <c r="N984" s="14" t="s">
        <v>87</v>
      </c>
      <c r="O984" s="14" t="s">
        <v>43</v>
      </c>
      <c r="P984" s="14"/>
      <c r="Q984" s="36" t="s">
        <v>260</v>
      </c>
    </row>
    <row r="985" spans="1:17" ht="14.4">
      <c r="A985" s="26">
        <v>166</v>
      </c>
      <c r="B985" s="19" t="s">
        <v>450</v>
      </c>
      <c r="C985" s="37">
        <v>45526</v>
      </c>
      <c r="D985" s="22">
        <v>0</v>
      </c>
      <c r="E985" s="22">
        <v>0</v>
      </c>
      <c r="F985" s="22">
        <v>0</v>
      </c>
      <c r="G985" s="22">
        <v>0</v>
      </c>
      <c r="H985" s="38"/>
      <c r="I985" s="22">
        <v>0</v>
      </c>
      <c r="J985" s="22">
        <v>2</v>
      </c>
      <c r="K985" s="22">
        <v>1</v>
      </c>
      <c r="L985" s="22">
        <v>0</v>
      </c>
      <c r="M985" s="19" t="s">
        <v>296</v>
      </c>
      <c r="N985" s="19" t="s">
        <v>87</v>
      </c>
      <c r="O985" s="19" t="s">
        <v>43</v>
      </c>
      <c r="P985" s="19"/>
      <c r="Q985" s="39" t="s">
        <v>263</v>
      </c>
    </row>
    <row r="986" spans="1:17" ht="14.4">
      <c r="A986" s="13">
        <v>166</v>
      </c>
      <c r="B986" s="14" t="s">
        <v>450</v>
      </c>
      <c r="C986" s="34">
        <v>45526</v>
      </c>
      <c r="D986" s="17">
        <v>0</v>
      </c>
      <c r="E986" s="17">
        <v>1</v>
      </c>
      <c r="F986" s="17">
        <v>0</v>
      </c>
      <c r="G986" s="17">
        <v>0</v>
      </c>
      <c r="H986" s="16" t="s">
        <v>371</v>
      </c>
      <c r="I986" s="17">
        <v>0</v>
      </c>
      <c r="J986" s="17">
        <v>0</v>
      </c>
      <c r="K986" s="17">
        <v>0</v>
      </c>
      <c r="L986" s="17">
        <v>0</v>
      </c>
      <c r="M986" s="14" t="s">
        <v>296</v>
      </c>
      <c r="N986" s="14" t="s">
        <v>87</v>
      </c>
      <c r="O986" s="14" t="s">
        <v>46</v>
      </c>
      <c r="P986" s="14"/>
      <c r="Q986" s="36" t="s">
        <v>262</v>
      </c>
    </row>
    <row r="987" spans="1:17" ht="14.4">
      <c r="A987" s="26">
        <v>166</v>
      </c>
      <c r="B987" s="19" t="s">
        <v>450</v>
      </c>
      <c r="C987" s="37">
        <v>45526</v>
      </c>
      <c r="D987" s="22">
        <v>1</v>
      </c>
      <c r="E987" s="22">
        <v>0</v>
      </c>
      <c r="F987" s="22">
        <v>0</v>
      </c>
      <c r="G987" s="22">
        <v>0</v>
      </c>
      <c r="H987" s="38"/>
      <c r="I987" s="22">
        <v>0</v>
      </c>
      <c r="J987" s="22">
        <v>0</v>
      </c>
      <c r="K987" s="22">
        <v>0</v>
      </c>
      <c r="L987" s="22">
        <v>0</v>
      </c>
      <c r="M987" s="19" t="s">
        <v>296</v>
      </c>
      <c r="N987" s="19" t="s">
        <v>87</v>
      </c>
      <c r="O987" s="19" t="s">
        <v>46</v>
      </c>
      <c r="P987" s="22">
        <v>1</v>
      </c>
      <c r="Q987" s="39" t="s">
        <v>259</v>
      </c>
    </row>
    <row r="988" spans="1:17" ht="14.4">
      <c r="A988" s="13">
        <v>166</v>
      </c>
      <c r="B988" s="14" t="s">
        <v>450</v>
      </c>
      <c r="C988" s="34">
        <v>45526</v>
      </c>
      <c r="D988" s="17">
        <v>0</v>
      </c>
      <c r="E988" s="17">
        <v>0</v>
      </c>
      <c r="F988" s="17">
        <v>0</v>
      </c>
      <c r="G988" s="17">
        <v>0</v>
      </c>
      <c r="H988" s="35"/>
      <c r="I988" s="17">
        <v>0</v>
      </c>
      <c r="J988" s="17">
        <v>2</v>
      </c>
      <c r="K988" s="17">
        <v>0</v>
      </c>
      <c r="L988" s="17">
        <v>0</v>
      </c>
      <c r="M988" s="14" t="s">
        <v>296</v>
      </c>
      <c r="N988" s="14" t="s">
        <v>87</v>
      </c>
      <c r="O988" s="14" t="s">
        <v>46</v>
      </c>
      <c r="P988" s="14"/>
      <c r="Q988" s="36" t="s">
        <v>263</v>
      </c>
    </row>
    <row r="989" spans="1:17" ht="14.4">
      <c r="A989" s="26">
        <v>166</v>
      </c>
      <c r="B989" s="19" t="s">
        <v>450</v>
      </c>
      <c r="C989" s="37">
        <v>45526</v>
      </c>
      <c r="D989" s="22">
        <v>0</v>
      </c>
      <c r="E989" s="22">
        <v>1</v>
      </c>
      <c r="F989" s="22">
        <v>0</v>
      </c>
      <c r="G989" s="22">
        <v>0</v>
      </c>
      <c r="H989" s="21" t="s">
        <v>269</v>
      </c>
      <c r="I989" s="22">
        <v>0</v>
      </c>
      <c r="J989" s="22">
        <v>0</v>
      </c>
      <c r="K989" s="22">
        <v>0</v>
      </c>
      <c r="L989" s="22">
        <v>0</v>
      </c>
      <c r="M989" s="19" t="s">
        <v>296</v>
      </c>
      <c r="N989" s="19" t="s">
        <v>87</v>
      </c>
      <c r="O989" s="19" t="s">
        <v>60</v>
      </c>
      <c r="P989" s="19"/>
      <c r="Q989" s="39" t="s">
        <v>262</v>
      </c>
    </row>
    <row r="990" spans="1:17" ht="14.4">
      <c r="A990" s="13">
        <v>166</v>
      </c>
      <c r="B990" s="14" t="s">
        <v>450</v>
      </c>
      <c r="C990" s="34">
        <v>45526</v>
      </c>
      <c r="D990" s="17">
        <v>0</v>
      </c>
      <c r="E990" s="17">
        <v>0</v>
      </c>
      <c r="F990" s="17">
        <v>0</v>
      </c>
      <c r="G990" s="17">
        <v>0</v>
      </c>
      <c r="H990" s="35"/>
      <c r="I990" s="17">
        <v>1</v>
      </c>
      <c r="J990" s="17">
        <v>0</v>
      </c>
      <c r="K990" s="17">
        <v>0</v>
      </c>
      <c r="L990" s="17">
        <v>0</v>
      </c>
      <c r="M990" s="14" t="s">
        <v>296</v>
      </c>
      <c r="N990" s="14" t="s">
        <v>87</v>
      </c>
      <c r="O990" s="14" t="s">
        <v>60</v>
      </c>
      <c r="P990" s="14"/>
      <c r="Q990" s="36" t="s">
        <v>260</v>
      </c>
    </row>
    <row r="991" spans="1:17" ht="14.4">
      <c r="A991" s="26">
        <v>166</v>
      </c>
      <c r="B991" s="19" t="s">
        <v>450</v>
      </c>
      <c r="C991" s="37">
        <v>45526</v>
      </c>
      <c r="D991" s="22">
        <v>0</v>
      </c>
      <c r="E991" s="22">
        <v>0</v>
      </c>
      <c r="F991" s="22">
        <v>1</v>
      </c>
      <c r="G991" s="22">
        <v>0</v>
      </c>
      <c r="H991" s="38"/>
      <c r="I991" s="22">
        <v>0</v>
      </c>
      <c r="J991" s="22">
        <v>0</v>
      </c>
      <c r="K991" s="22">
        <v>0</v>
      </c>
      <c r="L991" s="22">
        <v>0</v>
      </c>
      <c r="M991" s="19" t="s">
        <v>296</v>
      </c>
      <c r="N991" s="19" t="s">
        <v>87</v>
      </c>
      <c r="O991" s="19" t="s">
        <v>51</v>
      </c>
      <c r="P991" s="19"/>
      <c r="Q991" s="39" t="s">
        <v>262</v>
      </c>
    </row>
    <row r="992" spans="1:17" ht="14.4">
      <c r="A992" s="13">
        <v>166</v>
      </c>
      <c r="B992" s="14" t="s">
        <v>450</v>
      </c>
      <c r="C992" s="34">
        <v>45526</v>
      </c>
      <c r="D992" s="17">
        <v>0</v>
      </c>
      <c r="E992" s="17">
        <v>0</v>
      </c>
      <c r="F992" s="17">
        <v>0</v>
      </c>
      <c r="G992" s="17">
        <v>0</v>
      </c>
      <c r="H992" s="35"/>
      <c r="I992" s="17">
        <v>0</v>
      </c>
      <c r="J992" s="17">
        <v>0</v>
      </c>
      <c r="K992" s="17">
        <v>1</v>
      </c>
      <c r="L992" s="17">
        <v>0</v>
      </c>
      <c r="M992" s="14" t="s">
        <v>296</v>
      </c>
      <c r="N992" s="14" t="s">
        <v>87</v>
      </c>
      <c r="O992" s="14" t="s">
        <v>51</v>
      </c>
      <c r="P992" s="14"/>
      <c r="Q992" s="36" t="s">
        <v>263</v>
      </c>
    </row>
    <row r="993" spans="1:17" ht="14.4">
      <c r="A993" s="26">
        <v>166</v>
      </c>
      <c r="B993" s="19" t="s">
        <v>450</v>
      </c>
      <c r="C993" s="37">
        <v>45526</v>
      </c>
      <c r="D993" s="22">
        <v>2</v>
      </c>
      <c r="E993" s="22">
        <v>0</v>
      </c>
      <c r="F993" s="22">
        <v>0</v>
      </c>
      <c r="G993" s="22">
        <v>0</v>
      </c>
      <c r="H993" s="38"/>
      <c r="I993" s="22">
        <v>0</v>
      </c>
      <c r="J993" s="22">
        <v>0</v>
      </c>
      <c r="K993" s="22">
        <v>0</v>
      </c>
      <c r="L993" s="22">
        <v>0</v>
      </c>
      <c r="M993" s="19" t="s">
        <v>296</v>
      </c>
      <c r="N993" s="19" t="s">
        <v>87</v>
      </c>
      <c r="O993" s="19" t="s">
        <v>98</v>
      </c>
      <c r="P993" s="22">
        <v>2</v>
      </c>
      <c r="Q993" s="39" t="s">
        <v>259</v>
      </c>
    </row>
    <row r="994" spans="1:17" ht="14.4">
      <c r="A994" s="13">
        <v>166</v>
      </c>
      <c r="B994" s="14" t="s">
        <v>450</v>
      </c>
      <c r="C994" s="34">
        <v>45526</v>
      </c>
      <c r="D994" s="17">
        <v>0</v>
      </c>
      <c r="E994" s="17">
        <v>0</v>
      </c>
      <c r="F994" s="17">
        <v>0</v>
      </c>
      <c r="G994" s="17">
        <v>0</v>
      </c>
      <c r="H994" s="35"/>
      <c r="I994" s="17">
        <v>2</v>
      </c>
      <c r="J994" s="17">
        <v>0</v>
      </c>
      <c r="K994" s="17">
        <v>0</v>
      </c>
      <c r="L994" s="17">
        <v>0</v>
      </c>
      <c r="M994" s="14" t="s">
        <v>296</v>
      </c>
      <c r="N994" s="14" t="s">
        <v>87</v>
      </c>
      <c r="O994" s="14" t="s">
        <v>98</v>
      </c>
      <c r="P994" s="14"/>
      <c r="Q994" s="36" t="s">
        <v>260</v>
      </c>
    </row>
    <row r="995" spans="1:17" ht="14.4">
      <c r="A995" s="26">
        <v>166</v>
      </c>
      <c r="B995" s="19" t="s">
        <v>450</v>
      </c>
      <c r="C995" s="37">
        <v>45526</v>
      </c>
      <c r="D995" s="22">
        <v>0</v>
      </c>
      <c r="E995" s="22">
        <v>2</v>
      </c>
      <c r="F995" s="22">
        <v>0</v>
      </c>
      <c r="G995" s="22">
        <v>0</v>
      </c>
      <c r="H995" s="21" t="s">
        <v>261</v>
      </c>
      <c r="I995" s="22">
        <v>0</v>
      </c>
      <c r="J995" s="22">
        <v>0</v>
      </c>
      <c r="K995" s="22">
        <v>0</v>
      </c>
      <c r="L995" s="22">
        <v>0</v>
      </c>
      <c r="M995" s="19" t="s">
        <v>296</v>
      </c>
      <c r="N995" s="19" t="s">
        <v>87</v>
      </c>
      <c r="O995" s="19" t="s">
        <v>89</v>
      </c>
      <c r="P995" s="19"/>
      <c r="Q995" s="39" t="s">
        <v>262</v>
      </c>
    </row>
    <row r="996" spans="1:17" ht="14.4">
      <c r="A996" s="13">
        <v>166</v>
      </c>
      <c r="B996" s="14" t="s">
        <v>450</v>
      </c>
      <c r="C996" s="34">
        <v>45526</v>
      </c>
      <c r="D996" s="17">
        <v>2</v>
      </c>
      <c r="E996" s="17">
        <v>0</v>
      </c>
      <c r="F996" s="17">
        <v>0</v>
      </c>
      <c r="G996" s="17">
        <v>0</v>
      </c>
      <c r="H996" s="35"/>
      <c r="I996" s="17">
        <v>0</v>
      </c>
      <c r="J996" s="17">
        <v>0</v>
      </c>
      <c r="K996" s="17">
        <v>0</v>
      </c>
      <c r="L996" s="17">
        <v>0</v>
      </c>
      <c r="M996" s="14" t="s">
        <v>296</v>
      </c>
      <c r="N996" s="14" t="s">
        <v>87</v>
      </c>
      <c r="O996" s="14" t="s">
        <v>89</v>
      </c>
      <c r="P996" s="17">
        <v>2</v>
      </c>
      <c r="Q996" s="36" t="s">
        <v>259</v>
      </c>
    </row>
    <row r="997" spans="1:17" ht="14.4">
      <c r="A997" s="26">
        <v>166</v>
      </c>
      <c r="B997" s="19" t="s">
        <v>450</v>
      </c>
      <c r="C997" s="37">
        <v>45526</v>
      </c>
      <c r="D997" s="22">
        <v>0</v>
      </c>
      <c r="E997" s="22">
        <v>0</v>
      </c>
      <c r="F997" s="22">
        <v>0</v>
      </c>
      <c r="G997" s="22">
        <v>0</v>
      </c>
      <c r="H997" s="38"/>
      <c r="I997" s="22">
        <v>0</v>
      </c>
      <c r="J997" s="22">
        <v>2</v>
      </c>
      <c r="K997" s="22">
        <v>1</v>
      </c>
      <c r="L997" s="22">
        <v>0</v>
      </c>
      <c r="M997" s="19" t="s">
        <v>296</v>
      </c>
      <c r="N997" s="19" t="s">
        <v>87</v>
      </c>
      <c r="O997" s="19" t="s">
        <v>89</v>
      </c>
      <c r="P997" s="19"/>
      <c r="Q997" s="39" t="s">
        <v>263</v>
      </c>
    </row>
    <row r="998" spans="1:17" ht="14.4">
      <c r="A998" s="13">
        <v>166</v>
      </c>
      <c r="B998" s="14" t="s">
        <v>450</v>
      </c>
      <c r="C998" s="34">
        <v>45526</v>
      </c>
      <c r="D998" s="17">
        <v>0</v>
      </c>
      <c r="E998" s="17">
        <v>3</v>
      </c>
      <c r="F998" s="17">
        <v>0</v>
      </c>
      <c r="G998" s="17">
        <v>0</v>
      </c>
      <c r="H998" s="16" t="s">
        <v>451</v>
      </c>
      <c r="I998" s="17">
        <v>0</v>
      </c>
      <c r="J998" s="17">
        <v>0</v>
      </c>
      <c r="K998" s="17">
        <v>0</v>
      </c>
      <c r="L998" s="17">
        <v>0</v>
      </c>
      <c r="M998" s="14" t="s">
        <v>296</v>
      </c>
      <c r="N998" s="14" t="s">
        <v>87</v>
      </c>
      <c r="O998" s="14" t="s">
        <v>57</v>
      </c>
      <c r="P998" s="14"/>
      <c r="Q998" s="36" t="s">
        <v>262</v>
      </c>
    </row>
    <row r="999" spans="1:17" ht="14.4">
      <c r="A999" s="26">
        <v>166</v>
      </c>
      <c r="B999" s="19" t="s">
        <v>450</v>
      </c>
      <c r="C999" s="37">
        <v>45526</v>
      </c>
      <c r="D999" s="22">
        <v>6</v>
      </c>
      <c r="E999" s="22">
        <v>0</v>
      </c>
      <c r="F999" s="22">
        <v>0</v>
      </c>
      <c r="G999" s="22">
        <v>0</v>
      </c>
      <c r="H999" s="38"/>
      <c r="I999" s="22">
        <v>0</v>
      </c>
      <c r="J999" s="22">
        <v>0</v>
      </c>
      <c r="K999" s="22">
        <v>0</v>
      </c>
      <c r="L999" s="22">
        <v>0</v>
      </c>
      <c r="M999" s="19" t="s">
        <v>296</v>
      </c>
      <c r="N999" s="19" t="s">
        <v>87</v>
      </c>
      <c r="O999" s="19" t="s">
        <v>57</v>
      </c>
      <c r="P999" s="22">
        <v>4</v>
      </c>
      <c r="Q999" s="39" t="s">
        <v>259</v>
      </c>
    </row>
    <row r="1000" spans="1:17" ht="14.4">
      <c r="A1000" s="13">
        <v>166</v>
      </c>
      <c r="B1000" s="14" t="s">
        <v>450</v>
      </c>
      <c r="C1000" s="34">
        <v>45526</v>
      </c>
      <c r="D1000" s="17">
        <v>0</v>
      </c>
      <c r="E1000" s="17">
        <v>0</v>
      </c>
      <c r="F1000" s="17">
        <v>0</v>
      </c>
      <c r="G1000" s="17">
        <v>0</v>
      </c>
      <c r="H1000" s="35"/>
      <c r="I1000" s="17">
        <v>1</v>
      </c>
      <c r="J1000" s="17">
        <v>0</v>
      </c>
      <c r="K1000" s="17">
        <v>0</v>
      </c>
      <c r="L1000" s="17">
        <v>0</v>
      </c>
      <c r="M1000" s="14" t="s">
        <v>296</v>
      </c>
      <c r="N1000" s="14" t="s">
        <v>87</v>
      </c>
      <c r="O1000" s="14" t="s">
        <v>57</v>
      </c>
      <c r="P1000" s="14"/>
      <c r="Q1000" s="36" t="s">
        <v>260</v>
      </c>
    </row>
    <row r="1001" spans="1:17" ht="14.4">
      <c r="A1001" s="26">
        <v>166</v>
      </c>
      <c r="B1001" s="19" t="s">
        <v>450</v>
      </c>
      <c r="C1001" s="37">
        <v>45526</v>
      </c>
      <c r="D1001" s="22">
        <v>0</v>
      </c>
      <c r="E1001" s="22">
        <v>0</v>
      </c>
      <c r="F1001" s="22">
        <v>0</v>
      </c>
      <c r="G1001" s="22">
        <v>0</v>
      </c>
      <c r="H1001" s="38"/>
      <c r="I1001" s="22">
        <v>0</v>
      </c>
      <c r="J1001" s="22">
        <v>2</v>
      </c>
      <c r="K1001" s="22">
        <v>0</v>
      </c>
      <c r="L1001" s="22">
        <v>0</v>
      </c>
      <c r="M1001" s="19" t="s">
        <v>296</v>
      </c>
      <c r="N1001" s="19" t="s">
        <v>87</v>
      </c>
      <c r="O1001" s="19" t="s">
        <v>57</v>
      </c>
      <c r="P1001" s="19"/>
      <c r="Q1001" s="39" t="s">
        <v>263</v>
      </c>
    </row>
    <row r="1002" spans="1:17" ht="14.4">
      <c r="A1002" s="13">
        <v>166</v>
      </c>
      <c r="B1002" s="14" t="s">
        <v>450</v>
      </c>
      <c r="C1002" s="34">
        <v>45526</v>
      </c>
      <c r="D1002" s="17">
        <v>2</v>
      </c>
      <c r="E1002" s="17">
        <v>0</v>
      </c>
      <c r="F1002" s="17">
        <v>0</v>
      </c>
      <c r="G1002" s="17">
        <v>0</v>
      </c>
      <c r="H1002" s="35"/>
      <c r="I1002" s="17">
        <v>0</v>
      </c>
      <c r="J1002" s="17">
        <v>0</v>
      </c>
      <c r="K1002" s="17">
        <v>0</v>
      </c>
      <c r="L1002" s="17">
        <v>0</v>
      </c>
      <c r="M1002" s="14" t="s">
        <v>296</v>
      </c>
      <c r="N1002" s="14" t="s">
        <v>87</v>
      </c>
      <c r="O1002" s="14" t="s">
        <v>86</v>
      </c>
      <c r="P1002" s="17">
        <v>2</v>
      </c>
      <c r="Q1002" s="36" t="s">
        <v>259</v>
      </c>
    </row>
    <row r="1003" spans="1:17" ht="14.4">
      <c r="A1003" s="26">
        <v>166</v>
      </c>
      <c r="B1003" s="19" t="s">
        <v>450</v>
      </c>
      <c r="C1003" s="37">
        <v>45526</v>
      </c>
      <c r="D1003" s="22">
        <v>0</v>
      </c>
      <c r="E1003" s="22">
        <v>0</v>
      </c>
      <c r="F1003" s="22">
        <v>0</v>
      </c>
      <c r="G1003" s="22">
        <v>0</v>
      </c>
      <c r="H1003" s="38"/>
      <c r="I1003" s="22">
        <v>2</v>
      </c>
      <c r="J1003" s="22">
        <v>0</v>
      </c>
      <c r="K1003" s="22">
        <v>0</v>
      </c>
      <c r="L1003" s="22">
        <v>0</v>
      </c>
      <c r="M1003" s="19" t="s">
        <v>296</v>
      </c>
      <c r="N1003" s="19" t="s">
        <v>87</v>
      </c>
      <c r="O1003" s="19" t="s">
        <v>86</v>
      </c>
      <c r="P1003" s="19"/>
      <c r="Q1003" s="39" t="s">
        <v>260</v>
      </c>
    </row>
    <row r="1004" spans="1:17" ht="14.4">
      <c r="A1004" s="13">
        <v>166</v>
      </c>
      <c r="B1004" s="14" t="s">
        <v>450</v>
      </c>
      <c r="C1004" s="34">
        <v>45526</v>
      </c>
      <c r="D1004" s="17">
        <v>0</v>
      </c>
      <c r="E1004" s="17">
        <v>1</v>
      </c>
      <c r="F1004" s="17">
        <v>0</v>
      </c>
      <c r="G1004" s="17">
        <v>0</v>
      </c>
      <c r="H1004" s="16" t="s">
        <v>275</v>
      </c>
      <c r="I1004" s="17">
        <v>0</v>
      </c>
      <c r="J1004" s="17">
        <v>0</v>
      </c>
      <c r="K1004" s="17">
        <v>0</v>
      </c>
      <c r="L1004" s="17">
        <v>0</v>
      </c>
      <c r="M1004" s="14" t="s">
        <v>296</v>
      </c>
      <c r="N1004" s="14" t="s">
        <v>87</v>
      </c>
      <c r="O1004" s="14" t="s">
        <v>59</v>
      </c>
      <c r="P1004" s="14"/>
      <c r="Q1004" s="36" t="s">
        <v>262</v>
      </c>
    </row>
    <row r="1005" spans="1:17" ht="14.4">
      <c r="A1005" s="26">
        <v>166</v>
      </c>
      <c r="B1005" s="19" t="s">
        <v>450</v>
      </c>
      <c r="C1005" s="37">
        <v>45526</v>
      </c>
      <c r="D1005" s="22">
        <v>11</v>
      </c>
      <c r="E1005" s="22">
        <v>0</v>
      </c>
      <c r="F1005" s="22">
        <v>0</v>
      </c>
      <c r="G1005" s="22">
        <v>0</v>
      </c>
      <c r="H1005" s="38"/>
      <c r="I1005" s="22">
        <v>0</v>
      </c>
      <c r="J1005" s="22">
        <v>0</v>
      </c>
      <c r="K1005" s="22">
        <v>0</v>
      </c>
      <c r="L1005" s="22">
        <v>0</v>
      </c>
      <c r="M1005" s="19" t="s">
        <v>296</v>
      </c>
      <c r="N1005" s="19" t="s">
        <v>87</v>
      </c>
      <c r="O1005" s="19" t="s">
        <v>59</v>
      </c>
      <c r="P1005" s="22">
        <v>1</v>
      </c>
      <c r="Q1005" s="39" t="s">
        <v>259</v>
      </c>
    </row>
    <row r="1006" spans="1:17" ht="14.4">
      <c r="A1006" s="13">
        <v>166</v>
      </c>
      <c r="B1006" s="14" t="s">
        <v>450</v>
      </c>
      <c r="C1006" s="34">
        <v>45526</v>
      </c>
      <c r="D1006" s="17">
        <v>0</v>
      </c>
      <c r="E1006" s="17">
        <v>0</v>
      </c>
      <c r="F1006" s="17">
        <v>0</v>
      </c>
      <c r="G1006" s="17">
        <v>0</v>
      </c>
      <c r="H1006" s="35"/>
      <c r="I1006" s="17">
        <v>0</v>
      </c>
      <c r="J1006" s="17">
        <v>1</v>
      </c>
      <c r="K1006" s="17">
        <v>0</v>
      </c>
      <c r="L1006" s="17">
        <v>0</v>
      </c>
      <c r="M1006" s="14" t="s">
        <v>296</v>
      </c>
      <c r="N1006" s="14" t="s">
        <v>87</v>
      </c>
      <c r="O1006" s="14" t="s">
        <v>59</v>
      </c>
      <c r="P1006" s="14"/>
      <c r="Q1006" s="36" t="s">
        <v>263</v>
      </c>
    </row>
    <row r="1007" spans="1:17" ht="14.4">
      <c r="A1007" s="26">
        <v>655</v>
      </c>
      <c r="B1007" s="19" t="s">
        <v>452</v>
      </c>
      <c r="C1007" s="37">
        <v>45526</v>
      </c>
      <c r="D1007" s="22">
        <v>1</v>
      </c>
      <c r="E1007" s="22">
        <v>0</v>
      </c>
      <c r="F1007" s="22">
        <v>0</v>
      </c>
      <c r="G1007" s="22">
        <v>0</v>
      </c>
      <c r="H1007" s="38"/>
      <c r="I1007" s="22">
        <v>0</v>
      </c>
      <c r="J1007" s="22">
        <v>0</v>
      </c>
      <c r="K1007" s="22">
        <v>0</v>
      </c>
      <c r="L1007" s="22">
        <v>0</v>
      </c>
      <c r="M1007" s="19" t="s">
        <v>100</v>
      </c>
      <c r="N1007" s="19" t="s">
        <v>91</v>
      </c>
      <c r="O1007" s="19" t="s">
        <v>47</v>
      </c>
      <c r="P1007" s="22">
        <v>1</v>
      </c>
      <c r="Q1007" s="39" t="s">
        <v>259</v>
      </c>
    </row>
    <row r="1008" spans="1:17" ht="14.4">
      <c r="A1008" s="13">
        <v>655</v>
      </c>
      <c r="B1008" s="14" t="s">
        <v>452</v>
      </c>
      <c r="C1008" s="34">
        <v>45526</v>
      </c>
      <c r="D1008" s="17">
        <v>0</v>
      </c>
      <c r="E1008" s="17">
        <v>0</v>
      </c>
      <c r="F1008" s="17">
        <v>0</v>
      </c>
      <c r="G1008" s="17">
        <v>0</v>
      </c>
      <c r="H1008" s="35"/>
      <c r="I1008" s="17">
        <v>0</v>
      </c>
      <c r="J1008" s="17">
        <v>1</v>
      </c>
      <c r="K1008" s="17">
        <v>0</v>
      </c>
      <c r="L1008" s="17">
        <v>0</v>
      </c>
      <c r="M1008" s="14" t="s">
        <v>100</v>
      </c>
      <c r="N1008" s="14" t="s">
        <v>91</v>
      </c>
      <c r="O1008" s="14" t="s">
        <v>47</v>
      </c>
      <c r="P1008" s="14"/>
      <c r="Q1008" s="36" t="s">
        <v>263</v>
      </c>
    </row>
    <row r="1009" spans="1:17" ht="14.4">
      <c r="A1009" s="26">
        <v>242</v>
      </c>
      <c r="B1009" s="19" t="s">
        <v>453</v>
      </c>
      <c r="C1009" s="37">
        <v>45526</v>
      </c>
      <c r="D1009" s="22">
        <v>1</v>
      </c>
      <c r="E1009" s="22">
        <v>0</v>
      </c>
      <c r="F1009" s="22">
        <v>0</v>
      </c>
      <c r="G1009" s="22">
        <v>0</v>
      </c>
      <c r="H1009" s="38"/>
      <c r="I1009" s="22">
        <v>0</v>
      </c>
      <c r="J1009" s="22">
        <v>0</v>
      </c>
      <c r="K1009" s="22">
        <v>0</v>
      </c>
      <c r="L1009" s="22">
        <v>0</v>
      </c>
      <c r="M1009" s="19" t="s">
        <v>100</v>
      </c>
      <c r="N1009" s="19" t="s">
        <v>87</v>
      </c>
      <c r="O1009" s="19" t="s">
        <v>57</v>
      </c>
      <c r="P1009" s="22">
        <v>1</v>
      </c>
      <c r="Q1009" s="39" t="s">
        <v>259</v>
      </c>
    </row>
    <row r="1010" spans="1:17" ht="14.4">
      <c r="A1010" s="13">
        <v>242</v>
      </c>
      <c r="B1010" s="14" t="s">
        <v>453</v>
      </c>
      <c r="C1010" s="34">
        <v>45526</v>
      </c>
      <c r="D1010" s="17">
        <v>0</v>
      </c>
      <c r="E1010" s="17">
        <v>0</v>
      </c>
      <c r="F1010" s="17">
        <v>0</v>
      </c>
      <c r="G1010" s="17">
        <v>0</v>
      </c>
      <c r="H1010" s="35"/>
      <c r="I1010" s="17">
        <v>1</v>
      </c>
      <c r="J1010" s="17">
        <v>0</v>
      </c>
      <c r="K1010" s="17">
        <v>0</v>
      </c>
      <c r="L1010" s="17">
        <v>0</v>
      </c>
      <c r="M1010" s="14" t="s">
        <v>100</v>
      </c>
      <c r="N1010" s="14" t="s">
        <v>87</v>
      </c>
      <c r="O1010" s="14" t="s">
        <v>57</v>
      </c>
      <c r="P1010" s="14"/>
      <c r="Q1010" s="36" t="s">
        <v>260</v>
      </c>
    </row>
    <row r="1011" spans="1:17" ht="14.4">
      <c r="A1011" s="26">
        <v>242</v>
      </c>
      <c r="B1011" s="19" t="s">
        <v>453</v>
      </c>
      <c r="C1011" s="37">
        <v>45526</v>
      </c>
      <c r="D1011" s="22">
        <v>8</v>
      </c>
      <c r="E1011" s="22">
        <v>0</v>
      </c>
      <c r="F1011" s="22">
        <v>0</v>
      </c>
      <c r="G1011" s="22">
        <v>0</v>
      </c>
      <c r="H1011" s="38"/>
      <c r="I1011" s="22">
        <v>0</v>
      </c>
      <c r="J1011" s="22">
        <v>0</v>
      </c>
      <c r="K1011" s="22">
        <v>0</v>
      </c>
      <c r="L1011" s="22">
        <v>0</v>
      </c>
      <c r="M1011" s="19" t="s">
        <v>100</v>
      </c>
      <c r="N1011" s="19" t="s">
        <v>87</v>
      </c>
      <c r="O1011" s="19" t="s">
        <v>86</v>
      </c>
      <c r="P1011" s="22">
        <v>2</v>
      </c>
      <c r="Q1011" s="39" t="s">
        <v>259</v>
      </c>
    </row>
    <row r="1012" spans="1:17" ht="14.4">
      <c r="A1012" s="13">
        <v>412</v>
      </c>
      <c r="B1012" s="14" t="s">
        <v>454</v>
      </c>
      <c r="C1012" s="34">
        <v>45526</v>
      </c>
      <c r="D1012" s="17">
        <v>0</v>
      </c>
      <c r="E1012" s="17">
        <v>0</v>
      </c>
      <c r="F1012" s="17">
        <v>0</v>
      </c>
      <c r="G1012" s="17">
        <v>0</v>
      </c>
      <c r="H1012" s="35"/>
      <c r="I1012" s="17">
        <v>0</v>
      </c>
      <c r="J1012" s="17">
        <v>1</v>
      </c>
      <c r="K1012" s="17">
        <v>3</v>
      </c>
      <c r="L1012" s="17">
        <v>0</v>
      </c>
      <c r="M1012" s="14" t="s">
        <v>287</v>
      </c>
      <c r="N1012" s="14" t="s">
        <v>91</v>
      </c>
      <c r="O1012" s="14" t="s">
        <v>38</v>
      </c>
      <c r="P1012" s="14"/>
      <c r="Q1012" s="36" t="s">
        <v>263</v>
      </c>
    </row>
    <row r="1013" spans="1:17" ht="14.4">
      <c r="A1013" s="26">
        <v>412</v>
      </c>
      <c r="B1013" s="19" t="s">
        <v>454</v>
      </c>
      <c r="C1013" s="37">
        <v>45526</v>
      </c>
      <c r="D1013" s="22">
        <v>0</v>
      </c>
      <c r="E1013" s="22">
        <v>1</v>
      </c>
      <c r="F1013" s="22">
        <v>0</v>
      </c>
      <c r="G1013" s="22">
        <v>0</v>
      </c>
      <c r="H1013" s="21" t="s">
        <v>455</v>
      </c>
      <c r="I1013" s="22">
        <v>0</v>
      </c>
      <c r="J1013" s="22">
        <v>0</v>
      </c>
      <c r="K1013" s="22">
        <v>0</v>
      </c>
      <c r="L1013" s="22">
        <v>0</v>
      </c>
      <c r="M1013" s="19" t="s">
        <v>287</v>
      </c>
      <c r="N1013" s="19" t="s">
        <v>87</v>
      </c>
      <c r="O1013" s="19" t="s">
        <v>51</v>
      </c>
      <c r="P1013" s="19"/>
      <c r="Q1013" s="39" t="s">
        <v>362</v>
      </c>
    </row>
    <row r="1014" spans="1:17" ht="14.4">
      <c r="A1014" s="13">
        <v>412</v>
      </c>
      <c r="B1014" s="14" t="s">
        <v>454</v>
      </c>
      <c r="C1014" s="34">
        <v>45526</v>
      </c>
      <c r="D1014" s="17">
        <v>0</v>
      </c>
      <c r="E1014" s="17">
        <v>0</v>
      </c>
      <c r="F1014" s="17">
        <v>0</v>
      </c>
      <c r="G1014" s="17">
        <v>0</v>
      </c>
      <c r="H1014" s="35"/>
      <c r="I1014" s="17">
        <v>0</v>
      </c>
      <c r="J1014" s="17">
        <v>0</v>
      </c>
      <c r="K1014" s="17">
        <v>1</v>
      </c>
      <c r="L1014" s="17">
        <v>0</v>
      </c>
      <c r="M1014" s="14" t="s">
        <v>287</v>
      </c>
      <c r="N1014" s="14" t="s">
        <v>87</v>
      </c>
      <c r="O1014" s="14" t="s">
        <v>51</v>
      </c>
      <c r="P1014" s="14"/>
      <c r="Q1014" s="36" t="s">
        <v>263</v>
      </c>
    </row>
    <row r="1015" spans="1:17" ht="14.4">
      <c r="A1015" s="26">
        <v>412</v>
      </c>
      <c r="B1015" s="19" t="s">
        <v>454</v>
      </c>
      <c r="C1015" s="37">
        <v>45526</v>
      </c>
      <c r="D1015" s="22">
        <v>0</v>
      </c>
      <c r="E1015" s="22">
        <v>0</v>
      </c>
      <c r="F1015" s="22">
        <v>1</v>
      </c>
      <c r="G1015" s="22">
        <v>0</v>
      </c>
      <c r="H1015" s="38"/>
      <c r="I1015" s="22">
        <v>0</v>
      </c>
      <c r="J1015" s="22">
        <v>0</v>
      </c>
      <c r="K1015" s="22">
        <v>0</v>
      </c>
      <c r="L1015" s="22">
        <v>0</v>
      </c>
      <c r="M1015" s="19" t="s">
        <v>287</v>
      </c>
      <c r="N1015" s="19" t="s">
        <v>87</v>
      </c>
      <c r="O1015" s="19" t="s">
        <v>59</v>
      </c>
      <c r="P1015" s="19"/>
      <c r="Q1015" s="39" t="s">
        <v>262</v>
      </c>
    </row>
    <row r="1016" spans="1:17" ht="14.4">
      <c r="A1016" s="13">
        <v>400</v>
      </c>
      <c r="B1016" s="14" t="s">
        <v>456</v>
      </c>
      <c r="C1016" s="34">
        <v>45526</v>
      </c>
      <c r="D1016" s="17">
        <v>0</v>
      </c>
      <c r="E1016" s="17">
        <v>1</v>
      </c>
      <c r="F1016" s="17">
        <v>0</v>
      </c>
      <c r="G1016" s="17">
        <v>0</v>
      </c>
      <c r="H1016" s="16" t="s">
        <v>457</v>
      </c>
      <c r="I1016" s="17">
        <v>0</v>
      </c>
      <c r="J1016" s="17">
        <v>0</v>
      </c>
      <c r="K1016" s="17">
        <v>0</v>
      </c>
      <c r="L1016" s="17">
        <v>0</v>
      </c>
      <c r="M1016" s="14" t="s">
        <v>287</v>
      </c>
      <c r="N1016" s="14" t="s">
        <v>91</v>
      </c>
      <c r="O1016" s="14" t="s">
        <v>38</v>
      </c>
      <c r="P1016" s="14"/>
      <c r="Q1016" s="36" t="s">
        <v>262</v>
      </c>
    </row>
    <row r="1017" spans="1:17" ht="14.4">
      <c r="A1017" s="26">
        <v>400</v>
      </c>
      <c r="B1017" s="19" t="s">
        <v>456</v>
      </c>
      <c r="C1017" s="37">
        <v>45526</v>
      </c>
      <c r="D1017" s="22">
        <v>1</v>
      </c>
      <c r="E1017" s="22">
        <v>0</v>
      </c>
      <c r="F1017" s="22">
        <v>0</v>
      </c>
      <c r="G1017" s="22">
        <v>0</v>
      </c>
      <c r="H1017" s="38"/>
      <c r="I1017" s="22">
        <v>0</v>
      </c>
      <c r="J1017" s="22">
        <v>0</v>
      </c>
      <c r="K1017" s="22">
        <v>0</v>
      </c>
      <c r="L1017" s="22">
        <v>0</v>
      </c>
      <c r="M1017" s="19" t="s">
        <v>287</v>
      </c>
      <c r="N1017" s="19" t="s">
        <v>91</v>
      </c>
      <c r="O1017" s="19" t="s">
        <v>38</v>
      </c>
      <c r="P1017" s="22">
        <v>1</v>
      </c>
      <c r="Q1017" s="39" t="s">
        <v>259</v>
      </c>
    </row>
    <row r="1018" spans="1:17" ht="14.4">
      <c r="A1018" s="13">
        <v>400</v>
      </c>
      <c r="B1018" s="14" t="s">
        <v>456</v>
      </c>
      <c r="C1018" s="34">
        <v>45526</v>
      </c>
      <c r="D1018" s="17">
        <v>0</v>
      </c>
      <c r="E1018" s="17">
        <v>0</v>
      </c>
      <c r="F1018" s="17">
        <v>0</v>
      </c>
      <c r="G1018" s="17">
        <v>0</v>
      </c>
      <c r="H1018" s="35"/>
      <c r="I1018" s="17">
        <v>1</v>
      </c>
      <c r="J1018" s="17">
        <v>0</v>
      </c>
      <c r="K1018" s="17">
        <v>0</v>
      </c>
      <c r="L1018" s="17">
        <v>0</v>
      </c>
      <c r="M1018" s="14" t="s">
        <v>287</v>
      </c>
      <c r="N1018" s="14" t="s">
        <v>91</v>
      </c>
      <c r="O1018" s="14" t="s">
        <v>38</v>
      </c>
      <c r="P1018" s="14"/>
      <c r="Q1018" s="36" t="s">
        <v>260</v>
      </c>
    </row>
    <row r="1019" spans="1:17" ht="14.4">
      <c r="A1019" s="26">
        <v>400</v>
      </c>
      <c r="B1019" s="19" t="s">
        <v>456</v>
      </c>
      <c r="C1019" s="37">
        <v>45526</v>
      </c>
      <c r="D1019" s="22">
        <v>0</v>
      </c>
      <c r="E1019" s="22">
        <v>0</v>
      </c>
      <c r="F1019" s="22">
        <v>0</v>
      </c>
      <c r="G1019" s="22">
        <v>0</v>
      </c>
      <c r="H1019" s="38"/>
      <c r="I1019" s="22">
        <v>0</v>
      </c>
      <c r="J1019" s="22">
        <v>2</v>
      </c>
      <c r="K1019" s="22">
        <v>1</v>
      </c>
      <c r="L1019" s="22">
        <v>0</v>
      </c>
      <c r="M1019" s="19" t="s">
        <v>287</v>
      </c>
      <c r="N1019" s="19" t="s">
        <v>91</v>
      </c>
      <c r="O1019" s="19" t="s">
        <v>38</v>
      </c>
      <c r="P1019" s="19"/>
      <c r="Q1019" s="39" t="s">
        <v>263</v>
      </c>
    </row>
    <row r="1020" spans="1:17" ht="14.4">
      <c r="A1020" s="13">
        <v>400</v>
      </c>
      <c r="B1020" s="14" t="s">
        <v>456</v>
      </c>
      <c r="C1020" s="34">
        <v>45526</v>
      </c>
      <c r="D1020" s="17">
        <v>1</v>
      </c>
      <c r="E1020" s="17">
        <v>0</v>
      </c>
      <c r="F1020" s="17">
        <v>0</v>
      </c>
      <c r="G1020" s="17">
        <v>0</v>
      </c>
      <c r="H1020" s="35"/>
      <c r="I1020" s="17">
        <v>0</v>
      </c>
      <c r="J1020" s="17">
        <v>0</v>
      </c>
      <c r="K1020" s="17">
        <v>0</v>
      </c>
      <c r="L1020" s="17">
        <v>0</v>
      </c>
      <c r="M1020" s="14" t="s">
        <v>287</v>
      </c>
      <c r="N1020" s="14" t="s">
        <v>91</v>
      </c>
      <c r="O1020" s="14" t="s">
        <v>44</v>
      </c>
      <c r="P1020" s="17">
        <v>1</v>
      </c>
      <c r="Q1020" s="36" t="s">
        <v>259</v>
      </c>
    </row>
    <row r="1021" spans="1:17" ht="14.4">
      <c r="A1021" s="26">
        <v>400</v>
      </c>
      <c r="B1021" s="19" t="s">
        <v>456</v>
      </c>
      <c r="C1021" s="37">
        <v>45526</v>
      </c>
      <c r="D1021" s="22">
        <v>0</v>
      </c>
      <c r="E1021" s="22">
        <v>0</v>
      </c>
      <c r="F1021" s="22">
        <v>0</v>
      </c>
      <c r="G1021" s="22">
        <v>0</v>
      </c>
      <c r="H1021" s="38"/>
      <c r="I1021" s="22">
        <v>3</v>
      </c>
      <c r="J1021" s="22">
        <v>0</v>
      </c>
      <c r="K1021" s="22">
        <v>0</v>
      </c>
      <c r="L1021" s="22">
        <v>0</v>
      </c>
      <c r="M1021" s="19" t="s">
        <v>287</v>
      </c>
      <c r="N1021" s="19" t="s">
        <v>91</v>
      </c>
      <c r="O1021" s="19" t="s">
        <v>44</v>
      </c>
      <c r="P1021" s="19"/>
      <c r="Q1021" s="39" t="s">
        <v>260</v>
      </c>
    </row>
    <row r="1022" spans="1:17" ht="14.4">
      <c r="A1022" s="13">
        <v>400</v>
      </c>
      <c r="B1022" s="14" t="s">
        <v>456</v>
      </c>
      <c r="C1022" s="34">
        <v>45526</v>
      </c>
      <c r="D1022" s="17">
        <v>0</v>
      </c>
      <c r="E1022" s="17">
        <v>0</v>
      </c>
      <c r="F1022" s="17">
        <v>0</v>
      </c>
      <c r="G1022" s="17">
        <v>0</v>
      </c>
      <c r="H1022" s="35"/>
      <c r="I1022" s="17">
        <v>0</v>
      </c>
      <c r="J1022" s="17">
        <v>1</v>
      </c>
      <c r="K1022" s="17">
        <v>0</v>
      </c>
      <c r="L1022" s="17">
        <v>0</v>
      </c>
      <c r="M1022" s="14" t="s">
        <v>287</v>
      </c>
      <c r="N1022" s="14" t="s">
        <v>91</v>
      </c>
      <c r="O1022" s="14" t="s">
        <v>44</v>
      </c>
      <c r="P1022" s="14"/>
      <c r="Q1022" s="36" t="s">
        <v>263</v>
      </c>
    </row>
    <row r="1023" spans="1:17" ht="14.4">
      <c r="A1023" s="26">
        <v>400</v>
      </c>
      <c r="B1023" s="19" t="s">
        <v>456</v>
      </c>
      <c r="C1023" s="37">
        <v>45526</v>
      </c>
      <c r="D1023" s="22">
        <v>0</v>
      </c>
      <c r="E1023" s="22">
        <v>1</v>
      </c>
      <c r="F1023" s="22">
        <v>0</v>
      </c>
      <c r="G1023" s="22">
        <v>0</v>
      </c>
      <c r="H1023" s="21" t="s">
        <v>458</v>
      </c>
      <c r="I1023" s="22">
        <v>0</v>
      </c>
      <c r="J1023" s="22">
        <v>0</v>
      </c>
      <c r="K1023" s="22">
        <v>0</v>
      </c>
      <c r="L1023" s="22">
        <v>0</v>
      </c>
      <c r="M1023" s="19" t="s">
        <v>287</v>
      </c>
      <c r="N1023" s="19" t="s">
        <v>91</v>
      </c>
      <c r="O1023" s="19" t="s">
        <v>47</v>
      </c>
      <c r="P1023" s="19"/>
      <c r="Q1023" s="39" t="s">
        <v>262</v>
      </c>
    </row>
    <row r="1024" spans="1:17" ht="14.4">
      <c r="A1024" s="13">
        <v>400</v>
      </c>
      <c r="B1024" s="14" t="s">
        <v>456</v>
      </c>
      <c r="C1024" s="34">
        <v>45526</v>
      </c>
      <c r="D1024" s="17">
        <v>4</v>
      </c>
      <c r="E1024" s="17">
        <v>0</v>
      </c>
      <c r="F1024" s="17">
        <v>0</v>
      </c>
      <c r="G1024" s="17">
        <v>0</v>
      </c>
      <c r="H1024" s="35"/>
      <c r="I1024" s="17">
        <v>0</v>
      </c>
      <c r="J1024" s="17">
        <v>0</v>
      </c>
      <c r="K1024" s="17">
        <v>0</v>
      </c>
      <c r="L1024" s="17">
        <v>0</v>
      </c>
      <c r="M1024" s="14" t="s">
        <v>287</v>
      </c>
      <c r="N1024" s="14" t="s">
        <v>91</v>
      </c>
      <c r="O1024" s="14" t="s">
        <v>47</v>
      </c>
      <c r="P1024" s="17">
        <v>3</v>
      </c>
      <c r="Q1024" s="36" t="s">
        <v>259</v>
      </c>
    </row>
    <row r="1025" spans="1:17" ht="14.4">
      <c r="A1025" s="26">
        <v>400</v>
      </c>
      <c r="B1025" s="19" t="s">
        <v>456</v>
      </c>
      <c r="C1025" s="37">
        <v>45526</v>
      </c>
      <c r="D1025" s="22">
        <v>0</v>
      </c>
      <c r="E1025" s="22">
        <v>0</v>
      </c>
      <c r="F1025" s="22">
        <v>0</v>
      </c>
      <c r="G1025" s="22">
        <v>0</v>
      </c>
      <c r="H1025" s="38"/>
      <c r="I1025" s="22">
        <v>1</v>
      </c>
      <c r="J1025" s="22">
        <v>0</v>
      </c>
      <c r="K1025" s="22">
        <v>0</v>
      </c>
      <c r="L1025" s="22">
        <v>0</v>
      </c>
      <c r="M1025" s="19" t="s">
        <v>287</v>
      </c>
      <c r="N1025" s="19" t="s">
        <v>91</v>
      </c>
      <c r="O1025" s="19" t="s">
        <v>47</v>
      </c>
      <c r="P1025" s="19"/>
      <c r="Q1025" s="39" t="s">
        <v>260</v>
      </c>
    </row>
    <row r="1026" spans="1:17" ht="14.4">
      <c r="A1026" s="13">
        <v>400</v>
      </c>
      <c r="B1026" s="14" t="s">
        <v>456</v>
      </c>
      <c r="C1026" s="34">
        <v>45526</v>
      </c>
      <c r="D1026" s="17">
        <v>0</v>
      </c>
      <c r="E1026" s="17">
        <v>0</v>
      </c>
      <c r="F1026" s="17">
        <v>0</v>
      </c>
      <c r="G1026" s="17">
        <v>0</v>
      </c>
      <c r="H1026" s="35"/>
      <c r="I1026" s="17">
        <v>0</v>
      </c>
      <c r="J1026" s="17">
        <v>1</v>
      </c>
      <c r="K1026" s="17">
        <v>2</v>
      </c>
      <c r="L1026" s="17">
        <v>0</v>
      </c>
      <c r="M1026" s="14" t="s">
        <v>287</v>
      </c>
      <c r="N1026" s="14" t="s">
        <v>91</v>
      </c>
      <c r="O1026" s="14" t="s">
        <v>47</v>
      </c>
      <c r="P1026" s="14"/>
      <c r="Q1026" s="36" t="s">
        <v>263</v>
      </c>
    </row>
    <row r="1027" spans="1:17" ht="14.4">
      <c r="A1027" s="26">
        <v>400</v>
      </c>
      <c r="B1027" s="19" t="s">
        <v>456</v>
      </c>
      <c r="C1027" s="37">
        <v>45526</v>
      </c>
      <c r="D1027" s="22">
        <v>0</v>
      </c>
      <c r="E1027" s="22">
        <v>2</v>
      </c>
      <c r="F1027" s="22">
        <v>0</v>
      </c>
      <c r="G1027" s="22">
        <v>0</v>
      </c>
      <c r="H1027" s="21" t="s">
        <v>459</v>
      </c>
      <c r="I1027" s="22">
        <v>0</v>
      </c>
      <c r="J1027" s="22">
        <v>0</v>
      </c>
      <c r="K1027" s="22">
        <v>0</v>
      </c>
      <c r="L1027" s="22">
        <v>0</v>
      </c>
      <c r="M1027" s="19" t="s">
        <v>287</v>
      </c>
      <c r="N1027" s="19" t="s">
        <v>91</v>
      </c>
      <c r="O1027" s="19" t="s">
        <v>90</v>
      </c>
      <c r="P1027" s="19"/>
      <c r="Q1027" s="39" t="s">
        <v>262</v>
      </c>
    </row>
    <row r="1028" spans="1:17" ht="14.4">
      <c r="A1028" s="13">
        <v>400</v>
      </c>
      <c r="B1028" s="14" t="s">
        <v>456</v>
      </c>
      <c r="C1028" s="34">
        <v>45526</v>
      </c>
      <c r="D1028" s="17">
        <v>2</v>
      </c>
      <c r="E1028" s="17">
        <v>0</v>
      </c>
      <c r="F1028" s="17">
        <v>0</v>
      </c>
      <c r="G1028" s="17">
        <v>0</v>
      </c>
      <c r="H1028" s="35"/>
      <c r="I1028" s="17">
        <v>0</v>
      </c>
      <c r="J1028" s="17">
        <v>0</v>
      </c>
      <c r="K1028" s="17">
        <v>0</v>
      </c>
      <c r="L1028" s="17">
        <v>0</v>
      </c>
      <c r="M1028" s="14" t="s">
        <v>287</v>
      </c>
      <c r="N1028" s="14" t="s">
        <v>91</v>
      </c>
      <c r="O1028" s="14" t="s">
        <v>90</v>
      </c>
      <c r="P1028" s="14"/>
      <c r="Q1028" s="36" t="s">
        <v>259</v>
      </c>
    </row>
    <row r="1029" spans="1:17" ht="14.4">
      <c r="A1029" s="26">
        <v>400</v>
      </c>
      <c r="B1029" s="19" t="s">
        <v>456</v>
      </c>
      <c r="C1029" s="37">
        <v>45526</v>
      </c>
      <c r="D1029" s="22">
        <v>0</v>
      </c>
      <c r="E1029" s="22">
        <v>0</v>
      </c>
      <c r="F1029" s="22">
        <v>0</v>
      </c>
      <c r="G1029" s="22">
        <v>0</v>
      </c>
      <c r="H1029" s="38"/>
      <c r="I1029" s="22">
        <v>2</v>
      </c>
      <c r="J1029" s="22">
        <v>0</v>
      </c>
      <c r="K1029" s="22">
        <v>0</v>
      </c>
      <c r="L1029" s="22">
        <v>0</v>
      </c>
      <c r="M1029" s="19" t="s">
        <v>287</v>
      </c>
      <c r="N1029" s="19" t="s">
        <v>91</v>
      </c>
      <c r="O1029" s="19" t="s">
        <v>90</v>
      </c>
      <c r="P1029" s="19"/>
      <c r="Q1029" s="39" t="s">
        <v>260</v>
      </c>
    </row>
    <row r="1030" spans="1:17" ht="14.4">
      <c r="A1030" s="13">
        <v>400</v>
      </c>
      <c r="B1030" s="14" t="s">
        <v>456</v>
      </c>
      <c r="C1030" s="34">
        <v>45526</v>
      </c>
      <c r="D1030" s="17">
        <v>0</v>
      </c>
      <c r="E1030" s="17">
        <v>0</v>
      </c>
      <c r="F1030" s="17">
        <v>0</v>
      </c>
      <c r="G1030" s="17">
        <v>0</v>
      </c>
      <c r="H1030" s="35"/>
      <c r="I1030" s="17">
        <v>0</v>
      </c>
      <c r="J1030" s="17">
        <v>1</v>
      </c>
      <c r="K1030" s="17">
        <v>1</v>
      </c>
      <c r="L1030" s="17">
        <v>0</v>
      </c>
      <c r="M1030" s="14" t="s">
        <v>287</v>
      </c>
      <c r="N1030" s="14" t="s">
        <v>91</v>
      </c>
      <c r="O1030" s="14" t="s">
        <v>90</v>
      </c>
      <c r="P1030" s="14"/>
      <c r="Q1030" s="36" t="s">
        <v>263</v>
      </c>
    </row>
    <row r="1031" spans="1:17" ht="14.4">
      <c r="A1031" s="26">
        <v>400</v>
      </c>
      <c r="B1031" s="19" t="s">
        <v>456</v>
      </c>
      <c r="C1031" s="37">
        <v>45526</v>
      </c>
      <c r="D1031" s="22">
        <v>0</v>
      </c>
      <c r="E1031" s="22">
        <v>4</v>
      </c>
      <c r="F1031" s="22">
        <v>0</v>
      </c>
      <c r="G1031" s="22">
        <v>0</v>
      </c>
      <c r="H1031" s="21" t="s">
        <v>460</v>
      </c>
      <c r="I1031" s="22">
        <v>0</v>
      </c>
      <c r="J1031" s="22">
        <v>0</v>
      </c>
      <c r="K1031" s="22">
        <v>0</v>
      </c>
      <c r="L1031" s="22">
        <v>0</v>
      </c>
      <c r="M1031" s="19" t="s">
        <v>287</v>
      </c>
      <c r="N1031" s="19" t="s">
        <v>87</v>
      </c>
      <c r="O1031" s="19" t="s">
        <v>37</v>
      </c>
      <c r="P1031" s="19"/>
      <c r="Q1031" s="39" t="s">
        <v>262</v>
      </c>
    </row>
    <row r="1032" spans="1:17" ht="14.4">
      <c r="A1032" s="13">
        <v>400</v>
      </c>
      <c r="B1032" s="14" t="s">
        <v>456</v>
      </c>
      <c r="C1032" s="34">
        <v>45526</v>
      </c>
      <c r="D1032" s="17">
        <v>1</v>
      </c>
      <c r="E1032" s="17">
        <v>0</v>
      </c>
      <c r="F1032" s="17">
        <v>0</v>
      </c>
      <c r="G1032" s="17">
        <v>0</v>
      </c>
      <c r="H1032" s="35"/>
      <c r="I1032" s="17">
        <v>0</v>
      </c>
      <c r="J1032" s="17">
        <v>0</v>
      </c>
      <c r="K1032" s="17">
        <v>0</v>
      </c>
      <c r="L1032" s="17">
        <v>0</v>
      </c>
      <c r="M1032" s="14" t="s">
        <v>287</v>
      </c>
      <c r="N1032" s="14" t="s">
        <v>87</v>
      </c>
      <c r="O1032" s="14" t="s">
        <v>37</v>
      </c>
      <c r="P1032" s="14"/>
      <c r="Q1032" s="36" t="s">
        <v>259</v>
      </c>
    </row>
    <row r="1033" spans="1:17" ht="14.4">
      <c r="A1033" s="26">
        <v>400</v>
      </c>
      <c r="B1033" s="19" t="s">
        <v>456</v>
      </c>
      <c r="C1033" s="37">
        <v>45526</v>
      </c>
      <c r="D1033" s="22">
        <v>0</v>
      </c>
      <c r="E1033" s="22">
        <v>0</v>
      </c>
      <c r="F1033" s="22">
        <v>0</v>
      </c>
      <c r="G1033" s="22">
        <v>0</v>
      </c>
      <c r="H1033" s="38"/>
      <c r="I1033" s="22">
        <v>0</v>
      </c>
      <c r="J1033" s="22">
        <v>1</v>
      </c>
      <c r="K1033" s="22">
        <v>5</v>
      </c>
      <c r="L1033" s="22">
        <v>0</v>
      </c>
      <c r="M1033" s="19" t="s">
        <v>287</v>
      </c>
      <c r="N1033" s="19" t="s">
        <v>87</v>
      </c>
      <c r="O1033" s="19" t="s">
        <v>37</v>
      </c>
      <c r="P1033" s="19"/>
      <c r="Q1033" s="39" t="s">
        <v>263</v>
      </c>
    </row>
    <row r="1034" spans="1:17" ht="14.4">
      <c r="A1034" s="13">
        <v>400</v>
      </c>
      <c r="B1034" s="14" t="s">
        <v>456</v>
      </c>
      <c r="C1034" s="34">
        <v>45526</v>
      </c>
      <c r="D1034" s="17">
        <v>0</v>
      </c>
      <c r="E1034" s="17">
        <v>2</v>
      </c>
      <c r="F1034" s="17">
        <v>0</v>
      </c>
      <c r="G1034" s="17">
        <v>0</v>
      </c>
      <c r="H1034" s="16" t="s">
        <v>461</v>
      </c>
      <c r="I1034" s="17">
        <v>0</v>
      </c>
      <c r="J1034" s="17">
        <v>0</v>
      </c>
      <c r="K1034" s="17">
        <v>0</v>
      </c>
      <c r="L1034" s="17">
        <v>0</v>
      </c>
      <c r="M1034" s="14" t="s">
        <v>287</v>
      </c>
      <c r="N1034" s="14" t="s">
        <v>87</v>
      </c>
      <c r="O1034" s="14" t="s">
        <v>43</v>
      </c>
      <c r="P1034" s="14"/>
      <c r="Q1034" s="36" t="s">
        <v>262</v>
      </c>
    </row>
    <row r="1035" spans="1:17" ht="14.4">
      <c r="A1035" s="26">
        <v>400</v>
      </c>
      <c r="B1035" s="19" t="s">
        <v>456</v>
      </c>
      <c r="C1035" s="37">
        <v>45526</v>
      </c>
      <c r="D1035" s="22">
        <v>11</v>
      </c>
      <c r="E1035" s="22">
        <v>0</v>
      </c>
      <c r="F1035" s="22">
        <v>0</v>
      </c>
      <c r="G1035" s="22">
        <v>0</v>
      </c>
      <c r="H1035" s="38"/>
      <c r="I1035" s="22">
        <v>0</v>
      </c>
      <c r="J1035" s="22">
        <v>0</v>
      </c>
      <c r="K1035" s="22">
        <v>0</v>
      </c>
      <c r="L1035" s="22">
        <v>0</v>
      </c>
      <c r="M1035" s="19" t="s">
        <v>287</v>
      </c>
      <c r="N1035" s="19" t="s">
        <v>87</v>
      </c>
      <c r="O1035" s="19" t="s">
        <v>43</v>
      </c>
      <c r="P1035" s="22">
        <v>4</v>
      </c>
      <c r="Q1035" s="39" t="s">
        <v>259</v>
      </c>
    </row>
    <row r="1036" spans="1:17" ht="14.4">
      <c r="A1036" s="13">
        <v>400</v>
      </c>
      <c r="B1036" s="14" t="s">
        <v>456</v>
      </c>
      <c r="C1036" s="34">
        <v>45526</v>
      </c>
      <c r="D1036" s="17">
        <v>0</v>
      </c>
      <c r="E1036" s="17">
        <v>0</v>
      </c>
      <c r="F1036" s="17">
        <v>0</v>
      </c>
      <c r="G1036" s="17">
        <v>0</v>
      </c>
      <c r="H1036" s="35"/>
      <c r="I1036" s="17">
        <v>0</v>
      </c>
      <c r="J1036" s="17">
        <v>4</v>
      </c>
      <c r="K1036" s="17">
        <v>3</v>
      </c>
      <c r="L1036" s="17">
        <v>0</v>
      </c>
      <c r="M1036" s="14" t="s">
        <v>287</v>
      </c>
      <c r="N1036" s="14" t="s">
        <v>87</v>
      </c>
      <c r="O1036" s="14" t="s">
        <v>43</v>
      </c>
      <c r="P1036" s="14"/>
      <c r="Q1036" s="36" t="s">
        <v>263</v>
      </c>
    </row>
    <row r="1037" spans="1:17" ht="14.4">
      <c r="A1037" s="26">
        <v>400</v>
      </c>
      <c r="B1037" s="19" t="s">
        <v>456</v>
      </c>
      <c r="C1037" s="37">
        <v>45526</v>
      </c>
      <c r="D1037" s="22">
        <v>0</v>
      </c>
      <c r="E1037" s="22">
        <v>2</v>
      </c>
      <c r="F1037" s="22">
        <v>0</v>
      </c>
      <c r="G1037" s="22">
        <v>0</v>
      </c>
      <c r="H1037" s="21" t="s">
        <v>458</v>
      </c>
      <c r="I1037" s="22">
        <v>0</v>
      </c>
      <c r="J1037" s="22">
        <v>0</v>
      </c>
      <c r="K1037" s="22">
        <v>0</v>
      </c>
      <c r="L1037" s="22">
        <v>0</v>
      </c>
      <c r="M1037" s="19" t="s">
        <v>287</v>
      </c>
      <c r="N1037" s="19" t="s">
        <v>87</v>
      </c>
      <c r="O1037" s="19" t="s">
        <v>60</v>
      </c>
      <c r="P1037" s="19"/>
      <c r="Q1037" s="39" t="s">
        <v>262</v>
      </c>
    </row>
    <row r="1038" spans="1:17" ht="14.4">
      <c r="A1038" s="13">
        <v>400</v>
      </c>
      <c r="B1038" s="14" t="s">
        <v>456</v>
      </c>
      <c r="C1038" s="34">
        <v>45526</v>
      </c>
      <c r="D1038" s="17">
        <v>7</v>
      </c>
      <c r="E1038" s="17">
        <v>0</v>
      </c>
      <c r="F1038" s="17">
        <v>0</v>
      </c>
      <c r="G1038" s="17">
        <v>0</v>
      </c>
      <c r="H1038" s="35"/>
      <c r="I1038" s="17">
        <v>0</v>
      </c>
      <c r="J1038" s="17">
        <v>0</v>
      </c>
      <c r="K1038" s="17">
        <v>0</v>
      </c>
      <c r="L1038" s="17">
        <v>0</v>
      </c>
      <c r="M1038" s="14" t="s">
        <v>287</v>
      </c>
      <c r="N1038" s="14" t="s">
        <v>87</v>
      </c>
      <c r="O1038" s="14" t="s">
        <v>60</v>
      </c>
      <c r="P1038" s="17">
        <v>6</v>
      </c>
      <c r="Q1038" s="36" t="s">
        <v>259</v>
      </c>
    </row>
    <row r="1039" spans="1:17" ht="14.4">
      <c r="A1039" s="26">
        <v>400</v>
      </c>
      <c r="B1039" s="19" t="s">
        <v>456</v>
      </c>
      <c r="C1039" s="37">
        <v>45526</v>
      </c>
      <c r="D1039" s="22">
        <v>0</v>
      </c>
      <c r="E1039" s="22">
        <v>0</v>
      </c>
      <c r="F1039" s="22">
        <v>0</v>
      </c>
      <c r="G1039" s="22">
        <v>0</v>
      </c>
      <c r="H1039" s="38"/>
      <c r="I1039" s="22">
        <v>2</v>
      </c>
      <c r="J1039" s="22">
        <v>0</v>
      </c>
      <c r="K1039" s="22">
        <v>0</v>
      </c>
      <c r="L1039" s="22">
        <v>0</v>
      </c>
      <c r="M1039" s="19" t="s">
        <v>287</v>
      </c>
      <c r="N1039" s="19" t="s">
        <v>87</v>
      </c>
      <c r="O1039" s="19" t="s">
        <v>60</v>
      </c>
      <c r="P1039" s="19"/>
      <c r="Q1039" s="39" t="s">
        <v>260</v>
      </c>
    </row>
    <row r="1040" spans="1:17" ht="14.4">
      <c r="A1040" s="13">
        <v>400</v>
      </c>
      <c r="B1040" s="14" t="s">
        <v>456</v>
      </c>
      <c r="C1040" s="34">
        <v>45526</v>
      </c>
      <c r="D1040" s="17">
        <v>0</v>
      </c>
      <c r="E1040" s="17">
        <v>0</v>
      </c>
      <c r="F1040" s="17">
        <v>0</v>
      </c>
      <c r="G1040" s="17">
        <v>0</v>
      </c>
      <c r="H1040" s="35"/>
      <c r="I1040" s="17">
        <v>0</v>
      </c>
      <c r="J1040" s="17">
        <v>5</v>
      </c>
      <c r="K1040" s="17">
        <v>4</v>
      </c>
      <c r="L1040" s="17">
        <v>0</v>
      </c>
      <c r="M1040" s="14" t="s">
        <v>287</v>
      </c>
      <c r="N1040" s="14" t="s">
        <v>87</v>
      </c>
      <c r="O1040" s="14" t="s">
        <v>60</v>
      </c>
      <c r="P1040" s="14"/>
      <c r="Q1040" s="36" t="s">
        <v>263</v>
      </c>
    </row>
    <row r="1041" spans="1:17" ht="14.4">
      <c r="A1041" s="26">
        <v>400</v>
      </c>
      <c r="B1041" s="19" t="s">
        <v>456</v>
      </c>
      <c r="C1041" s="37">
        <v>45526</v>
      </c>
      <c r="D1041" s="22">
        <v>0</v>
      </c>
      <c r="E1041" s="22">
        <v>1</v>
      </c>
      <c r="F1041" s="22">
        <v>0</v>
      </c>
      <c r="G1041" s="22">
        <v>0</v>
      </c>
      <c r="H1041" s="21" t="s">
        <v>294</v>
      </c>
      <c r="I1041" s="22">
        <v>0</v>
      </c>
      <c r="J1041" s="22">
        <v>0</v>
      </c>
      <c r="K1041" s="22">
        <v>0</v>
      </c>
      <c r="L1041" s="22">
        <v>0</v>
      </c>
      <c r="M1041" s="19" t="s">
        <v>287</v>
      </c>
      <c r="N1041" s="19" t="s">
        <v>87</v>
      </c>
      <c r="O1041" s="19" t="s">
        <v>51</v>
      </c>
      <c r="P1041" s="19"/>
      <c r="Q1041" s="39" t="s">
        <v>262</v>
      </c>
    </row>
    <row r="1042" spans="1:17" ht="14.4">
      <c r="A1042" s="13">
        <v>400</v>
      </c>
      <c r="B1042" s="14" t="s">
        <v>456</v>
      </c>
      <c r="C1042" s="34">
        <v>45526</v>
      </c>
      <c r="D1042" s="17">
        <v>0</v>
      </c>
      <c r="E1042" s="17">
        <v>0</v>
      </c>
      <c r="F1042" s="17">
        <v>0</v>
      </c>
      <c r="G1042" s="17">
        <v>0</v>
      </c>
      <c r="H1042" s="35"/>
      <c r="I1042" s="17">
        <v>0</v>
      </c>
      <c r="J1042" s="17">
        <v>0</v>
      </c>
      <c r="K1042" s="17">
        <v>1</v>
      </c>
      <c r="L1042" s="17">
        <v>0</v>
      </c>
      <c r="M1042" s="14" t="s">
        <v>287</v>
      </c>
      <c r="N1042" s="14" t="s">
        <v>87</v>
      </c>
      <c r="O1042" s="14" t="s">
        <v>51</v>
      </c>
      <c r="P1042" s="14"/>
      <c r="Q1042" s="36" t="s">
        <v>263</v>
      </c>
    </row>
    <row r="1043" spans="1:17" ht="14.4">
      <c r="A1043" s="26">
        <v>400</v>
      </c>
      <c r="B1043" s="19" t="s">
        <v>456</v>
      </c>
      <c r="C1043" s="37">
        <v>45526</v>
      </c>
      <c r="D1043" s="22">
        <v>0</v>
      </c>
      <c r="E1043" s="22">
        <v>1</v>
      </c>
      <c r="F1043" s="22">
        <v>0</v>
      </c>
      <c r="G1043" s="22">
        <v>0</v>
      </c>
      <c r="H1043" s="21" t="s">
        <v>462</v>
      </c>
      <c r="I1043" s="22">
        <v>0</v>
      </c>
      <c r="J1043" s="22">
        <v>0</v>
      </c>
      <c r="K1043" s="22">
        <v>0</v>
      </c>
      <c r="L1043" s="22">
        <v>0</v>
      </c>
      <c r="M1043" s="19" t="s">
        <v>287</v>
      </c>
      <c r="N1043" s="19" t="s">
        <v>87</v>
      </c>
      <c r="O1043" s="19" t="s">
        <v>98</v>
      </c>
      <c r="P1043" s="19"/>
      <c r="Q1043" s="39" t="s">
        <v>262</v>
      </c>
    </row>
    <row r="1044" spans="1:17" ht="14.4">
      <c r="A1044" s="13">
        <v>400</v>
      </c>
      <c r="B1044" s="14" t="s">
        <v>456</v>
      </c>
      <c r="C1044" s="34">
        <v>45526</v>
      </c>
      <c r="D1044" s="17">
        <v>5</v>
      </c>
      <c r="E1044" s="17">
        <v>0</v>
      </c>
      <c r="F1044" s="17">
        <v>0</v>
      </c>
      <c r="G1044" s="17">
        <v>0</v>
      </c>
      <c r="H1044" s="35"/>
      <c r="I1044" s="17">
        <v>0</v>
      </c>
      <c r="J1044" s="17">
        <v>0</v>
      </c>
      <c r="K1044" s="17">
        <v>0</v>
      </c>
      <c r="L1044" s="17">
        <v>0</v>
      </c>
      <c r="M1044" s="14" t="s">
        <v>287</v>
      </c>
      <c r="N1044" s="14" t="s">
        <v>87</v>
      </c>
      <c r="O1044" s="14" t="s">
        <v>98</v>
      </c>
      <c r="P1044" s="17">
        <v>2</v>
      </c>
      <c r="Q1044" s="36" t="s">
        <v>259</v>
      </c>
    </row>
    <row r="1045" spans="1:17" ht="14.4">
      <c r="A1045" s="26">
        <v>400</v>
      </c>
      <c r="B1045" s="19" t="s">
        <v>456</v>
      </c>
      <c r="C1045" s="37">
        <v>45526</v>
      </c>
      <c r="D1045" s="22">
        <v>0</v>
      </c>
      <c r="E1045" s="22">
        <v>0</v>
      </c>
      <c r="F1045" s="22">
        <v>0</v>
      </c>
      <c r="G1045" s="22">
        <v>0</v>
      </c>
      <c r="H1045" s="38"/>
      <c r="I1045" s="22">
        <v>1</v>
      </c>
      <c r="J1045" s="22">
        <v>0</v>
      </c>
      <c r="K1045" s="22">
        <v>0</v>
      </c>
      <c r="L1045" s="22">
        <v>0</v>
      </c>
      <c r="M1045" s="19" t="s">
        <v>287</v>
      </c>
      <c r="N1045" s="19" t="s">
        <v>87</v>
      </c>
      <c r="O1045" s="19" t="s">
        <v>98</v>
      </c>
      <c r="P1045" s="19"/>
      <c r="Q1045" s="39" t="s">
        <v>260</v>
      </c>
    </row>
    <row r="1046" spans="1:17" ht="14.4">
      <c r="A1046" s="13">
        <v>400</v>
      </c>
      <c r="B1046" s="14" t="s">
        <v>456</v>
      </c>
      <c r="C1046" s="34">
        <v>45526</v>
      </c>
      <c r="D1046" s="17">
        <v>0</v>
      </c>
      <c r="E1046" s="17">
        <v>0</v>
      </c>
      <c r="F1046" s="17">
        <v>0</v>
      </c>
      <c r="G1046" s="17">
        <v>0</v>
      </c>
      <c r="H1046" s="35"/>
      <c r="I1046" s="17">
        <v>0</v>
      </c>
      <c r="J1046" s="17">
        <v>2</v>
      </c>
      <c r="K1046" s="17">
        <v>1</v>
      </c>
      <c r="L1046" s="17">
        <v>0</v>
      </c>
      <c r="M1046" s="14" t="s">
        <v>287</v>
      </c>
      <c r="N1046" s="14" t="s">
        <v>87</v>
      </c>
      <c r="O1046" s="14" t="s">
        <v>98</v>
      </c>
      <c r="P1046" s="14"/>
      <c r="Q1046" s="36" t="s">
        <v>263</v>
      </c>
    </row>
    <row r="1047" spans="1:17" ht="14.4">
      <c r="A1047" s="26">
        <v>400</v>
      </c>
      <c r="B1047" s="19" t="s">
        <v>456</v>
      </c>
      <c r="C1047" s="37">
        <v>45526</v>
      </c>
      <c r="D1047" s="22">
        <v>0</v>
      </c>
      <c r="E1047" s="22">
        <v>1</v>
      </c>
      <c r="F1047" s="22">
        <v>0</v>
      </c>
      <c r="G1047" s="22">
        <v>0</v>
      </c>
      <c r="H1047" s="21" t="s">
        <v>463</v>
      </c>
      <c r="I1047" s="22">
        <v>0</v>
      </c>
      <c r="J1047" s="22">
        <v>0</v>
      </c>
      <c r="K1047" s="22">
        <v>0</v>
      </c>
      <c r="L1047" s="22">
        <v>0</v>
      </c>
      <c r="M1047" s="19" t="s">
        <v>287</v>
      </c>
      <c r="N1047" s="19" t="s">
        <v>87</v>
      </c>
      <c r="O1047" s="19" t="s">
        <v>89</v>
      </c>
      <c r="P1047" s="19"/>
      <c r="Q1047" s="39" t="s">
        <v>262</v>
      </c>
    </row>
    <row r="1048" spans="1:17" ht="14.4">
      <c r="A1048" s="13">
        <v>400</v>
      </c>
      <c r="B1048" s="14" t="s">
        <v>456</v>
      </c>
      <c r="C1048" s="34">
        <v>45526</v>
      </c>
      <c r="D1048" s="17">
        <v>5</v>
      </c>
      <c r="E1048" s="17">
        <v>0</v>
      </c>
      <c r="F1048" s="17">
        <v>0</v>
      </c>
      <c r="G1048" s="17">
        <v>0</v>
      </c>
      <c r="H1048" s="35"/>
      <c r="I1048" s="17">
        <v>0</v>
      </c>
      <c r="J1048" s="17">
        <v>0</v>
      </c>
      <c r="K1048" s="17">
        <v>0</v>
      </c>
      <c r="L1048" s="17">
        <v>0</v>
      </c>
      <c r="M1048" s="14" t="s">
        <v>287</v>
      </c>
      <c r="N1048" s="14" t="s">
        <v>87</v>
      </c>
      <c r="O1048" s="14" t="s">
        <v>89</v>
      </c>
      <c r="P1048" s="17">
        <v>1</v>
      </c>
      <c r="Q1048" s="36" t="s">
        <v>259</v>
      </c>
    </row>
    <row r="1049" spans="1:17" ht="14.4">
      <c r="A1049" s="26">
        <v>400</v>
      </c>
      <c r="B1049" s="19" t="s">
        <v>456</v>
      </c>
      <c r="C1049" s="37">
        <v>45526</v>
      </c>
      <c r="D1049" s="22">
        <v>0</v>
      </c>
      <c r="E1049" s="22">
        <v>0</v>
      </c>
      <c r="F1049" s="22">
        <v>0</v>
      </c>
      <c r="G1049" s="22">
        <v>0</v>
      </c>
      <c r="H1049" s="38"/>
      <c r="I1049" s="22">
        <v>0</v>
      </c>
      <c r="J1049" s="22">
        <v>1</v>
      </c>
      <c r="K1049" s="22">
        <v>0</v>
      </c>
      <c r="L1049" s="22">
        <v>0</v>
      </c>
      <c r="M1049" s="19" t="s">
        <v>287</v>
      </c>
      <c r="N1049" s="19" t="s">
        <v>87</v>
      </c>
      <c r="O1049" s="19" t="s">
        <v>89</v>
      </c>
      <c r="P1049" s="19"/>
      <c r="Q1049" s="39" t="s">
        <v>263</v>
      </c>
    </row>
    <row r="1050" spans="1:17" ht="14.4">
      <c r="A1050" s="13">
        <v>400</v>
      </c>
      <c r="B1050" s="14" t="s">
        <v>456</v>
      </c>
      <c r="C1050" s="34">
        <v>45526</v>
      </c>
      <c r="D1050" s="17">
        <v>0</v>
      </c>
      <c r="E1050" s="17">
        <v>1</v>
      </c>
      <c r="F1050" s="17">
        <v>0</v>
      </c>
      <c r="G1050" s="17">
        <v>0</v>
      </c>
      <c r="H1050" s="16" t="s">
        <v>464</v>
      </c>
      <c r="I1050" s="17">
        <v>0</v>
      </c>
      <c r="J1050" s="17">
        <v>0</v>
      </c>
      <c r="K1050" s="17">
        <v>0</v>
      </c>
      <c r="L1050" s="17">
        <v>0</v>
      </c>
      <c r="M1050" s="14" t="s">
        <v>287</v>
      </c>
      <c r="N1050" s="14" t="s">
        <v>87</v>
      </c>
      <c r="O1050" s="14" t="s">
        <v>57</v>
      </c>
      <c r="P1050" s="14"/>
      <c r="Q1050" s="36" t="s">
        <v>262</v>
      </c>
    </row>
    <row r="1051" spans="1:17" ht="14.4">
      <c r="A1051" s="26">
        <v>400</v>
      </c>
      <c r="B1051" s="19" t="s">
        <v>456</v>
      </c>
      <c r="C1051" s="37">
        <v>45526</v>
      </c>
      <c r="D1051" s="22">
        <v>6</v>
      </c>
      <c r="E1051" s="22">
        <v>0</v>
      </c>
      <c r="F1051" s="22">
        <v>0</v>
      </c>
      <c r="G1051" s="22">
        <v>0</v>
      </c>
      <c r="H1051" s="38"/>
      <c r="I1051" s="22">
        <v>0</v>
      </c>
      <c r="J1051" s="22">
        <v>0</v>
      </c>
      <c r="K1051" s="22">
        <v>0</v>
      </c>
      <c r="L1051" s="22">
        <v>0</v>
      </c>
      <c r="M1051" s="19" t="s">
        <v>287</v>
      </c>
      <c r="N1051" s="19" t="s">
        <v>87</v>
      </c>
      <c r="O1051" s="19" t="s">
        <v>57</v>
      </c>
      <c r="P1051" s="22">
        <v>2</v>
      </c>
      <c r="Q1051" s="39" t="s">
        <v>259</v>
      </c>
    </row>
    <row r="1052" spans="1:17" ht="14.4">
      <c r="A1052" s="13">
        <v>400</v>
      </c>
      <c r="B1052" s="14" t="s">
        <v>456</v>
      </c>
      <c r="C1052" s="34">
        <v>45526</v>
      </c>
      <c r="D1052" s="17">
        <v>0</v>
      </c>
      <c r="E1052" s="17">
        <v>0</v>
      </c>
      <c r="F1052" s="17">
        <v>0</v>
      </c>
      <c r="G1052" s="17">
        <v>0</v>
      </c>
      <c r="H1052" s="35"/>
      <c r="I1052" s="17">
        <v>2</v>
      </c>
      <c r="J1052" s="17">
        <v>0</v>
      </c>
      <c r="K1052" s="17">
        <v>0</v>
      </c>
      <c r="L1052" s="17">
        <v>0</v>
      </c>
      <c r="M1052" s="14" t="s">
        <v>287</v>
      </c>
      <c r="N1052" s="14" t="s">
        <v>87</v>
      </c>
      <c r="O1052" s="14" t="s">
        <v>57</v>
      </c>
      <c r="P1052" s="14"/>
      <c r="Q1052" s="36" t="s">
        <v>260</v>
      </c>
    </row>
    <row r="1053" spans="1:17" ht="14.4">
      <c r="A1053" s="26">
        <v>400</v>
      </c>
      <c r="B1053" s="19" t="s">
        <v>456</v>
      </c>
      <c r="C1053" s="37">
        <v>45526</v>
      </c>
      <c r="D1053" s="22">
        <v>0</v>
      </c>
      <c r="E1053" s="22">
        <v>0</v>
      </c>
      <c r="F1053" s="22">
        <v>0</v>
      </c>
      <c r="G1053" s="22">
        <v>0</v>
      </c>
      <c r="H1053" s="38"/>
      <c r="I1053" s="22">
        <v>0</v>
      </c>
      <c r="J1053" s="22">
        <v>0</v>
      </c>
      <c r="K1053" s="22">
        <v>1</v>
      </c>
      <c r="L1053" s="22">
        <v>0</v>
      </c>
      <c r="M1053" s="19" t="s">
        <v>287</v>
      </c>
      <c r="N1053" s="19" t="s">
        <v>87</v>
      </c>
      <c r="O1053" s="19" t="s">
        <v>57</v>
      </c>
      <c r="P1053" s="19"/>
      <c r="Q1053" s="39" t="s">
        <v>263</v>
      </c>
    </row>
    <row r="1054" spans="1:17" ht="14.4">
      <c r="A1054" s="13">
        <v>400</v>
      </c>
      <c r="B1054" s="14" t="s">
        <v>456</v>
      </c>
      <c r="C1054" s="34">
        <v>45526</v>
      </c>
      <c r="D1054" s="17">
        <v>0</v>
      </c>
      <c r="E1054" s="17">
        <v>0</v>
      </c>
      <c r="F1054" s="17">
        <v>1</v>
      </c>
      <c r="G1054" s="17">
        <v>0</v>
      </c>
      <c r="H1054" s="35"/>
      <c r="I1054" s="17">
        <v>0</v>
      </c>
      <c r="J1054" s="17">
        <v>0</v>
      </c>
      <c r="K1054" s="17">
        <v>0</v>
      </c>
      <c r="L1054" s="17">
        <v>0</v>
      </c>
      <c r="M1054" s="14" t="s">
        <v>287</v>
      </c>
      <c r="N1054" s="14" t="s">
        <v>87</v>
      </c>
      <c r="O1054" s="14" t="s">
        <v>86</v>
      </c>
      <c r="P1054" s="14"/>
      <c r="Q1054" s="36" t="s">
        <v>262</v>
      </c>
    </row>
    <row r="1055" spans="1:17" ht="14.4">
      <c r="A1055" s="26">
        <v>400</v>
      </c>
      <c r="B1055" s="19" t="s">
        <v>456</v>
      </c>
      <c r="C1055" s="37">
        <v>45526</v>
      </c>
      <c r="D1055" s="22">
        <v>25</v>
      </c>
      <c r="E1055" s="22">
        <v>0</v>
      </c>
      <c r="F1055" s="22">
        <v>0</v>
      </c>
      <c r="G1055" s="22">
        <v>0</v>
      </c>
      <c r="H1055" s="38"/>
      <c r="I1055" s="22">
        <v>0</v>
      </c>
      <c r="J1055" s="22">
        <v>0</v>
      </c>
      <c r="K1055" s="22">
        <v>0</v>
      </c>
      <c r="L1055" s="22">
        <v>0</v>
      </c>
      <c r="M1055" s="19" t="s">
        <v>287</v>
      </c>
      <c r="N1055" s="19" t="s">
        <v>87</v>
      </c>
      <c r="O1055" s="19" t="s">
        <v>86</v>
      </c>
      <c r="P1055" s="22">
        <v>11</v>
      </c>
      <c r="Q1055" s="39" t="s">
        <v>259</v>
      </c>
    </row>
    <row r="1056" spans="1:17" ht="14.4">
      <c r="A1056" s="13">
        <v>400</v>
      </c>
      <c r="B1056" s="14" t="s">
        <v>456</v>
      </c>
      <c r="C1056" s="34">
        <v>45526</v>
      </c>
      <c r="D1056" s="17">
        <v>0</v>
      </c>
      <c r="E1056" s="17">
        <v>0</v>
      </c>
      <c r="F1056" s="17">
        <v>0</v>
      </c>
      <c r="G1056" s="17">
        <v>0</v>
      </c>
      <c r="H1056" s="35"/>
      <c r="I1056" s="17">
        <v>5</v>
      </c>
      <c r="J1056" s="17">
        <v>0</v>
      </c>
      <c r="K1056" s="17">
        <v>0</v>
      </c>
      <c r="L1056" s="17">
        <v>0</v>
      </c>
      <c r="M1056" s="14" t="s">
        <v>287</v>
      </c>
      <c r="N1056" s="14" t="s">
        <v>87</v>
      </c>
      <c r="O1056" s="14" t="s">
        <v>86</v>
      </c>
      <c r="P1056" s="14"/>
      <c r="Q1056" s="36" t="s">
        <v>260</v>
      </c>
    </row>
    <row r="1057" spans="1:17" ht="14.4">
      <c r="A1057" s="26">
        <v>400</v>
      </c>
      <c r="B1057" s="19" t="s">
        <v>456</v>
      </c>
      <c r="C1057" s="37">
        <v>45526</v>
      </c>
      <c r="D1057" s="22">
        <v>0</v>
      </c>
      <c r="E1057" s="22">
        <v>0</v>
      </c>
      <c r="F1057" s="22">
        <v>0</v>
      </c>
      <c r="G1057" s="22">
        <v>0</v>
      </c>
      <c r="H1057" s="38"/>
      <c r="I1057" s="22">
        <v>0</v>
      </c>
      <c r="J1057" s="22">
        <v>3</v>
      </c>
      <c r="K1057" s="22">
        <v>0</v>
      </c>
      <c r="L1057" s="22">
        <v>0</v>
      </c>
      <c r="M1057" s="19" t="s">
        <v>287</v>
      </c>
      <c r="N1057" s="19" t="s">
        <v>87</v>
      </c>
      <c r="O1057" s="19" t="s">
        <v>86</v>
      </c>
      <c r="P1057" s="19"/>
      <c r="Q1057" s="39" t="s">
        <v>263</v>
      </c>
    </row>
    <row r="1058" spans="1:17" ht="14.4">
      <c r="A1058" s="13">
        <v>400</v>
      </c>
      <c r="B1058" s="14" t="s">
        <v>456</v>
      </c>
      <c r="C1058" s="34">
        <v>45526</v>
      </c>
      <c r="D1058" s="17">
        <v>8</v>
      </c>
      <c r="E1058" s="17">
        <v>0</v>
      </c>
      <c r="F1058" s="17">
        <v>0</v>
      </c>
      <c r="G1058" s="17">
        <v>0</v>
      </c>
      <c r="H1058" s="35"/>
      <c r="I1058" s="17">
        <v>0</v>
      </c>
      <c r="J1058" s="17">
        <v>0</v>
      </c>
      <c r="K1058" s="17">
        <v>0</v>
      </c>
      <c r="L1058" s="17">
        <v>0</v>
      </c>
      <c r="M1058" s="14" t="s">
        <v>287</v>
      </c>
      <c r="N1058" s="14" t="s">
        <v>87</v>
      </c>
      <c r="O1058" s="14" t="s">
        <v>59</v>
      </c>
      <c r="P1058" s="17">
        <v>4</v>
      </c>
      <c r="Q1058" s="36" t="s">
        <v>259</v>
      </c>
    </row>
    <row r="1059" spans="1:17" ht="14.4">
      <c r="A1059" s="26">
        <v>400</v>
      </c>
      <c r="B1059" s="19" t="s">
        <v>456</v>
      </c>
      <c r="C1059" s="37">
        <v>45526</v>
      </c>
      <c r="D1059" s="22">
        <v>0</v>
      </c>
      <c r="E1059" s="22">
        <v>0</v>
      </c>
      <c r="F1059" s="22">
        <v>0</v>
      </c>
      <c r="G1059" s="22">
        <v>0</v>
      </c>
      <c r="H1059" s="38"/>
      <c r="I1059" s="22">
        <v>6</v>
      </c>
      <c r="J1059" s="22">
        <v>0</v>
      </c>
      <c r="K1059" s="22">
        <v>0</v>
      </c>
      <c r="L1059" s="22">
        <v>0</v>
      </c>
      <c r="M1059" s="19" t="s">
        <v>287</v>
      </c>
      <c r="N1059" s="19" t="s">
        <v>87</v>
      </c>
      <c r="O1059" s="19" t="s">
        <v>59</v>
      </c>
      <c r="P1059" s="19"/>
      <c r="Q1059" s="39" t="s">
        <v>260</v>
      </c>
    </row>
    <row r="1060" spans="1:17" ht="14.4">
      <c r="A1060" s="13">
        <v>400</v>
      </c>
      <c r="B1060" s="14" t="s">
        <v>456</v>
      </c>
      <c r="C1060" s="34">
        <v>45526</v>
      </c>
      <c r="D1060" s="17">
        <v>0</v>
      </c>
      <c r="E1060" s="17">
        <v>0</v>
      </c>
      <c r="F1060" s="17">
        <v>0</v>
      </c>
      <c r="G1060" s="17">
        <v>0</v>
      </c>
      <c r="H1060" s="35"/>
      <c r="I1060" s="17">
        <v>0</v>
      </c>
      <c r="J1060" s="17">
        <v>1</v>
      </c>
      <c r="K1060" s="17">
        <v>0</v>
      </c>
      <c r="L1060" s="17">
        <v>0</v>
      </c>
      <c r="M1060" s="14" t="s">
        <v>287</v>
      </c>
      <c r="N1060" s="14" t="s">
        <v>87</v>
      </c>
      <c r="O1060" s="14" t="s">
        <v>59</v>
      </c>
      <c r="P1060" s="14"/>
      <c r="Q1060" s="36" t="s">
        <v>263</v>
      </c>
    </row>
    <row r="1061" spans="1:17" ht="14.4">
      <c r="A1061" s="26">
        <v>204</v>
      </c>
      <c r="B1061" s="19" t="s">
        <v>465</v>
      </c>
      <c r="C1061" s="37">
        <v>45526</v>
      </c>
      <c r="D1061" s="22">
        <v>2</v>
      </c>
      <c r="E1061" s="22">
        <v>0</v>
      </c>
      <c r="F1061" s="22">
        <v>0</v>
      </c>
      <c r="G1061" s="22">
        <v>0</v>
      </c>
      <c r="H1061" s="38"/>
      <c r="I1061" s="22">
        <v>0</v>
      </c>
      <c r="J1061" s="22">
        <v>0</v>
      </c>
      <c r="K1061" s="22">
        <v>0</v>
      </c>
      <c r="L1061" s="22">
        <v>0</v>
      </c>
      <c r="M1061" s="19" t="s">
        <v>100</v>
      </c>
      <c r="N1061" s="19" t="s">
        <v>91</v>
      </c>
      <c r="O1061" s="19" t="s">
        <v>38</v>
      </c>
      <c r="P1061" s="22">
        <v>1</v>
      </c>
      <c r="Q1061" s="39" t="s">
        <v>259</v>
      </c>
    </row>
    <row r="1062" spans="1:17" ht="14.4">
      <c r="A1062" s="13">
        <v>204</v>
      </c>
      <c r="B1062" s="14" t="s">
        <v>465</v>
      </c>
      <c r="C1062" s="34">
        <v>45526</v>
      </c>
      <c r="D1062" s="17">
        <v>0</v>
      </c>
      <c r="E1062" s="17">
        <v>0</v>
      </c>
      <c r="F1062" s="17">
        <v>0</v>
      </c>
      <c r="G1062" s="17">
        <v>0</v>
      </c>
      <c r="H1062" s="35"/>
      <c r="I1062" s="17">
        <v>1</v>
      </c>
      <c r="J1062" s="17">
        <v>0</v>
      </c>
      <c r="K1062" s="17">
        <v>0</v>
      </c>
      <c r="L1062" s="17">
        <v>0</v>
      </c>
      <c r="M1062" s="14" t="s">
        <v>100</v>
      </c>
      <c r="N1062" s="14" t="s">
        <v>91</v>
      </c>
      <c r="O1062" s="14" t="s">
        <v>38</v>
      </c>
      <c r="P1062" s="14"/>
      <c r="Q1062" s="36" t="s">
        <v>260</v>
      </c>
    </row>
    <row r="1063" spans="1:17" ht="14.4">
      <c r="A1063" s="26">
        <v>204</v>
      </c>
      <c r="B1063" s="19" t="s">
        <v>465</v>
      </c>
      <c r="C1063" s="37">
        <v>45526</v>
      </c>
      <c r="D1063" s="22">
        <v>2</v>
      </c>
      <c r="E1063" s="22">
        <v>0</v>
      </c>
      <c r="F1063" s="22">
        <v>0</v>
      </c>
      <c r="G1063" s="22">
        <v>0</v>
      </c>
      <c r="H1063" s="38"/>
      <c r="I1063" s="22">
        <v>0</v>
      </c>
      <c r="J1063" s="22">
        <v>0</v>
      </c>
      <c r="K1063" s="22">
        <v>0</v>
      </c>
      <c r="L1063" s="22">
        <v>0</v>
      </c>
      <c r="M1063" s="19" t="s">
        <v>100</v>
      </c>
      <c r="N1063" s="19" t="s">
        <v>91</v>
      </c>
      <c r="O1063" s="19" t="s">
        <v>47</v>
      </c>
      <c r="P1063" s="22">
        <v>1</v>
      </c>
      <c r="Q1063" s="39" t="s">
        <v>259</v>
      </c>
    </row>
    <row r="1064" spans="1:17" ht="14.4">
      <c r="A1064" s="13">
        <v>204</v>
      </c>
      <c r="B1064" s="14" t="s">
        <v>465</v>
      </c>
      <c r="C1064" s="34">
        <v>45526</v>
      </c>
      <c r="D1064" s="17">
        <v>0</v>
      </c>
      <c r="E1064" s="17">
        <v>0</v>
      </c>
      <c r="F1064" s="17">
        <v>0</v>
      </c>
      <c r="G1064" s="17">
        <v>0</v>
      </c>
      <c r="H1064" s="35"/>
      <c r="I1064" s="17">
        <v>3</v>
      </c>
      <c r="J1064" s="17">
        <v>0</v>
      </c>
      <c r="K1064" s="17">
        <v>0</v>
      </c>
      <c r="L1064" s="17">
        <v>0</v>
      </c>
      <c r="M1064" s="14" t="s">
        <v>100</v>
      </c>
      <c r="N1064" s="14" t="s">
        <v>91</v>
      </c>
      <c r="O1064" s="14" t="s">
        <v>47</v>
      </c>
      <c r="P1064" s="14"/>
      <c r="Q1064" s="36" t="s">
        <v>260</v>
      </c>
    </row>
    <row r="1065" spans="1:17" ht="14.4">
      <c r="A1065" s="26">
        <v>204</v>
      </c>
      <c r="B1065" s="19" t="s">
        <v>465</v>
      </c>
      <c r="C1065" s="37">
        <v>45526</v>
      </c>
      <c r="D1065" s="22">
        <v>2</v>
      </c>
      <c r="E1065" s="22">
        <v>0</v>
      </c>
      <c r="F1065" s="22">
        <v>0</v>
      </c>
      <c r="G1065" s="22">
        <v>0</v>
      </c>
      <c r="H1065" s="38"/>
      <c r="I1065" s="22">
        <v>0</v>
      </c>
      <c r="J1065" s="22">
        <v>0</v>
      </c>
      <c r="K1065" s="22">
        <v>0</v>
      </c>
      <c r="L1065" s="22">
        <v>0</v>
      </c>
      <c r="M1065" s="19" t="s">
        <v>100</v>
      </c>
      <c r="N1065" s="19" t="s">
        <v>91</v>
      </c>
      <c r="O1065" s="19" t="s">
        <v>90</v>
      </c>
      <c r="P1065" s="19"/>
      <c r="Q1065" s="39" t="s">
        <v>259</v>
      </c>
    </row>
    <row r="1066" spans="1:17" ht="14.4">
      <c r="A1066" s="13">
        <v>204</v>
      </c>
      <c r="B1066" s="14" t="s">
        <v>465</v>
      </c>
      <c r="C1066" s="34">
        <v>45526</v>
      </c>
      <c r="D1066" s="17">
        <v>0</v>
      </c>
      <c r="E1066" s="17">
        <v>0</v>
      </c>
      <c r="F1066" s="17">
        <v>0</v>
      </c>
      <c r="G1066" s="17">
        <v>0</v>
      </c>
      <c r="H1066" s="35"/>
      <c r="I1066" s="17">
        <v>0</v>
      </c>
      <c r="J1066" s="17">
        <v>0</v>
      </c>
      <c r="K1066" s="17">
        <v>1</v>
      </c>
      <c r="L1066" s="17">
        <v>0</v>
      </c>
      <c r="M1066" s="14" t="s">
        <v>100</v>
      </c>
      <c r="N1066" s="14" t="s">
        <v>91</v>
      </c>
      <c r="O1066" s="14" t="s">
        <v>90</v>
      </c>
      <c r="P1066" s="14"/>
      <c r="Q1066" s="36" t="s">
        <v>263</v>
      </c>
    </row>
    <row r="1067" spans="1:17" ht="14.4">
      <c r="A1067" s="26">
        <v>204</v>
      </c>
      <c r="B1067" s="19" t="s">
        <v>465</v>
      </c>
      <c r="C1067" s="37">
        <v>45526</v>
      </c>
      <c r="D1067" s="22">
        <v>5</v>
      </c>
      <c r="E1067" s="22">
        <v>0</v>
      </c>
      <c r="F1067" s="22">
        <v>0</v>
      </c>
      <c r="G1067" s="22">
        <v>0</v>
      </c>
      <c r="H1067" s="38"/>
      <c r="I1067" s="22">
        <v>0</v>
      </c>
      <c r="J1067" s="22">
        <v>0</v>
      </c>
      <c r="K1067" s="22">
        <v>0</v>
      </c>
      <c r="L1067" s="22">
        <v>0</v>
      </c>
      <c r="M1067" s="19" t="s">
        <v>100</v>
      </c>
      <c r="N1067" s="19" t="s">
        <v>87</v>
      </c>
      <c r="O1067" s="19" t="s">
        <v>60</v>
      </c>
      <c r="P1067" s="22">
        <v>3</v>
      </c>
      <c r="Q1067" s="39" t="s">
        <v>259</v>
      </c>
    </row>
    <row r="1068" spans="1:17" ht="14.4">
      <c r="A1068" s="13">
        <v>204</v>
      </c>
      <c r="B1068" s="14" t="s">
        <v>465</v>
      </c>
      <c r="C1068" s="34">
        <v>45526</v>
      </c>
      <c r="D1068" s="17">
        <v>0</v>
      </c>
      <c r="E1068" s="17">
        <v>0</v>
      </c>
      <c r="F1068" s="17">
        <v>0</v>
      </c>
      <c r="G1068" s="17">
        <v>0</v>
      </c>
      <c r="H1068" s="35"/>
      <c r="I1068" s="17">
        <v>2</v>
      </c>
      <c r="J1068" s="17">
        <v>0</v>
      </c>
      <c r="K1068" s="17">
        <v>0</v>
      </c>
      <c r="L1068" s="17">
        <v>0</v>
      </c>
      <c r="M1068" s="14" t="s">
        <v>100</v>
      </c>
      <c r="N1068" s="14" t="s">
        <v>87</v>
      </c>
      <c r="O1068" s="14" t="s">
        <v>60</v>
      </c>
      <c r="P1068" s="14"/>
      <c r="Q1068" s="36" t="s">
        <v>260</v>
      </c>
    </row>
    <row r="1069" spans="1:17" ht="14.4">
      <c r="A1069" s="26">
        <v>204</v>
      </c>
      <c r="B1069" s="19" t="s">
        <v>465</v>
      </c>
      <c r="C1069" s="37">
        <v>45526</v>
      </c>
      <c r="D1069" s="22">
        <v>0</v>
      </c>
      <c r="E1069" s="22">
        <v>0</v>
      </c>
      <c r="F1069" s="22">
        <v>0</v>
      </c>
      <c r="G1069" s="22">
        <v>0</v>
      </c>
      <c r="H1069" s="38"/>
      <c r="I1069" s="22">
        <v>0</v>
      </c>
      <c r="J1069" s="22">
        <v>1</v>
      </c>
      <c r="K1069" s="22">
        <v>0</v>
      </c>
      <c r="L1069" s="22">
        <v>0</v>
      </c>
      <c r="M1069" s="19" t="s">
        <v>100</v>
      </c>
      <c r="N1069" s="19" t="s">
        <v>87</v>
      </c>
      <c r="O1069" s="19" t="s">
        <v>60</v>
      </c>
      <c r="P1069" s="19"/>
      <c r="Q1069" s="39" t="s">
        <v>263</v>
      </c>
    </row>
    <row r="1070" spans="1:17" ht="14.4">
      <c r="A1070" s="13">
        <v>204</v>
      </c>
      <c r="B1070" s="14" t="s">
        <v>465</v>
      </c>
      <c r="C1070" s="34">
        <v>45526</v>
      </c>
      <c r="D1070" s="17">
        <v>0</v>
      </c>
      <c r="E1070" s="17">
        <v>0</v>
      </c>
      <c r="F1070" s="17">
        <v>0</v>
      </c>
      <c r="G1070" s="17">
        <v>0</v>
      </c>
      <c r="H1070" s="35"/>
      <c r="I1070" s="17">
        <v>0</v>
      </c>
      <c r="J1070" s="17">
        <v>0</v>
      </c>
      <c r="K1070" s="17">
        <v>0</v>
      </c>
      <c r="L1070" s="17">
        <v>1</v>
      </c>
      <c r="M1070" s="14" t="s">
        <v>100</v>
      </c>
      <c r="N1070" s="14" t="s">
        <v>87</v>
      </c>
      <c r="O1070" s="14" t="s">
        <v>57</v>
      </c>
      <c r="P1070" s="14"/>
      <c r="Q1070" s="36" t="s">
        <v>284</v>
      </c>
    </row>
    <row r="1071" spans="1:17" ht="14.4">
      <c r="A1071" s="26">
        <v>204</v>
      </c>
      <c r="B1071" s="19" t="s">
        <v>465</v>
      </c>
      <c r="C1071" s="37">
        <v>45526</v>
      </c>
      <c r="D1071" s="22">
        <v>0</v>
      </c>
      <c r="E1071" s="22">
        <v>1</v>
      </c>
      <c r="F1071" s="22">
        <v>0</v>
      </c>
      <c r="G1071" s="22">
        <v>0</v>
      </c>
      <c r="H1071" s="21" t="s">
        <v>466</v>
      </c>
      <c r="I1071" s="22">
        <v>0</v>
      </c>
      <c r="J1071" s="22">
        <v>0</v>
      </c>
      <c r="K1071" s="22">
        <v>0</v>
      </c>
      <c r="L1071" s="22">
        <v>0</v>
      </c>
      <c r="M1071" s="19" t="s">
        <v>100</v>
      </c>
      <c r="N1071" s="19" t="s">
        <v>87</v>
      </c>
      <c r="O1071" s="19" t="s">
        <v>57</v>
      </c>
      <c r="P1071" s="19"/>
      <c r="Q1071" s="39" t="s">
        <v>262</v>
      </c>
    </row>
    <row r="1072" spans="1:17" ht="14.4">
      <c r="A1072" s="13">
        <v>204</v>
      </c>
      <c r="B1072" s="14" t="s">
        <v>465</v>
      </c>
      <c r="C1072" s="34">
        <v>45526</v>
      </c>
      <c r="D1072" s="17">
        <v>0</v>
      </c>
      <c r="E1072" s="17">
        <v>0</v>
      </c>
      <c r="F1072" s="17">
        <v>0</v>
      </c>
      <c r="G1072" s="17">
        <v>0</v>
      </c>
      <c r="H1072" s="35"/>
      <c r="I1072" s="17">
        <v>2</v>
      </c>
      <c r="J1072" s="17">
        <v>0</v>
      </c>
      <c r="K1072" s="17">
        <v>0</v>
      </c>
      <c r="L1072" s="17">
        <v>0</v>
      </c>
      <c r="M1072" s="14" t="s">
        <v>100</v>
      </c>
      <c r="N1072" s="14" t="s">
        <v>87</v>
      </c>
      <c r="O1072" s="14" t="s">
        <v>59</v>
      </c>
      <c r="P1072" s="14"/>
      <c r="Q1072" s="36" t="s">
        <v>260</v>
      </c>
    </row>
    <row r="1073" spans="1:17" ht="14.4">
      <c r="A1073" s="26">
        <v>205</v>
      </c>
      <c r="B1073" s="19" t="s">
        <v>467</v>
      </c>
      <c r="C1073" s="37">
        <v>45526</v>
      </c>
      <c r="D1073" s="22">
        <v>0</v>
      </c>
      <c r="E1073" s="22">
        <v>1</v>
      </c>
      <c r="F1073" s="22">
        <v>0</v>
      </c>
      <c r="G1073" s="22">
        <v>0</v>
      </c>
      <c r="H1073" s="21" t="s">
        <v>272</v>
      </c>
      <c r="I1073" s="22">
        <v>0</v>
      </c>
      <c r="J1073" s="22">
        <v>0</v>
      </c>
      <c r="K1073" s="22">
        <v>0</v>
      </c>
      <c r="L1073" s="22">
        <v>0</v>
      </c>
      <c r="M1073" s="19" t="s">
        <v>100</v>
      </c>
      <c r="N1073" s="19" t="s">
        <v>91</v>
      </c>
      <c r="O1073" s="19" t="s">
        <v>38</v>
      </c>
      <c r="P1073" s="19"/>
      <c r="Q1073" s="39" t="s">
        <v>262</v>
      </c>
    </row>
    <row r="1074" spans="1:17" ht="14.4">
      <c r="A1074" s="13">
        <v>205</v>
      </c>
      <c r="B1074" s="14" t="s">
        <v>467</v>
      </c>
      <c r="C1074" s="34">
        <v>45526</v>
      </c>
      <c r="D1074" s="17">
        <v>0</v>
      </c>
      <c r="E1074" s="17">
        <v>0</v>
      </c>
      <c r="F1074" s="17">
        <v>1</v>
      </c>
      <c r="G1074" s="17">
        <v>0</v>
      </c>
      <c r="H1074" s="35"/>
      <c r="I1074" s="17">
        <v>0</v>
      </c>
      <c r="J1074" s="17">
        <v>0</v>
      </c>
      <c r="K1074" s="17">
        <v>0</v>
      </c>
      <c r="L1074" s="17">
        <v>0</v>
      </c>
      <c r="M1074" s="14" t="s">
        <v>100</v>
      </c>
      <c r="N1074" s="14" t="s">
        <v>91</v>
      </c>
      <c r="O1074" s="14" t="s">
        <v>47</v>
      </c>
      <c r="P1074" s="14"/>
      <c r="Q1074" s="36" t="s">
        <v>262</v>
      </c>
    </row>
    <row r="1075" spans="1:17" ht="14.4">
      <c r="A1075" s="26">
        <v>205</v>
      </c>
      <c r="B1075" s="19" t="s">
        <v>467</v>
      </c>
      <c r="C1075" s="37">
        <v>45526</v>
      </c>
      <c r="D1075" s="22">
        <v>1</v>
      </c>
      <c r="E1075" s="22">
        <v>0</v>
      </c>
      <c r="F1075" s="22">
        <v>0</v>
      </c>
      <c r="G1075" s="22">
        <v>0</v>
      </c>
      <c r="H1075" s="38"/>
      <c r="I1075" s="22">
        <v>0</v>
      </c>
      <c r="J1075" s="22">
        <v>0</v>
      </c>
      <c r="K1075" s="22">
        <v>0</v>
      </c>
      <c r="L1075" s="22">
        <v>0</v>
      </c>
      <c r="M1075" s="19" t="s">
        <v>100</v>
      </c>
      <c r="N1075" s="19" t="s">
        <v>91</v>
      </c>
      <c r="O1075" s="19" t="s">
        <v>47</v>
      </c>
      <c r="P1075" s="22">
        <v>1</v>
      </c>
      <c r="Q1075" s="39" t="s">
        <v>259</v>
      </c>
    </row>
    <row r="1076" spans="1:17" ht="14.4">
      <c r="A1076" s="13">
        <v>205</v>
      </c>
      <c r="B1076" s="14" t="s">
        <v>467</v>
      </c>
      <c r="C1076" s="34">
        <v>45526</v>
      </c>
      <c r="D1076" s="17">
        <v>0</v>
      </c>
      <c r="E1076" s="17">
        <v>1</v>
      </c>
      <c r="F1076" s="17">
        <v>0</v>
      </c>
      <c r="G1076" s="17">
        <v>0</v>
      </c>
      <c r="H1076" s="16" t="s">
        <v>351</v>
      </c>
      <c r="I1076" s="17">
        <v>0</v>
      </c>
      <c r="J1076" s="17">
        <v>0</v>
      </c>
      <c r="K1076" s="17">
        <v>0</v>
      </c>
      <c r="L1076" s="17">
        <v>0</v>
      </c>
      <c r="M1076" s="14" t="s">
        <v>100</v>
      </c>
      <c r="N1076" s="14" t="s">
        <v>91</v>
      </c>
      <c r="O1076" s="14" t="s">
        <v>90</v>
      </c>
      <c r="P1076" s="14"/>
      <c r="Q1076" s="36" t="s">
        <v>262</v>
      </c>
    </row>
    <row r="1077" spans="1:17" ht="14.4">
      <c r="A1077" s="26">
        <v>205</v>
      </c>
      <c r="B1077" s="19" t="s">
        <v>467</v>
      </c>
      <c r="C1077" s="37">
        <v>45526</v>
      </c>
      <c r="D1077" s="22">
        <v>1</v>
      </c>
      <c r="E1077" s="22">
        <v>0</v>
      </c>
      <c r="F1077" s="22">
        <v>0</v>
      </c>
      <c r="G1077" s="22">
        <v>0</v>
      </c>
      <c r="H1077" s="38"/>
      <c r="I1077" s="22">
        <v>0</v>
      </c>
      <c r="J1077" s="22">
        <v>0</v>
      </c>
      <c r="K1077" s="22">
        <v>0</v>
      </c>
      <c r="L1077" s="22">
        <v>0</v>
      </c>
      <c r="M1077" s="19" t="s">
        <v>100</v>
      </c>
      <c r="N1077" s="19" t="s">
        <v>91</v>
      </c>
      <c r="O1077" s="19" t="s">
        <v>90</v>
      </c>
      <c r="P1077" s="22">
        <v>1</v>
      </c>
      <c r="Q1077" s="39" t="s">
        <v>259</v>
      </c>
    </row>
    <row r="1078" spans="1:17" ht="14.4">
      <c r="A1078" s="13">
        <v>205</v>
      </c>
      <c r="B1078" s="14" t="s">
        <v>467</v>
      </c>
      <c r="C1078" s="34">
        <v>45526</v>
      </c>
      <c r="D1078" s="17">
        <v>0</v>
      </c>
      <c r="E1078" s="17">
        <v>0</v>
      </c>
      <c r="F1078" s="17">
        <v>0</v>
      </c>
      <c r="G1078" s="17">
        <v>0</v>
      </c>
      <c r="H1078" s="35"/>
      <c r="I1078" s="17">
        <v>0</v>
      </c>
      <c r="J1078" s="17">
        <v>1</v>
      </c>
      <c r="K1078" s="17">
        <v>1</v>
      </c>
      <c r="L1078" s="17">
        <v>0</v>
      </c>
      <c r="M1078" s="14" t="s">
        <v>100</v>
      </c>
      <c r="N1078" s="14" t="s">
        <v>91</v>
      </c>
      <c r="O1078" s="14" t="s">
        <v>90</v>
      </c>
      <c r="P1078" s="14"/>
      <c r="Q1078" s="36" t="s">
        <v>263</v>
      </c>
    </row>
    <row r="1079" spans="1:17" ht="14.4">
      <c r="A1079" s="26">
        <v>205</v>
      </c>
      <c r="B1079" s="19" t="s">
        <v>467</v>
      </c>
      <c r="C1079" s="37">
        <v>45526</v>
      </c>
      <c r="D1079" s="22">
        <v>1</v>
      </c>
      <c r="E1079" s="22">
        <v>0</v>
      </c>
      <c r="F1079" s="22">
        <v>0</v>
      </c>
      <c r="G1079" s="22">
        <v>0</v>
      </c>
      <c r="H1079" s="38"/>
      <c r="I1079" s="22">
        <v>0</v>
      </c>
      <c r="J1079" s="22">
        <v>0</v>
      </c>
      <c r="K1079" s="22">
        <v>0</v>
      </c>
      <c r="L1079" s="22">
        <v>0</v>
      </c>
      <c r="M1079" s="19" t="s">
        <v>100</v>
      </c>
      <c r="N1079" s="19" t="s">
        <v>87</v>
      </c>
      <c r="O1079" s="19" t="s">
        <v>60</v>
      </c>
      <c r="P1079" s="22">
        <v>1</v>
      </c>
      <c r="Q1079" s="39" t="s">
        <v>259</v>
      </c>
    </row>
    <row r="1080" spans="1:17" ht="14.4">
      <c r="A1080" s="13">
        <v>321</v>
      </c>
      <c r="B1080" s="14" t="s">
        <v>468</v>
      </c>
      <c r="C1080" s="34">
        <v>45526</v>
      </c>
      <c r="D1080" s="17">
        <v>0</v>
      </c>
      <c r="E1080" s="17">
        <v>0</v>
      </c>
      <c r="F1080" s="17">
        <v>0</v>
      </c>
      <c r="G1080" s="17">
        <v>0</v>
      </c>
      <c r="H1080" s="35"/>
      <c r="I1080" s="17">
        <v>0</v>
      </c>
      <c r="J1080" s="17">
        <v>2</v>
      </c>
      <c r="K1080" s="17">
        <v>2</v>
      </c>
      <c r="L1080" s="17">
        <v>0</v>
      </c>
      <c r="M1080" s="14" t="s">
        <v>100</v>
      </c>
      <c r="N1080" s="14" t="s">
        <v>91</v>
      </c>
      <c r="O1080" s="14" t="s">
        <v>38</v>
      </c>
      <c r="P1080" s="14"/>
      <c r="Q1080" s="36" t="s">
        <v>263</v>
      </c>
    </row>
    <row r="1081" spans="1:17" ht="14.4">
      <c r="A1081" s="26">
        <v>321</v>
      </c>
      <c r="B1081" s="19" t="s">
        <v>468</v>
      </c>
      <c r="C1081" s="37">
        <v>45526</v>
      </c>
      <c r="D1081" s="22">
        <v>0</v>
      </c>
      <c r="E1081" s="22">
        <v>0</v>
      </c>
      <c r="F1081" s="22">
        <v>1</v>
      </c>
      <c r="G1081" s="22">
        <v>0</v>
      </c>
      <c r="H1081" s="38"/>
      <c r="I1081" s="22">
        <v>0</v>
      </c>
      <c r="J1081" s="22">
        <v>0</v>
      </c>
      <c r="K1081" s="22">
        <v>0</v>
      </c>
      <c r="L1081" s="22">
        <v>0</v>
      </c>
      <c r="M1081" s="19" t="s">
        <v>100</v>
      </c>
      <c r="N1081" s="19" t="s">
        <v>91</v>
      </c>
      <c r="O1081" s="19" t="s">
        <v>44</v>
      </c>
      <c r="P1081" s="19"/>
      <c r="Q1081" s="39" t="s">
        <v>262</v>
      </c>
    </row>
    <row r="1082" spans="1:17" ht="14.4">
      <c r="A1082" s="13">
        <v>321</v>
      </c>
      <c r="B1082" s="14" t="s">
        <v>468</v>
      </c>
      <c r="C1082" s="34">
        <v>45526</v>
      </c>
      <c r="D1082" s="17">
        <v>1</v>
      </c>
      <c r="E1082" s="17">
        <v>0</v>
      </c>
      <c r="F1082" s="17">
        <v>0</v>
      </c>
      <c r="G1082" s="17">
        <v>0</v>
      </c>
      <c r="H1082" s="35"/>
      <c r="I1082" s="17">
        <v>0</v>
      </c>
      <c r="J1082" s="17">
        <v>0</v>
      </c>
      <c r="K1082" s="17">
        <v>0</v>
      </c>
      <c r="L1082" s="17">
        <v>0</v>
      </c>
      <c r="M1082" s="14" t="s">
        <v>100</v>
      </c>
      <c r="N1082" s="14" t="s">
        <v>91</v>
      </c>
      <c r="O1082" s="14" t="s">
        <v>44</v>
      </c>
      <c r="P1082" s="17">
        <v>1</v>
      </c>
      <c r="Q1082" s="36" t="s">
        <v>259</v>
      </c>
    </row>
    <row r="1083" spans="1:17" ht="14.4">
      <c r="A1083" s="26">
        <v>321</v>
      </c>
      <c r="B1083" s="19" t="s">
        <v>468</v>
      </c>
      <c r="C1083" s="37">
        <v>45526</v>
      </c>
      <c r="D1083" s="22">
        <v>0</v>
      </c>
      <c r="E1083" s="22">
        <v>0</v>
      </c>
      <c r="F1083" s="22">
        <v>0</v>
      </c>
      <c r="G1083" s="22">
        <v>0</v>
      </c>
      <c r="H1083" s="38"/>
      <c r="I1083" s="22">
        <v>1</v>
      </c>
      <c r="J1083" s="22">
        <v>0</v>
      </c>
      <c r="K1083" s="22">
        <v>0</v>
      </c>
      <c r="L1083" s="22">
        <v>0</v>
      </c>
      <c r="M1083" s="19" t="s">
        <v>100</v>
      </c>
      <c r="N1083" s="19" t="s">
        <v>91</v>
      </c>
      <c r="O1083" s="19" t="s">
        <v>44</v>
      </c>
      <c r="P1083" s="19"/>
      <c r="Q1083" s="39" t="s">
        <v>260</v>
      </c>
    </row>
    <row r="1084" spans="1:17" ht="14.4">
      <c r="A1084" s="13">
        <v>321</v>
      </c>
      <c r="B1084" s="14" t="s">
        <v>468</v>
      </c>
      <c r="C1084" s="34">
        <v>45526</v>
      </c>
      <c r="D1084" s="17">
        <v>1</v>
      </c>
      <c r="E1084" s="17">
        <v>0</v>
      </c>
      <c r="F1084" s="17">
        <v>0</v>
      </c>
      <c r="G1084" s="17">
        <v>0</v>
      </c>
      <c r="H1084" s="35"/>
      <c r="I1084" s="17">
        <v>0</v>
      </c>
      <c r="J1084" s="17">
        <v>0</v>
      </c>
      <c r="K1084" s="17">
        <v>0</v>
      </c>
      <c r="L1084" s="17">
        <v>0</v>
      </c>
      <c r="M1084" s="14" t="s">
        <v>100</v>
      </c>
      <c r="N1084" s="14" t="s">
        <v>91</v>
      </c>
      <c r="O1084" s="14" t="s">
        <v>47</v>
      </c>
      <c r="P1084" s="17">
        <v>1</v>
      </c>
      <c r="Q1084" s="36" t="s">
        <v>259</v>
      </c>
    </row>
    <row r="1085" spans="1:17" ht="14.4">
      <c r="A1085" s="26">
        <v>321</v>
      </c>
      <c r="B1085" s="19" t="s">
        <v>468</v>
      </c>
      <c r="C1085" s="37">
        <v>45526</v>
      </c>
      <c r="D1085" s="22">
        <v>1</v>
      </c>
      <c r="E1085" s="22">
        <v>0</v>
      </c>
      <c r="F1085" s="22">
        <v>0</v>
      </c>
      <c r="G1085" s="22">
        <v>0</v>
      </c>
      <c r="H1085" s="38"/>
      <c r="I1085" s="22">
        <v>0</v>
      </c>
      <c r="J1085" s="22">
        <v>0</v>
      </c>
      <c r="K1085" s="22">
        <v>0</v>
      </c>
      <c r="L1085" s="22">
        <v>0</v>
      </c>
      <c r="M1085" s="19" t="s">
        <v>100</v>
      </c>
      <c r="N1085" s="19" t="s">
        <v>91</v>
      </c>
      <c r="O1085" s="19" t="s">
        <v>90</v>
      </c>
      <c r="P1085" s="22">
        <v>1</v>
      </c>
      <c r="Q1085" s="39" t="s">
        <v>259</v>
      </c>
    </row>
    <row r="1086" spans="1:17" ht="14.4">
      <c r="A1086" s="13">
        <v>321</v>
      </c>
      <c r="B1086" s="14" t="s">
        <v>468</v>
      </c>
      <c r="C1086" s="34">
        <v>45526</v>
      </c>
      <c r="D1086" s="17">
        <v>0</v>
      </c>
      <c r="E1086" s="17">
        <v>0</v>
      </c>
      <c r="F1086" s="17">
        <v>0</v>
      </c>
      <c r="G1086" s="17">
        <v>0</v>
      </c>
      <c r="H1086" s="35"/>
      <c r="I1086" s="17">
        <v>0</v>
      </c>
      <c r="J1086" s="17">
        <v>1</v>
      </c>
      <c r="K1086" s="17">
        <v>0</v>
      </c>
      <c r="L1086" s="17">
        <v>0</v>
      </c>
      <c r="M1086" s="14" t="s">
        <v>100</v>
      </c>
      <c r="N1086" s="14" t="s">
        <v>91</v>
      </c>
      <c r="O1086" s="14" t="s">
        <v>90</v>
      </c>
      <c r="P1086" s="14"/>
      <c r="Q1086" s="36" t="s">
        <v>263</v>
      </c>
    </row>
    <row r="1087" spans="1:17" ht="14.4">
      <c r="A1087" s="26">
        <v>321</v>
      </c>
      <c r="B1087" s="19" t="s">
        <v>468</v>
      </c>
      <c r="C1087" s="37">
        <v>45526</v>
      </c>
      <c r="D1087" s="22">
        <v>0</v>
      </c>
      <c r="E1087" s="22">
        <v>0</v>
      </c>
      <c r="F1087" s="22">
        <v>2</v>
      </c>
      <c r="G1087" s="22">
        <v>0</v>
      </c>
      <c r="H1087" s="38"/>
      <c r="I1087" s="22">
        <v>0</v>
      </c>
      <c r="J1087" s="22">
        <v>0</v>
      </c>
      <c r="K1087" s="22">
        <v>0</v>
      </c>
      <c r="L1087" s="22">
        <v>0</v>
      </c>
      <c r="M1087" s="19" t="s">
        <v>100</v>
      </c>
      <c r="N1087" s="19" t="s">
        <v>87</v>
      </c>
      <c r="O1087" s="19" t="s">
        <v>37</v>
      </c>
      <c r="P1087" s="19"/>
      <c r="Q1087" s="39" t="s">
        <v>262</v>
      </c>
    </row>
    <row r="1088" spans="1:17" ht="14.4">
      <c r="A1088" s="13">
        <v>321</v>
      </c>
      <c r="B1088" s="14" t="s">
        <v>468</v>
      </c>
      <c r="C1088" s="34">
        <v>45526</v>
      </c>
      <c r="D1088" s="17">
        <v>2</v>
      </c>
      <c r="E1088" s="17">
        <v>0</v>
      </c>
      <c r="F1088" s="17">
        <v>0</v>
      </c>
      <c r="G1088" s="17">
        <v>0</v>
      </c>
      <c r="H1088" s="35"/>
      <c r="I1088" s="17">
        <v>0</v>
      </c>
      <c r="J1088" s="17">
        <v>0</v>
      </c>
      <c r="K1088" s="17">
        <v>0</v>
      </c>
      <c r="L1088" s="17">
        <v>0</v>
      </c>
      <c r="M1088" s="14" t="s">
        <v>100</v>
      </c>
      <c r="N1088" s="14" t="s">
        <v>87</v>
      </c>
      <c r="O1088" s="14" t="s">
        <v>37</v>
      </c>
      <c r="P1088" s="17">
        <v>2</v>
      </c>
      <c r="Q1088" s="36" t="s">
        <v>259</v>
      </c>
    </row>
    <row r="1089" spans="1:17" ht="14.4">
      <c r="A1089" s="26">
        <v>321</v>
      </c>
      <c r="B1089" s="19" t="s">
        <v>468</v>
      </c>
      <c r="C1089" s="37">
        <v>45526</v>
      </c>
      <c r="D1089" s="22">
        <v>0</v>
      </c>
      <c r="E1089" s="22">
        <v>0</v>
      </c>
      <c r="F1089" s="22">
        <v>0</v>
      </c>
      <c r="G1089" s="22">
        <v>0</v>
      </c>
      <c r="H1089" s="38"/>
      <c r="I1089" s="22">
        <v>0</v>
      </c>
      <c r="J1089" s="22">
        <v>2</v>
      </c>
      <c r="K1089" s="22">
        <v>0</v>
      </c>
      <c r="L1089" s="22">
        <v>0</v>
      </c>
      <c r="M1089" s="19" t="s">
        <v>100</v>
      </c>
      <c r="N1089" s="19" t="s">
        <v>87</v>
      </c>
      <c r="O1089" s="19" t="s">
        <v>37</v>
      </c>
      <c r="P1089" s="19"/>
      <c r="Q1089" s="39" t="s">
        <v>263</v>
      </c>
    </row>
    <row r="1090" spans="1:17" ht="14.4">
      <c r="A1090" s="13">
        <v>321</v>
      </c>
      <c r="B1090" s="14" t="s">
        <v>468</v>
      </c>
      <c r="C1090" s="34">
        <v>45526</v>
      </c>
      <c r="D1090" s="17">
        <v>0</v>
      </c>
      <c r="E1090" s="17">
        <v>1</v>
      </c>
      <c r="F1090" s="17">
        <v>1</v>
      </c>
      <c r="G1090" s="17">
        <v>0</v>
      </c>
      <c r="H1090" s="16" t="s">
        <v>351</v>
      </c>
      <c r="I1090" s="17">
        <v>0</v>
      </c>
      <c r="J1090" s="17">
        <v>0</v>
      </c>
      <c r="K1090" s="17">
        <v>0</v>
      </c>
      <c r="L1090" s="17">
        <v>0</v>
      </c>
      <c r="M1090" s="14" t="s">
        <v>100</v>
      </c>
      <c r="N1090" s="14" t="s">
        <v>87</v>
      </c>
      <c r="O1090" s="14" t="s">
        <v>60</v>
      </c>
      <c r="P1090" s="14"/>
      <c r="Q1090" s="36" t="s">
        <v>262</v>
      </c>
    </row>
    <row r="1091" spans="1:17" ht="14.4">
      <c r="A1091" s="26">
        <v>321</v>
      </c>
      <c r="B1091" s="19" t="s">
        <v>468</v>
      </c>
      <c r="C1091" s="37">
        <v>45526</v>
      </c>
      <c r="D1091" s="22">
        <v>1</v>
      </c>
      <c r="E1091" s="22">
        <v>0</v>
      </c>
      <c r="F1091" s="22">
        <v>0</v>
      </c>
      <c r="G1091" s="22">
        <v>0</v>
      </c>
      <c r="H1091" s="38"/>
      <c r="I1091" s="22">
        <v>0</v>
      </c>
      <c r="J1091" s="22">
        <v>0</v>
      </c>
      <c r="K1091" s="22">
        <v>0</v>
      </c>
      <c r="L1091" s="22">
        <v>0</v>
      </c>
      <c r="M1091" s="19" t="s">
        <v>100</v>
      </c>
      <c r="N1091" s="19" t="s">
        <v>87</v>
      </c>
      <c r="O1091" s="19" t="s">
        <v>60</v>
      </c>
      <c r="P1091" s="22">
        <v>1</v>
      </c>
      <c r="Q1091" s="39" t="s">
        <v>259</v>
      </c>
    </row>
    <row r="1092" spans="1:17" ht="14.4">
      <c r="A1092" s="13">
        <v>321</v>
      </c>
      <c r="B1092" s="14" t="s">
        <v>468</v>
      </c>
      <c r="C1092" s="34">
        <v>45526</v>
      </c>
      <c r="D1092" s="17">
        <v>0</v>
      </c>
      <c r="E1092" s="17">
        <v>0</v>
      </c>
      <c r="F1092" s="17">
        <v>0</v>
      </c>
      <c r="G1092" s="17">
        <v>0</v>
      </c>
      <c r="H1092" s="35"/>
      <c r="I1092" s="17">
        <v>0</v>
      </c>
      <c r="J1092" s="17">
        <v>2</v>
      </c>
      <c r="K1092" s="17">
        <v>0</v>
      </c>
      <c r="L1092" s="17">
        <v>0</v>
      </c>
      <c r="M1092" s="14" t="s">
        <v>100</v>
      </c>
      <c r="N1092" s="14" t="s">
        <v>87</v>
      </c>
      <c r="O1092" s="14" t="s">
        <v>60</v>
      </c>
      <c r="P1092" s="14"/>
      <c r="Q1092" s="36" t="s">
        <v>263</v>
      </c>
    </row>
    <row r="1093" spans="1:17" ht="14.4">
      <c r="A1093" s="26">
        <v>321</v>
      </c>
      <c r="B1093" s="19" t="s">
        <v>468</v>
      </c>
      <c r="C1093" s="37">
        <v>45526</v>
      </c>
      <c r="D1093" s="22">
        <v>0</v>
      </c>
      <c r="E1093" s="22">
        <v>1</v>
      </c>
      <c r="F1093" s="22">
        <v>0</v>
      </c>
      <c r="G1093" s="22">
        <v>0</v>
      </c>
      <c r="H1093" s="21" t="s">
        <v>351</v>
      </c>
      <c r="I1093" s="22">
        <v>0</v>
      </c>
      <c r="J1093" s="22">
        <v>0</v>
      </c>
      <c r="K1093" s="22">
        <v>0</v>
      </c>
      <c r="L1093" s="22">
        <v>0</v>
      </c>
      <c r="M1093" s="19" t="s">
        <v>100</v>
      </c>
      <c r="N1093" s="19" t="s">
        <v>87</v>
      </c>
      <c r="O1093" s="19" t="s">
        <v>89</v>
      </c>
      <c r="P1093" s="19"/>
      <c r="Q1093" s="39" t="s">
        <v>262</v>
      </c>
    </row>
    <row r="1094" spans="1:17" ht="14.4">
      <c r="A1094" s="13">
        <v>321</v>
      </c>
      <c r="B1094" s="14" t="s">
        <v>468</v>
      </c>
      <c r="C1094" s="34">
        <v>45526</v>
      </c>
      <c r="D1094" s="17">
        <v>1</v>
      </c>
      <c r="E1094" s="17">
        <v>0</v>
      </c>
      <c r="F1094" s="17">
        <v>0</v>
      </c>
      <c r="G1094" s="17">
        <v>0</v>
      </c>
      <c r="H1094" s="35"/>
      <c r="I1094" s="17">
        <v>0</v>
      </c>
      <c r="J1094" s="17">
        <v>0</v>
      </c>
      <c r="K1094" s="17">
        <v>0</v>
      </c>
      <c r="L1094" s="17">
        <v>0</v>
      </c>
      <c r="M1094" s="14" t="s">
        <v>100</v>
      </c>
      <c r="N1094" s="14" t="s">
        <v>87</v>
      </c>
      <c r="O1094" s="14" t="s">
        <v>89</v>
      </c>
      <c r="P1094" s="17">
        <v>1</v>
      </c>
      <c r="Q1094" s="36" t="s">
        <v>259</v>
      </c>
    </row>
    <row r="1095" spans="1:17" ht="14.4">
      <c r="A1095" s="26">
        <v>321</v>
      </c>
      <c r="B1095" s="19" t="s">
        <v>468</v>
      </c>
      <c r="C1095" s="37">
        <v>45526</v>
      </c>
      <c r="D1095" s="22">
        <v>0</v>
      </c>
      <c r="E1095" s="22">
        <v>0</v>
      </c>
      <c r="F1095" s="22">
        <v>0</v>
      </c>
      <c r="G1095" s="22">
        <v>0</v>
      </c>
      <c r="H1095" s="38"/>
      <c r="I1095" s="22">
        <v>0</v>
      </c>
      <c r="J1095" s="22">
        <v>1</v>
      </c>
      <c r="K1095" s="22">
        <v>2</v>
      </c>
      <c r="L1095" s="22">
        <v>0</v>
      </c>
      <c r="M1095" s="19" t="s">
        <v>100</v>
      </c>
      <c r="N1095" s="19" t="s">
        <v>87</v>
      </c>
      <c r="O1095" s="19" t="s">
        <v>89</v>
      </c>
      <c r="P1095" s="19"/>
      <c r="Q1095" s="39" t="s">
        <v>263</v>
      </c>
    </row>
    <row r="1096" spans="1:17" ht="14.4">
      <c r="A1096" s="13">
        <v>321</v>
      </c>
      <c r="B1096" s="14" t="s">
        <v>468</v>
      </c>
      <c r="C1096" s="34">
        <v>45526</v>
      </c>
      <c r="D1096" s="17">
        <v>2</v>
      </c>
      <c r="E1096" s="17">
        <v>0</v>
      </c>
      <c r="F1096" s="17">
        <v>0</v>
      </c>
      <c r="G1096" s="17">
        <v>0</v>
      </c>
      <c r="H1096" s="35"/>
      <c r="I1096" s="17">
        <v>0</v>
      </c>
      <c r="J1096" s="17">
        <v>0</v>
      </c>
      <c r="K1096" s="17">
        <v>0</v>
      </c>
      <c r="L1096" s="17">
        <v>0</v>
      </c>
      <c r="M1096" s="14" t="s">
        <v>100</v>
      </c>
      <c r="N1096" s="14" t="s">
        <v>87</v>
      </c>
      <c r="O1096" s="14" t="s">
        <v>57</v>
      </c>
      <c r="P1096" s="17">
        <v>1</v>
      </c>
      <c r="Q1096" s="36" t="s">
        <v>259</v>
      </c>
    </row>
    <row r="1097" spans="1:17" ht="14.4">
      <c r="A1097" s="26">
        <v>321</v>
      </c>
      <c r="B1097" s="19" t="s">
        <v>468</v>
      </c>
      <c r="C1097" s="37">
        <v>45526</v>
      </c>
      <c r="D1097" s="22">
        <v>0</v>
      </c>
      <c r="E1097" s="22">
        <v>0</v>
      </c>
      <c r="F1097" s="22">
        <v>0</v>
      </c>
      <c r="G1097" s="22">
        <v>0</v>
      </c>
      <c r="H1097" s="38"/>
      <c r="I1097" s="22">
        <v>3</v>
      </c>
      <c r="J1097" s="22">
        <v>0</v>
      </c>
      <c r="K1097" s="22">
        <v>0</v>
      </c>
      <c r="L1097" s="22">
        <v>0</v>
      </c>
      <c r="M1097" s="19" t="s">
        <v>100</v>
      </c>
      <c r="N1097" s="19" t="s">
        <v>87</v>
      </c>
      <c r="O1097" s="19" t="s">
        <v>57</v>
      </c>
      <c r="P1097" s="19"/>
      <c r="Q1097" s="39" t="s">
        <v>260</v>
      </c>
    </row>
    <row r="1098" spans="1:17" ht="14.4">
      <c r="A1098" s="13">
        <v>321</v>
      </c>
      <c r="B1098" s="14" t="s">
        <v>468</v>
      </c>
      <c r="C1098" s="34">
        <v>45526</v>
      </c>
      <c r="D1098" s="17">
        <v>0</v>
      </c>
      <c r="E1098" s="17">
        <v>1</v>
      </c>
      <c r="F1098" s="17">
        <v>0</v>
      </c>
      <c r="G1098" s="17">
        <v>0</v>
      </c>
      <c r="H1098" s="16" t="s">
        <v>469</v>
      </c>
      <c r="I1098" s="17">
        <v>0</v>
      </c>
      <c r="J1098" s="17">
        <v>0</v>
      </c>
      <c r="K1098" s="17">
        <v>0</v>
      </c>
      <c r="L1098" s="17">
        <v>0</v>
      </c>
      <c r="M1098" s="14" t="s">
        <v>100</v>
      </c>
      <c r="N1098" s="14" t="s">
        <v>87</v>
      </c>
      <c r="O1098" s="14" t="s">
        <v>86</v>
      </c>
      <c r="P1098" s="14"/>
      <c r="Q1098" s="36" t="s">
        <v>262</v>
      </c>
    </row>
    <row r="1099" spans="1:17" ht="14.4">
      <c r="A1099" s="26">
        <v>321</v>
      </c>
      <c r="B1099" s="19" t="s">
        <v>468</v>
      </c>
      <c r="C1099" s="37">
        <v>45526</v>
      </c>
      <c r="D1099" s="22">
        <v>2</v>
      </c>
      <c r="E1099" s="22">
        <v>0</v>
      </c>
      <c r="F1099" s="22">
        <v>0</v>
      </c>
      <c r="G1099" s="22">
        <v>0</v>
      </c>
      <c r="H1099" s="38"/>
      <c r="I1099" s="22">
        <v>0</v>
      </c>
      <c r="J1099" s="22">
        <v>0</v>
      </c>
      <c r="K1099" s="22">
        <v>0</v>
      </c>
      <c r="L1099" s="22">
        <v>0</v>
      </c>
      <c r="M1099" s="19" t="s">
        <v>100</v>
      </c>
      <c r="N1099" s="19" t="s">
        <v>87</v>
      </c>
      <c r="O1099" s="19" t="s">
        <v>86</v>
      </c>
      <c r="P1099" s="22">
        <v>2</v>
      </c>
      <c r="Q1099" s="39" t="s">
        <v>259</v>
      </c>
    </row>
    <row r="1100" spans="1:17" ht="14.4">
      <c r="A1100" s="13">
        <v>321</v>
      </c>
      <c r="B1100" s="14" t="s">
        <v>468</v>
      </c>
      <c r="C1100" s="34">
        <v>45526</v>
      </c>
      <c r="D1100" s="17">
        <v>0</v>
      </c>
      <c r="E1100" s="17">
        <v>0</v>
      </c>
      <c r="F1100" s="17">
        <v>0</v>
      </c>
      <c r="G1100" s="17">
        <v>0</v>
      </c>
      <c r="H1100" s="35"/>
      <c r="I1100" s="17">
        <v>0</v>
      </c>
      <c r="J1100" s="17">
        <v>3</v>
      </c>
      <c r="K1100" s="17">
        <v>0</v>
      </c>
      <c r="L1100" s="17">
        <v>0</v>
      </c>
      <c r="M1100" s="14" t="s">
        <v>100</v>
      </c>
      <c r="N1100" s="14" t="s">
        <v>87</v>
      </c>
      <c r="O1100" s="14" t="s">
        <v>86</v>
      </c>
      <c r="P1100" s="14"/>
      <c r="Q1100" s="36" t="s">
        <v>263</v>
      </c>
    </row>
    <row r="1101" spans="1:17" ht="14.4">
      <c r="A1101" s="26">
        <v>321</v>
      </c>
      <c r="B1101" s="19" t="s">
        <v>468</v>
      </c>
      <c r="C1101" s="37">
        <v>45526</v>
      </c>
      <c r="D1101" s="22">
        <v>0</v>
      </c>
      <c r="E1101" s="22">
        <v>0</v>
      </c>
      <c r="F1101" s="22">
        <v>0</v>
      </c>
      <c r="G1101" s="22">
        <v>0</v>
      </c>
      <c r="H1101" s="38"/>
      <c r="I1101" s="22">
        <v>2</v>
      </c>
      <c r="J1101" s="22">
        <v>0</v>
      </c>
      <c r="K1101" s="22">
        <v>0</v>
      </c>
      <c r="L1101" s="22">
        <v>0</v>
      </c>
      <c r="M1101" s="19" t="s">
        <v>100</v>
      </c>
      <c r="N1101" s="19" t="s">
        <v>87</v>
      </c>
      <c r="O1101" s="19" t="s">
        <v>59</v>
      </c>
      <c r="P1101" s="19"/>
      <c r="Q1101" s="39" t="s">
        <v>260</v>
      </c>
    </row>
    <row r="1102" spans="1:17" ht="14.4">
      <c r="A1102" s="13">
        <v>321</v>
      </c>
      <c r="B1102" s="14" t="s">
        <v>468</v>
      </c>
      <c r="C1102" s="34">
        <v>45526</v>
      </c>
      <c r="D1102" s="17">
        <v>0</v>
      </c>
      <c r="E1102" s="17">
        <v>0</v>
      </c>
      <c r="F1102" s="17">
        <v>0</v>
      </c>
      <c r="G1102" s="17">
        <v>0</v>
      </c>
      <c r="H1102" s="35"/>
      <c r="I1102" s="17">
        <v>0</v>
      </c>
      <c r="J1102" s="17">
        <v>1</v>
      </c>
      <c r="K1102" s="17">
        <v>1</v>
      </c>
      <c r="L1102" s="17">
        <v>0</v>
      </c>
      <c r="M1102" s="14" t="s">
        <v>100</v>
      </c>
      <c r="N1102" s="14" t="s">
        <v>87</v>
      </c>
      <c r="O1102" s="14" t="s">
        <v>59</v>
      </c>
      <c r="P1102" s="14"/>
      <c r="Q1102" s="36" t="s">
        <v>263</v>
      </c>
    </row>
    <row r="1103" spans="1:17" ht="14.4">
      <c r="A1103" s="26">
        <v>511</v>
      </c>
      <c r="B1103" s="19" t="s">
        <v>470</v>
      </c>
      <c r="C1103" s="37">
        <v>45526</v>
      </c>
      <c r="D1103" s="22">
        <v>0</v>
      </c>
      <c r="E1103" s="22">
        <v>1</v>
      </c>
      <c r="F1103" s="22">
        <v>0</v>
      </c>
      <c r="G1103" s="22">
        <v>0</v>
      </c>
      <c r="H1103" s="21" t="s">
        <v>261</v>
      </c>
      <c r="I1103" s="22">
        <v>0</v>
      </c>
      <c r="J1103" s="22">
        <v>0</v>
      </c>
      <c r="K1103" s="22">
        <v>0</v>
      </c>
      <c r="L1103" s="22">
        <v>0</v>
      </c>
      <c r="M1103" s="19" t="s">
        <v>290</v>
      </c>
      <c r="N1103" s="19" t="s">
        <v>87</v>
      </c>
      <c r="O1103" s="19" t="s">
        <v>46</v>
      </c>
      <c r="P1103" s="19"/>
      <c r="Q1103" s="39" t="s">
        <v>262</v>
      </c>
    </row>
    <row r="1104" spans="1:17" ht="14.4">
      <c r="A1104" s="13">
        <v>511</v>
      </c>
      <c r="B1104" s="14" t="s">
        <v>470</v>
      </c>
      <c r="C1104" s="34">
        <v>45526</v>
      </c>
      <c r="D1104" s="17">
        <v>0</v>
      </c>
      <c r="E1104" s="17">
        <v>0</v>
      </c>
      <c r="F1104" s="17">
        <v>0</v>
      </c>
      <c r="G1104" s="17">
        <v>0</v>
      </c>
      <c r="H1104" s="35"/>
      <c r="I1104" s="17">
        <v>0</v>
      </c>
      <c r="J1104" s="17">
        <v>1</v>
      </c>
      <c r="K1104" s="17">
        <v>1</v>
      </c>
      <c r="L1104" s="17">
        <v>0</v>
      </c>
      <c r="M1104" s="14" t="s">
        <v>290</v>
      </c>
      <c r="N1104" s="14" t="s">
        <v>87</v>
      </c>
      <c r="O1104" s="14" t="s">
        <v>46</v>
      </c>
      <c r="P1104" s="14"/>
      <c r="Q1104" s="36" t="s">
        <v>263</v>
      </c>
    </row>
    <row r="1105" spans="1:17" ht="14.4">
      <c r="A1105" s="26">
        <v>511</v>
      </c>
      <c r="B1105" s="19" t="s">
        <v>470</v>
      </c>
      <c r="C1105" s="37">
        <v>45526</v>
      </c>
      <c r="D1105" s="22">
        <v>1</v>
      </c>
      <c r="E1105" s="22">
        <v>0</v>
      </c>
      <c r="F1105" s="22">
        <v>0</v>
      </c>
      <c r="G1105" s="22">
        <v>0</v>
      </c>
      <c r="H1105" s="38"/>
      <c r="I1105" s="22">
        <v>0</v>
      </c>
      <c r="J1105" s="22">
        <v>0</v>
      </c>
      <c r="K1105" s="22">
        <v>0</v>
      </c>
      <c r="L1105" s="22">
        <v>0</v>
      </c>
      <c r="M1105" s="19" t="s">
        <v>290</v>
      </c>
      <c r="N1105" s="19" t="s">
        <v>87</v>
      </c>
      <c r="O1105" s="19" t="s">
        <v>57</v>
      </c>
      <c r="P1105" s="22">
        <v>1</v>
      </c>
      <c r="Q1105" s="39" t="s">
        <v>259</v>
      </c>
    </row>
    <row r="1106" spans="1:17" ht="14.4">
      <c r="A1106" s="13">
        <v>511</v>
      </c>
      <c r="B1106" s="14" t="s">
        <v>470</v>
      </c>
      <c r="C1106" s="34">
        <v>45526</v>
      </c>
      <c r="D1106" s="17">
        <v>0</v>
      </c>
      <c r="E1106" s="17">
        <v>0</v>
      </c>
      <c r="F1106" s="17">
        <v>0</v>
      </c>
      <c r="G1106" s="17">
        <v>0</v>
      </c>
      <c r="H1106" s="35"/>
      <c r="I1106" s="17">
        <v>0</v>
      </c>
      <c r="J1106" s="17">
        <v>1</v>
      </c>
      <c r="K1106" s="17">
        <v>0</v>
      </c>
      <c r="L1106" s="17">
        <v>0</v>
      </c>
      <c r="M1106" s="14" t="s">
        <v>290</v>
      </c>
      <c r="N1106" s="14" t="s">
        <v>87</v>
      </c>
      <c r="O1106" s="14" t="s">
        <v>57</v>
      </c>
      <c r="P1106" s="14"/>
      <c r="Q1106" s="36" t="s">
        <v>263</v>
      </c>
    </row>
    <row r="1107" spans="1:17" ht="14.4">
      <c r="A1107" s="26">
        <v>511</v>
      </c>
      <c r="B1107" s="19" t="s">
        <v>470</v>
      </c>
      <c r="C1107" s="37">
        <v>45526</v>
      </c>
      <c r="D1107" s="22">
        <v>0</v>
      </c>
      <c r="E1107" s="22">
        <v>0</v>
      </c>
      <c r="F1107" s="22">
        <v>1</v>
      </c>
      <c r="G1107" s="22">
        <v>0</v>
      </c>
      <c r="H1107" s="38"/>
      <c r="I1107" s="22">
        <v>0</v>
      </c>
      <c r="J1107" s="22">
        <v>0</v>
      </c>
      <c r="K1107" s="22">
        <v>0</v>
      </c>
      <c r="L1107" s="22">
        <v>0</v>
      </c>
      <c r="M1107" s="19" t="s">
        <v>290</v>
      </c>
      <c r="N1107" s="19" t="s">
        <v>87</v>
      </c>
      <c r="O1107" s="19" t="s">
        <v>86</v>
      </c>
      <c r="P1107" s="19"/>
      <c r="Q1107" s="39" t="s">
        <v>262</v>
      </c>
    </row>
    <row r="1108" spans="1:17" ht="14.4">
      <c r="A1108" s="13">
        <v>511</v>
      </c>
      <c r="B1108" s="14" t="s">
        <v>470</v>
      </c>
      <c r="C1108" s="34">
        <v>45526</v>
      </c>
      <c r="D1108" s="17">
        <v>1</v>
      </c>
      <c r="E1108" s="17">
        <v>0</v>
      </c>
      <c r="F1108" s="17">
        <v>0</v>
      </c>
      <c r="G1108" s="17">
        <v>0</v>
      </c>
      <c r="H1108" s="35"/>
      <c r="I1108" s="17">
        <v>0</v>
      </c>
      <c r="J1108" s="17">
        <v>0</v>
      </c>
      <c r="K1108" s="17">
        <v>0</v>
      </c>
      <c r="L1108" s="17">
        <v>0</v>
      </c>
      <c r="M1108" s="14" t="s">
        <v>290</v>
      </c>
      <c r="N1108" s="14" t="s">
        <v>87</v>
      </c>
      <c r="O1108" s="14" t="s">
        <v>86</v>
      </c>
      <c r="P1108" s="17">
        <v>1</v>
      </c>
      <c r="Q1108" s="36" t="s">
        <v>259</v>
      </c>
    </row>
    <row r="1109" spans="1:17" ht="14.4">
      <c r="A1109" s="26">
        <v>511</v>
      </c>
      <c r="B1109" s="19" t="s">
        <v>470</v>
      </c>
      <c r="C1109" s="37">
        <v>45526</v>
      </c>
      <c r="D1109" s="22">
        <v>0</v>
      </c>
      <c r="E1109" s="22">
        <v>0</v>
      </c>
      <c r="F1109" s="22">
        <v>0</v>
      </c>
      <c r="G1109" s="22">
        <v>0</v>
      </c>
      <c r="H1109" s="38"/>
      <c r="I1109" s="22">
        <v>0</v>
      </c>
      <c r="J1109" s="22">
        <v>1</v>
      </c>
      <c r="K1109" s="22">
        <v>0</v>
      </c>
      <c r="L1109" s="22">
        <v>0</v>
      </c>
      <c r="M1109" s="19" t="s">
        <v>290</v>
      </c>
      <c r="N1109" s="19" t="s">
        <v>87</v>
      </c>
      <c r="O1109" s="19" t="s">
        <v>86</v>
      </c>
      <c r="P1109" s="19"/>
      <c r="Q1109" s="39" t="s">
        <v>263</v>
      </c>
    </row>
    <row r="1110" spans="1:17" ht="14.4">
      <c r="A1110" s="13">
        <v>627</v>
      </c>
      <c r="B1110" s="14" t="s">
        <v>471</v>
      </c>
      <c r="C1110" s="34">
        <v>45526</v>
      </c>
      <c r="D1110" s="17">
        <v>0</v>
      </c>
      <c r="E1110" s="17">
        <v>1</v>
      </c>
      <c r="F1110" s="17">
        <v>0</v>
      </c>
      <c r="G1110" s="17">
        <v>0</v>
      </c>
      <c r="H1110" s="16" t="s">
        <v>261</v>
      </c>
      <c r="I1110" s="17">
        <v>0</v>
      </c>
      <c r="J1110" s="17">
        <v>0</v>
      </c>
      <c r="K1110" s="17">
        <v>0</v>
      </c>
      <c r="L1110" s="17">
        <v>0</v>
      </c>
      <c r="M1110" s="14" t="s">
        <v>100</v>
      </c>
      <c r="N1110" s="14" t="s">
        <v>87</v>
      </c>
      <c r="O1110" s="14" t="s">
        <v>43</v>
      </c>
      <c r="P1110" s="14"/>
      <c r="Q1110" s="36" t="s">
        <v>262</v>
      </c>
    </row>
    <row r="1111" spans="1:17" ht="14.4">
      <c r="A1111" s="26">
        <v>627</v>
      </c>
      <c r="B1111" s="19" t="s">
        <v>471</v>
      </c>
      <c r="C1111" s="37">
        <v>45526</v>
      </c>
      <c r="D1111" s="22">
        <v>0</v>
      </c>
      <c r="E1111" s="22">
        <v>0</v>
      </c>
      <c r="F1111" s="22">
        <v>0</v>
      </c>
      <c r="G1111" s="22">
        <v>0</v>
      </c>
      <c r="H1111" s="38"/>
      <c r="I1111" s="22">
        <v>0</v>
      </c>
      <c r="J1111" s="22">
        <v>1</v>
      </c>
      <c r="K1111" s="22">
        <v>0</v>
      </c>
      <c r="L1111" s="22">
        <v>0</v>
      </c>
      <c r="M1111" s="19" t="s">
        <v>100</v>
      </c>
      <c r="N1111" s="19" t="s">
        <v>87</v>
      </c>
      <c r="O1111" s="19" t="s">
        <v>60</v>
      </c>
      <c r="P1111" s="19"/>
      <c r="Q1111" s="39" t="s">
        <v>263</v>
      </c>
    </row>
    <row r="1112" spans="1:17" ht="14.4">
      <c r="A1112" s="13">
        <v>627</v>
      </c>
      <c r="B1112" s="14" t="s">
        <v>471</v>
      </c>
      <c r="C1112" s="34">
        <v>45526</v>
      </c>
      <c r="D1112" s="17">
        <v>0</v>
      </c>
      <c r="E1112" s="17">
        <v>0</v>
      </c>
      <c r="F1112" s="17">
        <v>0</v>
      </c>
      <c r="G1112" s="17">
        <v>0</v>
      </c>
      <c r="H1112" s="35"/>
      <c r="I1112" s="17">
        <v>0</v>
      </c>
      <c r="J1112" s="17">
        <v>0</v>
      </c>
      <c r="K1112" s="17">
        <v>1</v>
      </c>
      <c r="L1112" s="17">
        <v>0</v>
      </c>
      <c r="M1112" s="14" t="s">
        <v>100</v>
      </c>
      <c r="N1112" s="14" t="s">
        <v>87</v>
      </c>
      <c r="O1112" s="14" t="s">
        <v>59</v>
      </c>
      <c r="P1112" s="14"/>
      <c r="Q1112" s="36" t="s">
        <v>263</v>
      </c>
    </row>
    <row r="1113" spans="1:17" ht="14.4">
      <c r="A1113" s="26">
        <v>560</v>
      </c>
      <c r="B1113" s="19" t="s">
        <v>472</v>
      </c>
      <c r="C1113" s="37">
        <v>45526</v>
      </c>
      <c r="D1113" s="22">
        <v>1</v>
      </c>
      <c r="E1113" s="22">
        <v>0</v>
      </c>
      <c r="F1113" s="22">
        <v>0</v>
      </c>
      <c r="G1113" s="22">
        <v>0</v>
      </c>
      <c r="H1113" s="38"/>
      <c r="I1113" s="22">
        <v>0</v>
      </c>
      <c r="J1113" s="22">
        <v>0</v>
      </c>
      <c r="K1113" s="22">
        <v>0</v>
      </c>
      <c r="L1113" s="22">
        <v>0</v>
      </c>
      <c r="M1113" s="19" t="s">
        <v>100</v>
      </c>
      <c r="N1113" s="19" t="s">
        <v>91</v>
      </c>
      <c r="O1113" s="19" t="s">
        <v>38</v>
      </c>
      <c r="P1113" s="19"/>
      <c r="Q1113" s="39" t="s">
        <v>259</v>
      </c>
    </row>
    <row r="1114" spans="1:17" ht="14.4">
      <c r="A1114" s="13">
        <v>560</v>
      </c>
      <c r="B1114" s="14" t="s">
        <v>472</v>
      </c>
      <c r="C1114" s="34">
        <v>45526</v>
      </c>
      <c r="D1114" s="17">
        <v>1</v>
      </c>
      <c r="E1114" s="17">
        <v>0</v>
      </c>
      <c r="F1114" s="17">
        <v>0</v>
      </c>
      <c r="G1114" s="17">
        <v>0</v>
      </c>
      <c r="H1114" s="35"/>
      <c r="I1114" s="17">
        <v>0</v>
      </c>
      <c r="J1114" s="17">
        <v>0</v>
      </c>
      <c r="K1114" s="17">
        <v>0</v>
      </c>
      <c r="L1114" s="17">
        <v>0</v>
      </c>
      <c r="M1114" s="14" t="s">
        <v>100</v>
      </c>
      <c r="N1114" s="14" t="s">
        <v>91</v>
      </c>
      <c r="O1114" s="14" t="s">
        <v>44</v>
      </c>
      <c r="P1114" s="14"/>
      <c r="Q1114" s="36" t="s">
        <v>259</v>
      </c>
    </row>
    <row r="1115" spans="1:17" ht="14.4">
      <c r="A1115" s="26">
        <v>560</v>
      </c>
      <c r="B1115" s="19" t="s">
        <v>472</v>
      </c>
      <c r="C1115" s="37">
        <v>45526</v>
      </c>
      <c r="D1115" s="22">
        <v>0</v>
      </c>
      <c r="E1115" s="22">
        <v>1</v>
      </c>
      <c r="F1115" s="22">
        <v>0</v>
      </c>
      <c r="G1115" s="22">
        <v>0</v>
      </c>
      <c r="H1115" s="21" t="s">
        <v>473</v>
      </c>
      <c r="I1115" s="22">
        <v>0</v>
      </c>
      <c r="J1115" s="22">
        <v>0</v>
      </c>
      <c r="K1115" s="22">
        <v>0</v>
      </c>
      <c r="L1115" s="22">
        <v>0</v>
      </c>
      <c r="M1115" s="19" t="s">
        <v>100</v>
      </c>
      <c r="N1115" s="19" t="s">
        <v>91</v>
      </c>
      <c r="O1115" s="19" t="s">
        <v>47</v>
      </c>
      <c r="P1115" s="19"/>
      <c r="Q1115" s="39" t="s">
        <v>262</v>
      </c>
    </row>
    <row r="1116" spans="1:17" ht="14.4">
      <c r="A1116" s="13">
        <v>560</v>
      </c>
      <c r="B1116" s="14" t="s">
        <v>472</v>
      </c>
      <c r="C1116" s="34">
        <v>45526</v>
      </c>
      <c r="D1116" s="17">
        <v>1</v>
      </c>
      <c r="E1116" s="17">
        <v>0</v>
      </c>
      <c r="F1116" s="17">
        <v>0</v>
      </c>
      <c r="G1116" s="17">
        <v>0</v>
      </c>
      <c r="H1116" s="35"/>
      <c r="I1116" s="17">
        <v>0</v>
      </c>
      <c r="J1116" s="17">
        <v>0</v>
      </c>
      <c r="K1116" s="17">
        <v>0</v>
      </c>
      <c r="L1116" s="17">
        <v>0</v>
      </c>
      <c r="M1116" s="14" t="s">
        <v>100</v>
      </c>
      <c r="N1116" s="14" t="s">
        <v>91</v>
      </c>
      <c r="O1116" s="14" t="s">
        <v>47</v>
      </c>
      <c r="P1116" s="14"/>
      <c r="Q1116" s="36" t="s">
        <v>259</v>
      </c>
    </row>
    <row r="1117" spans="1:17" ht="14.4">
      <c r="A1117" s="26">
        <v>560</v>
      </c>
      <c r="B1117" s="19" t="s">
        <v>472</v>
      </c>
      <c r="C1117" s="37">
        <v>45526</v>
      </c>
      <c r="D1117" s="22">
        <v>0</v>
      </c>
      <c r="E1117" s="22">
        <v>1</v>
      </c>
      <c r="F1117" s="22">
        <v>0</v>
      </c>
      <c r="G1117" s="22">
        <v>0</v>
      </c>
      <c r="H1117" s="21" t="s">
        <v>474</v>
      </c>
      <c r="I1117" s="22">
        <v>0</v>
      </c>
      <c r="J1117" s="22">
        <v>0</v>
      </c>
      <c r="K1117" s="22">
        <v>0</v>
      </c>
      <c r="L1117" s="22">
        <v>0</v>
      </c>
      <c r="M1117" s="19" t="s">
        <v>100</v>
      </c>
      <c r="N1117" s="19" t="s">
        <v>91</v>
      </c>
      <c r="O1117" s="19" t="s">
        <v>90</v>
      </c>
      <c r="P1117" s="19"/>
      <c r="Q1117" s="39" t="s">
        <v>262</v>
      </c>
    </row>
    <row r="1118" spans="1:17" ht="14.4">
      <c r="A1118" s="13">
        <v>560</v>
      </c>
      <c r="B1118" s="14" t="s">
        <v>472</v>
      </c>
      <c r="C1118" s="34">
        <v>45526</v>
      </c>
      <c r="D1118" s="17">
        <v>9</v>
      </c>
      <c r="E1118" s="17">
        <v>0</v>
      </c>
      <c r="F1118" s="17">
        <v>0</v>
      </c>
      <c r="G1118" s="17">
        <v>0</v>
      </c>
      <c r="H1118" s="35"/>
      <c r="I1118" s="17">
        <v>0</v>
      </c>
      <c r="J1118" s="17">
        <v>0</v>
      </c>
      <c r="K1118" s="17">
        <v>0</v>
      </c>
      <c r="L1118" s="17">
        <v>0</v>
      </c>
      <c r="M1118" s="14" t="s">
        <v>100</v>
      </c>
      <c r="N1118" s="14" t="s">
        <v>87</v>
      </c>
      <c r="O1118" s="14" t="s">
        <v>37</v>
      </c>
      <c r="P1118" s="17">
        <v>2</v>
      </c>
      <c r="Q1118" s="36" t="s">
        <v>259</v>
      </c>
    </row>
    <row r="1119" spans="1:17" ht="14.4">
      <c r="A1119" s="26">
        <v>560</v>
      </c>
      <c r="B1119" s="19" t="s">
        <v>472</v>
      </c>
      <c r="C1119" s="37">
        <v>45526</v>
      </c>
      <c r="D1119" s="22">
        <v>0</v>
      </c>
      <c r="E1119" s="22">
        <v>0</v>
      </c>
      <c r="F1119" s="22">
        <v>0</v>
      </c>
      <c r="G1119" s="22">
        <v>0</v>
      </c>
      <c r="H1119" s="38"/>
      <c r="I1119" s="22">
        <v>0</v>
      </c>
      <c r="J1119" s="22">
        <v>4</v>
      </c>
      <c r="K1119" s="22">
        <v>0</v>
      </c>
      <c r="L1119" s="22">
        <v>0</v>
      </c>
      <c r="M1119" s="19" t="s">
        <v>100</v>
      </c>
      <c r="N1119" s="19" t="s">
        <v>87</v>
      </c>
      <c r="O1119" s="19" t="s">
        <v>37</v>
      </c>
      <c r="P1119" s="19"/>
      <c r="Q1119" s="39" t="s">
        <v>263</v>
      </c>
    </row>
    <row r="1120" spans="1:17" ht="14.4">
      <c r="A1120" s="13">
        <v>560</v>
      </c>
      <c r="B1120" s="14" t="s">
        <v>472</v>
      </c>
      <c r="C1120" s="34">
        <v>45526</v>
      </c>
      <c r="D1120" s="17">
        <v>10</v>
      </c>
      <c r="E1120" s="17">
        <v>0</v>
      </c>
      <c r="F1120" s="17">
        <v>0</v>
      </c>
      <c r="G1120" s="17">
        <v>0</v>
      </c>
      <c r="H1120" s="35"/>
      <c r="I1120" s="17">
        <v>0</v>
      </c>
      <c r="J1120" s="17">
        <v>0</v>
      </c>
      <c r="K1120" s="17">
        <v>0</v>
      </c>
      <c r="L1120" s="17">
        <v>0</v>
      </c>
      <c r="M1120" s="14" t="s">
        <v>100</v>
      </c>
      <c r="N1120" s="14" t="s">
        <v>87</v>
      </c>
      <c r="O1120" s="14" t="s">
        <v>43</v>
      </c>
      <c r="P1120" s="17">
        <v>4</v>
      </c>
      <c r="Q1120" s="36" t="s">
        <v>259</v>
      </c>
    </row>
    <row r="1121" spans="1:17" ht="14.4">
      <c r="A1121" s="26">
        <v>560</v>
      </c>
      <c r="B1121" s="19" t="s">
        <v>472</v>
      </c>
      <c r="C1121" s="37">
        <v>45526</v>
      </c>
      <c r="D1121" s="22">
        <v>0</v>
      </c>
      <c r="E1121" s="22">
        <v>0</v>
      </c>
      <c r="F1121" s="22">
        <v>0</v>
      </c>
      <c r="G1121" s="22">
        <v>0</v>
      </c>
      <c r="H1121" s="38"/>
      <c r="I1121" s="22">
        <v>0</v>
      </c>
      <c r="J1121" s="22">
        <v>1</v>
      </c>
      <c r="K1121" s="22">
        <v>2</v>
      </c>
      <c r="L1121" s="22">
        <v>0</v>
      </c>
      <c r="M1121" s="19" t="s">
        <v>100</v>
      </c>
      <c r="N1121" s="19" t="s">
        <v>87</v>
      </c>
      <c r="O1121" s="19" t="s">
        <v>43</v>
      </c>
      <c r="P1121" s="19"/>
      <c r="Q1121" s="39" t="s">
        <v>263</v>
      </c>
    </row>
    <row r="1122" spans="1:17" ht="14.4">
      <c r="A1122" s="13">
        <v>560</v>
      </c>
      <c r="B1122" s="14" t="s">
        <v>472</v>
      </c>
      <c r="C1122" s="34">
        <v>45526</v>
      </c>
      <c r="D1122" s="17">
        <v>0</v>
      </c>
      <c r="E1122" s="17">
        <v>1</v>
      </c>
      <c r="F1122" s="17">
        <v>0</v>
      </c>
      <c r="G1122" s="17">
        <v>0</v>
      </c>
      <c r="H1122" s="16" t="s">
        <v>265</v>
      </c>
      <c r="I1122" s="17">
        <v>0</v>
      </c>
      <c r="J1122" s="17">
        <v>0</v>
      </c>
      <c r="K1122" s="17">
        <v>0</v>
      </c>
      <c r="L1122" s="17">
        <v>0</v>
      </c>
      <c r="M1122" s="14" t="s">
        <v>100</v>
      </c>
      <c r="N1122" s="14" t="s">
        <v>87</v>
      </c>
      <c r="O1122" s="14" t="s">
        <v>60</v>
      </c>
      <c r="P1122" s="14"/>
      <c r="Q1122" s="36" t="s">
        <v>262</v>
      </c>
    </row>
    <row r="1123" spans="1:17" ht="14.4">
      <c r="A1123" s="26">
        <v>560</v>
      </c>
      <c r="B1123" s="19" t="s">
        <v>472</v>
      </c>
      <c r="C1123" s="37">
        <v>45526</v>
      </c>
      <c r="D1123" s="22">
        <v>3</v>
      </c>
      <c r="E1123" s="22">
        <v>0</v>
      </c>
      <c r="F1123" s="22">
        <v>0</v>
      </c>
      <c r="G1123" s="22">
        <v>0</v>
      </c>
      <c r="H1123" s="38"/>
      <c r="I1123" s="22">
        <v>0</v>
      </c>
      <c r="J1123" s="22">
        <v>0</v>
      </c>
      <c r="K1123" s="22">
        <v>0</v>
      </c>
      <c r="L1123" s="22">
        <v>0</v>
      </c>
      <c r="M1123" s="19" t="s">
        <v>100</v>
      </c>
      <c r="N1123" s="19" t="s">
        <v>87</v>
      </c>
      <c r="O1123" s="19" t="s">
        <v>60</v>
      </c>
      <c r="P1123" s="22">
        <v>1</v>
      </c>
      <c r="Q1123" s="39" t="s">
        <v>259</v>
      </c>
    </row>
    <row r="1124" spans="1:17" ht="14.4">
      <c r="A1124" s="13">
        <v>560</v>
      </c>
      <c r="B1124" s="14" t="s">
        <v>472</v>
      </c>
      <c r="C1124" s="34">
        <v>45526</v>
      </c>
      <c r="D1124" s="17">
        <v>0</v>
      </c>
      <c r="E1124" s="17">
        <v>0</v>
      </c>
      <c r="F1124" s="17">
        <v>0</v>
      </c>
      <c r="G1124" s="17">
        <v>0</v>
      </c>
      <c r="H1124" s="35"/>
      <c r="I1124" s="17">
        <v>0</v>
      </c>
      <c r="J1124" s="17">
        <v>2</v>
      </c>
      <c r="K1124" s="17">
        <v>1</v>
      </c>
      <c r="L1124" s="17">
        <v>0</v>
      </c>
      <c r="M1124" s="14" t="s">
        <v>100</v>
      </c>
      <c r="N1124" s="14" t="s">
        <v>87</v>
      </c>
      <c r="O1124" s="14" t="s">
        <v>60</v>
      </c>
      <c r="P1124" s="14"/>
      <c r="Q1124" s="36" t="s">
        <v>263</v>
      </c>
    </row>
    <row r="1125" spans="1:17" ht="14.4">
      <c r="A1125" s="26">
        <v>560</v>
      </c>
      <c r="B1125" s="19" t="s">
        <v>472</v>
      </c>
      <c r="C1125" s="37">
        <v>45526</v>
      </c>
      <c r="D1125" s="22">
        <v>0</v>
      </c>
      <c r="E1125" s="22">
        <v>5</v>
      </c>
      <c r="F1125" s="22">
        <v>0</v>
      </c>
      <c r="G1125" s="22">
        <v>0</v>
      </c>
      <c r="H1125" s="21" t="s">
        <v>317</v>
      </c>
      <c r="I1125" s="22">
        <v>0</v>
      </c>
      <c r="J1125" s="22">
        <v>0</v>
      </c>
      <c r="K1125" s="22">
        <v>0</v>
      </c>
      <c r="L1125" s="22">
        <v>0</v>
      </c>
      <c r="M1125" s="19" t="s">
        <v>100</v>
      </c>
      <c r="N1125" s="19" t="s">
        <v>87</v>
      </c>
      <c r="O1125" s="19" t="s">
        <v>51</v>
      </c>
      <c r="P1125" s="19"/>
      <c r="Q1125" s="39" t="s">
        <v>262</v>
      </c>
    </row>
    <row r="1126" spans="1:17" ht="14.4">
      <c r="A1126" s="13">
        <v>560</v>
      </c>
      <c r="B1126" s="14" t="s">
        <v>472</v>
      </c>
      <c r="C1126" s="34">
        <v>45526</v>
      </c>
      <c r="D1126" s="17">
        <v>0</v>
      </c>
      <c r="E1126" s="17">
        <v>0</v>
      </c>
      <c r="F1126" s="17">
        <v>0</v>
      </c>
      <c r="G1126" s="17">
        <v>0</v>
      </c>
      <c r="H1126" s="35"/>
      <c r="I1126" s="17">
        <v>0</v>
      </c>
      <c r="J1126" s="17">
        <v>0</v>
      </c>
      <c r="K1126" s="17">
        <v>1</v>
      </c>
      <c r="L1126" s="17">
        <v>0</v>
      </c>
      <c r="M1126" s="14" t="s">
        <v>100</v>
      </c>
      <c r="N1126" s="14" t="s">
        <v>87</v>
      </c>
      <c r="O1126" s="14" t="s">
        <v>51</v>
      </c>
      <c r="P1126" s="14"/>
      <c r="Q1126" s="36" t="s">
        <v>263</v>
      </c>
    </row>
    <row r="1127" spans="1:17" ht="14.4">
      <c r="A1127" s="26">
        <v>560</v>
      </c>
      <c r="B1127" s="19" t="s">
        <v>472</v>
      </c>
      <c r="C1127" s="37">
        <v>45526</v>
      </c>
      <c r="D1127" s="22">
        <v>0</v>
      </c>
      <c r="E1127" s="22">
        <v>0</v>
      </c>
      <c r="F1127" s="22">
        <v>0</v>
      </c>
      <c r="G1127" s="22">
        <v>0</v>
      </c>
      <c r="H1127" s="38"/>
      <c r="I1127" s="22">
        <v>0</v>
      </c>
      <c r="J1127" s="22">
        <v>0</v>
      </c>
      <c r="K1127" s="22">
        <v>0</v>
      </c>
      <c r="L1127" s="22">
        <v>1</v>
      </c>
      <c r="M1127" s="19" t="s">
        <v>100</v>
      </c>
      <c r="N1127" s="19" t="s">
        <v>87</v>
      </c>
      <c r="O1127" s="19" t="s">
        <v>89</v>
      </c>
      <c r="P1127" s="19"/>
      <c r="Q1127" s="39" t="s">
        <v>284</v>
      </c>
    </row>
    <row r="1128" spans="1:17" ht="14.4">
      <c r="A1128" s="13">
        <v>560</v>
      </c>
      <c r="B1128" s="14" t="s">
        <v>472</v>
      </c>
      <c r="C1128" s="34">
        <v>45526</v>
      </c>
      <c r="D1128" s="17">
        <v>0</v>
      </c>
      <c r="E1128" s="17">
        <v>0</v>
      </c>
      <c r="F1128" s="17">
        <v>0</v>
      </c>
      <c r="G1128" s="17">
        <v>0</v>
      </c>
      <c r="H1128" s="35"/>
      <c r="I1128" s="17">
        <v>0</v>
      </c>
      <c r="J1128" s="17">
        <v>2</v>
      </c>
      <c r="K1128" s="17">
        <v>0</v>
      </c>
      <c r="L1128" s="17">
        <v>0</v>
      </c>
      <c r="M1128" s="14" t="s">
        <v>100</v>
      </c>
      <c r="N1128" s="14" t="s">
        <v>87</v>
      </c>
      <c r="O1128" s="14" t="s">
        <v>89</v>
      </c>
      <c r="P1128" s="14"/>
      <c r="Q1128" s="36" t="s">
        <v>263</v>
      </c>
    </row>
    <row r="1129" spans="1:17" ht="14.4">
      <c r="A1129" s="26">
        <v>560</v>
      </c>
      <c r="B1129" s="19" t="s">
        <v>472</v>
      </c>
      <c r="C1129" s="37">
        <v>45526</v>
      </c>
      <c r="D1129" s="22">
        <v>2</v>
      </c>
      <c r="E1129" s="22">
        <v>0</v>
      </c>
      <c r="F1129" s="22">
        <v>0</v>
      </c>
      <c r="G1129" s="22">
        <v>0</v>
      </c>
      <c r="H1129" s="38"/>
      <c r="I1129" s="22">
        <v>0</v>
      </c>
      <c r="J1129" s="22">
        <v>0</v>
      </c>
      <c r="K1129" s="22">
        <v>0</v>
      </c>
      <c r="L1129" s="22">
        <v>0</v>
      </c>
      <c r="M1129" s="19" t="s">
        <v>100</v>
      </c>
      <c r="N1129" s="19" t="s">
        <v>87</v>
      </c>
      <c r="O1129" s="19" t="s">
        <v>57</v>
      </c>
      <c r="P1129" s="22">
        <v>1</v>
      </c>
      <c r="Q1129" s="39" t="s">
        <v>259</v>
      </c>
    </row>
    <row r="1130" spans="1:17" ht="14.4">
      <c r="A1130" s="13">
        <v>560</v>
      </c>
      <c r="B1130" s="14" t="s">
        <v>472</v>
      </c>
      <c r="C1130" s="34">
        <v>45526</v>
      </c>
      <c r="D1130" s="17">
        <v>0</v>
      </c>
      <c r="E1130" s="17">
        <v>1</v>
      </c>
      <c r="F1130" s="17">
        <v>0</v>
      </c>
      <c r="G1130" s="17">
        <v>0</v>
      </c>
      <c r="H1130" s="16" t="s">
        <v>273</v>
      </c>
      <c r="I1130" s="17">
        <v>0</v>
      </c>
      <c r="J1130" s="17">
        <v>0</v>
      </c>
      <c r="K1130" s="17">
        <v>0</v>
      </c>
      <c r="L1130" s="17">
        <v>0</v>
      </c>
      <c r="M1130" s="14" t="s">
        <v>100</v>
      </c>
      <c r="N1130" s="14" t="s">
        <v>87</v>
      </c>
      <c r="O1130" s="14" t="s">
        <v>86</v>
      </c>
      <c r="P1130" s="14"/>
      <c r="Q1130" s="36" t="s">
        <v>262</v>
      </c>
    </row>
    <row r="1131" spans="1:17" ht="14.4">
      <c r="A1131" s="26">
        <v>560</v>
      </c>
      <c r="B1131" s="19" t="s">
        <v>472</v>
      </c>
      <c r="C1131" s="37">
        <v>45526</v>
      </c>
      <c r="D1131" s="22">
        <v>0</v>
      </c>
      <c r="E1131" s="22">
        <v>1</v>
      </c>
      <c r="F1131" s="22">
        <v>4</v>
      </c>
      <c r="G1131" s="22">
        <v>0</v>
      </c>
      <c r="H1131" s="21" t="s">
        <v>405</v>
      </c>
      <c r="I1131" s="22">
        <v>0</v>
      </c>
      <c r="J1131" s="22">
        <v>0</v>
      </c>
      <c r="K1131" s="22">
        <v>0</v>
      </c>
      <c r="L1131" s="22">
        <v>0</v>
      </c>
      <c r="M1131" s="19" t="s">
        <v>100</v>
      </c>
      <c r="N1131" s="19" t="s">
        <v>87</v>
      </c>
      <c r="O1131" s="19" t="s">
        <v>59</v>
      </c>
      <c r="P1131" s="19"/>
      <c r="Q1131" s="39" t="s">
        <v>262</v>
      </c>
    </row>
    <row r="1132" spans="1:17" ht="14.4">
      <c r="A1132" s="13">
        <v>560</v>
      </c>
      <c r="B1132" s="14" t="s">
        <v>472</v>
      </c>
      <c r="C1132" s="34">
        <v>45526</v>
      </c>
      <c r="D1132" s="17">
        <v>6</v>
      </c>
      <c r="E1132" s="17">
        <v>0</v>
      </c>
      <c r="F1132" s="17">
        <v>0</v>
      </c>
      <c r="G1132" s="17">
        <v>0</v>
      </c>
      <c r="H1132" s="35"/>
      <c r="I1132" s="17">
        <v>0</v>
      </c>
      <c r="J1132" s="17">
        <v>0</v>
      </c>
      <c r="K1132" s="17">
        <v>0</v>
      </c>
      <c r="L1132" s="17">
        <v>0</v>
      </c>
      <c r="M1132" s="14" t="s">
        <v>100</v>
      </c>
      <c r="N1132" s="14" t="s">
        <v>87</v>
      </c>
      <c r="O1132" s="14" t="s">
        <v>59</v>
      </c>
      <c r="P1132" s="17">
        <v>3</v>
      </c>
      <c r="Q1132" s="36" t="s">
        <v>259</v>
      </c>
    </row>
    <row r="1133" spans="1:17" ht="14.4">
      <c r="A1133" s="26">
        <v>560</v>
      </c>
      <c r="B1133" s="19" t="s">
        <v>472</v>
      </c>
      <c r="C1133" s="37">
        <v>45526</v>
      </c>
      <c r="D1133" s="22">
        <v>0</v>
      </c>
      <c r="E1133" s="22">
        <v>0</v>
      </c>
      <c r="F1133" s="22">
        <v>0</v>
      </c>
      <c r="G1133" s="22">
        <v>0</v>
      </c>
      <c r="H1133" s="38"/>
      <c r="I1133" s="22">
        <v>0</v>
      </c>
      <c r="J1133" s="22">
        <v>2</v>
      </c>
      <c r="K1133" s="22">
        <v>0</v>
      </c>
      <c r="L1133" s="22">
        <v>0</v>
      </c>
      <c r="M1133" s="19" t="s">
        <v>100</v>
      </c>
      <c r="N1133" s="19" t="s">
        <v>87</v>
      </c>
      <c r="O1133" s="19" t="s">
        <v>59</v>
      </c>
      <c r="P1133" s="19"/>
      <c r="Q1133" s="39" t="s">
        <v>263</v>
      </c>
    </row>
    <row r="1134" spans="1:17" ht="14.4">
      <c r="A1134" s="13">
        <v>270</v>
      </c>
      <c r="B1134" s="14" t="s">
        <v>475</v>
      </c>
      <c r="C1134" s="34">
        <v>45526</v>
      </c>
      <c r="D1134" s="17">
        <v>1</v>
      </c>
      <c r="E1134" s="17">
        <v>0</v>
      </c>
      <c r="F1134" s="17">
        <v>0</v>
      </c>
      <c r="G1134" s="17">
        <v>0</v>
      </c>
      <c r="H1134" s="35"/>
      <c r="I1134" s="17">
        <v>0</v>
      </c>
      <c r="J1134" s="17">
        <v>0</v>
      </c>
      <c r="K1134" s="17">
        <v>0</v>
      </c>
      <c r="L1134" s="17">
        <v>0</v>
      </c>
      <c r="M1134" s="14" t="s">
        <v>100</v>
      </c>
      <c r="N1134" s="14" t="s">
        <v>91</v>
      </c>
      <c r="O1134" s="14" t="s">
        <v>38</v>
      </c>
      <c r="P1134" s="14"/>
      <c r="Q1134" s="36" t="s">
        <v>259</v>
      </c>
    </row>
    <row r="1135" spans="1:17" ht="14.4">
      <c r="A1135" s="26">
        <v>270</v>
      </c>
      <c r="B1135" s="19" t="s">
        <v>475</v>
      </c>
      <c r="C1135" s="37">
        <v>45526</v>
      </c>
      <c r="D1135" s="22">
        <v>4</v>
      </c>
      <c r="E1135" s="22">
        <v>0</v>
      </c>
      <c r="F1135" s="22">
        <v>0</v>
      </c>
      <c r="G1135" s="22">
        <v>0</v>
      </c>
      <c r="H1135" s="38"/>
      <c r="I1135" s="22">
        <v>0</v>
      </c>
      <c r="J1135" s="22">
        <v>0</v>
      </c>
      <c r="K1135" s="22">
        <v>0</v>
      </c>
      <c r="L1135" s="22">
        <v>0</v>
      </c>
      <c r="M1135" s="19" t="s">
        <v>100</v>
      </c>
      <c r="N1135" s="19" t="s">
        <v>87</v>
      </c>
      <c r="O1135" s="19" t="s">
        <v>59</v>
      </c>
      <c r="P1135" s="19"/>
      <c r="Q1135" s="39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34998626667073579"/>
    <outlinePr summaryBelow="0" summaryRight="0"/>
  </sheetPr>
  <dimension ref="A1:G16"/>
  <sheetViews>
    <sheetView workbookViewId="0"/>
  </sheetViews>
  <sheetFormatPr defaultColWidth="12.6640625" defaultRowHeight="15.75" customHeight="1"/>
  <cols>
    <col min="1" max="1" width="16" customWidth="1"/>
    <col min="5" max="5" width="17.77734375" bestFit="1" customWidth="1"/>
    <col min="6" max="6" width="14.44140625" bestFit="1" customWidth="1"/>
    <col min="7" max="7" width="15.44140625" bestFit="1" customWidth="1"/>
  </cols>
  <sheetData>
    <row r="1" spans="1:7">
      <c r="A1" s="40" t="s">
        <v>117</v>
      </c>
      <c r="B1" s="40" t="s">
        <v>476</v>
      </c>
      <c r="C1" s="40" t="s">
        <v>71</v>
      </c>
      <c r="D1" s="40" t="s">
        <v>477</v>
      </c>
      <c r="E1" s="40" t="s">
        <v>478</v>
      </c>
      <c r="F1" s="40" t="s">
        <v>479</v>
      </c>
      <c r="G1" s="40" t="s">
        <v>480</v>
      </c>
    </row>
    <row r="2" spans="1:7">
      <c r="A2" s="41" t="s">
        <v>46</v>
      </c>
      <c r="B2" s="41">
        <v>8</v>
      </c>
      <c r="C2" s="41">
        <v>4</v>
      </c>
      <c r="D2" s="41">
        <v>20</v>
      </c>
      <c r="E2" s="42">
        <v>5</v>
      </c>
      <c r="F2" s="42">
        <v>0</v>
      </c>
      <c r="G2" s="42">
        <v>2.5</v>
      </c>
    </row>
    <row r="3" spans="1:7">
      <c r="A3" s="41" t="s">
        <v>37</v>
      </c>
      <c r="B3" s="41">
        <v>29</v>
      </c>
      <c r="C3" s="41">
        <v>14</v>
      </c>
      <c r="D3" s="41">
        <v>24</v>
      </c>
      <c r="E3" s="42">
        <v>1.7142999999999999</v>
      </c>
      <c r="F3" s="42">
        <v>0</v>
      </c>
      <c r="G3" s="42">
        <v>0.8276</v>
      </c>
    </row>
    <row r="4" spans="1:7">
      <c r="A4" s="41" t="s">
        <v>60</v>
      </c>
      <c r="B4" s="41">
        <v>79</v>
      </c>
      <c r="C4" s="41">
        <v>48</v>
      </c>
      <c r="D4" s="41">
        <v>30</v>
      </c>
      <c r="E4" s="42">
        <v>0.625</v>
      </c>
      <c r="F4" s="42">
        <v>0</v>
      </c>
      <c r="G4" s="42">
        <v>0.37969999999999998</v>
      </c>
    </row>
    <row r="5" spans="1:7">
      <c r="A5" s="41" t="s">
        <v>90</v>
      </c>
      <c r="B5" s="41">
        <v>53</v>
      </c>
      <c r="C5" s="41">
        <v>29</v>
      </c>
      <c r="D5" s="41">
        <v>15</v>
      </c>
      <c r="E5" s="42">
        <v>0.51719999999999999</v>
      </c>
      <c r="F5" s="42">
        <v>0</v>
      </c>
      <c r="G5" s="42">
        <v>0.28299999999999997</v>
      </c>
    </row>
    <row r="6" spans="1:7">
      <c r="A6" s="41" t="s">
        <v>44</v>
      </c>
      <c r="B6" s="41">
        <v>62</v>
      </c>
      <c r="C6" s="41">
        <v>37</v>
      </c>
      <c r="D6" s="41">
        <v>14</v>
      </c>
      <c r="E6" s="42">
        <v>0.37840000000000001</v>
      </c>
      <c r="F6" s="42">
        <v>0</v>
      </c>
      <c r="G6" s="42">
        <v>0.2258</v>
      </c>
    </row>
    <row r="7" spans="1:7">
      <c r="A7" s="41" t="s">
        <v>89</v>
      </c>
      <c r="B7" s="41">
        <v>285</v>
      </c>
      <c r="C7" s="41">
        <v>85</v>
      </c>
      <c r="D7" s="41">
        <v>31</v>
      </c>
      <c r="E7" s="42">
        <v>0.36470000000000002</v>
      </c>
      <c r="F7" s="42">
        <v>0</v>
      </c>
      <c r="G7" s="42">
        <v>0.10879999999999999</v>
      </c>
    </row>
    <row r="8" spans="1:7">
      <c r="A8" s="41" t="s">
        <v>86</v>
      </c>
      <c r="B8" s="41">
        <v>151</v>
      </c>
      <c r="C8" s="41">
        <v>56</v>
      </c>
      <c r="D8" s="41">
        <v>19</v>
      </c>
      <c r="E8" s="42">
        <v>0.33929999999999999</v>
      </c>
      <c r="F8" s="42">
        <v>0</v>
      </c>
      <c r="G8" s="42">
        <v>0.1258</v>
      </c>
    </row>
    <row r="9" spans="1:7">
      <c r="A9" s="41" t="s">
        <v>57</v>
      </c>
      <c r="B9" s="41">
        <v>123</v>
      </c>
      <c r="C9" s="41">
        <v>63</v>
      </c>
      <c r="D9" s="41">
        <v>21</v>
      </c>
      <c r="E9" s="42">
        <v>0.33329999999999999</v>
      </c>
      <c r="F9" s="42">
        <v>0</v>
      </c>
      <c r="G9" s="42">
        <v>0.17069999999999999</v>
      </c>
    </row>
    <row r="10" spans="1:7">
      <c r="A10" s="41" t="s">
        <v>47</v>
      </c>
      <c r="B10" s="41">
        <v>97</v>
      </c>
      <c r="C10" s="41">
        <v>60</v>
      </c>
      <c r="D10" s="41">
        <v>16</v>
      </c>
      <c r="E10" s="42">
        <v>0.26669999999999999</v>
      </c>
      <c r="F10" s="42">
        <v>0</v>
      </c>
      <c r="G10" s="42">
        <v>0.16489999999999999</v>
      </c>
    </row>
    <row r="11" spans="1:7">
      <c r="A11" s="41" t="s">
        <v>43</v>
      </c>
      <c r="B11" s="41">
        <v>146</v>
      </c>
      <c r="C11" s="41">
        <v>58</v>
      </c>
      <c r="D11" s="41">
        <v>13</v>
      </c>
      <c r="E11" s="42">
        <v>0.22409999999999999</v>
      </c>
      <c r="F11" s="42">
        <v>0</v>
      </c>
      <c r="G11" s="42">
        <v>8.8999999999999996E-2</v>
      </c>
    </row>
    <row r="12" spans="1:7">
      <c r="A12" s="41" t="s">
        <v>59</v>
      </c>
      <c r="B12" s="41">
        <v>164</v>
      </c>
      <c r="C12" s="41">
        <v>61</v>
      </c>
      <c r="D12" s="41">
        <v>10</v>
      </c>
      <c r="E12" s="42">
        <v>0.16389999999999999</v>
      </c>
      <c r="F12" s="42">
        <v>0</v>
      </c>
      <c r="G12" s="42">
        <v>6.0999999999999999E-2</v>
      </c>
    </row>
    <row r="13" spans="1:7">
      <c r="A13" s="41" t="s">
        <v>38</v>
      </c>
      <c r="B13" s="41">
        <v>120</v>
      </c>
      <c r="C13" s="41">
        <v>52</v>
      </c>
      <c r="D13" s="41">
        <v>8</v>
      </c>
      <c r="E13" s="42">
        <v>0.15379999999999999</v>
      </c>
      <c r="F13" s="42">
        <v>0</v>
      </c>
      <c r="G13" s="42">
        <v>6.6699999999999995E-2</v>
      </c>
    </row>
    <row r="14" spans="1:7">
      <c r="A14" s="41" t="s">
        <v>98</v>
      </c>
      <c r="B14" s="41">
        <v>126</v>
      </c>
      <c r="C14" s="41">
        <v>55</v>
      </c>
      <c r="D14" s="41">
        <v>2</v>
      </c>
      <c r="E14" s="42">
        <v>3.6400000000000002E-2</v>
      </c>
      <c r="F14" s="42">
        <v>0</v>
      </c>
      <c r="G14" s="42">
        <v>1.5900000000000001E-2</v>
      </c>
    </row>
    <row r="15" spans="1:7">
      <c r="A15" s="41" t="s">
        <v>51</v>
      </c>
      <c r="B15" s="41">
        <v>0</v>
      </c>
      <c r="C15" s="41"/>
      <c r="D15" s="41">
        <v>20</v>
      </c>
      <c r="E15" s="42">
        <v>0</v>
      </c>
      <c r="F15" s="42">
        <v>0</v>
      </c>
      <c r="G15" s="42">
        <v>0</v>
      </c>
    </row>
    <row r="16" spans="1:7">
      <c r="A16" s="41" t="s">
        <v>106</v>
      </c>
      <c r="B16" s="41">
        <v>0</v>
      </c>
      <c r="C16" s="41"/>
      <c r="D16" s="41">
        <v>0</v>
      </c>
      <c r="E16" s="42">
        <v>0</v>
      </c>
      <c r="F16" s="42">
        <v>0</v>
      </c>
      <c r="G16" s="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34998626667073579"/>
    <outlinePr summaryBelow="0" summaryRight="0"/>
  </sheetPr>
  <dimension ref="A1:K1001"/>
  <sheetViews>
    <sheetView workbookViewId="0"/>
  </sheetViews>
  <sheetFormatPr defaultColWidth="12.6640625" defaultRowHeight="15.75" customHeight="1"/>
  <cols>
    <col min="1" max="1" width="22.5546875" bestFit="1" customWidth="1"/>
    <col min="2" max="2" width="11.88671875" customWidth="1"/>
    <col min="3" max="3" width="18" customWidth="1"/>
    <col min="4" max="4" width="21.109375" customWidth="1"/>
    <col min="5" max="5" width="24.21875" bestFit="1" customWidth="1"/>
    <col min="7" max="7" width="19.44140625" customWidth="1"/>
  </cols>
  <sheetData>
    <row r="1" spans="1:11" ht="20.399999999999999" customHeight="1">
      <c r="A1" s="67" t="s">
        <v>550</v>
      </c>
      <c r="B1" s="67" t="s">
        <v>590</v>
      </c>
      <c r="C1" s="67" t="s">
        <v>591</v>
      </c>
      <c r="D1" s="67" t="s">
        <v>592</v>
      </c>
      <c r="E1" s="67" t="s">
        <v>593</v>
      </c>
      <c r="F1" s="1"/>
      <c r="G1" s="148" t="s">
        <v>117</v>
      </c>
      <c r="H1" s="149" t="s">
        <v>586</v>
      </c>
      <c r="I1" s="149" t="s">
        <v>587</v>
      </c>
      <c r="J1" s="149" t="s">
        <v>588</v>
      </c>
      <c r="K1" s="149" t="s">
        <v>589</v>
      </c>
    </row>
    <row r="2" spans="1:11" ht="18" customHeight="1">
      <c r="A2" s="69" t="s">
        <v>37</v>
      </c>
      <c r="B2" s="70">
        <v>0</v>
      </c>
      <c r="C2" s="70">
        <v>12</v>
      </c>
      <c r="D2" s="71">
        <v>1</v>
      </c>
      <c r="E2" s="72">
        <v>0.08</v>
      </c>
      <c r="F2" s="1"/>
      <c r="G2" s="150" t="s">
        <v>37</v>
      </c>
      <c r="H2" s="151">
        <v>0</v>
      </c>
      <c r="I2" s="151">
        <v>78</v>
      </c>
      <c r="J2" s="151">
        <v>64</v>
      </c>
      <c r="K2" s="151">
        <v>14</v>
      </c>
    </row>
    <row r="3" spans="1:11" ht="15.75" customHeight="1">
      <c r="A3" s="73" t="s">
        <v>43</v>
      </c>
      <c r="B3" s="70">
        <v>0</v>
      </c>
      <c r="C3" s="70">
        <v>14</v>
      </c>
      <c r="D3" s="71">
        <v>1</v>
      </c>
      <c r="E3" s="72">
        <v>7.0000000000000007E-2</v>
      </c>
      <c r="F3" s="1"/>
      <c r="G3" s="150" t="s">
        <v>101</v>
      </c>
      <c r="H3" s="151">
        <v>0</v>
      </c>
      <c r="I3" s="151">
        <v>0</v>
      </c>
      <c r="J3" s="151">
        <v>0</v>
      </c>
      <c r="K3" s="151">
        <v>0</v>
      </c>
    </row>
    <row r="4" spans="1:11" ht="15.75" customHeight="1">
      <c r="A4" s="73" t="s">
        <v>46</v>
      </c>
      <c r="B4" s="70">
        <v>0</v>
      </c>
      <c r="C4" s="70">
        <v>15</v>
      </c>
      <c r="D4" s="71">
        <v>0</v>
      </c>
      <c r="E4" s="72">
        <v>0</v>
      </c>
      <c r="F4" s="1"/>
      <c r="G4" s="150" t="s">
        <v>43</v>
      </c>
      <c r="H4" s="151">
        <v>0</v>
      </c>
      <c r="I4" s="151">
        <v>70</v>
      </c>
      <c r="J4" s="151">
        <v>62</v>
      </c>
      <c r="K4" s="151">
        <v>8</v>
      </c>
    </row>
    <row r="5" spans="1:11" ht="15.75" customHeight="1">
      <c r="A5" s="73" t="s">
        <v>60</v>
      </c>
      <c r="B5" s="70">
        <v>0</v>
      </c>
      <c r="C5" s="70">
        <v>26</v>
      </c>
      <c r="D5" s="71">
        <v>0</v>
      </c>
      <c r="E5" s="72">
        <v>0</v>
      </c>
      <c r="F5" s="1"/>
      <c r="G5" s="150" t="s">
        <v>38</v>
      </c>
      <c r="H5" s="151">
        <v>0</v>
      </c>
      <c r="I5" s="151">
        <v>0</v>
      </c>
      <c r="J5" s="151">
        <v>0</v>
      </c>
      <c r="K5" s="151">
        <v>0</v>
      </c>
    </row>
    <row r="6" spans="1:11" ht="15.75" customHeight="1">
      <c r="A6" s="73" t="s">
        <v>51</v>
      </c>
      <c r="B6" s="70">
        <v>1</v>
      </c>
      <c r="C6" s="70">
        <v>20</v>
      </c>
      <c r="D6" s="71">
        <v>1</v>
      </c>
      <c r="E6" s="72">
        <v>0.05</v>
      </c>
      <c r="F6" s="1"/>
      <c r="G6" s="150" t="s">
        <v>46</v>
      </c>
      <c r="H6" s="151">
        <v>0</v>
      </c>
      <c r="I6" s="151">
        <v>86</v>
      </c>
      <c r="J6" s="151">
        <v>77</v>
      </c>
      <c r="K6" s="151">
        <v>9</v>
      </c>
    </row>
    <row r="7" spans="1:11" ht="15.75" customHeight="1">
      <c r="A7" s="73" t="s">
        <v>98</v>
      </c>
      <c r="B7" s="70">
        <v>0</v>
      </c>
      <c r="C7" s="70">
        <v>8</v>
      </c>
      <c r="D7" s="71">
        <v>0</v>
      </c>
      <c r="E7" s="72">
        <v>0</v>
      </c>
      <c r="F7" s="1"/>
      <c r="G7" s="150" t="s">
        <v>44</v>
      </c>
      <c r="H7" s="151">
        <v>0</v>
      </c>
      <c r="I7" s="151">
        <v>51</v>
      </c>
      <c r="J7" s="151">
        <v>43</v>
      </c>
      <c r="K7" s="151">
        <v>8</v>
      </c>
    </row>
    <row r="8" spans="1:11" ht="15.75" customHeight="1">
      <c r="A8" s="69" t="s">
        <v>89</v>
      </c>
      <c r="B8" s="70">
        <v>1</v>
      </c>
      <c r="C8" s="70">
        <v>22</v>
      </c>
      <c r="D8" s="71">
        <v>0</v>
      </c>
      <c r="E8" s="74">
        <v>0</v>
      </c>
      <c r="F8" s="1"/>
      <c r="G8" s="150" t="s">
        <v>97</v>
      </c>
      <c r="H8" s="151">
        <v>42</v>
      </c>
      <c r="I8" s="151">
        <v>356</v>
      </c>
      <c r="J8" s="151">
        <v>336</v>
      </c>
      <c r="K8" s="151">
        <v>19</v>
      </c>
    </row>
    <row r="9" spans="1:11" ht="15.75" customHeight="1">
      <c r="A9" s="69" t="s">
        <v>57</v>
      </c>
      <c r="B9" s="70">
        <v>0</v>
      </c>
      <c r="C9" s="70">
        <v>16</v>
      </c>
      <c r="D9" s="71">
        <v>0</v>
      </c>
      <c r="E9" s="74">
        <v>0</v>
      </c>
      <c r="F9" s="1"/>
      <c r="G9" s="150" t="s">
        <v>60</v>
      </c>
      <c r="H9" s="151">
        <v>0</v>
      </c>
      <c r="I9" s="151">
        <v>112</v>
      </c>
      <c r="J9" s="151">
        <v>98</v>
      </c>
      <c r="K9" s="151">
        <v>14</v>
      </c>
    </row>
    <row r="10" spans="1:11" ht="15.75" customHeight="1">
      <c r="A10" s="73" t="s">
        <v>86</v>
      </c>
      <c r="B10" s="70">
        <v>0</v>
      </c>
      <c r="C10" s="70">
        <v>20</v>
      </c>
      <c r="D10" s="71">
        <v>0</v>
      </c>
      <c r="E10" s="72">
        <v>0</v>
      </c>
      <c r="F10" s="1"/>
      <c r="G10" s="150" t="s">
        <v>51</v>
      </c>
      <c r="H10" s="151">
        <v>0</v>
      </c>
      <c r="I10" s="151">
        <v>64</v>
      </c>
      <c r="J10" s="151">
        <v>51</v>
      </c>
      <c r="K10" s="151">
        <v>13</v>
      </c>
    </row>
    <row r="11" spans="1:11" ht="15.75" customHeight="1">
      <c r="A11" s="73" t="s">
        <v>59</v>
      </c>
      <c r="B11" s="70">
        <v>0</v>
      </c>
      <c r="C11" s="70">
        <v>10</v>
      </c>
      <c r="D11" s="71">
        <v>0</v>
      </c>
      <c r="E11" s="72">
        <v>0</v>
      </c>
      <c r="F11" s="1"/>
      <c r="G11" s="150" t="s">
        <v>47</v>
      </c>
      <c r="H11" s="151">
        <v>0</v>
      </c>
      <c r="I11" s="151">
        <v>44</v>
      </c>
      <c r="J11" s="151">
        <v>41</v>
      </c>
      <c r="K11" s="151">
        <v>3</v>
      </c>
    </row>
    <row r="12" spans="1:11" ht="15.75" customHeight="1">
      <c r="A12" s="73" t="s">
        <v>38</v>
      </c>
      <c r="B12" s="70">
        <v>0</v>
      </c>
      <c r="C12" s="70">
        <v>0</v>
      </c>
      <c r="D12" s="71">
        <v>0</v>
      </c>
      <c r="E12" s="72">
        <v>0</v>
      </c>
      <c r="F12" s="1"/>
      <c r="G12" s="150" t="s">
        <v>98</v>
      </c>
      <c r="H12" s="151">
        <v>0</v>
      </c>
      <c r="I12" s="151">
        <v>55</v>
      </c>
      <c r="J12" s="151">
        <v>46</v>
      </c>
      <c r="K12" s="151">
        <v>9</v>
      </c>
    </row>
    <row r="13" spans="1:11" ht="15.75" customHeight="1">
      <c r="A13" s="73" t="s">
        <v>44</v>
      </c>
      <c r="B13" s="70">
        <v>0</v>
      </c>
      <c r="C13" s="70">
        <v>18</v>
      </c>
      <c r="D13" s="71">
        <v>0</v>
      </c>
      <c r="E13" s="72">
        <v>0</v>
      </c>
      <c r="F13" s="1"/>
      <c r="G13" s="150" t="s">
        <v>89</v>
      </c>
      <c r="H13" s="151">
        <v>0</v>
      </c>
      <c r="I13" s="151">
        <v>90</v>
      </c>
      <c r="J13" s="151">
        <v>61</v>
      </c>
      <c r="K13" s="151">
        <v>28</v>
      </c>
    </row>
    <row r="14" spans="1:11" ht="15.75" customHeight="1">
      <c r="A14" s="69" t="s">
        <v>47</v>
      </c>
      <c r="B14" s="70">
        <v>2</v>
      </c>
      <c r="C14" s="70">
        <v>20</v>
      </c>
      <c r="D14" s="71">
        <v>0</v>
      </c>
      <c r="E14" s="74">
        <v>0</v>
      </c>
      <c r="F14" s="1"/>
      <c r="G14" s="150" t="s">
        <v>96</v>
      </c>
      <c r="H14" s="151">
        <v>0</v>
      </c>
      <c r="I14" s="151">
        <v>7</v>
      </c>
      <c r="J14" s="151">
        <v>5</v>
      </c>
      <c r="K14" s="151">
        <v>2</v>
      </c>
    </row>
    <row r="15" spans="1:11" ht="15.75" customHeight="1">
      <c r="A15" s="69" t="s">
        <v>90</v>
      </c>
      <c r="B15" s="70">
        <v>0</v>
      </c>
      <c r="C15" s="70">
        <v>15</v>
      </c>
      <c r="D15" s="71">
        <v>0</v>
      </c>
      <c r="E15" s="74">
        <v>0</v>
      </c>
      <c r="F15" s="1"/>
      <c r="G15" s="150" t="s">
        <v>106</v>
      </c>
      <c r="H15" s="151">
        <v>0</v>
      </c>
      <c r="I15" s="151">
        <v>1</v>
      </c>
      <c r="J15" s="151">
        <v>1</v>
      </c>
      <c r="K15" s="151">
        <v>0</v>
      </c>
    </row>
    <row r="16" spans="1:11" ht="15.75" customHeight="1">
      <c r="A16" s="1"/>
      <c r="B16" s="1"/>
      <c r="C16" s="1"/>
      <c r="D16" s="1"/>
      <c r="E16" s="1"/>
      <c r="F16" s="1"/>
      <c r="G16" s="150" t="s">
        <v>90</v>
      </c>
      <c r="H16" s="151">
        <v>0</v>
      </c>
      <c r="I16" s="151">
        <v>50</v>
      </c>
      <c r="J16" s="151">
        <v>39</v>
      </c>
      <c r="K16" s="151">
        <v>11</v>
      </c>
    </row>
    <row r="17" spans="1:11" ht="15.6" customHeight="1">
      <c r="A17" s="1"/>
      <c r="B17" s="1"/>
      <c r="C17" s="1"/>
      <c r="D17" s="1"/>
      <c r="E17" s="1"/>
      <c r="F17" s="1"/>
      <c r="G17" s="152" t="s">
        <v>594</v>
      </c>
      <c r="H17" s="151">
        <v>0</v>
      </c>
      <c r="I17" s="151">
        <v>1</v>
      </c>
      <c r="J17" s="151">
        <v>1</v>
      </c>
      <c r="K17" s="151">
        <v>0</v>
      </c>
    </row>
    <row r="18" spans="1:11" ht="15.75" customHeight="1">
      <c r="A18" s="1"/>
      <c r="B18" s="1"/>
      <c r="C18" s="1"/>
      <c r="D18" s="1"/>
      <c r="E18" s="1"/>
      <c r="F18" s="1"/>
      <c r="G18" s="150" t="s">
        <v>57</v>
      </c>
      <c r="H18" s="151">
        <v>0</v>
      </c>
      <c r="I18" s="151">
        <v>97</v>
      </c>
      <c r="J18" s="151">
        <v>72</v>
      </c>
      <c r="K18" s="151">
        <v>25</v>
      </c>
    </row>
    <row r="19" spans="1:11" ht="15.75" customHeight="1">
      <c r="A19" s="1"/>
      <c r="B19" s="1"/>
      <c r="C19" s="1"/>
      <c r="D19" s="1"/>
      <c r="E19" s="1"/>
      <c r="F19" s="1"/>
      <c r="G19" s="152" t="s">
        <v>595</v>
      </c>
      <c r="H19" s="151">
        <v>0</v>
      </c>
      <c r="I19" s="151">
        <v>0</v>
      </c>
      <c r="J19" s="151">
        <v>0</v>
      </c>
      <c r="K19" s="151">
        <v>0</v>
      </c>
    </row>
    <row r="20" spans="1:11" ht="15.75" customHeight="1">
      <c r="A20" s="1"/>
      <c r="B20" s="1"/>
      <c r="C20" s="1"/>
      <c r="D20" s="1"/>
      <c r="E20" s="1"/>
      <c r="F20" s="1"/>
      <c r="G20" s="150" t="s">
        <v>94</v>
      </c>
      <c r="H20" s="151">
        <v>0</v>
      </c>
      <c r="I20" s="151">
        <v>142</v>
      </c>
      <c r="J20" s="151">
        <v>127</v>
      </c>
      <c r="K20" s="151">
        <v>14</v>
      </c>
    </row>
    <row r="21" spans="1:11" ht="15.75" customHeight="1">
      <c r="A21" s="1"/>
      <c r="B21" s="1"/>
      <c r="C21" s="1"/>
      <c r="D21" s="1"/>
      <c r="E21" s="1"/>
      <c r="F21" s="1"/>
      <c r="G21" s="150" t="s">
        <v>54</v>
      </c>
      <c r="H21" s="151">
        <v>0</v>
      </c>
      <c r="I21" s="151">
        <v>0</v>
      </c>
      <c r="J21" s="151">
        <v>0</v>
      </c>
      <c r="K21" s="151">
        <v>0</v>
      </c>
    </row>
    <row r="22" spans="1:11" ht="15.75" customHeight="1">
      <c r="A22" s="1"/>
      <c r="B22" s="1"/>
      <c r="C22" s="1"/>
      <c r="D22" s="1"/>
      <c r="E22" s="1"/>
      <c r="F22" s="1"/>
      <c r="G22" s="152" t="s">
        <v>596</v>
      </c>
      <c r="H22" s="151">
        <v>0</v>
      </c>
      <c r="I22" s="151">
        <v>1</v>
      </c>
      <c r="J22" s="151">
        <v>1</v>
      </c>
      <c r="K22" s="151">
        <v>0</v>
      </c>
    </row>
    <row r="23" spans="1:11" ht="15.75" customHeight="1">
      <c r="A23" s="1"/>
      <c r="B23" s="1"/>
      <c r="C23" s="1"/>
      <c r="D23" s="1"/>
      <c r="E23" s="1"/>
      <c r="F23" s="1"/>
      <c r="G23" s="152" t="s">
        <v>597</v>
      </c>
      <c r="H23" s="151">
        <v>0</v>
      </c>
      <c r="I23" s="151">
        <v>90</v>
      </c>
      <c r="J23" s="151">
        <v>80</v>
      </c>
      <c r="K23" s="151">
        <v>10</v>
      </c>
    </row>
    <row r="24" spans="1:11" ht="15.75" customHeight="1">
      <c r="A24" s="1"/>
      <c r="B24" s="1"/>
      <c r="C24" s="1"/>
      <c r="D24" s="1"/>
      <c r="E24" s="1"/>
      <c r="F24" s="1"/>
      <c r="G24" s="150" t="s">
        <v>86</v>
      </c>
      <c r="H24" s="151">
        <v>1</v>
      </c>
      <c r="I24" s="151">
        <v>3</v>
      </c>
      <c r="J24" s="151">
        <v>3</v>
      </c>
      <c r="K24" s="151">
        <v>0</v>
      </c>
    </row>
    <row r="25" spans="1:11" ht="15.75" customHeight="1">
      <c r="A25" s="1"/>
      <c r="B25" s="1"/>
      <c r="C25" s="1"/>
      <c r="D25" s="1"/>
      <c r="E25" s="1"/>
      <c r="F25" s="1"/>
      <c r="G25" s="152" t="s">
        <v>598</v>
      </c>
      <c r="H25" s="151">
        <v>0</v>
      </c>
      <c r="I25" s="151">
        <v>0</v>
      </c>
      <c r="J25" s="151">
        <v>0</v>
      </c>
      <c r="K25" s="151">
        <v>0</v>
      </c>
    </row>
    <row r="26" spans="1:11" ht="15.75" customHeight="1">
      <c r="A26" s="1"/>
      <c r="B26" s="1"/>
      <c r="C26" s="1"/>
      <c r="D26" s="1"/>
      <c r="E26" s="1"/>
      <c r="F26" s="1"/>
      <c r="G26" s="152" t="s">
        <v>599</v>
      </c>
      <c r="H26" s="151">
        <v>0</v>
      </c>
      <c r="I26" s="151">
        <v>62</v>
      </c>
      <c r="J26" s="151">
        <v>52</v>
      </c>
      <c r="K26" s="151">
        <v>9</v>
      </c>
    </row>
    <row r="27" spans="1:11" ht="14.4">
      <c r="A27" s="1"/>
      <c r="B27" s="1"/>
      <c r="C27" s="1"/>
      <c r="D27" s="1"/>
      <c r="E27" s="1"/>
      <c r="F27" s="1"/>
      <c r="G27" s="150" t="s">
        <v>59</v>
      </c>
      <c r="H27" s="151">
        <v>0</v>
      </c>
      <c r="I27" s="151">
        <v>1</v>
      </c>
      <c r="J27" s="151">
        <v>1</v>
      </c>
      <c r="K27" s="151">
        <v>0</v>
      </c>
    </row>
    <row r="28" spans="1:11" ht="14.4">
      <c r="A28" s="1"/>
      <c r="B28" s="1"/>
      <c r="C28" s="1"/>
      <c r="D28" s="1"/>
      <c r="E28" s="1"/>
      <c r="F28" s="1"/>
      <c r="G28" s="152" t="s">
        <v>600</v>
      </c>
      <c r="H28" s="151">
        <v>0</v>
      </c>
      <c r="I28" s="151">
        <v>12</v>
      </c>
      <c r="J28" s="151">
        <v>9</v>
      </c>
      <c r="K28" s="151">
        <v>3</v>
      </c>
    </row>
    <row r="29" spans="1:11" ht="14.4">
      <c r="A29" s="1"/>
      <c r="B29" s="1"/>
      <c r="C29" s="1"/>
      <c r="D29" s="1"/>
      <c r="E29" s="1"/>
      <c r="F29" s="1"/>
      <c r="G29" s="152" t="s">
        <v>601</v>
      </c>
      <c r="H29" s="151">
        <v>0</v>
      </c>
      <c r="I29" s="151">
        <v>0</v>
      </c>
      <c r="J29" s="151">
        <v>0</v>
      </c>
      <c r="K29" s="151">
        <v>0</v>
      </c>
    </row>
    <row r="30" spans="1:11" ht="14.4">
      <c r="A30" s="1"/>
      <c r="B30" s="1"/>
      <c r="C30" s="1"/>
      <c r="D30" s="1"/>
      <c r="E30" s="1"/>
      <c r="F30" s="1"/>
      <c r="G30" s="150" t="s">
        <v>561</v>
      </c>
      <c r="H30" s="151">
        <f t="shared" ref="H30:K30" si="0">SUM(H2:H29)</f>
        <v>43</v>
      </c>
      <c r="I30" s="151">
        <f t="shared" si="0"/>
        <v>1473</v>
      </c>
      <c r="J30" s="151">
        <f t="shared" si="0"/>
        <v>1270</v>
      </c>
      <c r="K30" s="151">
        <f t="shared" si="0"/>
        <v>199</v>
      </c>
    </row>
    <row r="31" spans="1:11" ht="14.4">
      <c r="A31" s="1"/>
      <c r="B31" s="1"/>
      <c r="C31" s="1"/>
      <c r="D31" s="1"/>
      <c r="E31" s="1"/>
      <c r="F31" s="1"/>
      <c r="G31" s="68"/>
    </row>
    <row r="32" spans="1:11" ht="14.4">
      <c r="A32" s="1"/>
      <c r="B32" s="1"/>
      <c r="C32" s="1"/>
      <c r="D32" s="1"/>
      <c r="E32" s="1"/>
      <c r="F32" s="1"/>
      <c r="G32" s="68"/>
    </row>
    <row r="33" spans="1:11" ht="14.4">
      <c r="A33" s="1"/>
      <c r="B33" s="1"/>
      <c r="C33" s="1"/>
      <c r="D33" s="1"/>
      <c r="E33" s="1"/>
      <c r="F33" s="1"/>
      <c r="G33" s="68"/>
    </row>
    <row r="34" spans="1:11" ht="14.4">
      <c r="A34" s="1"/>
      <c r="B34" s="1"/>
      <c r="C34" s="1"/>
      <c r="D34" s="1"/>
      <c r="E34" s="1"/>
      <c r="F34" s="1"/>
      <c r="G34" s="1"/>
    </row>
    <row r="35" spans="1:11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4.4">
      <c r="A996" s="1"/>
      <c r="B996" s="1"/>
      <c r="C996" s="1"/>
      <c r="D996" s="1"/>
      <c r="E996" s="1"/>
      <c r="F996" s="1"/>
    </row>
    <row r="997" spans="1:11" ht="14.4">
      <c r="A997" s="1"/>
      <c r="B997" s="1"/>
      <c r="C997" s="1"/>
      <c r="D997" s="1"/>
      <c r="E997" s="1"/>
      <c r="F997" s="1"/>
    </row>
    <row r="998" spans="1:11" ht="14.4">
      <c r="A998" s="1"/>
      <c r="B998" s="1"/>
      <c r="C998" s="1"/>
      <c r="D998" s="1"/>
      <c r="E998" s="1"/>
      <c r="F998" s="1"/>
    </row>
    <row r="999" spans="1:11" ht="14.4">
      <c r="A999" s="1"/>
      <c r="B999" s="1"/>
      <c r="C999" s="1"/>
      <c r="D999" s="1"/>
      <c r="E999" s="1"/>
      <c r="F999" s="1"/>
    </row>
    <row r="1000" spans="1:11" ht="14.4">
      <c r="F1000" s="1"/>
    </row>
    <row r="1001" spans="1:11" ht="14.4">
      <c r="F1001" s="1"/>
    </row>
  </sheetData>
  <dataValidations count="1">
    <dataValidation type="list" allowBlank="1" showErrorMessage="1" sqref="G2:G30" xr:uid="{00000000-0002-0000-0900-000000000000}">
      <formula1>"Andrey Lukashonok,Carlos Fraga,Chris Mikayelyan,Cody Hair,Hayk Nersisyan,Heno Paskevichyan,Jabari Wilkerson,Nathan Clemons,Ric Daus,Samson Karsliyev,Vinny aguilera,Clara Aishika,Daniel Vishal,DANNY VERMA,JASON LIMBU,Justin Chug,PETER KUMAR,Rick Singh,EBAY"&amp;" BENZEEN,CCC  WHOLESALE,CKWHOLESALE,PARTSTRADER,LEADSBENZEEN,Hayk Nersisyan,Website,Others"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34998626667073579"/>
    <outlinePr summaryBelow="0" summaryRight="0"/>
  </sheetPr>
  <dimension ref="A1:S273"/>
  <sheetViews>
    <sheetView workbookViewId="0"/>
  </sheetViews>
  <sheetFormatPr defaultColWidth="12.6640625" defaultRowHeight="15.75" customHeight="1"/>
  <sheetData>
    <row r="1" spans="1:19" ht="15.75" customHeight="1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88</v>
      </c>
      <c r="M1" s="1" t="s">
        <v>69</v>
      </c>
      <c r="N1" s="1" t="s">
        <v>613</v>
      </c>
      <c r="O1" s="1" t="s">
        <v>614</v>
      </c>
      <c r="P1" s="1" t="s">
        <v>80</v>
      </c>
      <c r="Q1" s="1" t="s">
        <v>82</v>
      </c>
      <c r="R1" s="1" t="s">
        <v>615</v>
      </c>
      <c r="S1" s="1" t="s">
        <v>117</v>
      </c>
    </row>
    <row r="2" spans="1:19" ht="15.75" customHeight="1">
      <c r="A2" s="24">
        <v>340</v>
      </c>
      <c r="B2" s="53" t="s">
        <v>616</v>
      </c>
      <c r="C2" s="53" t="s">
        <v>617</v>
      </c>
      <c r="D2" s="1" t="s">
        <v>618</v>
      </c>
      <c r="E2" s="31">
        <v>1</v>
      </c>
      <c r="F2" s="31">
        <v>3535</v>
      </c>
      <c r="G2" s="75"/>
      <c r="H2" s="31">
        <v>3500</v>
      </c>
      <c r="I2" s="31">
        <v>3500</v>
      </c>
      <c r="J2" s="31">
        <v>0</v>
      </c>
      <c r="K2" s="31">
        <v>0</v>
      </c>
      <c r="L2" s="31">
        <v>0</v>
      </c>
      <c r="M2" s="31">
        <v>0</v>
      </c>
      <c r="N2" s="31">
        <v>35</v>
      </c>
      <c r="O2" s="31">
        <v>0</v>
      </c>
      <c r="P2" s="31">
        <v>0</v>
      </c>
      <c r="Q2" s="31">
        <v>0</v>
      </c>
      <c r="R2" s="31">
        <v>0</v>
      </c>
      <c r="S2" s="75" t="s">
        <v>57</v>
      </c>
    </row>
    <row r="3" spans="1:19" ht="15.75" customHeight="1">
      <c r="A3" s="24">
        <v>341</v>
      </c>
      <c r="B3" s="53" t="s">
        <v>619</v>
      </c>
      <c r="C3" s="53" t="s">
        <v>620</v>
      </c>
      <c r="D3" s="1" t="s">
        <v>618</v>
      </c>
      <c r="E3" s="31">
        <v>1</v>
      </c>
      <c r="F3" s="31">
        <v>3515</v>
      </c>
      <c r="G3" s="75"/>
      <c r="H3" s="31">
        <v>3480</v>
      </c>
      <c r="I3" s="31">
        <v>3480</v>
      </c>
      <c r="J3" s="31">
        <v>0</v>
      </c>
      <c r="K3" s="31">
        <v>0</v>
      </c>
      <c r="L3" s="31">
        <v>0</v>
      </c>
      <c r="M3" s="31">
        <v>35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75" t="s">
        <v>46</v>
      </c>
    </row>
    <row r="4" spans="1:19" ht="15.75" customHeight="1">
      <c r="A4" s="24">
        <v>340</v>
      </c>
      <c r="B4" s="53" t="s">
        <v>621</v>
      </c>
      <c r="C4" s="53" t="s">
        <v>622</v>
      </c>
      <c r="D4" s="1" t="s">
        <v>618</v>
      </c>
      <c r="E4" s="31">
        <v>7</v>
      </c>
      <c r="F4" s="31">
        <v>2260</v>
      </c>
      <c r="G4" s="75"/>
      <c r="H4" s="31">
        <v>2225</v>
      </c>
      <c r="I4" s="31">
        <v>2225</v>
      </c>
      <c r="J4" s="31">
        <v>0</v>
      </c>
      <c r="K4" s="31">
        <v>0</v>
      </c>
      <c r="L4" s="31">
        <v>0</v>
      </c>
      <c r="M4" s="31">
        <v>35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75" t="s">
        <v>89</v>
      </c>
    </row>
    <row r="5" spans="1:19" ht="15.75" customHeight="1">
      <c r="A5" s="24">
        <v>341</v>
      </c>
      <c r="B5" s="53" t="s">
        <v>623</v>
      </c>
      <c r="C5" s="53" t="s">
        <v>624</v>
      </c>
      <c r="D5" s="1" t="s">
        <v>618</v>
      </c>
      <c r="E5" s="31">
        <v>2</v>
      </c>
      <c r="F5" s="31">
        <v>2220</v>
      </c>
      <c r="G5" s="75"/>
      <c r="H5" s="31">
        <v>1820</v>
      </c>
      <c r="I5" s="31">
        <v>1820</v>
      </c>
      <c r="J5" s="31">
        <v>0</v>
      </c>
      <c r="K5" s="31">
        <v>0</v>
      </c>
      <c r="L5" s="31">
        <v>0</v>
      </c>
      <c r="M5" s="31">
        <v>0</v>
      </c>
      <c r="N5" s="31">
        <v>400</v>
      </c>
      <c r="O5" s="31">
        <v>0</v>
      </c>
      <c r="P5" s="31">
        <v>0</v>
      </c>
      <c r="Q5" s="31">
        <v>300</v>
      </c>
      <c r="R5" s="31">
        <v>0</v>
      </c>
      <c r="S5" s="75" t="s">
        <v>86</v>
      </c>
    </row>
    <row r="6" spans="1:19" ht="15.75" customHeight="1">
      <c r="A6" s="24">
        <v>341</v>
      </c>
      <c r="B6" s="53" t="s">
        <v>625</v>
      </c>
      <c r="C6" s="53" t="s">
        <v>626</v>
      </c>
      <c r="D6" s="1" t="s">
        <v>618</v>
      </c>
      <c r="E6" s="31">
        <v>1</v>
      </c>
      <c r="F6" s="31">
        <v>2160</v>
      </c>
      <c r="G6" s="75"/>
      <c r="H6" s="31">
        <v>2125</v>
      </c>
      <c r="I6" s="31">
        <v>2125</v>
      </c>
      <c r="J6" s="31">
        <v>0</v>
      </c>
      <c r="K6" s="31">
        <v>0</v>
      </c>
      <c r="L6" s="31">
        <v>0</v>
      </c>
      <c r="M6" s="31">
        <v>0</v>
      </c>
      <c r="N6" s="31">
        <v>35</v>
      </c>
      <c r="O6" s="31">
        <v>0</v>
      </c>
      <c r="P6" s="31">
        <v>0</v>
      </c>
      <c r="Q6" s="31">
        <v>0</v>
      </c>
      <c r="R6" s="31">
        <v>0</v>
      </c>
      <c r="S6" s="75" t="s">
        <v>57</v>
      </c>
    </row>
    <row r="7" spans="1:19" ht="15.75" customHeight="1">
      <c r="A7" s="24">
        <v>340</v>
      </c>
      <c r="B7" s="53" t="s">
        <v>627</v>
      </c>
      <c r="C7" s="53" t="s">
        <v>628</v>
      </c>
      <c r="D7" s="1" t="s">
        <v>618</v>
      </c>
      <c r="E7" s="31">
        <v>1</v>
      </c>
      <c r="F7" s="31">
        <v>1985</v>
      </c>
      <c r="G7" s="75"/>
      <c r="H7" s="31">
        <v>1750</v>
      </c>
      <c r="I7" s="31">
        <v>1750</v>
      </c>
      <c r="J7" s="31">
        <v>0</v>
      </c>
      <c r="K7" s="31">
        <v>0</v>
      </c>
      <c r="L7" s="31">
        <v>0</v>
      </c>
      <c r="M7" s="31">
        <v>0</v>
      </c>
      <c r="N7" s="31">
        <v>35</v>
      </c>
      <c r="O7" s="31">
        <v>0</v>
      </c>
      <c r="P7" s="31">
        <v>200</v>
      </c>
      <c r="Q7" s="31">
        <v>0</v>
      </c>
      <c r="R7" s="31">
        <v>0</v>
      </c>
      <c r="S7" s="75" t="s">
        <v>47</v>
      </c>
    </row>
    <row r="8" spans="1:19" ht="15.75" customHeight="1">
      <c r="A8" s="24">
        <v>341</v>
      </c>
      <c r="B8" s="53" t="s">
        <v>629</v>
      </c>
      <c r="C8" s="53" t="s">
        <v>630</v>
      </c>
      <c r="D8" s="1" t="s">
        <v>618</v>
      </c>
      <c r="E8" s="31">
        <v>3</v>
      </c>
      <c r="F8" s="31">
        <v>1800</v>
      </c>
      <c r="G8" s="75"/>
      <c r="H8" s="31">
        <v>1765</v>
      </c>
      <c r="I8" s="31">
        <v>1765</v>
      </c>
      <c r="J8" s="31">
        <v>0</v>
      </c>
      <c r="K8" s="31">
        <v>0</v>
      </c>
      <c r="L8" s="31">
        <v>0</v>
      </c>
      <c r="M8" s="31">
        <v>0</v>
      </c>
      <c r="N8" s="31">
        <v>35</v>
      </c>
      <c r="O8" s="31">
        <v>0</v>
      </c>
      <c r="P8" s="31">
        <v>0</v>
      </c>
      <c r="Q8" s="31">
        <v>0</v>
      </c>
      <c r="R8" s="31">
        <v>0</v>
      </c>
      <c r="S8" s="75" t="s">
        <v>89</v>
      </c>
    </row>
    <row r="9" spans="1:19" ht="15.75" customHeight="1">
      <c r="A9" s="24">
        <v>341</v>
      </c>
      <c r="B9" s="53" t="s">
        <v>631</v>
      </c>
      <c r="C9" s="53" t="s">
        <v>632</v>
      </c>
      <c r="D9" s="1" t="s">
        <v>618</v>
      </c>
      <c r="E9" s="31">
        <v>1</v>
      </c>
      <c r="F9" s="31">
        <v>1635</v>
      </c>
      <c r="G9" s="75"/>
      <c r="H9" s="31">
        <v>1600</v>
      </c>
      <c r="I9" s="31">
        <v>1600</v>
      </c>
      <c r="J9" s="31">
        <v>0</v>
      </c>
      <c r="K9" s="31">
        <v>0</v>
      </c>
      <c r="L9" s="31">
        <v>0</v>
      </c>
      <c r="M9" s="31">
        <v>0</v>
      </c>
      <c r="N9" s="31">
        <v>35</v>
      </c>
      <c r="O9" s="31">
        <v>0</v>
      </c>
      <c r="P9" s="31">
        <v>0</v>
      </c>
      <c r="Q9" s="31">
        <v>0</v>
      </c>
      <c r="R9" s="31">
        <v>0</v>
      </c>
      <c r="S9" s="75" t="s">
        <v>89</v>
      </c>
    </row>
    <row r="10" spans="1:19" ht="15.75" customHeight="1">
      <c r="A10" s="24">
        <v>340</v>
      </c>
      <c r="B10" s="53" t="s">
        <v>633</v>
      </c>
      <c r="C10" s="53" t="s">
        <v>634</v>
      </c>
      <c r="D10" s="1" t="s">
        <v>618</v>
      </c>
      <c r="E10" s="31">
        <v>2</v>
      </c>
      <c r="F10" s="31">
        <v>1585</v>
      </c>
      <c r="G10" s="75"/>
      <c r="H10" s="31">
        <v>1550</v>
      </c>
      <c r="I10" s="31">
        <v>1550</v>
      </c>
      <c r="J10" s="31">
        <v>0</v>
      </c>
      <c r="K10" s="31">
        <v>0</v>
      </c>
      <c r="L10" s="31">
        <v>0</v>
      </c>
      <c r="M10" s="31">
        <v>0</v>
      </c>
      <c r="N10" s="31">
        <v>35</v>
      </c>
      <c r="O10" s="31">
        <v>0</v>
      </c>
      <c r="P10" s="31">
        <v>0</v>
      </c>
      <c r="Q10" s="31">
        <v>0</v>
      </c>
      <c r="R10" s="31">
        <v>0</v>
      </c>
      <c r="S10" s="75" t="s">
        <v>57</v>
      </c>
    </row>
    <row r="11" spans="1:19" ht="15.75" customHeight="1">
      <c r="A11" s="24">
        <v>340</v>
      </c>
      <c r="B11" s="53" t="s">
        <v>635</v>
      </c>
      <c r="C11" s="53" t="s">
        <v>636</v>
      </c>
      <c r="D11" s="1" t="s">
        <v>618</v>
      </c>
      <c r="E11" s="31">
        <v>4</v>
      </c>
      <c r="F11" s="31">
        <v>1535</v>
      </c>
      <c r="G11" s="75"/>
      <c r="H11" s="31">
        <v>1365</v>
      </c>
      <c r="I11" s="31">
        <v>1365</v>
      </c>
      <c r="J11" s="31">
        <v>0</v>
      </c>
      <c r="K11" s="31">
        <v>0</v>
      </c>
      <c r="L11" s="31">
        <v>0</v>
      </c>
      <c r="M11" s="31">
        <v>35</v>
      </c>
      <c r="N11" s="31">
        <v>35</v>
      </c>
      <c r="O11" s="31">
        <v>0</v>
      </c>
      <c r="P11" s="31">
        <v>100</v>
      </c>
      <c r="Q11" s="31">
        <v>0</v>
      </c>
      <c r="R11" s="31">
        <v>0</v>
      </c>
      <c r="S11" s="75" t="s">
        <v>98</v>
      </c>
    </row>
    <row r="12" spans="1:19" ht="15.75" customHeight="1">
      <c r="A12" s="24">
        <v>341</v>
      </c>
      <c r="B12" s="53" t="s">
        <v>637</v>
      </c>
      <c r="C12" s="53" t="s">
        <v>638</v>
      </c>
      <c r="D12" s="1" t="s">
        <v>618</v>
      </c>
      <c r="E12" s="31">
        <v>2</v>
      </c>
      <c r="F12" s="31">
        <v>1415</v>
      </c>
      <c r="G12" s="75"/>
      <c r="H12" s="31">
        <v>1100</v>
      </c>
      <c r="I12" s="31">
        <v>1100</v>
      </c>
      <c r="J12" s="31">
        <v>0</v>
      </c>
      <c r="K12" s="31">
        <v>0</v>
      </c>
      <c r="L12" s="31">
        <v>0</v>
      </c>
      <c r="M12" s="31">
        <v>0</v>
      </c>
      <c r="N12" s="31">
        <v>315</v>
      </c>
      <c r="O12" s="31">
        <v>0</v>
      </c>
      <c r="P12" s="31">
        <v>0</v>
      </c>
      <c r="Q12" s="31">
        <v>0</v>
      </c>
      <c r="R12" s="31">
        <v>0</v>
      </c>
      <c r="S12" s="75" t="s">
        <v>94</v>
      </c>
    </row>
    <row r="13" spans="1:19" ht="15.75" customHeight="1">
      <c r="A13" s="24">
        <v>341</v>
      </c>
      <c r="B13" s="53" t="s">
        <v>639</v>
      </c>
      <c r="C13" s="53" t="s">
        <v>640</v>
      </c>
      <c r="D13" s="1" t="s">
        <v>618</v>
      </c>
      <c r="E13" s="31">
        <v>3</v>
      </c>
      <c r="F13" s="31">
        <v>1210</v>
      </c>
      <c r="G13" s="75"/>
      <c r="H13" s="31">
        <v>1175</v>
      </c>
      <c r="I13" s="31">
        <v>1175</v>
      </c>
      <c r="J13" s="31">
        <v>0</v>
      </c>
      <c r="K13" s="31">
        <v>0</v>
      </c>
      <c r="L13" s="31">
        <v>0</v>
      </c>
      <c r="M13" s="31">
        <v>35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75" t="s">
        <v>44</v>
      </c>
    </row>
    <row r="14" spans="1:19" ht="15.75" customHeight="1">
      <c r="A14" s="24">
        <v>340</v>
      </c>
      <c r="B14" s="53" t="s">
        <v>641</v>
      </c>
      <c r="C14" s="53" t="s">
        <v>642</v>
      </c>
      <c r="D14" s="1" t="s">
        <v>618</v>
      </c>
      <c r="E14" s="31">
        <v>3</v>
      </c>
      <c r="F14" s="31">
        <v>1200</v>
      </c>
      <c r="G14" s="75"/>
      <c r="H14" s="31">
        <v>1095</v>
      </c>
      <c r="I14" s="31">
        <v>150</v>
      </c>
      <c r="J14" s="31">
        <v>0</v>
      </c>
      <c r="K14" s="31">
        <v>0</v>
      </c>
      <c r="L14" s="31">
        <v>0</v>
      </c>
      <c r="M14" s="31">
        <v>105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75" t="s">
        <v>86</v>
      </c>
    </row>
    <row r="15" spans="1:19" ht="15.75" customHeight="1">
      <c r="A15" s="24">
        <v>340</v>
      </c>
      <c r="B15" s="53" t="s">
        <v>643</v>
      </c>
      <c r="C15" s="53" t="s">
        <v>644</v>
      </c>
      <c r="D15" s="1" t="s">
        <v>645</v>
      </c>
      <c r="E15" s="31">
        <v>0</v>
      </c>
      <c r="F15" s="31">
        <v>1135</v>
      </c>
      <c r="G15" s="75"/>
      <c r="H15" s="31">
        <v>1100</v>
      </c>
      <c r="I15" s="31">
        <v>0</v>
      </c>
      <c r="J15" s="31">
        <v>0</v>
      </c>
      <c r="K15" s="31">
        <v>0</v>
      </c>
      <c r="L15" s="31">
        <v>0</v>
      </c>
      <c r="M15" s="31">
        <v>35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75" t="s">
        <v>46</v>
      </c>
    </row>
    <row r="16" spans="1:19" ht="15.75" customHeight="1">
      <c r="A16" s="24">
        <v>341</v>
      </c>
      <c r="B16" s="53" t="s">
        <v>646</v>
      </c>
      <c r="C16" s="53" t="s">
        <v>647</v>
      </c>
      <c r="D16" s="1" t="s">
        <v>618</v>
      </c>
      <c r="E16" s="31">
        <v>1</v>
      </c>
      <c r="F16" s="31">
        <v>980</v>
      </c>
      <c r="G16" s="75"/>
      <c r="H16" s="31">
        <v>945</v>
      </c>
      <c r="I16" s="31">
        <v>945</v>
      </c>
      <c r="J16" s="31">
        <v>0</v>
      </c>
      <c r="K16" s="31">
        <v>0</v>
      </c>
      <c r="L16" s="31">
        <v>0</v>
      </c>
      <c r="M16" s="31">
        <v>0</v>
      </c>
      <c r="N16" s="31">
        <v>35</v>
      </c>
      <c r="O16" s="31">
        <v>0</v>
      </c>
      <c r="P16" s="31">
        <v>0</v>
      </c>
      <c r="Q16" s="31">
        <v>35</v>
      </c>
      <c r="R16" s="31">
        <v>0</v>
      </c>
      <c r="S16" s="75" t="s">
        <v>86</v>
      </c>
    </row>
    <row r="17" spans="1:19" ht="15.75" customHeight="1">
      <c r="A17" s="24">
        <v>341</v>
      </c>
      <c r="B17" s="53" t="s">
        <v>648</v>
      </c>
      <c r="C17" s="53" t="s">
        <v>649</v>
      </c>
      <c r="D17" s="1" t="s">
        <v>618</v>
      </c>
      <c r="E17" s="31">
        <v>1</v>
      </c>
      <c r="F17" s="31">
        <v>940</v>
      </c>
      <c r="G17" s="75"/>
      <c r="H17" s="31">
        <v>905</v>
      </c>
      <c r="I17" s="31">
        <v>905</v>
      </c>
      <c r="J17" s="31">
        <v>0</v>
      </c>
      <c r="K17" s="31">
        <v>0</v>
      </c>
      <c r="L17" s="31">
        <v>0</v>
      </c>
      <c r="M17" s="31">
        <v>0</v>
      </c>
      <c r="N17" s="31">
        <v>35</v>
      </c>
      <c r="O17" s="31">
        <v>0</v>
      </c>
      <c r="P17" s="31">
        <v>0</v>
      </c>
      <c r="Q17" s="31">
        <v>0</v>
      </c>
      <c r="R17" s="31">
        <v>0</v>
      </c>
      <c r="S17" s="75" t="s">
        <v>47</v>
      </c>
    </row>
    <row r="18" spans="1:19" ht="15.75" customHeight="1">
      <c r="A18" s="24">
        <v>340</v>
      </c>
      <c r="B18" s="53" t="s">
        <v>650</v>
      </c>
      <c r="C18" s="53" t="s">
        <v>651</v>
      </c>
      <c r="D18" s="1" t="s">
        <v>618</v>
      </c>
      <c r="E18" s="31">
        <v>1</v>
      </c>
      <c r="F18" s="31">
        <v>935</v>
      </c>
      <c r="G18" s="75"/>
      <c r="H18" s="31">
        <v>900</v>
      </c>
      <c r="I18" s="31">
        <v>900</v>
      </c>
      <c r="J18" s="31">
        <v>0</v>
      </c>
      <c r="K18" s="31">
        <v>0</v>
      </c>
      <c r="L18" s="31">
        <v>0</v>
      </c>
      <c r="M18" s="31">
        <v>0</v>
      </c>
      <c r="N18" s="31">
        <v>35</v>
      </c>
      <c r="O18" s="31">
        <v>0</v>
      </c>
      <c r="P18" s="31">
        <v>0</v>
      </c>
      <c r="Q18" s="31">
        <v>0</v>
      </c>
      <c r="R18" s="31">
        <v>0</v>
      </c>
      <c r="S18" s="75" t="s">
        <v>89</v>
      </c>
    </row>
    <row r="19" spans="1:19" ht="15.75" customHeight="1">
      <c r="A19" s="24">
        <v>340</v>
      </c>
      <c r="B19" s="53" t="s">
        <v>652</v>
      </c>
      <c r="C19" s="53" t="s">
        <v>653</v>
      </c>
      <c r="D19" s="1" t="s">
        <v>618</v>
      </c>
      <c r="E19" s="31">
        <v>6</v>
      </c>
      <c r="F19" s="31">
        <v>875</v>
      </c>
      <c r="G19" s="75"/>
      <c r="H19" s="31">
        <v>835</v>
      </c>
      <c r="I19" s="31">
        <v>835</v>
      </c>
      <c r="J19" s="31">
        <v>0</v>
      </c>
      <c r="K19" s="31">
        <v>0</v>
      </c>
      <c r="L19" s="31">
        <v>0</v>
      </c>
      <c r="M19" s="31">
        <v>40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75" t="s">
        <v>90</v>
      </c>
    </row>
    <row r="20" spans="1:19" ht="15.75" customHeight="1">
      <c r="A20" s="24">
        <v>340</v>
      </c>
      <c r="B20" s="53" t="s">
        <v>654</v>
      </c>
      <c r="C20" s="53" t="s">
        <v>655</v>
      </c>
      <c r="D20" s="1" t="s">
        <v>618</v>
      </c>
      <c r="E20" s="31">
        <v>1</v>
      </c>
      <c r="F20" s="31">
        <v>750.76</v>
      </c>
      <c r="G20" s="75"/>
      <c r="H20" s="31">
        <v>690.35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75" t="s">
        <v>38</v>
      </c>
    </row>
    <row r="21" spans="1:19" ht="15.75" customHeight="1">
      <c r="A21" s="24">
        <v>340</v>
      </c>
      <c r="B21" s="53" t="s">
        <v>656</v>
      </c>
      <c r="C21" s="53" t="s">
        <v>657</v>
      </c>
      <c r="D21" s="1" t="s">
        <v>618</v>
      </c>
      <c r="E21" s="31">
        <v>1</v>
      </c>
      <c r="F21" s="31">
        <v>700</v>
      </c>
      <c r="G21" s="75"/>
      <c r="H21" s="31">
        <v>700</v>
      </c>
      <c r="I21" s="31">
        <v>700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75" t="s">
        <v>89</v>
      </c>
    </row>
    <row r="22" spans="1:19" ht="15.75" customHeight="1">
      <c r="A22" s="24">
        <v>340</v>
      </c>
      <c r="B22" s="53" t="s">
        <v>658</v>
      </c>
      <c r="C22" s="53" t="s">
        <v>659</v>
      </c>
      <c r="D22" s="1" t="s">
        <v>618</v>
      </c>
      <c r="E22" s="31">
        <v>2</v>
      </c>
      <c r="F22" s="31">
        <v>660</v>
      </c>
      <c r="G22" s="75"/>
      <c r="H22" s="31">
        <v>410</v>
      </c>
      <c r="I22" s="31">
        <v>410</v>
      </c>
      <c r="J22" s="31">
        <v>0</v>
      </c>
      <c r="K22" s="31">
        <v>0</v>
      </c>
      <c r="L22" s="31">
        <v>0</v>
      </c>
      <c r="M22" s="31">
        <v>250</v>
      </c>
      <c r="N22" s="31">
        <v>0</v>
      </c>
      <c r="O22" s="31">
        <v>0</v>
      </c>
      <c r="P22" s="31">
        <v>0</v>
      </c>
      <c r="Q22" s="31">
        <v>110</v>
      </c>
      <c r="R22" s="31">
        <v>0</v>
      </c>
      <c r="S22" s="75" t="s">
        <v>59</v>
      </c>
    </row>
    <row r="23" spans="1:19" ht="15.75" customHeight="1">
      <c r="A23" s="24">
        <v>340</v>
      </c>
      <c r="B23" s="53" t="s">
        <v>660</v>
      </c>
      <c r="C23" s="53" t="s">
        <v>661</v>
      </c>
      <c r="D23" s="1" t="s">
        <v>618</v>
      </c>
      <c r="E23" s="31">
        <v>2</v>
      </c>
      <c r="F23" s="31">
        <v>655</v>
      </c>
      <c r="G23" s="75"/>
      <c r="H23" s="31">
        <v>655</v>
      </c>
      <c r="I23" s="31">
        <v>655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75" t="s">
        <v>86</v>
      </c>
    </row>
    <row r="24" spans="1:19" ht="15.75" customHeight="1">
      <c r="A24" s="24">
        <v>340</v>
      </c>
      <c r="B24" s="53" t="s">
        <v>662</v>
      </c>
      <c r="C24" s="53" t="s">
        <v>663</v>
      </c>
      <c r="D24" s="1" t="s">
        <v>618</v>
      </c>
      <c r="E24" s="31">
        <v>2</v>
      </c>
      <c r="F24" s="31">
        <v>640</v>
      </c>
      <c r="G24" s="75"/>
      <c r="H24" s="31">
        <v>505</v>
      </c>
      <c r="I24" s="31">
        <v>505</v>
      </c>
      <c r="J24" s="31">
        <v>0</v>
      </c>
      <c r="K24" s="31">
        <v>0</v>
      </c>
      <c r="L24" s="31">
        <v>0</v>
      </c>
      <c r="M24" s="31">
        <v>0</v>
      </c>
      <c r="N24" s="31">
        <v>35</v>
      </c>
      <c r="O24" s="31">
        <v>0</v>
      </c>
      <c r="P24" s="31">
        <v>100</v>
      </c>
      <c r="Q24" s="31">
        <v>0</v>
      </c>
      <c r="R24" s="31">
        <v>0</v>
      </c>
      <c r="S24" s="75" t="s">
        <v>60</v>
      </c>
    </row>
    <row r="25" spans="1:19" ht="15.75" customHeight="1">
      <c r="A25" s="24">
        <v>341</v>
      </c>
      <c r="B25" s="53" t="s">
        <v>664</v>
      </c>
      <c r="C25" s="53" t="s">
        <v>665</v>
      </c>
      <c r="D25" s="1" t="s">
        <v>618</v>
      </c>
      <c r="E25" s="31">
        <v>1</v>
      </c>
      <c r="F25" s="31">
        <v>635</v>
      </c>
      <c r="G25" s="75"/>
      <c r="H25" s="31">
        <v>600</v>
      </c>
      <c r="I25" s="31">
        <v>600</v>
      </c>
      <c r="J25" s="31">
        <v>0</v>
      </c>
      <c r="K25" s="31">
        <v>0</v>
      </c>
      <c r="L25" s="31">
        <v>0</v>
      </c>
      <c r="M25" s="31">
        <v>0</v>
      </c>
      <c r="N25" s="31">
        <v>35</v>
      </c>
      <c r="O25" s="31">
        <v>0</v>
      </c>
      <c r="P25" s="31">
        <v>0</v>
      </c>
      <c r="Q25" s="31">
        <v>0</v>
      </c>
      <c r="R25" s="31">
        <v>0</v>
      </c>
      <c r="S25" s="75" t="s">
        <v>90</v>
      </c>
    </row>
    <row r="26" spans="1:19" ht="15.75" customHeight="1">
      <c r="A26" s="24">
        <v>340</v>
      </c>
      <c r="B26" s="53" t="s">
        <v>666</v>
      </c>
      <c r="C26" s="53" t="s">
        <v>628</v>
      </c>
      <c r="D26" s="1" t="s">
        <v>618</v>
      </c>
      <c r="E26" s="31">
        <v>3</v>
      </c>
      <c r="F26" s="31">
        <v>600</v>
      </c>
      <c r="G26" s="75"/>
      <c r="H26" s="31">
        <v>565</v>
      </c>
      <c r="I26" s="31">
        <v>565</v>
      </c>
      <c r="J26" s="31">
        <v>0</v>
      </c>
      <c r="K26" s="31">
        <v>0</v>
      </c>
      <c r="L26" s="31">
        <v>0</v>
      </c>
      <c r="M26" s="31">
        <v>35</v>
      </c>
      <c r="N26" s="31">
        <v>0</v>
      </c>
      <c r="O26" s="31">
        <v>0</v>
      </c>
      <c r="P26" s="31">
        <v>0</v>
      </c>
      <c r="Q26" s="31">
        <v>60</v>
      </c>
      <c r="R26" s="31">
        <v>0</v>
      </c>
      <c r="S26" s="75" t="s">
        <v>43</v>
      </c>
    </row>
    <row r="27" spans="1:19" ht="14.4">
      <c r="A27" s="24">
        <v>341</v>
      </c>
      <c r="B27" s="53" t="s">
        <v>667</v>
      </c>
      <c r="C27" s="53" t="s">
        <v>668</v>
      </c>
      <c r="D27" s="1" t="s">
        <v>618</v>
      </c>
      <c r="E27" s="31">
        <v>4</v>
      </c>
      <c r="F27" s="31">
        <v>590</v>
      </c>
      <c r="G27" s="75"/>
      <c r="H27" s="31">
        <v>590</v>
      </c>
      <c r="I27" s="31">
        <v>590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75" t="s">
        <v>86</v>
      </c>
    </row>
    <row r="28" spans="1:19" ht="14.4">
      <c r="A28" s="24">
        <v>340</v>
      </c>
      <c r="B28" s="53" t="s">
        <v>669</v>
      </c>
      <c r="C28" s="53" t="s">
        <v>670</v>
      </c>
      <c r="D28" s="1" t="s">
        <v>618</v>
      </c>
      <c r="E28" s="31">
        <v>3</v>
      </c>
      <c r="F28" s="31">
        <v>585</v>
      </c>
      <c r="G28" s="75"/>
      <c r="H28" s="31">
        <v>550</v>
      </c>
      <c r="I28" s="31">
        <v>550</v>
      </c>
      <c r="J28" s="31">
        <v>0</v>
      </c>
      <c r="K28" s="31">
        <v>0</v>
      </c>
      <c r="L28" s="31">
        <v>0</v>
      </c>
      <c r="M28" s="31">
        <v>35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75" t="s">
        <v>46</v>
      </c>
    </row>
    <row r="29" spans="1:19" ht="14.4">
      <c r="A29" s="24">
        <v>341</v>
      </c>
      <c r="B29" s="53" t="s">
        <v>671</v>
      </c>
      <c r="C29" s="53" t="s">
        <v>672</v>
      </c>
      <c r="D29" s="1" t="s">
        <v>618</v>
      </c>
      <c r="E29" s="31">
        <v>1</v>
      </c>
      <c r="F29" s="31">
        <v>555</v>
      </c>
      <c r="G29" s="75"/>
      <c r="H29" s="31">
        <v>520</v>
      </c>
      <c r="I29" s="31">
        <v>520</v>
      </c>
      <c r="J29" s="31">
        <v>0</v>
      </c>
      <c r="K29" s="31">
        <v>0</v>
      </c>
      <c r="L29" s="31">
        <v>0</v>
      </c>
      <c r="M29" s="31">
        <v>0</v>
      </c>
      <c r="N29" s="31">
        <v>35</v>
      </c>
      <c r="O29" s="31">
        <v>0</v>
      </c>
      <c r="P29" s="31">
        <v>0</v>
      </c>
      <c r="Q29" s="31">
        <v>0</v>
      </c>
      <c r="R29" s="31">
        <v>0</v>
      </c>
      <c r="S29" s="75" t="s">
        <v>47</v>
      </c>
    </row>
    <row r="30" spans="1:19" ht="14.4">
      <c r="A30" s="24">
        <v>341</v>
      </c>
      <c r="B30" s="53" t="s">
        <v>673</v>
      </c>
      <c r="C30" s="53" t="s">
        <v>674</v>
      </c>
      <c r="D30" s="1" t="s">
        <v>618</v>
      </c>
      <c r="E30" s="31">
        <v>1</v>
      </c>
      <c r="F30" s="31">
        <v>520</v>
      </c>
      <c r="G30" s="75"/>
      <c r="H30" s="31">
        <v>520</v>
      </c>
      <c r="I30" s="31">
        <v>520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75" t="s">
        <v>101</v>
      </c>
    </row>
    <row r="31" spans="1:19" ht="14.4">
      <c r="A31" s="24">
        <v>340</v>
      </c>
      <c r="B31" s="53" t="s">
        <v>675</v>
      </c>
      <c r="C31" s="53" t="s">
        <v>676</v>
      </c>
      <c r="D31" s="1" t="s">
        <v>618</v>
      </c>
      <c r="E31" s="31">
        <v>1</v>
      </c>
      <c r="F31" s="31">
        <v>500</v>
      </c>
      <c r="G31" s="75"/>
      <c r="H31" s="31">
        <v>500</v>
      </c>
      <c r="I31" s="31">
        <v>500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75" t="s">
        <v>59</v>
      </c>
    </row>
    <row r="32" spans="1:19" ht="14.4">
      <c r="A32" s="24">
        <v>340</v>
      </c>
      <c r="B32" s="53" t="s">
        <v>677</v>
      </c>
      <c r="C32" s="53" t="s">
        <v>678</v>
      </c>
      <c r="D32" s="1" t="s">
        <v>618</v>
      </c>
      <c r="E32" s="31">
        <v>1</v>
      </c>
      <c r="F32" s="31">
        <v>500</v>
      </c>
      <c r="G32" s="75"/>
      <c r="H32" s="31">
        <v>500</v>
      </c>
      <c r="I32" s="31">
        <v>500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75" t="s">
        <v>94</v>
      </c>
    </row>
    <row r="33" spans="1:19" ht="14.4">
      <c r="A33" s="24">
        <v>341</v>
      </c>
      <c r="B33" s="53" t="s">
        <v>679</v>
      </c>
      <c r="C33" s="53" t="s">
        <v>680</v>
      </c>
      <c r="D33" s="1" t="s">
        <v>618</v>
      </c>
      <c r="E33" s="31">
        <v>1</v>
      </c>
      <c r="F33" s="31">
        <v>500</v>
      </c>
      <c r="G33" s="75"/>
      <c r="H33" s="31">
        <v>465</v>
      </c>
      <c r="I33" s="31">
        <v>465</v>
      </c>
      <c r="J33" s="31">
        <v>0</v>
      </c>
      <c r="K33" s="31">
        <v>0</v>
      </c>
      <c r="L33" s="31">
        <v>0</v>
      </c>
      <c r="M33" s="31">
        <v>0</v>
      </c>
      <c r="N33" s="31">
        <v>35</v>
      </c>
      <c r="O33" s="31">
        <v>0</v>
      </c>
      <c r="P33" s="31">
        <v>0</v>
      </c>
      <c r="Q33" s="31">
        <v>0</v>
      </c>
      <c r="R33" s="31">
        <v>0</v>
      </c>
      <c r="S33" s="75" t="s">
        <v>681</v>
      </c>
    </row>
    <row r="34" spans="1:19" ht="14.4">
      <c r="A34" s="24">
        <v>340</v>
      </c>
      <c r="B34" s="53" t="s">
        <v>682</v>
      </c>
      <c r="C34" s="53" t="s">
        <v>683</v>
      </c>
      <c r="D34" s="1" t="s">
        <v>618</v>
      </c>
      <c r="E34" s="31">
        <v>1</v>
      </c>
      <c r="F34" s="31">
        <v>450</v>
      </c>
      <c r="G34" s="75"/>
      <c r="H34" s="31">
        <v>450</v>
      </c>
      <c r="I34" s="31">
        <v>450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75" t="s">
        <v>101</v>
      </c>
    </row>
    <row r="35" spans="1:19" ht="14.4">
      <c r="A35" s="24">
        <v>340</v>
      </c>
      <c r="B35" s="53" t="s">
        <v>634</v>
      </c>
      <c r="C35" s="53" t="s">
        <v>684</v>
      </c>
      <c r="D35" s="1" t="s">
        <v>618</v>
      </c>
      <c r="E35" s="31">
        <v>1</v>
      </c>
      <c r="F35" s="31">
        <v>450</v>
      </c>
      <c r="G35" s="75"/>
      <c r="H35" s="31">
        <v>415</v>
      </c>
      <c r="I35" s="31">
        <v>415</v>
      </c>
      <c r="J35" s="31">
        <v>0</v>
      </c>
      <c r="K35" s="31">
        <v>0</v>
      </c>
      <c r="L35" s="31">
        <v>0</v>
      </c>
      <c r="M35" s="31">
        <v>0</v>
      </c>
      <c r="N35" s="31">
        <v>35</v>
      </c>
      <c r="O35" s="31">
        <v>0</v>
      </c>
      <c r="P35" s="31">
        <v>0</v>
      </c>
      <c r="Q35" s="31">
        <v>0</v>
      </c>
      <c r="R35" s="31">
        <v>0</v>
      </c>
      <c r="S35" s="75" t="s">
        <v>37</v>
      </c>
    </row>
    <row r="36" spans="1:19" ht="14.4">
      <c r="A36" s="24">
        <v>341</v>
      </c>
      <c r="B36" s="53" t="s">
        <v>685</v>
      </c>
      <c r="C36" s="53" t="s">
        <v>629</v>
      </c>
      <c r="D36" s="1" t="s">
        <v>618</v>
      </c>
      <c r="E36" s="31">
        <v>1</v>
      </c>
      <c r="F36" s="31">
        <v>435</v>
      </c>
      <c r="G36" s="75"/>
      <c r="H36" s="31">
        <v>400</v>
      </c>
      <c r="I36" s="31">
        <v>400</v>
      </c>
      <c r="J36" s="31">
        <v>0</v>
      </c>
      <c r="K36" s="31">
        <v>0</v>
      </c>
      <c r="L36" s="31">
        <v>0</v>
      </c>
      <c r="M36" s="31">
        <v>35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75" t="s">
        <v>57</v>
      </c>
    </row>
    <row r="37" spans="1:19" ht="14.4">
      <c r="A37" s="24">
        <v>341</v>
      </c>
      <c r="B37" s="53" t="s">
        <v>686</v>
      </c>
      <c r="C37" s="53" t="s">
        <v>687</v>
      </c>
      <c r="D37" s="1" t="s">
        <v>618</v>
      </c>
      <c r="E37" s="31">
        <v>1</v>
      </c>
      <c r="F37" s="31">
        <v>416.5</v>
      </c>
      <c r="G37" s="75"/>
      <c r="H37" s="31">
        <v>350</v>
      </c>
      <c r="I37" s="31">
        <v>350</v>
      </c>
      <c r="J37" s="31">
        <v>0</v>
      </c>
      <c r="K37" s="31">
        <v>0</v>
      </c>
      <c r="L37" s="31">
        <v>0</v>
      </c>
      <c r="M37" s="31">
        <v>0</v>
      </c>
      <c r="N37" s="31">
        <v>35</v>
      </c>
      <c r="O37" s="31">
        <v>0</v>
      </c>
      <c r="P37" s="31">
        <v>0</v>
      </c>
      <c r="Q37" s="31">
        <v>0</v>
      </c>
      <c r="R37" s="31">
        <v>0</v>
      </c>
      <c r="S37" s="75" t="s">
        <v>59</v>
      </c>
    </row>
    <row r="38" spans="1:19" ht="14.4">
      <c r="A38" s="24">
        <v>340</v>
      </c>
      <c r="B38" s="53" t="s">
        <v>688</v>
      </c>
      <c r="C38" s="53" t="s">
        <v>689</v>
      </c>
      <c r="D38" s="1" t="s">
        <v>618</v>
      </c>
      <c r="E38" s="31">
        <v>2</v>
      </c>
      <c r="F38" s="31">
        <v>415</v>
      </c>
      <c r="G38" s="75"/>
      <c r="H38" s="31">
        <v>380</v>
      </c>
      <c r="I38" s="31">
        <v>380</v>
      </c>
      <c r="J38" s="31">
        <v>0</v>
      </c>
      <c r="K38" s="31">
        <v>0</v>
      </c>
      <c r="L38" s="31">
        <v>0</v>
      </c>
      <c r="M38" s="31">
        <v>35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75" t="s">
        <v>38</v>
      </c>
    </row>
    <row r="39" spans="1:19" ht="14.4">
      <c r="A39" s="24">
        <v>340</v>
      </c>
      <c r="B39" s="53" t="s">
        <v>690</v>
      </c>
      <c r="C39" s="53" t="s">
        <v>691</v>
      </c>
      <c r="D39" s="1" t="s">
        <v>618</v>
      </c>
      <c r="E39" s="31">
        <v>1</v>
      </c>
      <c r="F39" s="31">
        <v>415</v>
      </c>
      <c r="G39" s="75"/>
      <c r="H39" s="31">
        <v>415</v>
      </c>
      <c r="I39" s="31">
        <v>415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75" t="s">
        <v>57</v>
      </c>
    </row>
    <row r="40" spans="1:19" ht="14.4">
      <c r="A40" s="24">
        <v>341</v>
      </c>
      <c r="B40" s="53" t="s">
        <v>692</v>
      </c>
      <c r="C40" s="53" t="s">
        <v>626</v>
      </c>
      <c r="D40" s="1" t="s">
        <v>618</v>
      </c>
      <c r="E40" s="31">
        <v>1</v>
      </c>
      <c r="F40" s="31">
        <v>404</v>
      </c>
      <c r="G40" s="75"/>
      <c r="H40" s="31">
        <v>369</v>
      </c>
      <c r="I40" s="31">
        <v>369</v>
      </c>
      <c r="J40" s="31">
        <v>0</v>
      </c>
      <c r="K40" s="31">
        <v>0</v>
      </c>
      <c r="L40" s="31">
        <v>0</v>
      </c>
      <c r="M40" s="31">
        <v>35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75" t="s">
        <v>57</v>
      </c>
    </row>
    <row r="41" spans="1:19" ht="14.4">
      <c r="A41" s="24">
        <v>340</v>
      </c>
      <c r="B41" s="53" t="s">
        <v>669</v>
      </c>
      <c r="C41" s="53" t="s">
        <v>693</v>
      </c>
      <c r="D41" s="1" t="s">
        <v>618</v>
      </c>
      <c r="E41" s="31">
        <v>1</v>
      </c>
      <c r="F41" s="31">
        <v>400</v>
      </c>
      <c r="G41" s="75"/>
      <c r="H41" s="31">
        <v>150</v>
      </c>
      <c r="I41" s="31">
        <v>150</v>
      </c>
      <c r="J41" s="31">
        <v>0</v>
      </c>
      <c r="K41" s="31">
        <v>0</v>
      </c>
      <c r="L41" s="31">
        <v>0</v>
      </c>
      <c r="M41" s="31">
        <v>0</v>
      </c>
      <c r="N41" s="31">
        <v>250</v>
      </c>
      <c r="O41" s="31">
        <v>0</v>
      </c>
      <c r="P41" s="31">
        <v>0</v>
      </c>
      <c r="Q41" s="31">
        <v>0</v>
      </c>
      <c r="R41" s="31">
        <v>0</v>
      </c>
      <c r="S41" s="75" t="s">
        <v>86</v>
      </c>
    </row>
    <row r="42" spans="1:19" ht="14.4">
      <c r="A42" s="24">
        <v>341</v>
      </c>
      <c r="B42" s="53" t="s">
        <v>694</v>
      </c>
      <c r="C42" s="53" t="s">
        <v>695</v>
      </c>
      <c r="D42" s="1" t="s">
        <v>618</v>
      </c>
      <c r="E42" s="31">
        <v>1</v>
      </c>
      <c r="F42" s="31">
        <v>335</v>
      </c>
      <c r="G42" s="75"/>
      <c r="H42" s="31">
        <v>200</v>
      </c>
      <c r="I42" s="31">
        <v>200</v>
      </c>
      <c r="J42" s="31">
        <v>0</v>
      </c>
      <c r="K42" s="31">
        <v>0</v>
      </c>
      <c r="L42" s="31">
        <v>0</v>
      </c>
      <c r="M42" s="31">
        <v>0</v>
      </c>
      <c r="N42" s="31">
        <v>35</v>
      </c>
      <c r="O42" s="31">
        <v>0</v>
      </c>
      <c r="P42" s="31">
        <v>100</v>
      </c>
      <c r="Q42" s="31">
        <v>0</v>
      </c>
      <c r="R42" s="31">
        <v>0</v>
      </c>
      <c r="S42" s="75" t="s">
        <v>60</v>
      </c>
    </row>
    <row r="43" spans="1:19" ht="14.4">
      <c r="A43" s="24">
        <v>341</v>
      </c>
      <c r="B43" s="53" t="s">
        <v>696</v>
      </c>
      <c r="C43" s="53" t="s">
        <v>697</v>
      </c>
      <c r="D43" s="1" t="s">
        <v>618</v>
      </c>
      <c r="E43" s="31">
        <v>1</v>
      </c>
      <c r="F43" s="31">
        <v>325</v>
      </c>
      <c r="G43" s="75"/>
      <c r="H43" s="31">
        <v>325</v>
      </c>
      <c r="I43" s="31">
        <v>325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75" t="s">
        <v>94</v>
      </c>
    </row>
    <row r="44" spans="1:19" ht="14.4">
      <c r="A44" s="24">
        <v>340</v>
      </c>
      <c r="B44" s="53" t="s">
        <v>698</v>
      </c>
      <c r="C44" s="53" t="s">
        <v>699</v>
      </c>
      <c r="D44" s="1" t="s">
        <v>618</v>
      </c>
      <c r="E44" s="31">
        <v>1</v>
      </c>
      <c r="F44" s="31">
        <v>315</v>
      </c>
      <c r="G44" s="75"/>
      <c r="H44" s="31">
        <v>280</v>
      </c>
      <c r="I44" s="31">
        <v>280</v>
      </c>
      <c r="J44" s="31">
        <v>0</v>
      </c>
      <c r="K44" s="31">
        <v>0</v>
      </c>
      <c r="L44" s="31">
        <v>0</v>
      </c>
      <c r="M44" s="31">
        <v>35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75" t="s">
        <v>57</v>
      </c>
    </row>
    <row r="45" spans="1:19" ht="14.4">
      <c r="A45" s="24">
        <v>340</v>
      </c>
      <c r="B45" s="53" t="s">
        <v>700</v>
      </c>
      <c r="C45" s="53" t="s">
        <v>700</v>
      </c>
      <c r="D45" s="1" t="s">
        <v>645</v>
      </c>
      <c r="E45" s="31">
        <v>0</v>
      </c>
      <c r="F45" s="31">
        <v>310</v>
      </c>
      <c r="G45" s="75"/>
      <c r="H45" s="31">
        <v>275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35</v>
      </c>
      <c r="O45" s="31">
        <v>0</v>
      </c>
      <c r="P45" s="31">
        <v>0</v>
      </c>
      <c r="Q45" s="31">
        <v>100</v>
      </c>
      <c r="R45" s="31">
        <v>0</v>
      </c>
      <c r="S45" s="75" t="s">
        <v>59</v>
      </c>
    </row>
    <row r="46" spans="1:19" ht="14.4">
      <c r="A46" s="24">
        <v>340</v>
      </c>
      <c r="B46" s="53" t="s">
        <v>701</v>
      </c>
      <c r="C46" s="53" t="s">
        <v>659</v>
      </c>
      <c r="D46" s="1" t="s">
        <v>618</v>
      </c>
      <c r="E46" s="31">
        <v>1</v>
      </c>
      <c r="F46" s="31">
        <v>310</v>
      </c>
      <c r="G46" s="75"/>
      <c r="H46" s="31">
        <v>275</v>
      </c>
      <c r="I46" s="31">
        <v>275</v>
      </c>
      <c r="J46" s="31">
        <v>0</v>
      </c>
      <c r="K46" s="31">
        <v>0</v>
      </c>
      <c r="L46" s="31">
        <v>0</v>
      </c>
      <c r="M46" s="31">
        <v>0</v>
      </c>
      <c r="N46" s="31">
        <v>35</v>
      </c>
      <c r="O46" s="31">
        <v>0</v>
      </c>
      <c r="P46" s="31">
        <v>0</v>
      </c>
      <c r="Q46" s="31">
        <v>0</v>
      </c>
      <c r="R46" s="31">
        <v>0</v>
      </c>
      <c r="S46" s="75" t="s">
        <v>44</v>
      </c>
    </row>
    <row r="47" spans="1:19" ht="14.4">
      <c r="A47" s="24">
        <v>340</v>
      </c>
      <c r="B47" s="53" t="s">
        <v>702</v>
      </c>
      <c r="C47" s="53" t="s">
        <v>703</v>
      </c>
      <c r="D47" s="1" t="s">
        <v>618</v>
      </c>
      <c r="E47" s="31">
        <v>5</v>
      </c>
      <c r="F47" s="31">
        <v>300</v>
      </c>
      <c r="G47" s="75"/>
      <c r="H47" s="31">
        <v>300</v>
      </c>
      <c r="I47" s="31">
        <v>300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75" t="s">
        <v>59</v>
      </c>
    </row>
    <row r="48" spans="1:19" ht="14.4">
      <c r="A48" s="24">
        <v>341</v>
      </c>
      <c r="B48" s="53" t="s">
        <v>704</v>
      </c>
      <c r="C48" s="53" t="s">
        <v>705</v>
      </c>
      <c r="D48" s="1" t="s">
        <v>618</v>
      </c>
      <c r="E48" s="31">
        <v>1</v>
      </c>
      <c r="F48" s="31">
        <v>300</v>
      </c>
      <c r="G48" s="75"/>
      <c r="H48" s="31">
        <v>300</v>
      </c>
      <c r="I48" s="31">
        <v>300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75" t="s">
        <v>94</v>
      </c>
    </row>
    <row r="49" spans="1:19" ht="14.4">
      <c r="A49" s="24">
        <v>341</v>
      </c>
      <c r="B49" s="53" t="s">
        <v>706</v>
      </c>
      <c r="C49" s="53" t="s">
        <v>707</v>
      </c>
      <c r="D49" s="1" t="s">
        <v>618</v>
      </c>
      <c r="E49" s="31">
        <v>2</v>
      </c>
      <c r="F49" s="31">
        <v>300</v>
      </c>
      <c r="G49" s="75"/>
      <c r="H49" s="31">
        <v>265</v>
      </c>
      <c r="I49" s="31">
        <v>265</v>
      </c>
      <c r="J49" s="31">
        <v>0</v>
      </c>
      <c r="K49" s="31">
        <v>0</v>
      </c>
      <c r="L49" s="31">
        <v>0</v>
      </c>
      <c r="M49" s="31">
        <v>35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75" t="s">
        <v>59</v>
      </c>
    </row>
    <row r="50" spans="1:19" ht="14.4">
      <c r="A50" s="24">
        <v>340</v>
      </c>
      <c r="B50" s="53" t="s">
        <v>708</v>
      </c>
      <c r="C50" s="53" t="s">
        <v>709</v>
      </c>
      <c r="D50" s="1" t="s">
        <v>618</v>
      </c>
      <c r="E50" s="31">
        <v>1</v>
      </c>
      <c r="F50" s="31">
        <v>295</v>
      </c>
      <c r="G50" s="75"/>
      <c r="H50" s="31">
        <v>260</v>
      </c>
      <c r="I50" s="31">
        <v>260</v>
      </c>
      <c r="J50" s="31">
        <v>0</v>
      </c>
      <c r="K50" s="31">
        <v>0</v>
      </c>
      <c r="L50" s="31">
        <v>0</v>
      </c>
      <c r="M50" s="31">
        <v>0</v>
      </c>
      <c r="N50" s="31">
        <v>35</v>
      </c>
      <c r="O50" s="31">
        <v>0</v>
      </c>
      <c r="P50" s="31">
        <v>0</v>
      </c>
      <c r="Q50" s="31">
        <v>0</v>
      </c>
      <c r="R50" s="31">
        <v>0</v>
      </c>
      <c r="S50" s="75" t="s">
        <v>47</v>
      </c>
    </row>
    <row r="51" spans="1:19" ht="14.4">
      <c r="A51" s="24">
        <v>341</v>
      </c>
      <c r="B51" s="53" t="s">
        <v>710</v>
      </c>
      <c r="C51" s="53" t="s">
        <v>630</v>
      </c>
      <c r="D51" s="1" t="s">
        <v>618</v>
      </c>
      <c r="E51" s="31">
        <v>2</v>
      </c>
      <c r="F51" s="31">
        <v>260</v>
      </c>
      <c r="G51" s="75"/>
      <c r="H51" s="31">
        <v>225</v>
      </c>
      <c r="I51" s="31">
        <v>225</v>
      </c>
      <c r="J51" s="31">
        <v>0</v>
      </c>
      <c r="K51" s="31">
        <v>0</v>
      </c>
      <c r="L51" s="31">
        <v>0</v>
      </c>
      <c r="M51" s="31">
        <v>35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75" t="s">
        <v>43</v>
      </c>
    </row>
    <row r="52" spans="1:19" ht="14.4">
      <c r="A52" s="24">
        <v>340</v>
      </c>
      <c r="B52" s="53" t="s">
        <v>711</v>
      </c>
      <c r="C52" s="53" t="s">
        <v>684</v>
      </c>
      <c r="D52" s="1" t="s">
        <v>618</v>
      </c>
      <c r="E52" s="31">
        <v>1</v>
      </c>
      <c r="F52" s="31">
        <v>250</v>
      </c>
      <c r="G52" s="75"/>
      <c r="H52" s="31">
        <v>215</v>
      </c>
      <c r="I52" s="31">
        <v>215</v>
      </c>
      <c r="J52" s="31">
        <v>0</v>
      </c>
      <c r="K52" s="31">
        <v>0</v>
      </c>
      <c r="L52" s="31">
        <v>0</v>
      </c>
      <c r="M52" s="31">
        <v>0</v>
      </c>
      <c r="N52" s="31">
        <v>35</v>
      </c>
      <c r="O52" s="31">
        <v>0</v>
      </c>
      <c r="P52" s="31">
        <v>0</v>
      </c>
      <c r="Q52" s="31">
        <v>0</v>
      </c>
      <c r="R52" s="31">
        <v>0</v>
      </c>
      <c r="S52" s="75" t="s">
        <v>90</v>
      </c>
    </row>
    <row r="53" spans="1:19" ht="14.4">
      <c r="A53" s="24">
        <v>341</v>
      </c>
      <c r="B53" s="53" t="s">
        <v>712</v>
      </c>
      <c r="C53" s="53" t="s">
        <v>712</v>
      </c>
      <c r="D53" s="1" t="s">
        <v>618</v>
      </c>
      <c r="E53" s="31">
        <v>1</v>
      </c>
      <c r="F53" s="31">
        <v>240</v>
      </c>
      <c r="G53" s="75"/>
      <c r="H53" s="31">
        <v>240</v>
      </c>
      <c r="I53" s="31">
        <v>240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75" t="s">
        <v>101</v>
      </c>
    </row>
    <row r="54" spans="1:19" ht="14.4">
      <c r="A54" s="24">
        <v>340</v>
      </c>
      <c r="B54" s="53" t="s">
        <v>713</v>
      </c>
      <c r="C54" s="53" t="s">
        <v>714</v>
      </c>
      <c r="D54" s="1" t="s">
        <v>645</v>
      </c>
      <c r="E54" s="31">
        <v>0</v>
      </c>
      <c r="F54" s="31">
        <v>235</v>
      </c>
      <c r="G54" s="75"/>
      <c r="H54" s="31">
        <v>200</v>
      </c>
      <c r="I54" s="31">
        <v>0</v>
      </c>
      <c r="J54" s="31">
        <v>0</v>
      </c>
      <c r="K54" s="31">
        <v>0</v>
      </c>
      <c r="L54" s="31">
        <v>0</v>
      </c>
      <c r="M54" s="31">
        <v>35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75" t="s">
        <v>37</v>
      </c>
    </row>
    <row r="55" spans="1:19" ht="14.4">
      <c r="A55" s="24">
        <v>340</v>
      </c>
      <c r="B55" s="53" t="s">
        <v>715</v>
      </c>
      <c r="C55" s="53" t="s">
        <v>716</v>
      </c>
      <c r="D55" s="1" t="s">
        <v>618</v>
      </c>
      <c r="E55" s="31">
        <v>1</v>
      </c>
      <c r="F55" s="31">
        <v>235</v>
      </c>
      <c r="G55" s="75"/>
      <c r="H55" s="31">
        <v>200</v>
      </c>
      <c r="I55" s="31">
        <v>200</v>
      </c>
      <c r="J55" s="31">
        <v>0</v>
      </c>
      <c r="K55" s="31">
        <v>0</v>
      </c>
      <c r="L55" s="31">
        <v>0</v>
      </c>
      <c r="M55" s="31">
        <v>0</v>
      </c>
      <c r="N55" s="31">
        <v>35</v>
      </c>
      <c r="O55" s="31">
        <v>0</v>
      </c>
      <c r="P55" s="31">
        <v>0</v>
      </c>
      <c r="Q55" s="31">
        <v>0</v>
      </c>
      <c r="R55" s="31">
        <v>0</v>
      </c>
      <c r="S55" s="75" t="s">
        <v>44</v>
      </c>
    </row>
    <row r="56" spans="1:19" ht="14.4">
      <c r="A56" s="24">
        <v>341</v>
      </c>
      <c r="B56" s="53" t="s">
        <v>717</v>
      </c>
      <c r="C56" s="53" t="s">
        <v>718</v>
      </c>
      <c r="D56" s="1" t="s">
        <v>618</v>
      </c>
      <c r="E56" s="31">
        <v>1</v>
      </c>
      <c r="F56" s="31">
        <v>235</v>
      </c>
      <c r="G56" s="75"/>
      <c r="H56" s="31">
        <v>200</v>
      </c>
      <c r="I56" s="31">
        <v>200</v>
      </c>
      <c r="J56" s="31">
        <v>0</v>
      </c>
      <c r="K56" s="31">
        <v>0</v>
      </c>
      <c r="L56" s="31">
        <v>0</v>
      </c>
      <c r="M56" s="31">
        <v>0</v>
      </c>
      <c r="N56" s="31">
        <v>35</v>
      </c>
      <c r="O56" s="31">
        <v>0</v>
      </c>
      <c r="P56" s="31">
        <v>0</v>
      </c>
      <c r="Q56" s="31">
        <v>0</v>
      </c>
      <c r="R56" s="31">
        <v>0</v>
      </c>
      <c r="S56" s="75" t="s">
        <v>38</v>
      </c>
    </row>
    <row r="57" spans="1:19" ht="14.4">
      <c r="A57" s="24">
        <v>341</v>
      </c>
      <c r="B57" s="53" t="s">
        <v>719</v>
      </c>
      <c r="C57" s="53" t="s">
        <v>720</v>
      </c>
      <c r="D57" s="1" t="s">
        <v>618</v>
      </c>
      <c r="E57" s="31">
        <v>1</v>
      </c>
      <c r="F57" s="31">
        <v>230</v>
      </c>
      <c r="G57" s="75"/>
      <c r="H57" s="31">
        <v>195</v>
      </c>
      <c r="I57" s="31">
        <v>195</v>
      </c>
      <c r="J57" s="31">
        <v>0</v>
      </c>
      <c r="K57" s="31">
        <v>0</v>
      </c>
      <c r="L57" s="31">
        <v>0</v>
      </c>
      <c r="M57" s="31">
        <v>0</v>
      </c>
      <c r="N57" s="31">
        <v>35</v>
      </c>
      <c r="O57" s="31">
        <v>0</v>
      </c>
      <c r="P57" s="31">
        <v>0</v>
      </c>
      <c r="Q57" s="31">
        <v>0</v>
      </c>
      <c r="R57" s="31">
        <v>0</v>
      </c>
      <c r="S57" s="75" t="s">
        <v>59</v>
      </c>
    </row>
    <row r="58" spans="1:19" ht="14.4">
      <c r="A58" s="24">
        <v>341</v>
      </c>
      <c r="B58" s="53" t="s">
        <v>721</v>
      </c>
      <c r="C58" s="53" t="s">
        <v>722</v>
      </c>
      <c r="D58" s="1" t="s">
        <v>618</v>
      </c>
      <c r="E58" s="31">
        <v>1</v>
      </c>
      <c r="F58" s="31">
        <v>225</v>
      </c>
      <c r="G58" s="75"/>
      <c r="H58" s="31">
        <v>190</v>
      </c>
      <c r="I58" s="31">
        <v>190</v>
      </c>
      <c r="J58" s="31">
        <v>0</v>
      </c>
      <c r="K58" s="31">
        <v>0</v>
      </c>
      <c r="L58" s="31">
        <v>0</v>
      </c>
      <c r="M58" s="31">
        <v>0</v>
      </c>
      <c r="N58" s="31">
        <v>35</v>
      </c>
      <c r="O58" s="31">
        <v>0</v>
      </c>
      <c r="P58" s="31">
        <v>0</v>
      </c>
      <c r="Q58" s="31">
        <v>0</v>
      </c>
      <c r="R58" s="31">
        <v>0</v>
      </c>
      <c r="S58" s="75" t="s">
        <v>38</v>
      </c>
    </row>
    <row r="59" spans="1:19" ht="14.4">
      <c r="A59" s="24">
        <v>340</v>
      </c>
      <c r="B59" s="53" t="s">
        <v>723</v>
      </c>
      <c r="C59" s="53" t="s">
        <v>620</v>
      </c>
      <c r="D59" s="1" t="s">
        <v>618</v>
      </c>
      <c r="E59" s="31">
        <v>1</v>
      </c>
      <c r="F59" s="31">
        <v>220</v>
      </c>
      <c r="G59" s="75"/>
      <c r="H59" s="31">
        <v>185</v>
      </c>
      <c r="I59" s="31">
        <v>185</v>
      </c>
      <c r="J59" s="31">
        <v>0</v>
      </c>
      <c r="K59" s="31">
        <v>0</v>
      </c>
      <c r="L59" s="31">
        <v>0</v>
      </c>
      <c r="M59" s="31">
        <v>0</v>
      </c>
      <c r="N59" s="31">
        <v>35</v>
      </c>
      <c r="O59" s="31">
        <v>0</v>
      </c>
      <c r="P59" s="31">
        <v>0</v>
      </c>
      <c r="Q59" s="31">
        <v>0</v>
      </c>
      <c r="R59" s="31">
        <v>0</v>
      </c>
      <c r="S59" s="75" t="s">
        <v>86</v>
      </c>
    </row>
    <row r="60" spans="1:19" ht="14.4">
      <c r="A60" s="24">
        <v>341</v>
      </c>
      <c r="B60" s="53" t="s">
        <v>724</v>
      </c>
      <c r="C60" s="53" t="s">
        <v>725</v>
      </c>
      <c r="D60" s="1" t="s">
        <v>618</v>
      </c>
      <c r="E60" s="31">
        <v>2</v>
      </c>
      <c r="F60" s="31">
        <v>210</v>
      </c>
      <c r="G60" s="75"/>
      <c r="H60" s="31">
        <v>175</v>
      </c>
      <c r="I60" s="31">
        <v>175</v>
      </c>
      <c r="J60" s="31">
        <v>0</v>
      </c>
      <c r="K60" s="31">
        <v>0</v>
      </c>
      <c r="L60" s="31">
        <v>0</v>
      </c>
      <c r="M60" s="31">
        <v>0</v>
      </c>
      <c r="N60" s="31">
        <v>35</v>
      </c>
      <c r="O60" s="31">
        <v>0</v>
      </c>
      <c r="P60" s="31">
        <v>0</v>
      </c>
      <c r="Q60" s="31">
        <v>35</v>
      </c>
      <c r="R60" s="31">
        <v>0</v>
      </c>
      <c r="S60" s="75" t="s">
        <v>59</v>
      </c>
    </row>
    <row r="61" spans="1:19" ht="14.4">
      <c r="A61" s="24">
        <v>340</v>
      </c>
      <c r="B61" s="53" t="s">
        <v>726</v>
      </c>
      <c r="C61" s="53" t="s">
        <v>631</v>
      </c>
      <c r="D61" s="1" t="s">
        <v>618</v>
      </c>
      <c r="E61" s="31">
        <v>1</v>
      </c>
      <c r="F61" s="31">
        <v>210</v>
      </c>
      <c r="G61" s="75"/>
      <c r="H61" s="31">
        <v>175</v>
      </c>
      <c r="I61" s="31">
        <v>175</v>
      </c>
      <c r="J61" s="31">
        <v>0</v>
      </c>
      <c r="K61" s="31">
        <v>0</v>
      </c>
      <c r="L61" s="31">
        <v>0</v>
      </c>
      <c r="M61" s="31">
        <v>0</v>
      </c>
      <c r="N61" s="31">
        <v>35</v>
      </c>
      <c r="O61" s="31">
        <v>0</v>
      </c>
      <c r="P61" s="31">
        <v>0</v>
      </c>
      <c r="Q61" s="31">
        <v>0</v>
      </c>
      <c r="R61" s="31">
        <v>0</v>
      </c>
      <c r="S61" s="75" t="s">
        <v>89</v>
      </c>
    </row>
    <row r="62" spans="1:19" ht="14.4">
      <c r="A62" s="24">
        <v>340</v>
      </c>
      <c r="B62" s="53" t="s">
        <v>727</v>
      </c>
      <c r="C62" s="53" t="s">
        <v>711</v>
      </c>
      <c r="D62" s="1" t="s">
        <v>618</v>
      </c>
      <c r="E62" s="31">
        <v>1</v>
      </c>
      <c r="F62" s="31">
        <v>200</v>
      </c>
      <c r="G62" s="75"/>
      <c r="H62" s="31">
        <v>200</v>
      </c>
      <c r="I62" s="31">
        <v>200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75" t="s">
        <v>43</v>
      </c>
    </row>
    <row r="63" spans="1:19" ht="14.4">
      <c r="A63" s="24">
        <v>340</v>
      </c>
      <c r="B63" s="53" t="s">
        <v>728</v>
      </c>
      <c r="C63" s="53" t="s">
        <v>729</v>
      </c>
      <c r="D63" s="1" t="s">
        <v>618</v>
      </c>
      <c r="E63" s="31">
        <v>1</v>
      </c>
      <c r="F63" s="31">
        <v>200</v>
      </c>
      <c r="G63" s="75"/>
      <c r="H63" s="31">
        <v>200</v>
      </c>
      <c r="I63" s="31">
        <v>200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75" t="s">
        <v>37</v>
      </c>
    </row>
    <row r="64" spans="1:19" ht="14.4">
      <c r="A64" s="24">
        <v>340</v>
      </c>
      <c r="B64" s="53" t="s">
        <v>730</v>
      </c>
      <c r="C64" s="53" t="s">
        <v>731</v>
      </c>
      <c r="D64" s="1" t="s">
        <v>618</v>
      </c>
      <c r="E64" s="31">
        <v>2</v>
      </c>
      <c r="F64" s="31">
        <v>200</v>
      </c>
      <c r="G64" s="75"/>
      <c r="H64" s="31">
        <v>150</v>
      </c>
      <c r="I64" s="31">
        <v>150</v>
      </c>
      <c r="J64" s="31">
        <v>0</v>
      </c>
      <c r="K64" s="31">
        <v>0</v>
      </c>
      <c r="L64" s="31">
        <v>0</v>
      </c>
      <c r="M64" s="31">
        <v>0</v>
      </c>
      <c r="N64" s="31">
        <v>50</v>
      </c>
      <c r="O64" s="31">
        <v>0</v>
      </c>
      <c r="P64" s="31">
        <v>0</v>
      </c>
      <c r="Q64" s="31">
        <v>0</v>
      </c>
      <c r="R64" s="31">
        <v>0</v>
      </c>
      <c r="S64" s="75" t="s">
        <v>94</v>
      </c>
    </row>
    <row r="65" spans="1:19" ht="14.4">
      <c r="A65" s="24">
        <v>341</v>
      </c>
      <c r="B65" s="53" t="s">
        <v>651</v>
      </c>
      <c r="C65" s="53" t="s">
        <v>732</v>
      </c>
      <c r="D65" s="1" t="s">
        <v>618</v>
      </c>
      <c r="E65" s="31">
        <v>1</v>
      </c>
      <c r="F65" s="31">
        <v>200</v>
      </c>
      <c r="G65" s="75"/>
      <c r="H65" s="31">
        <v>165</v>
      </c>
      <c r="I65" s="31">
        <v>165</v>
      </c>
      <c r="J65" s="31">
        <v>0</v>
      </c>
      <c r="K65" s="31">
        <v>0</v>
      </c>
      <c r="L65" s="31">
        <v>0</v>
      </c>
      <c r="M65" s="31">
        <v>0</v>
      </c>
      <c r="N65" s="31">
        <v>35</v>
      </c>
      <c r="O65" s="31">
        <v>0</v>
      </c>
      <c r="P65" s="31">
        <v>0</v>
      </c>
      <c r="Q65" s="31">
        <v>0</v>
      </c>
      <c r="R65" s="31">
        <v>0</v>
      </c>
      <c r="S65" s="75" t="s">
        <v>47</v>
      </c>
    </row>
    <row r="66" spans="1:19" ht="14.4">
      <c r="A66" s="24">
        <v>341</v>
      </c>
      <c r="B66" s="53" t="s">
        <v>733</v>
      </c>
      <c r="C66" s="53" t="s">
        <v>734</v>
      </c>
      <c r="D66" s="1" t="s">
        <v>618</v>
      </c>
      <c r="E66" s="31">
        <v>4</v>
      </c>
      <c r="F66" s="31">
        <v>200</v>
      </c>
      <c r="G66" s="75"/>
      <c r="H66" s="31">
        <v>200</v>
      </c>
      <c r="I66" s="31">
        <v>200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75" t="s">
        <v>86</v>
      </c>
    </row>
    <row r="67" spans="1:19" ht="14.4">
      <c r="A67" s="24">
        <v>341</v>
      </c>
      <c r="B67" s="53" t="s">
        <v>735</v>
      </c>
      <c r="C67" s="53" t="s">
        <v>736</v>
      </c>
      <c r="D67" s="1" t="s">
        <v>618</v>
      </c>
      <c r="E67" s="31">
        <v>1</v>
      </c>
      <c r="F67" s="31">
        <v>200</v>
      </c>
      <c r="G67" s="75"/>
      <c r="H67" s="31">
        <v>200</v>
      </c>
      <c r="I67" s="31">
        <v>200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75" t="s">
        <v>60</v>
      </c>
    </row>
    <row r="68" spans="1:19" ht="14.4">
      <c r="A68" s="24">
        <v>340</v>
      </c>
      <c r="B68" s="53" t="s">
        <v>737</v>
      </c>
      <c r="C68" s="53" t="s">
        <v>738</v>
      </c>
      <c r="D68" s="1" t="s">
        <v>618</v>
      </c>
      <c r="E68" s="31">
        <v>1</v>
      </c>
      <c r="F68" s="31">
        <v>185</v>
      </c>
      <c r="G68" s="75"/>
      <c r="H68" s="31">
        <v>150</v>
      </c>
      <c r="I68" s="31">
        <v>150</v>
      </c>
      <c r="J68" s="31">
        <v>0</v>
      </c>
      <c r="K68" s="31">
        <v>0</v>
      </c>
      <c r="L68" s="31">
        <v>0</v>
      </c>
      <c r="M68" s="31">
        <v>35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75" t="s">
        <v>57</v>
      </c>
    </row>
    <row r="69" spans="1:19" ht="14.4">
      <c r="A69" s="24">
        <v>340</v>
      </c>
      <c r="B69" s="53" t="s">
        <v>739</v>
      </c>
      <c r="C69" s="53" t="s">
        <v>740</v>
      </c>
      <c r="D69" s="1" t="s">
        <v>618</v>
      </c>
      <c r="E69" s="31">
        <v>1</v>
      </c>
      <c r="F69" s="31">
        <v>185</v>
      </c>
      <c r="G69" s="75"/>
      <c r="H69" s="31">
        <v>150</v>
      </c>
      <c r="I69" s="31">
        <v>150</v>
      </c>
      <c r="J69" s="31">
        <v>0</v>
      </c>
      <c r="K69" s="31">
        <v>0</v>
      </c>
      <c r="L69" s="31">
        <v>0</v>
      </c>
      <c r="M69" s="31">
        <v>35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75" t="s">
        <v>37</v>
      </c>
    </row>
    <row r="70" spans="1:19" ht="14.4">
      <c r="A70" s="24">
        <v>340</v>
      </c>
      <c r="B70" s="53" t="s">
        <v>741</v>
      </c>
      <c r="C70" s="53" t="s">
        <v>656</v>
      </c>
      <c r="D70" s="1" t="s">
        <v>618</v>
      </c>
      <c r="E70" s="31">
        <v>1</v>
      </c>
      <c r="F70" s="31">
        <v>185</v>
      </c>
      <c r="G70" s="75"/>
      <c r="H70" s="31">
        <v>150</v>
      </c>
      <c r="I70" s="31">
        <v>150</v>
      </c>
      <c r="J70" s="31">
        <v>0</v>
      </c>
      <c r="K70" s="31">
        <v>0</v>
      </c>
      <c r="L70" s="31">
        <v>0</v>
      </c>
      <c r="M70" s="31">
        <v>0</v>
      </c>
      <c r="N70" s="31">
        <v>35</v>
      </c>
      <c r="O70" s="31">
        <v>0</v>
      </c>
      <c r="P70" s="31">
        <v>0</v>
      </c>
      <c r="Q70" s="31">
        <v>0</v>
      </c>
      <c r="R70" s="31">
        <v>0</v>
      </c>
      <c r="S70" s="75" t="s">
        <v>106</v>
      </c>
    </row>
    <row r="71" spans="1:19" ht="14.4">
      <c r="A71" s="24">
        <v>341</v>
      </c>
      <c r="B71" s="53" t="s">
        <v>686</v>
      </c>
      <c r="C71" s="53" t="s">
        <v>742</v>
      </c>
      <c r="D71" s="1" t="s">
        <v>618</v>
      </c>
      <c r="E71" s="31">
        <v>1</v>
      </c>
      <c r="F71" s="31">
        <v>185</v>
      </c>
      <c r="G71" s="75"/>
      <c r="H71" s="31">
        <v>150</v>
      </c>
      <c r="I71" s="31">
        <v>150</v>
      </c>
      <c r="J71" s="31">
        <v>0</v>
      </c>
      <c r="K71" s="31">
        <v>0</v>
      </c>
      <c r="L71" s="31">
        <v>0</v>
      </c>
      <c r="M71" s="31">
        <v>35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75" t="s">
        <v>89</v>
      </c>
    </row>
    <row r="72" spans="1:19" ht="14.4">
      <c r="A72" s="24">
        <v>340</v>
      </c>
      <c r="B72" s="53" t="s">
        <v>743</v>
      </c>
      <c r="C72" s="53" t="s">
        <v>744</v>
      </c>
      <c r="D72" s="1" t="s">
        <v>618</v>
      </c>
      <c r="E72" s="31">
        <v>1</v>
      </c>
      <c r="F72" s="31">
        <v>183.18</v>
      </c>
      <c r="G72" s="75"/>
      <c r="H72" s="31">
        <v>170</v>
      </c>
      <c r="I72" s="31">
        <v>170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75" t="s">
        <v>60</v>
      </c>
    </row>
    <row r="73" spans="1:19" ht="14.4">
      <c r="A73" s="24">
        <v>341</v>
      </c>
      <c r="B73" s="53" t="s">
        <v>745</v>
      </c>
      <c r="C73" s="53" t="s">
        <v>746</v>
      </c>
      <c r="D73" s="1" t="s">
        <v>618</v>
      </c>
      <c r="E73" s="31">
        <v>1</v>
      </c>
      <c r="F73" s="31">
        <v>180</v>
      </c>
      <c r="G73" s="75"/>
      <c r="H73" s="31">
        <v>145</v>
      </c>
      <c r="I73" s="31">
        <v>145</v>
      </c>
      <c r="J73" s="31">
        <v>0</v>
      </c>
      <c r="K73" s="31">
        <v>0</v>
      </c>
      <c r="L73" s="31">
        <v>0</v>
      </c>
      <c r="M73" s="31">
        <v>0</v>
      </c>
      <c r="N73" s="31">
        <v>35</v>
      </c>
      <c r="O73" s="31">
        <v>0</v>
      </c>
      <c r="P73" s="31">
        <v>0</v>
      </c>
      <c r="Q73" s="31">
        <v>0</v>
      </c>
      <c r="R73" s="31">
        <v>0</v>
      </c>
      <c r="S73" s="75" t="s">
        <v>59</v>
      </c>
    </row>
    <row r="74" spans="1:19" ht="14.4">
      <c r="A74" s="24">
        <v>340</v>
      </c>
      <c r="B74" s="53" t="s">
        <v>747</v>
      </c>
      <c r="C74" s="53" t="s">
        <v>642</v>
      </c>
      <c r="D74" s="1" t="s">
        <v>618</v>
      </c>
      <c r="E74" s="31">
        <v>1</v>
      </c>
      <c r="F74" s="31">
        <v>175</v>
      </c>
      <c r="G74" s="75"/>
      <c r="H74" s="31">
        <v>140</v>
      </c>
      <c r="I74" s="31">
        <v>140</v>
      </c>
      <c r="J74" s="31">
        <v>0</v>
      </c>
      <c r="K74" s="31">
        <v>0</v>
      </c>
      <c r="L74" s="31">
        <v>0</v>
      </c>
      <c r="M74" s="31">
        <v>35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75" t="s">
        <v>90</v>
      </c>
    </row>
    <row r="75" spans="1:19" ht="14.4">
      <c r="A75" s="24">
        <v>341</v>
      </c>
      <c r="B75" s="53" t="s">
        <v>748</v>
      </c>
      <c r="C75" s="53" t="s">
        <v>749</v>
      </c>
      <c r="D75" s="1" t="s">
        <v>618</v>
      </c>
      <c r="E75" s="31">
        <v>1</v>
      </c>
      <c r="F75" s="31">
        <v>174</v>
      </c>
      <c r="G75" s="75"/>
      <c r="H75" s="31">
        <v>174</v>
      </c>
      <c r="I75" s="31">
        <v>174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75" t="s">
        <v>94</v>
      </c>
    </row>
    <row r="76" spans="1:19" ht="14.4">
      <c r="A76" s="24">
        <v>340</v>
      </c>
      <c r="B76" s="53" t="s">
        <v>750</v>
      </c>
      <c r="C76" s="53" t="s">
        <v>656</v>
      </c>
      <c r="D76" s="1" t="s">
        <v>645</v>
      </c>
      <c r="E76" s="31">
        <v>0</v>
      </c>
      <c r="F76" s="31">
        <v>170</v>
      </c>
      <c r="G76" s="75"/>
      <c r="H76" s="31">
        <v>135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35</v>
      </c>
      <c r="O76" s="31">
        <v>0</v>
      </c>
      <c r="P76" s="31">
        <v>0</v>
      </c>
      <c r="Q76" s="31">
        <v>0</v>
      </c>
      <c r="R76" s="31">
        <v>0</v>
      </c>
      <c r="S76" s="75" t="s">
        <v>38</v>
      </c>
    </row>
    <row r="77" spans="1:19" ht="14.4">
      <c r="A77" s="24">
        <v>341</v>
      </c>
      <c r="B77" s="53" t="s">
        <v>751</v>
      </c>
      <c r="C77" s="53" t="s">
        <v>752</v>
      </c>
      <c r="D77" s="1" t="s">
        <v>618</v>
      </c>
      <c r="E77" s="31">
        <v>3</v>
      </c>
      <c r="F77" s="31">
        <v>161.63999999999999</v>
      </c>
      <c r="G77" s="75"/>
      <c r="H77" s="31">
        <v>150</v>
      </c>
      <c r="I77" s="31">
        <v>150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75" t="s">
        <v>57</v>
      </c>
    </row>
    <row r="78" spans="1:19" ht="14.4">
      <c r="A78" s="24">
        <v>341</v>
      </c>
      <c r="B78" s="53" t="s">
        <v>753</v>
      </c>
      <c r="C78" s="53" t="s">
        <v>754</v>
      </c>
      <c r="D78" s="1" t="s">
        <v>618</v>
      </c>
      <c r="E78" s="31">
        <v>1</v>
      </c>
      <c r="F78" s="31">
        <v>160</v>
      </c>
      <c r="G78" s="75"/>
      <c r="H78" s="31">
        <v>125</v>
      </c>
      <c r="I78" s="31">
        <v>125</v>
      </c>
      <c r="J78" s="31">
        <v>0</v>
      </c>
      <c r="K78" s="31">
        <v>0</v>
      </c>
      <c r="L78" s="31">
        <v>0</v>
      </c>
      <c r="M78" s="31">
        <v>0</v>
      </c>
      <c r="N78" s="31">
        <v>35</v>
      </c>
      <c r="O78" s="31">
        <v>0</v>
      </c>
      <c r="P78" s="31">
        <v>0</v>
      </c>
      <c r="Q78" s="31">
        <v>0</v>
      </c>
      <c r="R78" s="31">
        <v>0</v>
      </c>
      <c r="S78" s="75" t="s">
        <v>86</v>
      </c>
    </row>
    <row r="79" spans="1:19" ht="14.4">
      <c r="A79" s="24">
        <v>341</v>
      </c>
      <c r="B79" s="53" t="s">
        <v>755</v>
      </c>
      <c r="C79" s="53" t="s">
        <v>674</v>
      </c>
      <c r="D79" s="1" t="s">
        <v>618</v>
      </c>
      <c r="E79" s="31">
        <v>1</v>
      </c>
      <c r="F79" s="31">
        <v>160</v>
      </c>
      <c r="G79" s="75"/>
      <c r="H79" s="31">
        <v>125</v>
      </c>
      <c r="I79" s="31">
        <v>125</v>
      </c>
      <c r="J79" s="31">
        <v>0</v>
      </c>
      <c r="K79" s="31">
        <v>0</v>
      </c>
      <c r="L79" s="31">
        <v>0</v>
      </c>
      <c r="M79" s="31">
        <v>0</v>
      </c>
      <c r="N79" s="31">
        <v>35</v>
      </c>
      <c r="O79" s="31">
        <v>0</v>
      </c>
      <c r="P79" s="31">
        <v>0</v>
      </c>
      <c r="Q79" s="31">
        <v>0</v>
      </c>
      <c r="R79" s="31">
        <v>0</v>
      </c>
      <c r="S79" s="75" t="s">
        <v>86</v>
      </c>
    </row>
    <row r="80" spans="1:19" ht="14.4">
      <c r="A80" s="24">
        <v>340</v>
      </c>
      <c r="B80" s="53" t="s">
        <v>756</v>
      </c>
      <c r="C80" s="53" t="s">
        <v>757</v>
      </c>
      <c r="D80" s="1" t="s">
        <v>645</v>
      </c>
      <c r="E80" s="31">
        <v>0</v>
      </c>
      <c r="F80" s="31">
        <v>155</v>
      </c>
      <c r="G80" s="75"/>
      <c r="H80" s="31">
        <v>155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75" t="s">
        <v>101</v>
      </c>
    </row>
    <row r="81" spans="1:19" ht="14.4">
      <c r="A81" s="24">
        <v>341</v>
      </c>
      <c r="B81" s="53" t="s">
        <v>758</v>
      </c>
      <c r="C81" s="53" t="s">
        <v>759</v>
      </c>
      <c r="D81" s="1" t="s">
        <v>618</v>
      </c>
      <c r="E81" s="31">
        <v>1</v>
      </c>
      <c r="F81" s="31">
        <v>155</v>
      </c>
      <c r="G81" s="75"/>
      <c r="H81" s="31">
        <v>120</v>
      </c>
      <c r="I81" s="31">
        <v>120</v>
      </c>
      <c r="J81" s="31">
        <v>0</v>
      </c>
      <c r="K81" s="31">
        <v>0</v>
      </c>
      <c r="L81" s="31">
        <v>0</v>
      </c>
      <c r="M81" s="31">
        <v>0</v>
      </c>
      <c r="N81" s="31">
        <v>35</v>
      </c>
      <c r="O81" s="31">
        <v>0</v>
      </c>
      <c r="P81" s="31">
        <v>0</v>
      </c>
      <c r="Q81" s="31">
        <v>100</v>
      </c>
      <c r="R81" s="31">
        <v>0</v>
      </c>
      <c r="S81" s="75" t="s">
        <v>86</v>
      </c>
    </row>
    <row r="82" spans="1:19" ht="14.4">
      <c r="A82" s="24">
        <v>340</v>
      </c>
      <c r="B82" s="53" t="s">
        <v>760</v>
      </c>
      <c r="C82" s="53" t="s">
        <v>761</v>
      </c>
      <c r="D82" s="1" t="s">
        <v>618</v>
      </c>
      <c r="E82" s="31">
        <v>2</v>
      </c>
      <c r="F82" s="31">
        <v>150</v>
      </c>
      <c r="G82" s="75"/>
      <c r="H82" s="31">
        <v>150</v>
      </c>
      <c r="I82" s="31">
        <v>150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75" t="s">
        <v>60</v>
      </c>
    </row>
    <row r="83" spans="1:19" ht="14.4">
      <c r="A83" s="24">
        <v>341</v>
      </c>
      <c r="B83" s="53" t="s">
        <v>762</v>
      </c>
      <c r="C83" s="53" t="s">
        <v>763</v>
      </c>
      <c r="D83" s="1" t="s">
        <v>618</v>
      </c>
      <c r="E83" s="31">
        <v>2</v>
      </c>
      <c r="F83" s="31">
        <v>150</v>
      </c>
      <c r="G83" s="75"/>
      <c r="H83" s="31">
        <v>150</v>
      </c>
      <c r="I83" s="31">
        <v>150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75" t="s">
        <v>86</v>
      </c>
    </row>
    <row r="84" spans="1:19" ht="14.4">
      <c r="A84" s="24">
        <v>340</v>
      </c>
      <c r="B84" s="53" t="s">
        <v>764</v>
      </c>
      <c r="C84" s="53" t="s">
        <v>765</v>
      </c>
      <c r="D84" s="1" t="s">
        <v>618</v>
      </c>
      <c r="E84" s="31">
        <v>1</v>
      </c>
      <c r="F84" s="31">
        <v>135</v>
      </c>
      <c r="G84" s="75"/>
      <c r="H84" s="31">
        <v>100</v>
      </c>
      <c r="I84" s="31">
        <v>100</v>
      </c>
      <c r="J84" s="31">
        <v>0</v>
      </c>
      <c r="K84" s="31">
        <v>0</v>
      </c>
      <c r="L84" s="31">
        <v>0</v>
      </c>
      <c r="M84" s="31">
        <v>0</v>
      </c>
      <c r="N84" s="31">
        <v>35</v>
      </c>
      <c r="O84" s="31">
        <v>0</v>
      </c>
      <c r="P84" s="31">
        <v>0</v>
      </c>
      <c r="Q84" s="31">
        <v>0</v>
      </c>
      <c r="R84" s="31">
        <v>0</v>
      </c>
      <c r="S84" s="75" t="s">
        <v>37</v>
      </c>
    </row>
    <row r="85" spans="1:19" ht="14.4">
      <c r="A85" s="24">
        <v>341</v>
      </c>
      <c r="B85" s="53" t="s">
        <v>766</v>
      </c>
      <c r="C85" s="53" t="s">
        <v>725</v>
      </c>
      <c r="D85" s="1" t="s">
        <v>618</v>
      </c>
      <c r="E85" s="31">
        <v>1</v>
      </c>
      <c r="F85" s="31">
        <v>135</v>
      </c>
      <c r="G85" s="75"/>
      <c r="H85" s="31">
        <v>100</v>
      </c>
      <c r="I85" s="31">
        <v>100</v>
      </c>
      <c r="J85" s="31">
        <v>0</v>
      </c>
      <c r="K85" s="31">
        <v>0</v>
      </c>
      <c r="L85" s="31">
        <v>0</v>
      </c>
      <c r="M85" s="31">
        <v>35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75" t="s">
        <v>86</v>
      </c>
    </row>
    <row r="86" spans="1:19" ht="14.4">
      <c r="A86" s="24">
        <v>340</v>
      </c>
      <c r="B86" s="53" t="s">
        <v>767</v>
      </c>
      <c r="C86" s="53" t="s">
        <v>768</v>
      </c>
      <c r="D86" s="1" t="s">
        <v>618</v>
      </c>
      <c r="E86" s="31">
        <v>1</v>
      </c>
      <c r="F86" s="31">
        <v>130</v>
      </c>
      <c r="G86" s="75"/>
      <c r="H86" s="31">
        <v>100</v>
      </c>
      <c r="I86" s="31">
        <v>100</v>
      </c>
      <c r="J86" s="31">
        <v>0</v>
      </c>
      <c r="K86" s="31">
        <v>0</v>
      </c>
      <c r="L86" s="31">
        <v>0</v>
      </c>
      <c r="M86" s="31">
        <v>30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75" t="s">
        <v>90</v>
      </c>
    </row>
    <row r="87" spans="1:19" ht="14.4">
      <c r="A87" s="24">
        <v>340</v>
      </c>
      <c r="B87" s="53" t="s">
        <v>769</v>
      </c>
      <c r="C87" s="53" t="s">
        <v>678</v>
      </c>
      <c r="D87" s="1" t="s">
        <v>618</v>
      </c>
      <c r="E87" s="31">
        <v>1</v>
      </c>
      <c r="F87" s="31">
        <v>130</v>
      </c>
      <c r="G87" s="75"/>
      <c r="H87" s="31">
        <v>130</v>
      </c>
      <c r="I87" s="31">
        <v>130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75" t="s">
        <v>94</v>
      </c>
    </row>
    <row r="88" spans="1:19" ht="14.4">
      <c r="A88" s="24">
        <v>340</v>
      </c>
      <c r="B88" s="53" t="s">
        <v>770</v>
      </c>
      <c r="C88" s="53" t="s">
        <v>771</v>
      </c>
      <c r="D88" s="1" t="s">
        <v>618</v>
      </c>
      <c r="E88" s="31">
        <v>1</v>
      </c>
      <c r="F88" s="31">
        <v>126</v>
      </c>
      <c r="G88" s="75"/>
      <c r="H88" s="31">
        <v>126</v>
      </c>
      <c r="I88" s="31">
        <v>126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75" t="s">
        <v>101</v>
      </c>
    </row>
    <row r="89" spans="1:19" ht="14.4">
      <c r="A89" s="24">
        <v>341</v>
      </c>
      <c r="B89" s="53" t="s">
        <v>745</v>
      </c>
      <c r="C89" s="53" t="s">
        <v>704</v>
      </c>
      <c r="D89" s="1" t="s">
        <v>618</v>
      </c>
      <c r="E89" s="31">
        <v>1</v>
      </c>
      <c r="F89" s="31">
        <v>125</v>
      </c>
      <c r="G89" s="75"/>
      <c r="H89" s="31">
        <v>125</v>
      </c>
      <c r="I89" s="31">
        <v>125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75" t="s">
        <v>94</v>
      </c>
    </row>
    <row r="90" spans="1:19" ht="14.4">
      <c r="A90" s="24">
        <v>341</v>
      </c>
      <c r="B90" s="53" t="s">
        <v>772</v>
      </c>
      <c r="C90" s="53" t="s">
        <v>773</v>
      </c>
      <c r="D90" s="1" t="s">
        <v>618</v>
      </c>
      <c r="E90" s="31">
        <v>1</v>
      </c>
      <c r="F90" s="31">
        <v>110</v>
      </c>
      <c r="G90" s="75"/>
      <c r="H90" s="31">
        <v>110</v>
      </c>
      <c r="I90" s="31">
        <v>110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75" t="s">
        <v>94</v>
      </c>
    </row>
    <row r="91" spans="1:19" ht="14.4">
      <c r="A91" s="24">
        <v>341</v>
      </c>
      <c r="B91" s="53" t="s">
        <v>774</v>
      </c>
      <c r="C91" s="53" t="s">
        <v>775</v>
      </c>
      <c r="D91" s="1" t="s">
        <v>618</v>
      </c>
      <c r="E91" s="31">
        <v>1</v>
      </c>
      <c r="F91" s="31">
        <v>110</v>
      </c>
      <c r="G91" s="75"/>
      <c r="H91" s="31">
        <v>75</v>
      </c>
      <c r="I91" s="31">
        <v>75</v>
      </c>
      <c r="J91" s="31">
        <v>0</v>
      </c>
      <c r="K91" s="31">
        <v>0</v>
      </c>
      <c r="L91" s="31">
        <v>0</v>
      </c>
      <c r="M91" s="31">
        <v>0</v>
      </c>
      <c r="N91" s="31">
        <v>35</v>
      </c>
      <c r="O91" s="31">
        <v>0</v>
      </c>
      <c r="P91" s="31">
        <v>0</v>
      </c>
      <c r="Q91" s="31">
        <v>0</v>
      </c>
      <c r="R91" s="31">
        <v>0</v>
      </c>
      <c r="S91" s="75" t="s">
        <v>38</v>
      </c>
    </row>
    <row r="92" spans="1:19" ht="14.4">
      <c r="A92" s="24">
        <v>341</v>
      </c>
      <c r="B92" s="53" t="s">
        <v>776</v>
      </c>
      <c r="C92" s="53" t="s">
        <v>687</v>
      </c>
      <c r="D92" s="1" t="s">
        <v>618</v>
      </c>
      <c r="E92" s="31">
        <v>1</v>
      </c>
      <c r="F92" s="31">
        <v>110</v>
      </c>
      <c r="G92" s="75"/>
      <c r="H92" s="31">
        <v>75</v>
      </c>
      <c r="I92" s="31">
        <v>75</v>
      </c>
      <c r="J92" s="31">
        <v>0</v>
      </c>
      <c r="K92" s="31">
        <v>0</v>
      </c>
      <c r="L92" s="31">
        <v>0</v>
      </c>
      <c r="M92" s="31">
        <v>35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75" t="s">
        <v>43</v>
      </c>
    </row>
    <row r="93" spans="1:19" ht="14.4">
      <c r="A93" s="24">
        <v>341</v>
      </c>
      <c r="B93" s="53" t="s">
        <v>718</v>
      </c>
      <c r="C93" s="53" t="s">
        <v>777</v>
      </c>
      <c r="D93" s="1" t="s">
        <v>618</v>
      </c>
      <c r="E93" s="31">
        <v>1</v>
      </c>
      <c r="F93" s="31">
        <v>110</v>
      </c>
      <c r="G93" s="75"/>
      <c r="H93" s="31">
        <v>75</v>
      </c>
      <c r="I93" s="31">
        <v>75</v>
      </c>
      <c r="J93" s="31">
        <v>0</v>
      </c>
      <c r="K93" s="31">
        <v>0</v>
      </c>
      <c r="L93" s="31">
        <v>0</v>
      </c>
      <c r="M93" s="31">
        <v>0</v>
      </c>
      <c r="N93" s="31">
        <v>35</v>
      </c>
      <c r="O93" s="31">
        <v>0</v>
      </c>
      <c r="P93" s="31">
        <v>0</v>
      </c>
      <c r="Q93" s="31">
        <v>0</v>
      </c>
      <c r="R93" s="31">
        <v>0</v>
      </c>
      <c r="S93" s="75" t="s">
        <v>47</v>
      </c>
    </row>
    <row r="94" spans="1:19" ht="14.4">
      <c r="A94" s="24">
        <v>341</v>
      </c>
      <c r="B94" s="53" t="s">
        <v>705</v>
      </c>
      <c r="C94" s="53" t="s">
        <v>695</v>
      </c>
      <c r="D94" s="1" t="s">
        <v>618</v>
      </c>
      <c r="E94" s="31">
        <v>1</v>
      </c>
      <c r="F94" s="31">
        <v>110</v>
      </c>
      <c r="G94" s="75"/>
      <c r="H94" s="31">
        <v>75</v>
      </c>
      <c r="I94" s="31">
        <v>75</v>
      </c>
      <c r="J94" s="31">
        <v>0</v>
      </c>
      <c r="K94" s="31">
        <v>0</v>
      </c>
      <c r="L94" s="31">
        <v>0</v>
      </c>
      <c r="M94" s="31">
        <v>35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75" t="s">
        <v>90</v>
      </c>
    </row>
    <row r="95" spans="1:19" ht="14.4">
      <c r="A95" s="24">
        <v>341</v>
      </c>
      <c r="B95" s="53" t="s">
        <v>778</v>
      </c>
      <c r="C95" s="53" t="s">
        <v>779</v>
      </c>
      <c r="D95" s="1" t="s">
        <v>618</v>
      </c>
      <c r="E95" s="31">
        <v>1</v>
      </c>
      <c r="F95" s="31">
        <v>109.38</v>
      </c>
      <c r="G95" s="75"/>
      <c r="H95" s="31">
        <v>100</v>
      </c>
      <c r="I95" s="31">
        <v>100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75" t="s">
        <v>94</v>
      </c>
    </row>
    <row r="96" spans="1:19" ht="14.4">
      <c r="A96" s="24">
        <v>340</v>
      </c>
      <c r="B96" s="53" t="s">
        <v>780</v>
      </c>
      <c r="C96" s="53" t="s">
        <v>781</v>
      </c>
      <c r="D96" s="1" t="s">
        <v>618</v>
      </c>
      <c r="E96" s="31">
        <v>1</v>
      </c>
      <c r="F96" s="31">
        <v>100</v>
      </c>
      <c r="G96" s="75"/>
      <c r="H96" s="31">
        <v>100</v>
      </c>
      <c r="I96" s="31">
        <v>100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75" t="s">
        <v>94</v>
      </c>
    </row>
    <row r="97" spans="1:19" ht="14.4">
      <c r="A97" s="24">
        <v>340</v>
      </c>
      <c r="B97" s="53" t="s">
        <v>713</v>
      </c>
      <c r="C97" s="53" t="s">
        <v>782</v>
      </c>
      <c r="D97" s="1" t="s">
        <v>618</v>
      </c>
      <c r="E97" s="31">
        <v>1</v>
      </c>
      <c r="F97" s="31">
        <v>100</v>
      </c>
      <c r="G97" s="75"/>
      <c r="H97" s="31">
        <v>65</v>
      </c>
      <c r="I97" s="31">
        <v>65</v>
      </c>
      <c r="J97" s="31">
        <v>0</v>
      </c>
      <c r="K97" s="31">
        <v>0</v>
      </c>
      <c r="L97" s="31">
        <v>0</v>
      </c>
      <c r="M97" s="31">
        <v>0</v>
      </c>
      <c r="N97" s="31">
        <v>35</v>
      </c>
      <c r="O97" s="31">
        <v>0</v>
      </c>
      <c r="P97" s="31">
        <v>0</v>
      </c>
      <c r="Q97" s="31">
        <v>0</v>
      </c>
      <c r="R97" s="31">
        <v>0</v>
      </c>
      <c r="S97" s="75" t="s">
        <v>94</v>
      </c>
    </row>
    <row r="98" spans="1:19" ht="14.4">
      <c r="A98" s="24">
        <v>340</v>
      </c>
      <c r="B98" s="53" t="s">
        <v>782</v>
      </c>
      <c r="C98" s="53" t="s">
        <v>666</v>
      </c>
      <c r="D98" s="1" t="s">
        <v>618</v>
      </c>
      <c r="E98" s="31">
        <v>1</v>
      </c>
      <c r="F98" s="31">
        <v>100</v>
      </c>
      <c r="G98" s="75"/>
      <c r="H98" s="31">
        <v>100</v>
      </c>
      <c r="I98" s="31">
        <v>100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75" t="s">
        <v>94</v>
      </c>
    </row>
    <row r="99" spans="1:19" ht="14.4">
      <c r="A99" s="24">
        <v>340</v>
      </c>
      <c r="B99" s="53" t="s">
        <v>783</v>
      </c>
      <c r="C99" s="53" t="s">
        <v>726</v>
      </c>
      <c r="D99" s="1" t="s">
        <v>618</v>
      </c>
      <c r="E99" s="31">
        <v>1</v>
      </c>
      <c r="F99" s="31">
        <v>100</v>
      </c>
      <c r="G99" s="75"/>
      <c r="H99" s="31">
        <v>65</v>
      </c>
      <c r="I99" s="31">
        <v>65</v>
      </c>
      <c r="J99" s="31">
        <v>0</v>
      </c>
      <c r="K99" s="31">
        <v>0</v>
      </c>
      <c r="L99" s="31">
        <v>0</v>
      </c>
      <c r="M99" s="31">
        <v>0</v>
      </c>
      <c r="N99" s="31">
        <v>35</v>
      </c>
      <c r="O99" s="31">
        <v>0</v>
      </c>
      <c r="P99" s="31">
        <v>0</v>
      </c>
      <c r="Q99" s="31">
        <v>0</v>
      </c>
      <c r="R99" s="31">
        <v>0</v>
      </c>
      <c r="S99" s="75" t="s">
        <v>94</v>
      </c>
    </row>
    <row r="100" spans="1:19" ht="14.4">
      <c r="A100" s="24">
        <v>340</v>
      </c>
      <c r="B100" s="53" t="s">
        <v>660</v>
      </c>
      <c r="C100" s="53" t="s">
        <v>711</v>
      </c>
      <c r="D100" s="1" t="s">
        <v>618</v>
      </c>
      <c r="E100" s="31">
        <v>1</v>
      </c>
      <c r="F100" s="31">
        <v>100</v>
      </c>
      <c r="G100" s="75"/>
      <c r="H100" s="31">
        <v>75</v>
      </c>
      <c r="I100" s="31">
        <v>75</v>
      </c>
      <c r="J100" s="31">
        <v>0</v>
      </c>
      <c r="K100" s="31">
        <v>0</v>
      </c>
      <c r="L100" s="31">
        <v>0</v>
      </c>
      <c r="M100" s="31">
        <v>0</v>
      </c>
      <c r="N100" s="31">
        <v>25</v>
      </c>
      <c r="O100" s="31">
        <v>0</v>
      </c>
      <c r="P100" s="31">
        <v>0</v>
      </c>
      <c r="Q100" s="31">
        <v>0</v>
      </c>
      <c r="R100" s="31">
        <v>0</v>
      </c>
      <c r="S100" s="75" t="s">
        <v>43</v>
      </c>
    </row>
    <row r="101" spans="1:19" ht="14.4">
      <c r="A101" s="24">
        <v>340</v>
      </c>
      <c r="B101" s="53" t="s">
        <v>784</v>
      </c>
      <c r="C101" s="53" t="s">
        <v>785</v>
      </c>
      <c r="D101" s="1" t="s">
        <v>618</v>
      </c>
      <c r="E101" s="31">
        <v>1</v>
      </c>
      <c r="F101" s="31">
        <v>100</v>
      </c>
      <c r="G101" s="31">
        <v>-450</v>
      </c>
      <c r="H101" s="31">
        <v>550</v>
      </c>
      <c r="I101" s="31">
        <v>550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75" t="s">
        <v>37</v>
      </c>
    </row>
    <row r="102" spans="1:19" ht="14.4">
      <c r="A102" s="24">
        <v>340</v>
      </c>
      <c r="B102" s="53" t="s">
        <v>786</v>
      </c>
      <c r="C102" s="53" t="s">
        <v>732</v>
      </c>
      <c r="D102" s="1" t="s">
        <v>618</v>
      </c>
      <c r="E102" s="31">
        <v>1</v>
      </c>
      <c r="F102" s="31">
        <v>100</v>
      </c>
      <c r="G102" s="75"/>
      <c r="H102" s="31">
        <v>75</v>
      </c>
      <c r="I102" s="31">
        <v>75</v>
      </c>
      <c r="J102" s="31">
        <v>0</v>
      </c>
      <c r="K102" s="31">
        <v>0</v>
      </c>
      <c r="L102" s="31">
        <v>0</v>
      </c>
      <c r="M102" s="31">
        <v>0</v>
      </c>
      <c r="N102" s="31">
        <v>25</v>
      </c>
      <c r="O102" s="31">
        <v>0</v>
      </c>
      <c r="P102" s="31">
        <v>0</v>
      </c>
      <c r="Q102" s="31">
        <v>0</v>
      </c>
      <c r="R102" s="31">
        <v>0</v>
      </c>
      <c r="S102" s="75" t="s">
        <v>94</v>
      </c>
    </row>
    <row r="103" spans="1:19" ht="14.4">
      <c r="A103" s="24">
        <v>341</v>
      </c>
      <c r="B103" s="53" t="s">
        <v>787</v>
      </c>
      <c r="C103" s="53" t="s">
        <v>788</v>
      </c>
      <c r="D103" s="1" t="s">
        <v>618</v>
      </c>
      <c r="E103" s="31">
        <v>1</v>
      </c>
      <c r="F103" s="31">
        <v>100</v>
      </c>
      <c r="G103" s="75"/>
      <c r="H103" s="31">
        <v>75</v>
      </c>
      <c r="I103" s="31">
        <v>75</v>
      </c>
      <c r="J103" s="31">
        <v>0</v>
      </c>
      <c r="K103" s="31">
        <v>0</v>
      </c>
      <c r="L103" s="31">
        <v>0</v>
      </c>
      <c r="M103" s="31">
        <v>0</v>
      </c>
      <c r="N103" s="31">
        <v>25</v>
      </c>
      <c r="O103" s="31">
        <v>0</v>
      </c>
      <c r="P103" s="31">
        <v>0</v>
      </c>
      <c r="Q103" s="31">
        <v>0</v>
      </c>
      <c r="R103" s="31">
        <v>0</v>
      </c>
      <c r="S103" s="75" t="s">
        <v>94</v>
      </c>
    </row>
    <row r="104" spans="1:19" ht="14.4">
      <c r="A104" s="24">
        <v>341</v>
      </c>
      <c r="B104" s="53" t="s">
        <v>789</v>
      </c>
      <c r="C104" s="53" t="s">
        <v>695</v>
      </c>
      <c r="D104" s="1" t="s">
        <v>618</v>
      </c>
      <c r="E104" s="31">
        <v>1</v>
      </c>
      <c r="F104" s="31">
        <v>100</v>
      </c>
      <c r="G104" s="75"/>
      <c r="H104" s="31">
        <v>75</v>
      </c>
      <c r="I104" s="31">
        <v>75</v>
      </c>
      <c r="J104" s="31">
        <v>0</v>
      </c>
      <c r="K104" s="31">
        <v>0</v>
      </c>
      <c r="L104" s="31">
        <v>0</v>
      </c>
      <c r="M104" s="31">
        <v>0</v>
      </c>
      <c r="N104" s="31">
        <v>25</v>
      </c>
      <c r="O104" s="31">
        <v>0</v>
      </c>
      <c r="P104" s="31">
        <v>0</v>
      </c>
      <c r="Q104" s="31">
        <v>0</v>
      </c>
      <c r="R104" s="31">
        <v>0</v>
      </c>
      <c r="S104" s="75" t="s">
        <v>94</v>
      </c>
    </row>
    <row r="105" spans="1:19" ht="14.4">
      <c r="A105" s="24">
        <v>340</v>
      </c>
      <c r="B105" s="53" t="s">
        <v>790</v>
      </c>
      <c r="C105" s="53" t="s">
        <v>791</v>
      </c>
      <c r="D105" s="1" t="s">
        <v>645</v>
      </c>
      <c r="E105" s="31">
        <v>0</v>
      </c>
      <c r="F105" s="31">
        <v>95</v>
      </c>
      <c r="G105" s="75"/>
      <c r="H105" s="31">
        <v>60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35</v>
      </c>
      <c r="O105" s="31">
        <v>0</v>
      </c>
      <c r="P105" s="31">
        <v>0</v>
      </c>
      <c r="Q105" s="31">
        <v>0</v>
      </c>
      <c r="R105" s="31">
        <v>0</v>
      </c>
      <c r="S105" s="75" t="s">
        <v>38</v>
      </c>
    </row>
    <row r="106" spans="1:19" ht="14.4">
      <c r="A106" s="24">
        <v>341</v>
      </c>
      <c r="B106" s="53" t="s">
        <v>792</v>
      </c>
      <c r="C106" s="53" t="s">
        <v>793</v>
      </c>
      <c r="D106" s="1" t="s">
        <v>618</v>
      </c>
      <c r="E106" s="31">
        <v>1</v>
      </c>
      <c r="F106" s="31">
        <v>95</v>
      </c>
      <c r="G106" s="75"/>
      <c r="H106" s="31">
        <v>60</v>
      </c>
      <c r="I106" s="31">
        <v>60</v>
      </c>
      <c r="J106" s="31">
        <v>0</v>
      </c>
      <c r="K106" s="31">
        <v>0</v>
      </c>
      <c r="L106" s="31">
        <v>0</v>
      </c>
      <c r="M106" s="31">
        <v>35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75" t="s">
        <v>57</v>
      </c>
    </row>
    <row r="107" spans="1:19" ht="14.4">
      <c r="A107" s="24">
        <v>341</v>
      </c>
      <c r="B107" s="53" t="s">
        <v>794</v>
      </c>
      <c r="C107" s="53" t="s">
        <v>648</v>
      </c>
      <c r="D107" s="1" t="s">
        <v>618</v>
      </c>
      <c r="E107" s="31">
        <v>1</v>
      </c>
      <c r="F107" s="31">
        <v>95</v>
      </c>
      <c r="G107" s="75"/>
      <c r="H107" s="31">
        <v>60</v>
      </c>
      <c r="I107" s="31">
        <v>60</v>
      </c>
      <c r="J107" s="31">
        <v>0</v>
      </c>
      <c r="K107" s="31">
        <v>0</v>
      </c>
      <c r="L107" s="31">
        <v>0</v>
      </c>
      <c r="M107" s="31">
        <v>35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75" t="s">
        <v>57</v>
      </c>
    </row>
    <row r="108" spans="1:19" ht="14.4">
      <c r="A108" s="24">
        <v>341</v>
      </c>
      <c r="B108" s="53" t="s">
        <v>795</v>
      </c>
      <c r="C108" s="53" t="s">
        <v>623</v>
      </c>
      <c r="D108" s="1" t="s">
        <v>618</v>
      </c>
      <c r="E108" s="31">
        <v>1</v>
      </c>
      <c r="F108" s="31">
        <v>95</v>
      </c>
      <c r="G108" s="75"/>
      <c r="H108" s="31">
        <v>60</v>
      </c>
      <c r="I108" s="31">
        <v>60</v>
      </c>
      <c r="J108" s="31">
        <v>0</v>
      </c>
      <c r="K108" s="31">
        <v>0</v>
      </c>
      <c r="L108" s="31">
        <v>0</v>
      </c>
      <c r="M108" s="31">
        <v>35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75" t="s">
        <v>90</v>
      </c>
    </row>
    <row r="109" spans="1:19" ht="14.4">
      <c r="A109" s="24">
        <v>340</v>
      </c>
      <c r="B109" s="53" t="s">
        <v>796</v>
      </c>
      <c r="C109" s="53" t="s">
        <v>635</v>
      </c>
      <c r="D109" s="1" t="s">
        <v>618</v>
      </c>
      <c r="E109" s="31">
        <v>1</v>
      </c>
      <c r="F109" s="31">
        <v>85</v>
      </c>
      <c r="G109" s="75"/>
      <c r="H109" s="31">
        <v>50</v>
      </c>
      <c r="I109" s="31">
        <v>50</v>
      </c>
      <c r="J109" s="31">
        <v>0</v>
      </c>
      <c r="K109" s="31">
        <v>0</v>
      </c>
      <c r="L109" s="31">
        <v>0</v>
      </c>
      <c r="M109" s="31">
        <v>35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75" t="s">
        <v>46</v>
      </c>
    </row>
    <row r="110" spans="1:19" ht="14.4">
      <c r="A110" s="24">
        <v>340</v>
      </c>
      <c r="B110" s="53" t="s">
        <v>797</v>
      </c>
      <c r="C110" s="53" t="s">
        <v>798</v>
      </c>
      <c r="D110" s="1" t="s">
        <v>618</v>
      </c>
      <c r="E110" s="31">
        <v>1</v>
      </c>
      <c r="F110" s="31">
        <v>85</v>
      </c>
      <c r="G110" s="75"/>
      <c r="H110" s="31">
        <v>50</v>
      </c>
      <c r="I110" s="31">
        <v>50</v>
      </c>
      <c r="J110" s="31">
        <v>0</v>
      </c>
      <c r="K110" s="31">
        <v>0</v>
      </c>
      <c r="L110" s="31">
        <v>0</v>
      </c>
      <c r="M110" s="31">
        <v>35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75" t="s">
        <v>43</v>
      </c>
    </row>
    <row r="111" spans="1:19" ht="14.4">
      <c r="A111" s="24">
        <v>341</v>
      </c>
      <c r="B111" s="53" t="s">
        <v>631</v>
      </c>
      <c r="C111" s="53" t="s">
        <v>628</v>
      </c>
      <c r="D111" s="1" t="s">
        <v>618</v>
      </c>
      <c r="E111" s="31">
        <v>1</v>
      </c>
      <c r="F111" s="31">
        <v>85</v>
      </c>
      <c r="G111" s="75"/>
      <c r="H111" s="31">
        <v>50</v>
      </c>
      <c r="I111" s="31">
        <v>50</v>
      </c>
      <c r="J111" s="31">
        <v>0</v>
      </c>
      <c r="K111" s="31">
        <v>0</v>
      </c>
      <c r="L111" s="31">
        <v>0</v>
      </c>
      <c r="M111" s="31">
        <v>0</v>
      </c>
      <c r="N111" s="31">
        <v>35</v>
      </c>
      <c r="O111" s="31">
        <v>0</v>
      </c>
      <c r="P111" s="31">
        <v>0</v>
      </c>
      <c r="Q111" s="31">
        <v>0</v>
      </c>
      <c r="R111" s="31">
        <v>0</v>
      </c>
      <c r="S111" s="75" t="s">
        <v>43</v>
      </c>
    </row>
    <row r="112" spans="1:19" ht="14.4">
      <c r="A112" s="24">
        <v>341</v>
      </c>
      <c r="B112" s="53" t="s">
        <v>799</v>
      </c>
      <c r="C112" s="53" t="s">
        <v>800</v>
      </c>
      <c r="D112" s="1" t="s">
        <v>618</v>
      </c>
      <c r="E112" s="31">
        <v>1</v>
      </c>
      <c r="F112" s="31">
        <v>85</v>
      </c>
      <c r="G112" s="75"/>
      <c r="H112" s="31">
        <v>50</v>
      </c>
      <c r="I112" s="31">
        <v>50</v>
      </c>
      <c r="J112" s="31">
        <v>0</v>
      </c>
      <c r="K112" s="31">
        <v>0</v>
      </c>
      <c r="L112" s="31">
        <v>0</v>
      </c>
      <c r="M112" s="31">
        <v>0</v>
      </c>
      <c r="N112" s="31">
        <v>35</v>
      </c>
      <c r="O112" s="31">
        <v>0</v>
      </c>
      <c r="P112" s="31">
        <v>0</v>
      </c>
      <c r="Q112" s="31">
        <v>0</v>
      </c>
      <c r="R112" s="31">
        <v>0</v>
      </c>
      <c r="S112" s="75" t="s">
        <v>86</v>
      </c>
    </row>
    <row r="113" spans="1:19" ht="14.4">
      <c r="A113" s="24">
        <v>341</v>
      </c>
      <c r="B113" s="53" t="s">
        <v>778</v>
      </c>
      <c r="C113" s="53" t="s">
        <v>685</v>
      </c>
      <c r="D113" s="1" t="s">
        <v>618</v>
      </c>
      <c r="E113" s="31">
        <v>1</v>
      </c>
      <c r="F113" s="31">
        <v>85</v>
      </c>
      <c r="G113" s="75"/>
      <c r="H113" s="31">
        <v>50</v>
      </c>
      <c r="I113" s="31">
        <v>50</v>
      </c>
      <c r="J113" s="31">
        <v>0</v>
      </c>
      <c r="K113" s="31">
        <v>0</v>
      </c>
      <c r="L113" s="31">
        <v>0</v>
      </c>
      <c r="M113" s="31">
        <v>35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75" t="s">
        <v>59</v>
      </c>
    </row>
    <row r="114" spans="1:19" ht="14.4">
      <c r="A114" s="24">
        <v>341</v>
      </c>
      <c r="B114" s="53" t="s">
        <v>801</v>
      </c>
      <c r="C114" s="53" t="s">
        <v>789</v>
      </c>
      <c r="D114" s="1" t="s">
        <v>618</v>
      </c>
      <c r="E114" s="31">
        <v>1</v>
      </c>
      <c r="F114" s="31">
        <v>85</v>
      </c>
      <c r="G114" s="75"/>
      <c r="H114" s="31">
        <v>50</v>
      </c>
      <c r="I114" s="31">
        <v>50</v>
      </c>
      <c r="J114" s="31">
        <v>0</v>
      </c>
      <c r="K114" s="31">
        <v>0</v>
      </c>
      <c r="L114" s="31">
        <v>0</v>
      </c>
      <c r="M114" s="31">
        <v>0</v>
      </c>
      <c r="N114" s="31">
        <v>35</v>
      </c>
      <c r="O114" s="31">
        <v>0</v>
      </c>
      <c r="P114" s="31">
        <v>0</v>
      </c>
      <c r="Q114" s="31">
        <v>0</v>
      </c>
      <c r="R114" s="31">
        <v>0</v>
      </c>
      <c r="S114" s="75" t="s">
        <v>89</v>
      </c>
    </row>
    <row r="115" spans="1:19" ht="14.4">
      <c r="A115" s="24">
        <v>340</v>
      </c>
      <c r="B115" s="53" t="s">
        <v>802</v>
      </c>
      <c r="C115" s="53" t="s">
        <v>803</v>
      </c>
      <c r="D115" s="1" t="s">
        <v>618</v>
      </c>
      <c r="E115" s="31">
        <v>1</v>
      </c>
      <c r="F115" s="31">
        <v>81.56</v>
      </c>
      <c r="G115" s="31">
        <v>-35</v>
      </c>
      <c r="H115" s="31">
        <v>75</v>
      </c>
      <c r="I115" s="31">
        <v>75</v>
      </c>
      <c r="J115" s="31">
        <v>0</v>
      </c>
      <c r="K115" s="31">
        <v>0</v>
      </c>
      <c r="L115" s="31">
        <v>0</v>
      </c>
      <c r="M115" s="31">
        <v>35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75" t="s">
        <v>37</v>
      </c>
    </row>
    <row r="116" spans="1:19" ht="14.4">
      <c r="A116" s="24">
        <v>341</v>
      </c>
      <c r="B116" s="53" t="s">
        <v>695</v>
      </c>
      <c r="C116" s="53" t="s">
        <v>804</v>
      </c>
      <c r="D116" s="1" t="s">
        <v>618</v>
      </c>
      <c r="E116" s="31">
        <v>1</v>
      </c>
      <c r="F116" s="31">
        <v>80</v>
      </c>
      <c r="G116" s="75"/>
      <c r="H116" s="31">
        <v>80</v>
      </c>
      <c r="I116" s="31">
        <v>80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75" t="s">
        <v>86</v>
      </c>
    </row>
    <row r="117" spans="1:19" ht="14.4">
      <c r="A117" s="24">
        <v>340</v>
      </c>
      <c r="B117" s="53" t="s">
        <v>805</v>
      </c>
      <c r="C117" s="53" t="s">
        <v>806</v>
      </c>
      <c r="D117" s="1" t="s">
        <v>618</v>
      </c>
      <c r="E117" s="31">
        <v>1</v>
      </c>
      <c r="F117" s="31">
        <v>75</v>
      </c>
      <c r="G117" s="75"/>
      <c r="H117" s="31">
        <v>50</v>
      </c>
      <c r="I117" s="31">
        <v>50</v>
      </c>
      <c r="J117" s="31">
        <v>0</v>
      </c>
      <c r="K117" s="31">
        <v>0</v>
      </c>
      <c r="L117" s="31">
        <v>0</v>
      </c>
      <c r="M117" s="31">
        <v>25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75" t="s">
        <v>89</v>
      </c>
    </row>
    <row r="118" spans="1:19" ht="14.4">
      <c r="A118" s="24">
        <v>340</v>
      </c>
      <c r="B118" s="53" t="s">
        <v>807</v>
      </c>
      <c r="C118" s="53" t="s">
        <v>769</v>
      </c>
      <c r="D118" s="1" t="s">
        <v>618</v>
      </c>
      <c r="E118" s="31">
        <v>1</v>
      </c>
      <c r="F118" s="31">
        <v>75</v>
      </c>
      <c r="G118" s="75"/>
      <c r="H118" s="31">
        <v>75</v>
      </c>
      <c r="I118" s="31">
        <v>75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75" t="s">
        <v>38</v>
      </c>
    </row>
    <row r="119" spans="1:19" ht="14.4">
      <c r="A119" s="24">
        <v>340</v>
      </c>
      <c r="B119" s="53" t="s">
        <v>808</v>
      </c>
      <c r="C119" s="53" t="s">
        <v>756</v>
      </c>
      <c r="D119" s="1" t="s">
        <v>618</v>
      </c>
      <c r="E119" s="31">
        <v>1</v>
      </c>
      <c r="F119" s="31">
        <v>65</v>
      </c>
      <c r="G119" s="75"/>
      <c r="H119" s="31">
        <v>65</v>
      </c>
      <c r="I119" s="31">
        <v>65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75" t="s">
        <v>43</v>
      </c>
    </row>
    <row r="120" spans="1:19" ht="14.4">
      <c r="A120" s="24">
        <v>341</v>
      </c>
      <c r="B120" s="53" t="s">
        <v>638</v>
      </c>
      <c r="C120" s="53" t="s">
        <v>638</v>
      </c>
      <c r="D120" s="1" t="s">
        <v>618</v>
      </c>
      <c r="E120" s="31">
        <v>1</v>
      </c>
      <c r="F120" s="31">
        <v>65</v>
      </c>
      <c r="G120" s="75"/>
      <c r="H120" s="31">
        <v>65</v>
      </c>
      <c r="I120" s="31">
        <v>65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75" t="s">
        <v>101</v>
      </c>
    </row>
    <row r="121" spans="1:19" ht="14.4">
      <c r="A121" s="24">
        <v>341</v>
      </c>
      <c r="B121" s="53" t="s">
        <v>809</v>
      </c>
      <c r="C121" s="53" t="s">
        <v>809</v>
      </c>
      <c r="D121" s="1" t="s">
        <v>618</v>
      </c>
      <c r="E121" s="31">
        <v>1</v>
      </c>
      <c r="F121" s="31">
        <v>60</v>
      </c>
      <c r="G121" s="75"/>
      <c r="H121" s="31">
        <v>60</v>
      </c>
      <c r="I121" s="31">
        <v>60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75" t="s">
        <v>101</v>
      </c>
    </row>
    <row r="122" spans="1:19" ht="14.4">
      <c r="A122" s="24">
        <v>340</v>
      </c>
      <c r="B122" s="53" t="s">
        <v>810</v>
      </c>
      <c r="C122" s="53" t="s">
        <v>708</v>
      </c>
      <c r="D122" s="1" t="s">
        <v>618</v>
      </c>
      <c r="E122" s="31">
        <v>2</v>
      </c>
      <c r="F122" s="31">
        <v>50</v>
      </c>
      <c r="G122" s="31">
        <v>-235</v>
      </c>
      <c r="H122" s="31">
        <v>250</v>
      </c>
      <c r="I122" s="31">
        <v>250</v>
      </c>
      <c r="J122" s="31">
        <v>0</v>
      </c>
      <c r="K122" s="31">
        <v>0</v>
      </c>
      <c r="L122" s="31">
        <v>0</v>
      </c>
      <c r="M122" s="31">
        <v>35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75" t="s">
        <v>57</v>
      </c>
    </row>
    <row r="123" spans="1:19" ht="14.4">
      <c r="A123" s="24">
        <v>341</v>
      </c>
      <c r="B123" s="53" t="s">
        <v>811</v>
      </c>
      <c r="C123" s="53" t="s">
        <v>686</v>
      </c>
      <c r="D123" s="1" t="s">
        <v>618</v>
      </c>
      <c r="E123" s="31">
        <v>1</v>
      </c>
      <c r="F123" s="31">
        <v>50</v>
      </c>
      <c r="G123" s="75"/>
      <c r="H123" s="31">
        <v>50</v>
      </c>
      <c r="I123" s="31">
        <v>50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75" t="s">
        <v>59</v>
      </c>
    </row>
    <row r="124" spans="1:19" ht="14.4">
      <c r="A124" s="24">
        <v>340</v>
      </c>
      <c r="B124" s="53" t="s">
        <v>812</v>
      </c>
      <c r="C124" s="53" t="s">
        <v>813</v>
      </c>
      <c r="D124" s="1" t="s">
        <v>645</v>
      </c>
      <c r="E124" s="31">
        <v>0</v>
      </c>
      <c r="F124" s="31">
        <v>35</v>
      </c>
      <c r="G124" s="75"/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35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75" t="s">
        <v>89</v>
      </c>
    </row>
    <row r="125" spans="1:19" ht="14.4">
      <c r="A125" s="24">
        <v>341</v>
      </c>
      <c r="B125" s="53" t="s">
        <v>707</v>
      </c>
      <c r="C125" s="53" t="s">
        <v>668</v>
      </c>
      <c r="D125" s="1" t="s">
        <v>645</v>
      </c>
      <c r="E125" s="31">
        <v>0</v>
      </c>
      <c r="F125" s="31">
        <v>35</v>
      </c>
      <c r="G125" s="75"/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35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75" t="s">
        <v>57</v>
      </c>
    </row>
    <row r="126" spans="1:19" ht="14.4">
      <c r="A126" s="24">
        <v>340</v>
      </c>
      <c r="B126" s="53" t="s">
        <v>814</v>
      </c>
      <c r="C126" s="53" t="s">
        <v>815</v>
      </c>
      <c r="D126" s="1" t="s">
        <v>645</v>
      </c>
      <c r="E126" s="31">
        <v>0</v>
      </c>
      <c r="F126" s="31">
        <v>0</v>
      </c>
      <c r="G126" s="75"/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75" t="s">
        <v>309</v>
      </c>
    </row>
    <row r="127" spans="1:19" ht="14.4">
      <c r="A127" s="24">
        <v>340</v>
      </c>
      <c r="B127" s="53" t="s">
        <v>816</v>
      </c>
      <c r="C127" s="53" t="s">
        <v>817</v>
      </c>
      <c r="D127" s="1" t="s">
        <v>645</v>
      </c>
      <c r="E127" s="31">
        <v>0</v>
      </c>
      <c r="F127" s="31">
        <v>0</v>
      </c>
      <c r="G127" s="75"/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75" t="s">
        <v>309</v>
      </c>
    </row>
    <row r="128" spans="1:19" ht="14.4">
      <c r="A128" s="24">
        <v>340</v>
      </c>
      <c r="B128" s="53" t="s">
        <v>816</v>
      </c>
      <c r="C128" s="53" t="s">
        <v>818</v>
      </c>
      <c r="D128" s="1" t="s">
        <v>645</v>
      </c>
      <c r="E128" s="31">
        <v>0</v>
      </c>
      <c r="F128" s="31">
        <v>0</v>
      </c>
      <c r="G128" s="75"/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75" t="s">
        <v>819</v>
      </c>
    </row>
    <row r="129" spans="1:19" ht="14.4">
      <c r="A129" s="24">
        <v>340</v>
      </c>
      <c r="B129" s="53" t="s">
        <v>820</v>
      </c>
      <c r="C129" s="53" t="s">
        <v>738</v>
      </c>
      <c r="D129" s="1" t="s">
        <v>618</v>
      </c>
      <c r="E129" s="31">
        <v>1</v>
      </c>
      <c r="F129" s="31">
        <v>0</v>
      </c>
      <c r="G129" s="31">
        <v>-85</v>
      </c>
      <c r="H129" s="31">
        <v>85</v>
      </c>
      <c r="I129" s="31">
        <v>85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75" t="s">
        <v>37</v>
      </c>
    </row>
    <row r="130" spans="1:19" ht="14.4">
      <c r="A130" s="24">
        <v>340</v>
      </c>
      <c r="B130" s="53" t="s">
        <v>821</v>
      </c>
      <c r="C130" s="53" t="s">
        <v>699</v>
      </c>
      <c r="D130" s="1" t="s">
        <v>618</v>
      </c>
      <c r="E130" s="31">
        <v>1</v>
      </c>
      <c r="F130" s="31">
        <v>0</v>
      </c>
      <c r="G130" s="31">
        <v>-70</v>
      </c>
      <c r="H130" s="31">
        <v>50</v>
      </c>
      <c r="I130" s="31">
        <v>50</v>
      </c>
      <c r="J130" s="31">
        <v>0</v>
      </c>
      <c r="K130" s="31">
        <v>0</v>
      </c>
      <c r="L130" s="31">
        <v>0</v>
      </c>
      <c r="M130" s="31">
        <v>0</v>
      </c>
      <c r="N130" s="31">
        <v>20</v>
      </c>
      <c r="O130" s="31">
        <v>0</v>
      </c>
      <c r="P130" s="31">
        <v>0</v>
      </c>
      <c r="Q130" s="31">
        <v>0</v>
      </c>
      <c r="R130" s="31">
        <v>0</v>
      </c>
      <c r="S130" s="75" t="s">
        <v>43</v>
      </c>
    </row>
    <row r="131" spans="1:19" ht="14.4">
      <c r="A131" s="24">
        <v>340</v>
      </c>
      <c r="B131" s="53" t="s">
        <v>822</v>
      </c>
      <c r="C131" s="53" t="s">
        <v>823</v>
      </c>
      <c r="D131" s="1" t="s">
        <v>618</v>
      </c>
      <c r="E131" s="31">
        <v>1</v>
      </c>
      <c r="F131" s="31">
        <v>0</v>
      </c>
      <c r="G131" s="31">
        <v>-50</v>
      </c>
      <c r="H131" s="31">
        <v>50</v>
      </c>
      <c r="I131" s="31">
        <v>50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75" t="s">
        <v>46</v>
      </c>
    </row>
    <row r="132" spans="1:19" ht="14.4">
      <c r="A132" s="24">
        <v>340</v>
      </c>
      <c r="B132" s="53" t="s">
        <v>824</v>
      </c>
      <c r="C132" s="53" t="s">
        <v>825</v>
      </c>
      <c r="D132" s="1" t="s">
        <v>618</v>
      </c>
      <c r="E132" s="31">
        <v>1</v>
      </c>
      <c r="F132" s="31">
        <v>0</v>
      </c>
      <c r="G132" s="31">
        <v>-100</v>
      </c>
      <c r="H132" s="31">
        <v>65</v>
      </c>
      <c r="I132" s="31">
        <v>65</v>
      </c>
      <c r="J132" s="31">
        <v>0</v>
      </c>
      <c r="K132" s="31">
        <v>0</v>
      </c>
      <c r="L132" s="31">
        <v>0</v>
      </c>
      <c r="M132" s="31">
        <v>0</v>
      </c>
      <c r="N132" s="31">
        <v>35</v>
      </c>
      <c r="O132" s="31">
        <v>0</v>
      </c>
      <c r="P132" s="31">
        <v>0</v>
      </c>
      <c r="Q132" s="31">
        <v>0</v>
      </c>
      <c r="R132" s="31">
        <v>0</v>
      </c>
      <c r="S132" s="75" t="s">
        <v>44</v>
      </c>
    </row>
    <row r="133" spans="1:19" ht="14.4">
      <c r="A133" s="24">
        <v>340</v>
      </c>
      <c r="B133" s="53" t="s">
        <v>826</v>
      </c>
      <c r="C133" s="53" t="s">
        <v>803</v>
      </c>
      <c r="D133" s="1" t="s">
        <v>618</v>
      </c>
      <c r="E133" s="31">
        <v>1</v>
      </c>
      <c r="F133" s="31">
        <v>0</v>
      </c>
      <c r="G133" s="31">
        <v>-208</v>
      </c>
      <c r="H133" s="31">
        <v>125</v>
      </c>
      <c r="I133" s="31">
        <v>125</v>
      </c>
      <c r="J133" s="31">
        <v>0</v>
      </c>
      <c r="K133" s="31">
        <v>0</v>
      </c>
      <c r="L133" s="31">
        <v>0</v>
      </c>
      <c r="M133" s="31">
        <v>0</v>
      </c>
      <c r="N133" s="31">
        <v>75</v>
      </c>
      <c r="O133" s="31">
        <v>0</v>
      </c>
      <c r="P133" s="31">
        <v>8</v>
      </c>
      <c r="Q133" s="31">
        <v>0</v>
      </c>
      <c r="R133" s="31">
        <v>0</v>
      </c>
      <c r="S133" s="75" t="s">
        <v>92</v>
      </c>
    </row>
    <row r="134" spans="1:19" ht="14.4">
      <c r="A134" s="24">
        <v>340</v>
      </c>
      <c r="B134" s="53" t="s">
        <v>827</v>
      </c>
      <c r="C134" s="53" t="s">
        <v>828</v>
      </c>
      <c r="D134" s="1" t="s">
        <v>618</v>
      </c>
      <c r="E134" s="31">
        <v>1</v>
      </c>
      <c r="F134" s="31">
        <v>0</v>
      </c>
      <c r="G134" s="31">
        <v>-60</v>
      </c>
      <c r="H134" s="31">
        <v>60</v>
      </c>
      <c r="I134" s="31">
        <v>60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75" t="s">
        <v>37</v>
      </c>
    </row>
    <row r="135" spans="1:19" ht="14.4">
      <c r="A135" s="24">
        <v>340</v>
      </c>
      <c r="B135" s="53" t="s">
        <v>825</v>
      </c>
      <c r="C135" s="53" t="s">
        <v>829</v>
      </c>
      <c r="D135" s="1" t="s">
        <v>618</v>
      </c>
      <c r="E135" s="31">
        <v>3</v>
      </c>
      <c r="F135" s="31">
        <v>0</v>
      </c>
      <c r="G135" s="31">
        <v>-1145</v>
      </c>
      <c r="H135" s="31">
        <v>845</v>
      </c>
      <c r="I135" s="31">
        <v>845</v>
      </c>
      <c r="J135" s="31">
        <v>0</v>
      </c>
      <c r="K135" s="31">
        <v>0</v>
      </c>
      <c r="L135" s="31">
        <v>0</v>
      </c>
      <c r="M135" s="31">
        <v>300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75" t="s">
        <v>38</v>
      </c>
    </row>
    <row r="136" spans="1:19" ht="14.4">
      <c r="A136" s="24">
        <v>340</v>
      </c>
      <c r="B136" s="53" t="s">
        <v>830</v>
      </c>
      <c r="C136" s="53" t="s">
        <v>652</v>
      </c>
      <c r="D136" s="1" t="s">
        <v>618</v>
      </c>
      <c r="E136" s="31">
        <v>1</v>
      </c>
      <c r="F136" s="31">
        <v>0</v>
      </c>
      <c r="G136" s="31">
        <v>-100</v>
      </c>
      <c r="H136" s="31">
        <v>65</v>
      </c>
      <c r="I136" s="31">
        <v>65</v>
      </c>
      <c r="J136" s="31">
        <v>0</v>
      </c>
      <c r="K136" s="31">
        <v>0</v>
      </c>
      <c r="L136" s="31">
        <v>0</v>
      </c>
      <c r="M136" s="31">
        <v>0</v>
      </c>
      <c r="N136" s="31">
        <v>35</v>
      </c>
      <c r="O136" s="31">
        <v>0</v>
      </c>
      <c r="P136" s="31">
        <v>0</v>
      </c>
      <c r="Q136" s="31">
        <v>0</v>
      </c>
      <c r="R136" s="31">
        <v>0</v>
      </c>
      <c r="S136" s="75" t="s">
        <v>37</v>
      </c>
    </row>
    <row r="137" spans="1:19" ht="14.4">
      <c r="A137" s="24">
        <v>340</v>
      </c>
      <c r="B137" s="53" t="s">
        <v>644</v>
      </c>
      <c r="C137" s="53" t="s">
        <v>652</v>
      </c>
      <c r="D137" s="1" t="s">
        <v>618</v>
      </c>
      <c r="E137" s="31">
        <v>1</v>
      </c>
      <c r="F137" s="31">
        <v>0</v>
      </c>
      <c r="G137" s="31">
        <v>-85</v>
      </c>
      <c r="H137" s="31">
        <v>50</v>
      </c>
      <c r="I137" s="31">
        <v>50</v>
      </c>
      <c r="J137" s="31">
        <v>0</v>
      </c>
      <c r="K137" s="31">
        <v>0</v>
      </c>
      <c r="L137" s="31">
        <v>0</v>
      </c>
      <c r="M137" s="31">
        <v>0</v>
      </c>
      <c r="N137" s="31">
        <v>35</v>
      </c>
      <c r="O137" s="31">
        <v>0</v>
      </c>
      <c r="P137" s="31">
        <v>0</v>
      </c>
      <c r="Q137" s="31">
        <v>0</v>
      </c>
      <c r="R137" s="31">
        <v>0</v>
      </c>
      <c r="S137" s="75" t="s">
        <v>37</v>
      </c>
    </row>
    <row r="138" spans="1:19" ht="14.4">
      <c r="A138" s="24">
        <v>340</v>
      </c>
      <c r="B138" s="53" t="s">
        <v>829</v>
      </c>
      <c r="C138" s="53" t="s">
        <v>831</v>
      </c>
      <c r="D138" s="1" t="s">
        <v>618</v>
      </c>
      <c r="E138" s="31">
        <v>2</v>
      </c>
      <c r="F138" s="31">
        <v>0</v>
      </c>
      <c r="G138" s="31">
        <v>-100</v>
      </c>
      <c r="H138" s="31">
        <v>100</v>
      </c>
      <c r="I138" s="31">
        <v>100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75" t="s">
        <v>47</v>
      </c>
    </row>
    <row r="139" spans="1:19" ht="14.4">
      <c r="A139" s="24">
        <v>340</v>
      </c>
      <c r="B139" s="53" t="s">
        <v>832</v>
      </c>
      <c r="C139" s="53" t="s">
        <v>675</v>
      </c>
      <c r="D139" s="1" t="s">
        <v>618</v>
      </c>
      <c r="E139" s="31">
        <v>1</v>
      </c>
      <c r="F139" s="31">
        <v>0</v>
      </c>
      <c r="G139" s="31">
        <v>-105.04</v>
      </c>
      <c r="H139" s="31">
        <v>65</v>
      </c>
      <c r="I139" s="31">
        <v>65</v>
      </c>
      <c r="J139" s="31">
        <v>0</v>
      </c>
      <c r="K139" s="31">
        <v>0</v>
      </c>
      <c r="L139" s="31">
        <v>0</v>
      </c>
      <c r="M139" s="31">
        <v>0</v>
      </c>
      <c r="N139" s="31">
        <v>35</v>
      </c>
      <c r="O139" s="31">
        <v>0</v>
      </c>
      <c r="P139" s="31">
        <v>0</v>
      </c>
      <c r="Q139" s="31">
        <v>0</v>
      </c>
      <c r="R139" s="31">
        <v>0</v>
      </c>
      <c r="S139" s="75" t="s">
        <v>89</v>
      </c>
    </row>
    <row r="140" spans="1:19" ht="14.4">
      <c r="A140" s="24">
        <v>340</v>
      </c>
      <c r="B140" s="53" t="s">
        <v>833</v>
      </c>
      <c r="C140" s="53" t="s">
        <v>834</v>
      </c>
      <c r="D140" s="1" t="s">
        <v>645</v>
      </c>
      <c r="E140" s="31">
        <v>0</v>
      </c>
      <c r="F140" s="31">
        <v>0</v>
      </c>
      <c r="G140" s="31">
        <v>-85</v>
      </c>
      <c r="H140" s="31">
        <v>50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35</v>
      </c>
      <c r="O140" s="31">
        <v>0</v>
      </c>
      <c r="P140" s="31">
        <v>0</v>
      </c>
      <c r="Q140" s="31">
        <v>0</v>
      </c>
      <c r="R140" s="31">
        <v>0</v>
      </c>
      <c r="S140" s="75" t="s">
        <v>97</v>
      </c>
    </row>
    <row r="141" spans="1:19" ht="14.4">
      <c r="A141" s="24">
        <v>340</v>
      </c>
      <c r="B141" s="53" t="s">
        <v>835</v>
      </c>
      <c r="C141" s="53" t="s">
        <v>836</v>
      </c>
      <c r="D141" s="1" t="s">
        <v>618</v>
      </c>
      <c r="E141" s="31">
        <v>2</v>
      </c>
      <c r="F141" s="31">
        <v>0</v>
      </c>
      <c r="G141" s="31">
        <v>-852.64</v>
      </c>
      <c r="H141" s="31">
        <v>795</v>
      </c>
      <c r="I141" s="31">
        <v>795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75" t="s">
        <v>44</v>
      </c>
    </row>
    <row r="142" spans="1:19" ht="14.4">
      <c r="A142" s="24">
        <v>340</v>
      </c>
      <c r="B142" s="53" t="s">
        <v>837</v>
      </c>
      <c r="C142" s="53" t="s">
        <v>744</v>
      </c>
      <c r="D142" s="1" t="s">
        <v>618</v>
      </c>
      <c r="E142" s="31">
        <v>1</v>
      </c>
      <c r="F142" s="31">
        <v>0</v>
      </c>
      <c r="G142" s="31">
        <v>-75</v>
      </c>
      <c r="H142" s="31">
        <v>50</v>
      </c>
      <c r="I142" s="31">
        <v>50</v>
      </c>
      <c r="J142" s="31">
        <v>0</v>
      </c>
      <c r="K142" s="31">
        <v>0</v>
      </c>
      <c r="L142" s="31">
        <v>0</v>
      </c>
      <c r="M142" s="31">
        <v>25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76" t="s">
        <v>59</v>
      </c>
    </row>
    <row r="143" spans="1:19" ht="14.4">
      <c r="A143" s="24">
        <v>340</v>
      </c>
      <c r="B143" s="53" t="s">
        <v>838</v>
      </c>
      <c r="C143" s="53" t="s">
        <v>744</v>
      </c>
      <c r="D143" s="1" t="s">
        <v>618</v>
      </c>
      <c r="E143" s="31">
        <v>1</v>
      </c>
      <c r="F143" s="31">
        <v>0</v>
      </c>
      <c r="G143" s="31">
        <v>-900</v>
      </c>
      <c r="H143" s="31">
        <v>860</v>
      </c>
      <c r="I143" s="31">
        <v>860</v>
      </c>
      <c r="J143" s="31">
        <v>0</v>
      </c>
      <c r="K143" s="31">
        <v>0</v>
      </c>
      <c r="L143" s="31">
        <v>0</v>
      </c>
      <c r="M143" s="31">
        <v>0</v>
      </c>
      <c r="N143" s="31">
        <v>40</v>
      </c>
      <c r="O143" s="31">
        <v>0</v>
      </c>
      <c r="P143" s="31">
        <v>0</v>
      </c>
      <c r="Q143" s="31">
        <v>0</v>
      </c>
      <c r="R143" s="31">
        <v>0</v>
      </c>
      <c r="S143" s="75" t="s">
        <v>47</v>
      </c>
    </row>
    <row r="144" spans="1:19" ht="14.4">
      <c r="A144" s="24">
        <v>340</v>
      </c>
      <c r="B144" s="53" t="s">
        <v>839</v>
      </c>
      <c r="C144" s="53" t="s">
        <v>767</v>
      </c>
      <c r="D144" s="1" t="s">
        <v>645</v>
      </c>
      <c r="E144" s="31">
        <v>0</v>
      </c>
      <c r="F144" s="31">
        <v>0</v>
      </c>
      <c r="G144" s="31">
        <v>-535</v>
      </c>
      <c r="H144" s="31">
        <v>400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35</v>
      </c>
      <c r="O144" s="31">
        <v>0</v>
      </c>
      <c r="P144" s="31">
        <v>100</v>
      </c>
      <c r="Q144" s="31">
        <v>0</v>
      </c>
      <c r="R144" s="31">
        <v>0</v>
      </c>
      <c r="S144" s="75" t="s">
        <v>60</v>
      </c>
    </row>
    <row r="145" spans="1:19" ht="14.4">
      <c r="A145" s="24">
        <v>340</v>
      </c>
      <c r="B145" s="53" t="s">
        <v>764</v>
      </c>
      <c r="C145" s="53" t="s">
        <v>840</v>
      </c>
      <c r="D145" s="1" t="s">
        <v>618</v>
      </c>
      <c r="E145" s="31">
        <v>3</v>
      </c>
      <c r="F145" s="31">
        <v>0</v>
      </c>
      <c r="G145" s="31">
        <v>-760</v>
      </c>
      <c r="H145" s="31">
        <v>705.33</v>
      </c>
      <c r="I145" s="31">
        <v>705.33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75" t="s">
        <v>57</v>
      </c>
    </row>
    <row r="146" spans="1:19" ht="14.4">
      <c r="A146" s="24">
        <v>340</v>
      </c>
      <c r="B146" s="53" t="s">
        <v>841</v>
      </c>
      <c r="C146" s="53" t="s">
        <v>765</v>
      </c>
      <c r="D146" s="1" t="s">
        <v>618</v>
      </c>
      <c r="E146" s="31">
        <v>1</v>
      </c>
      <c r="F146" s="31">
        <v>0</v>
      </c>
      <c r="G146" s="31">
        <v>-125</v>
      </c>
      <c r="H146" s="31">
        <v>90</v>
      </c>
      <c r="I146" s="31">
        <v>90</v>
      </c>
      <c r="J146" s="31">
        <v>0</v>
      </c>
      <c r="K146" s="31">
        <v>0</v>
      </c>
      <c r="L146" s="31">
        <v>0</v>
      </c>
      <c r="M146" s="31">
        <v>0</v>
      </c>
      <c r="N146" s="31">
        <v>35</v>
      </c>
      <c r="O146" s="31">
        <v>0</v>
      </c>
      <c r="P146" s="31">
        <v>0</v>
      </c>
      <c r="Q146" s="31">
        <v>0</v>
      </c>
      <c r="R146" s="31">
        <v>0</v>
      </c>
      <c r="S146" s="75" t="s">
        <v>97</v>
      </c>
    </row>
    <row r="147" spans="1:19" ht="14.4">
      <c r="A147" s="24">
        <v>340</v>
      </c>
      <c r="B147" s="53" t="s">
        <v>841</v>
      </c>
      <c r="C147" s="53" t="s">
        <v>655</v>
      </c>
      <c r="D147" s="1" t="s">
        <v>618</v>
      </c>
      <c r="E147" s="31">
        <v>1</v>
      </c>
      <c r="F147" s="31">
        <v>0</v>
      </c>
      <c r="G147" s="31">
        <v>-60</v>
      </c>
      <c r="H147" s="31">
        <v>60</v>
      </c>
      <c r="I147" s="31">
        <v>60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75" t="s">
        <v>97</v>
      </c>
    </row>
    <row r="148" spans="1:19" ht="14.4">
      <c r="A148" s="24">
        <v>340</v>
      </c>
      <c r="B148" s="53" t="s">
        <v>841</v>
      </c>
      <c r="C148" s="53" t="s">
        <v>842</v>
      </c>
      <c r="D148" s="1" t="s">
        <v>618</v>
      </c>
      <c r="E148" s="31">
        <v>1</v>
      </c>
      <c r="F148" s="31">
        <v>0</v>
      </c>
      <c r="G148" s="31">
        <v>-85</v>
      </c>
      <c r="H148" s="31">
        <v>50</v>
      </c>
      <c r="I148" s="31">
        <v>50</v>
      </c>
      <c r="J148" s="31">
        <v>0</v>
      </c>
      <c r="K148" s="31">
        <v>0</v>
      </c>
      <c r="L148" s="31">
        <v>0</v>
      </c>
      <c r="M148" s="31">
        <v>0</v>
      </c>
      <c r="N148" s="31">
        <v>35</v>
      </c>
      <c r="O148" s="31">
        <v>0</v>
      </c>
      <c r="P148" s="31">
        <v>0</v>
      </c>
      <c r="Q148" s="31">
        <v>0</v>
      </c>
      <c r="R148" s="31">
        <v>0</v>
      </c>
      <c r="S148" s="75" t="s">
        <v>97</v>
      </c>
    </row>
    <row r="149" spans="1:19" ht="14.4">
      <c r="A149" s="24">
        <v>340</v>
      </c>
      <c r="B149" s="53" t="s">
        <v>843</v>
      </c>
      <c r="C149" s="53" t="s">
        <v>842</v>
      </c>
      <c r="D149" s="1" t="s">
        <v>618</v>
      </c>
      <c r="E149" s="31">
        <v>1</v>
      </c>
      <c r="F149" s="31">
        <v>0</v>
      </c>
      <c r="G149" s="31">
        <v>-262.8</v>
      </c>
      <c r="H149" s="31">
        <v>240</v>
      </c>
      <c r="I149" s="31">
        <v>240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75" t="s">
        <v>47</v>
      </c>
    </row>
    <row r="150" spans="1:19" ht="14.4">
      <c r="A150" s="24">
        <v>340</v>
      </c>
      <c r="B150" s="53" t="s">
        <v>844</v>
      </c>
      <c r="C150" s="53" t="s">
        <v>750</v>
      </c>
      <c r="D150" s="1" t="s">
        <v>618</v>
      </c>
      <c r="E150" s="31">
        <v>1</v>
      </c>
      <c r="F150" s="31">
        <v>0</v>
      </c>
      <c r="G150" s="31">
        <v>-3400</v>
      </c>
      <c r="H150" s="31">
        <v>2865</v>
      </c>
      <c r="I150" s="31">
        <v>2865</v>
      </c>
      <c r="J150" s="31">
        <v>0</v>
      </c>
      <c r="K150" s="31">
        <v>0</v>
      </c>
      <c r="L150" s="31">
        <v>0</v>
      </c>
      <c r="M150" s="31">
        <v>0</v>
      </c>
      <c r="N150" s="31">
        <v>35</v>
      </c>
      <c r="O150" s="31">
        <v>0</v>
      </c>
      <c r="P150" s="31">
        <v>0</v>
      </c>
      <c r="Q150" s="31">
        <v>0</v>
      </c>
      <c r="R150" s="31">
        <v>500</v>
      </c>
      <c r="S150" s="75" t="s">
        <v>89</v>
      </c>
    </row>
    <row r="151" spans="1:19" ht="14.4">
      <c r="A151" s="24">
        <v>340</v>
      </c>
      <c r="B151" s="53" t="s">
        <v>744</v>
      </c>
      <c r="C151" s="53" t="s">
        <v>666</v>
      </c>
      <c r="D151" s="1" t="s">
        <v>618</v>
      </c>
      <c r="E151" s="31">
        <v>1</v>
      </c>
      <c r="F151" s="31">
        <v>0</v>
      </c>
      <c r="G151" s="31">
        <v>-125</v>
      </c>
      <c r="H151" s="31">
        <v>90</v>
      </c>
      <c r="I151" s="31">
        <v>90</v>
      </c>
      <c r="J151" s="31">
        <v>0</v>
      </c>
      <c r="K151" s="31">
        <v>0</v>
      </c>
      <c r="L151" s="31">
        <v>0</v>
      </c>
      <c r="M151" s="31">
        <v>0</v>
      </c>
      <c r="N151" s="31">
        <v>35</v>
      </c>
      <c r="O151" s="31">
        <v>0</v>
      </c>
      <c r="P151" s="31">
        <v>0</v>
      </c>
      <c r="Q151" s="31">
        <v>0</v>
      </c>
      <c r="R151" s="31">
        <v>0</v>
      </c>
      <c r="S151" s="75" t="s">
        <v>57</v>
      </c>
    </row>
    <row r="152" spans="1:19" ht="14.4">
      <c r="A152" s="24">
        <v>340</v>
      </c>
      <c r="B152" s="53" t="s">
        <v>845</v>
      </c>
      <c r="C152" s="53" t="s">
        <v>703</v>
      </c>
      <c r="D152" s="1" t="s">
        <v>618</v>
      </c>
      <c r="E152" s="31">
        <v>1</v>
      </c>
      <c r="F152" s="31">
        <v>0</v>
      </c>
      <c r="G152" s="31">
        <v>-75</v>
      </c>
      <c r="H152" s="31">
        <v>75</v>
      </c>
      <c r="I152" s="31">
        <v>75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75" t="s">
        <v>97</v>
      </c>
    </row>
    <row r="153" spans="1:19" ht="14.4">
      <c r="A153" s="24">
        <v>340</v>
      </c>
      <c r="B153" s="53" t="s">
        <v>796</v>
      </c>
      <c r="C153" s="53" t="s">
        <v>761</v>
      </c>
      <c r="D153" s="1" t="s">
        <v>618</v>
      </c>
      <c r="E153" s="31">
        <v>1</v>
      </c>
      <c r="F153" s="31">
        <v>0</v>
      </c>
      <c r="G153" s="31">
        <v>-1515.94</v>
      </c>
      <c r="H153" s="31">
        <v>1053.99</v>
      </c>
      <c r="I153" s="31">
        <v>1053.99</v>
      </c>
      <c r="J153" s="31">
        <v>0</v>
      </c>
      <c r="K153" s="31">
        <v>0</v>
      </c>
      <c r="L153" s="31">
        <v>0</v>
      </c>
      <c r="M153" s="31">
        <v>0</v>
      </c>
      <c r="N153" s="31">
        <v>375</v>
      </c>
      <c r="O153" s="31">
        <v>0</v>
      </c>
      <c r="P153" s="31">
        <v>0</v>
      </c>
      <c r="Q153" s="31">
        <v>0</v>
      </c>
      <c r="R153" s="31">
        <v>0</v>
      </c>
      <c r="S153" s="75" t="s">
        <v>92</v>
      </c>
    </row>
    <row r="154" spans="1:19" ht="14.4">
      <c r="A154" s="24">
        <v>340</v>
      </c>
      <c r="B154" s="53" t="s">
        <v>846</v>
      </c>
      <c r="C154" s="53" t="s">
        <v>770</v>
      </c>
      <c r="D154" s="1" t="s">
        <v>618</v>
      </c>
      <c r="E154" s="31">
        <v>1</v>
      </c>
      <c r="F154" s="31">
        <v>0</v>
      </c>
      <c r="G154" s="31">
        <v>-125</v>
      </c>
      <c r="H154" s="31">
        <v>85</v>
      </c>
      <c r="I154" s="31">
        <v>85</v>
      </c>
      <c r="J154" s="31">
        <v>0</v>
      </c>
      <c r="K154" s="31">
        <v>0</v>
      </c>
      <c r="L154" s="31">
        <v>0</v>
      </c>
      <c r="M154" s="31">
        <v>0</v>
      </c>
      <c r="N154" s="31">
        <v>40</v>
      </c>
      <c r="O154" s="31">
        <v>0</v>
      </c>
      <c r="P154" s="31">
        <v>0</v>
      </c>
      <c r="Q154" s="31">
        <v>0</v>
      </c>
      <c r="R154" s="31">
        <v>0</v>
      </c>
      <c r="S154" s="75" t="s">
        <v>47</v>
      </c>
    </row>
    <row r="155" spans="1:19" ht="14.4">
      <c r="A155" s="24">
        <v>340</v>
      </c>
      <c r="B155" s="53" t="s">
        <v>847</v>
      </c>
      <c r="C155" s="53" t="s">
        <v>848</v>
      </c>
      <c r="D155" s="1" t="s">
        <v>618</v>
      </c>
      <c r="E155" s="31">
        <v>1</v>
      </c>
      <c r="F155" s="31">
        <v>0</v>
      </c>
      <c r="G155" s="31">
        <v>-305</v>
      </c>
      <c r="H155" s="31">
        <v>270</v>
      </c>
      <c r="I155" s="31">
        <v>270</v>
      </c>
      <c r="J155" s="31">
        <v>0</v>
      </c>
      <c r="K155" s="31">
        <v>0</v>
      </c>
      <c r="L155" s="31">
        <v>0</v>
      </c>
      <c r="M155" s="31">
        <v>0</v>
      </c>
      <c r="N155" s="31">
        <v>35</v>
      </c>
      <c r="O155" s="31">
        <v>0</v>
      </c>
      <c r="P155" s="31">
        <v>0</v>
      </c>
      <c r="Q155" s="31">
        <v>0</v>
      </c>
      <c r="R155" s="31">
        <v>0</v>
      </c>
      <c r="S155" s="75" t="s">
        <v>89</v>
      </c>
    </row>
    <row r="156" spans="1:19" ht="14.4">
      <c r="A156" s="24">
        <v>340</v>
      </c>
      <c r="B156" s="53" t="s">
        <v>655</v>
      </c>
      <c r="C156" s="53" t="s">
        <v>849</v>
      </c>
      <c r="D156" s="1" t="s">
        <v>618</v>
      </c>
      <c r="E156" s="31">
        <v>1</v>
      </c>
      <c r="F156" s="31">
        <v>0</v>
      </c>
      <c r="G156" s="31">
        <v>-97.43</v>
      </c>
      <c r="H156" s="31">
        <v>90</v>
      </c>
      <c r="I156" s="31">
        <v>90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75" t="s">
        <v>90</v>
      </c>
    </row>
    <row r="157" spans="1:19" ht="14.4">
      <c r="A157" s="24">
        <v>340</v>
      </c>
      <c r="B157" s="53" t="s">
        <v>850</v>
      </c>
      <c r="C157" s="53" t="s">
        <v>851</v>
      </c>
      <c r="D157" s="1" t="s">
        <v>618</v>
      </c>
      <c r="E157" s="31">
        <v>1</v>
      </c>
      <c r="F157" s="31">
        <v>0</v>
      </c>
      <c r="G157" s="31">
        <v>-493.88</v>
      </c>
      <c r="H157" s="31">
        <v>450</v>
      </c>
      <c r="I157" s="31">
        <v>450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75" t="s">
        <v>47</v>
      </c>
    </row>
    <row r="158" spans="1:19" ht="14.4">
      <c r="A158" s="24">
        <v>340</v>
      </c>
      <c r="B158" s="53" t="s">
        <v>768</v>
      </c>
      <c r="C158" s="53" t="s">
        <v>852</v>
      </c>
      <c r="D158" s="1" t="s">
        <v>618</v>
      </c>
      <c r="E158" s="31">
        <v>1</v>
      </c>
      <c r="F158" s="31">
        <v>0</v>
      </c>
      <c r="G158" s="31">
        <v>-155</v>
      </c>
      <c r="H158" s="31">
        <v>120</v>
      </c>
      <c r="I158" s="31">
        <v>120</v>
      </c>
      <c r="J158" s="31">
        <v>0</v>
      </c>
      <c r="K158" s="31">
        <v>0</v>
      </c>
      <c r="L158" s="31">
        <v>0</v>
      </c>
      <c r="M158" s="31">
        <v>35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75" t="s">
        <v>59</v>
      </c>
    </row>
    <row r="159" spans="1:19" ht="14.4">
      <c r="A159" s="24">
        <v>340</v>
      </c>
      <c r="B159" s="53" t="s">
        <v>852</v>
      </c>
      <c r="C159" s="53" t="s">
        <v>853</v>
      </c>
      <c r="D159" s="1" t="s">
        <v>618</v>
      </c>
      <c r="E159" s="31">
        <v>1</v>
      </c>
      <c r="F159" s="31">
        <v>0</v>
      </c>
      <c r="G159" s="31">
        <v>-411.55</v>
      </c>
      <c r="H159" s="31">
        <v>340</v>
      </c>
      <c r="I159" s="31">
        <v>340</v>
      </c>
      <c r="J159" s="31">
        <v>0</v>
      </c>
      <c r="K159" s="31">
        <v>0</v>
      </c>
      <c r="L159" s="31">
        <v>0</v>
      </c>
      <c r="M159" s="31">
        <v>0</v>
      </c>
      <c r="N159" s="31">
        <v>35</v>
      </c>
      <c r="O159" s="31">
        <v>0</v>
      </c>
      <c r="P159" s="31">
        <v>0</v>
      </c>
      <c r="Q159" s="31">
        <v>0</v>
      </c>
      <c r="R159" s="31">
        <v>0</v>
      </c>
      <c r="S159" s="75" t="s">
        <v>38</v>
      </c>
    </row>
    <row r="160" spans="1:19" ht="14.4">
      <c r="A160" s="24">
        <v>340</v>
      </c>
      <c r="B160" s="53" t="s">
        <v>740</v>
      </c>
      <c r="C160" s="53" t="s">
        <v>853</v>
      </c>
      <c r="D160" s="1" t="s">
        <v>618</v>
      </c>
      <c r="E160" s="31">
        <v>2</v>
      </c>
      <c r="F160" s="31">
        <v>0</v>
      </c>
      <c r="G160" s="31">
        <v>-695</v>
      </c>
      <c r="H160" s="31">
        <v>445</v>
      </c>
      <c r="I160" s="31">
        <v>445</v>
      </c>
      <c r="J160" s="31">
        <v>0</v>
      </c>
      <c r="K160" s="31">
        <v>0</v>
      </c>
      <c r="L160" s="31">
        <v>0</v>
      </c>
      <c r="M160" s="31">
        <v>250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75" t="s">
        <v>44</v>
      </c>
    </row>
    <row r="161" spans="1:19" ht="14.4">
      <c r="A161" s="24">
        <v>340</v>
      </c>
      <c r="B161" s="53" t="s">
        <v>854</v>
      </c>
      <c r="C161" s="53" t="s">
        <v>855</v>
      </c>
      <c r="D161" s="1" t="s">
        <v>618</v>
      </c>
      <c r="E161" s="31">
        <v>2</v>
      </c>
      <c r="F161" s="31">
        <v>0</v>
      </c>
      <c r="G161" s="31">
        <v>-935</v>
      </c>
      <c r="H161" s="31">
        <v>900</v>
      </c>
      <c r="I161" s="31">
        <v>900</v>
      </c>
      <c r="J161" s="31">
        <v>0</v>
      </c>
      <c r="K161" s="31">
        <v>0</v>
      </c>
      <c r="L161" s="31">
        <v>0</v>
      </c>
      <c r="M161" s="31">
        <v>35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75" t="s">
        <v>89</v>
      </c>
    </row>
    <row r="162" spans="1:19" ht="14.4">
      <c r="A162" s="24">
        <v>340</v>
      </c>
      <c r="B162" s="53" t="s">
        <v>855</v>
      </c>
      <c r="C162" s="53" t="s">
        <v>856</v>
      </c>
      <c r="D162" s="1" t="s">
        <v>618</v>
      </c>
      <c r="E162" s="31">
        <v>1</v>
      </c>
      <c r="F162" s="31">
        <v>0</v>
      </c>
      <c r="G162" s="31">
        <v>-115</v>
      </c>
      <c r="H162" s="31">
        <v>115</v>
      </c>
      <c r="I162" s="31">
        <v>115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75" t="s">
        <v>97</v>
      </c>
    </row>
    <row r="163" spans="1:19" ht="14.4">
      <c r="A163" s="24">
        <v>340</v>
      </c>
      <c r="B163" s="53" t="s">
        <v>857</v>
      </c>
      <c r="C163" s="53" t="s">
        <v>657</v>
      </c>
      <c r="D163" s="1" t="s">
        <v>618</v>
      </c>
      <c r="E163" s="31">
        <v>1</v>
      </c>
      <c r="F163" s="31">
        <v>0</v>
      </c>
      <c r="G163" s="31">
        <v>-170.47</v>
      </c>
      <c r="H163" s="31">
        <v>125</v>
      </c>
      <c r="I163" s="31">
        <v>125</v>
      </c>
      <c r="J163" s="31">
        <v>0</v>
      </c>
      <c r="K163" s="31">
        <v>0</v>
      </c>
      <c r="L163" s="31">
        <v>0</v>
      </c>
      <c r="M163" s="31">
        <v>35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75" t="s">
        <v>57</v>
      </c>
    </row>
    <row r="164" spans="1:19" ht="14.4">
      <c r="A164" s="24">
        <v>340</v>
      </c>
      <c r="B164" s="53" t="s">
        <v>858</v>
      </c>
      <c r="C164" s="53" t="s">
        <v>726</v>
      </c>
      <c r="D164" s="1" t="s">
        <v>618</v>
      </c>
      <c r="E164" s="31">
        <v>1</v>
      </c>
      <c r="F164" s="31">
        <v>0</v>
      </c>
      <c r="G164" s="31">
        <v>-95</v>
      </c>
      <c r="H164" s="31">
        <v>60</v>
      </c>
      <c r="I164" s="31">
        <v>60</v>
      </c>
      <c r="J164" s="31">
        <v>0</v>
      </c>
      <c r="K164" s="31">
        <v>0</v>
      </c>
      <c r="L164" s="31">
        <v>0</v>
      </c>
      <c r="M164" s="31">
        <v>0</v>
      </c>
      <c r="N164" s="31">
        <v>35</v>
      </c>
      <c r="O164" s="31">
        <v>0</v>
      </c>
      <c r="P164" s="31">
        <v>0</v>
      </c>
      <c r="Q164" s="31">
        <v>0</v>
      </c>
      <c r="R164" s="31">
        <v>0</v>
      </c>
      <c r="S164" s="75" t="s">
        <v>97</v>
      </c>
    </row>
    <row r="165" spans="1:19" ht="14.4">
      <c r="A165" s="24">
        <v>340</v>
      </c>
      <c r="B165" s="53" t="s">
        <v>858</v>
      </c>
      <c r="C165" s="53" t="s">
        <v>726</v>
      </c>
      <c r="D165" s="1" t="s">
        <v>618</v>
      </c>
      <c r="E165" s="31">
        <v>1</v>
      </c>
      <c r="F165" s="31">
        <v>0</v>
      </c>
      <c r="G165" s="31">
        <v>-85</v>
      </c>
      <c r="H165" s="31">
        <v>50</v>
      </c>
      <c r="I165" s="31">
        <v>50</v>
      </c>
      <c r="J165" s="31">
        <v>0</v>
      </c>
      <c r="K165" s="31">
        <v>0</v>
      </c>
      <c r="L165" s="31">
        <v>0</v>
      </c>
      <c r="M165" s="31">
        <v>0</v>
      </c>
      <c r="N165" s="31">
        <v>35</v>
      </c>
      <c r="O165" s="31">
        <v>0</v>
      </c>
      <c r="P165" s="31">
        <v>0</v>
      </c>
      <c r="Q165" s="31">
        <v>0</v>
      </c>
      <c r="R165" s="31">
        <v>0</v>
      </c>
      <c r="S165" s="75" t="s">
        <v>97</v>
      </c>
    </row>
    <row r="166" spans="1:19" ht="14.4">
      <c r="A166" s="24">
        <v>340</v>
      </c>
      <c r="B166" s="53" t="s">
        <v>859</v>
      </c>
      <c r="C166" s="53" t="s">
        <v>711</v>
      </c>
      <c r="D166" s="1" t="s">
        <v>618</v>
      </c>
      <c r="E166" s="31">
        <v>4</v>
      </c>
      <c r="F166" s="31">
        <v>0</v>
      </c>
      <c r="G166" s="31">
        <v>-440</v>
      </c>
      <c r="H166" s="31">
        <v>300</v>
      </c>
      <c r="I166" s="31">
        <v>300</v>
      </c>
      <c r="J166" s="31">
        <v>0</v>
      </c>
      <c r="K166" s="31">
        <v>0</v>
      </c>
      <c r="L166" s="31">
        <v>0</v>
      </c>
      <c r="M166" s="31">
        <v>0</v>
      </c>
      <c r="N166" s="31">
        <v>140</v>
      </c>
      <c r="O166" s="31">
        <v>0</v>
      </c>
      <c r="P166" s="31">
        <v>0</v>
      </c>
      <c r="Q166" s="31">
        <v>0</v>
      </c>
      <c r="R166" s="31">
        <v>0</v>
      </c>
      <c r="S166" s="75" t="s">
        <v>37</v>
      </c>
    </row>
    <row r="167" spans="1:19" ht="14.4">
      <c r="A167" s="24">
        <v>340</v>
      </c>
      <c r="B167" s="53" t="s">
        <v>633</v>
      </c>
      <c r="C167" s="53" t="s">
        <v>748</v>
      </c>
      <c r="D167" s="1" t="s">
        <v>618</v>
      </c>
      <c r="E167" s="31">
        <v>1</v>
      </c>
      <c r="F167" s="31">
        <v>0</v>
      </c>
      <c r="G167" s="75"/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75" t="s">
        <v>89</v>
      </c>
    </row>
    <row r="168" spans="1:19" ht="14.4">
      <c r="A168" s="24">
        <v>340</v>
      </c>
      <c r="B168" s="53" t="s">
        <v>860</v>
      </c>
      <c r="C168" s="53" t="s">
        <v>721</v>
      </c>
      <c r="D168" s="1" t="s">
        <v>618</v>
      </c>
      <c r="E168" s="31">
        <v>1</v>
      </c>
      <c r="F168" s="31">
        <v>0</v>
      </c>
      <c r="G168" s="31">
        <v>-100</v>
      </c>
      <c r="H168" s="31">
        <v>65</v>
      </c>
      <c r="I168" s="31">
        <v>65</v>
      </c>
      <c r="J168" s="31">
        <v>0</v>
      </c>
      <c r="K168" s="31">
        <v>0</v>
      </c>
      <c r="L168" s="31">
        <v>0</v>
      </c>
      <c r="M168" s="31">
        <v>35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75" t="s">
        <v>37</v>
      </c>
    </row>
    <row r="169" spans="1:19" ht="14.4">
      <c r="A169" s="24">
        <v>340</v>
      </c>
      <c r="B169" s="53" t="s">
        <v>861</v>
      </c>
      <c r="C169" s="53" t="s">
        <v>862</v>
      </c>
      <c r="D169" s="1" t="s">
        <v>618</v>
      </c>
      <c r="E169" s="31">
        <v>1</v>
      </c>
      <c r="F169" s="31">
        <v>0</v>
      </c>
      <c r="G169" s="31">
        <v>-260</v>
      </c>
      <c r="H169" s="31">
        <v>225</v>
      </c>
      <c r="I169" s="31">
        <v>225</v>
      </c>
      <c r="J169" s="31">
        <v>0</v>
      </c>
      <c r="K169" s="31">
        <v>0</v>
      </c>
      <c r="L169" s="31">
        <v>0</v>
      </c>
      <c r="M169" s="31">
        <v>0</v>
      </c>
      <c r="N169" s="31">
        <v>35</v>
      </c>
      <c r="O169" s="31">
        <v>0</v>
      </c>
      <c r="P169" s="31">
        <v>0</v>
      </c>
      <c r="Q169" s="31">
        <v>0</v>
      </c>
      <c r="R169" s="31">
        <v>0</v>
      </c>
      <c r="S169" s="75" t="s">
        <v>681</v>
      </c>
    </row>
    <row r="170" spans="1:19" ht="14.4">
      <c r="A170" s="24">
        <v>340</v>
      </c>
      <c r="B170" s="53" t="s">
        <v>863</v>
      </c>
      <c r="C170" s="53" t="s">
        <v>862</v>
      </c>
      <c r="D170" s="1" t="s">
        <v>618</v>
      </c>
      <c r="E170" s="31">
        <v>1</v>
      </c>
      <c r="F170" s="31">
        <v>0</v>
      </c>
      <c r="G170" s="31">
        <v>-108.75</v>
      </c>
      <c r="H170" s="31">
        <v>100</v>
      </c>
      <c r="I170" s="31">
        <v>100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75" t="s">
        <v>60</v>
      </c>
    </row>
    <row r="171" spans="1:19" ht="14.4">
      <c r="A171" s="24">
        <v>340</v>
      </c>
      <c r="B171" s="53" t="s">
        <v>769</v>
      </c>
      <c r="C171" s="53" t="s">
        <v>864</v>
      </c>
      <c r="D171" s="1" t="s">
        <v>618</v>
      </c>
      <c r="E171" s="31">
        <v>1</v>
      </c>
      <c r="F171" s="31">
        <v>0</v>
      </c>
      <c r="G171" s="31">
        <v>-549.65</v>
      </c>
      <c r="H171" s="31">
        <v>470</v>
      </c>
      <c r="I171" s="31">
        <v>470</v>
      </c>
      <c r="J171" s="31">
        <v>0</v>
      </c>
      <c r="K171" s="31">
        <v>0</v>
      </c>
      <c r="L171" s="31">
        <v>0</v>
      </c>
      <c r="M171" s="31">
        <v>0</v>
      </c>
      <c r="N171" s="31">
        <v>35</v>
      </c>
      <c r="O171" s="31">
        <v>0</v>
      </c>
      <c r="P171" s="31">
        <v>0</v>
      </c>
      <c r="Q171" s="31">
        <v>0</v>
      </c>
      <c r="R171" s="31">
        <v>0</v>
      </c>
      <c r="S171" s="75" t="s">
        <v>44</v>
      </c>
    </row>
    <row r="172" spans="1:19" ht="14.4">
      <c r="A172" s="24">
        <v>340</v>
      </c>
      <c r="B172" s="53" t="s">
        <v>865</v>
      </c>
      <c r="C172" s="53" t="s">
        <v>751</v>
      </c>
      <c r="D172" s="1" t="s">
        <v>618</v>
      </c>
      <c r="E172" s="31">
        <v>1</v>
      </c>
      <c r="F172" s="31">
        <v>0</v>
      </c>
      <c r="G172" s="31">
        <v>-125</v>
      </c>
      <c r="H172" s="31">
        <v>100</v>
      </c>
      <c r="I172" s="31">
        <v>100</v>
      </c>
      <c r="J172" s="31">
        <v>0</v>
      </c>
      <c r="K172" s="31">
        <v>0</v>
      </c>
      <c r="L172" s="31">
        <v>0</v>
      </c>
      <c r="M172" s="31">
        <v>0</v>
      </c>
      <c r="N172" s="31">
        <v>25</v>
      </c>
      <c r="O172" s="31">
        <v>0</v>
      </c>
      <c r="P172" s="31">
        <v>0</v>
      </c>
      <c r="Q172" s="31">
        <v>0</v>
      </c>
      <c r="R172" s="31">
        <v>0</v>
      </c>
      <c r="S172" s="75" t="s">
        <v>43</v>
      </c>
    </row>
    <row r="173" spans="1:19" ht="14.4">
      <c r="A173" s="24">
        <v>341</v>
      </c>
      <c r="B173" s="53" t="s">
        <v>733</v>
      </c>
      <c r="C173" s="53" t="s">
        <v>619</v>
      </c>
      <c r="D173" s="1" t="s">
        <v>618</v>
      </c>
      <c r="E173" s="31">
        <v>2</v>
      </c>
      <c r="F173" s="31">
        <v>0</v>
      </c>
      <c r="G173" s="31">
        <v>-100</v>
      </c>
      <c r="H173" s="31">
        <v>100</v>
      </c>
      <c r="I173" s="31">
        <v>100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75" t="s">
        <v>46</v>
      </c>
    </row>
    <row r="174" spans="1:19" ht="14.4">
      <c r="A174" s="24">
        <v>341</v>
      </c>
      <c r="B174" s="53" t="s">
        <v>620</v>
      </c>
      <c r="C174" s="53" t="s">
        <v>671</v>
      </c>
      <c r="D174" s="1" t="s">
        <v>645</v>
      </c>
      <c r="E174" s="31">
        <v>0</v>
      </c>
      <c r="F174" s="31">
        <v>0</v>
      </c>
      <c r="G174" s="75"/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25</v>
      </c>
      <c r="O174" s="31">
        <v>0</v>
      </c>
      <c r="P174" s="31">
        <v>0</v>
      </c>
      <c r="Q174" s="31">
        <v>0</v>
      </c>
      <c r="R174" s="31">
        <v>0</v>
      </c>
      <c r="S174" s="75" t="s">
        <v>94</v>
      </c>
    </row>
    <row r="175" spans="1:19" ht="14.4">
      <c r="A175" s="24">
        <v>340</v>
      </c>
      <c r="B175" s="53" t="s">
        <v>784</v>
      </c>
      <c r="C175" s="53" t="s">
        <v>866</v>
      </c>
      <c r="D175" s="1" t="s">
        <v>618</v>
      </c>
      <c r="E175" s="31">
        <v>2</v>
      </c>
      <c r="F175" s="31">
        <v>0</v>
      </c>
      <c r="G175" s="31">
        <v>-240</v>
      </c>
      <c r="H175" s="31">
        <v>205</v>
      </c>
      <c r="I175" s="31">
        <v>205</v>
      </c>
      <c r="J175" s="31">
        <v>0</v>
      </c>
      <c r="K175" s="31">
        <v>0</v>
      </c>
      <c r="L175" s="31">
        <v>0</v>
      </c>
      <c r="M175" s="31">
        <v>0</v>
      </c>
      <c r="N175" s="31">
        <v>35</v>
      </c>
      <c r="O175" s="31">
        <v>0</v>
      </c>
      <c r="P175" s="31">
        <v>0</v>
      </c>
      <c r="Q175" s="31">
        <v>0</v>
      </c>
      <c r="R175" s="31">
        <v>0</v>
      </c>
      <c r="S175" s="75" t="s">
        <v>60</v>
      </c>
    </row>
    <row r="176" spans="1:19" ht="14.4">
      <c r="A176" s="24">
        <v>341</v>
      </c>
      <c r="B176" s="53" t="s">
        <v>620</v>
      </c>
      <c r="C176" s="53" t="s">
        <v>798</v>
      </c>
      <c r="D176" s="1" t="s">
        <v>618</v>
      </c>
      <c r="E176" s="31">
        <v>1</v>
      </c>
      <c r="F176" s="31">
        <v>0</v>
      </c>
      <c r="G176" s="31">
        <v>-85</v>
      </c>
      <c r="H176" s="31">
        <v>50</v>
      </c>
      <c r="I176" s="31">
        <v>50</v>
      </c>
      <c r="J176" s="31">
        <v>0</v>
      </c>
      <c r="K176" s="31">
        <v>0</v>
      </c>
      <c r="L176" s="31">
        <v>0</v>
      </c>
      <c r="M176" s="31">
        <v>0</v>
      </c>
      <c r="N176" s="31">
        <v>35</v>
      </c>
      <c r="O176" s="31">
        <v>0</v>
      </c>
      <c r="P176" s="31">
        <v>0</v>
      </c>
      <c r="Q176" s="31">
        <v>0</v>
      </c>
      <c r="R176" s="31">
        <v>0</v>
      </c>
      <c r="S176" s="75" t="s">
        <v>97</v>
      </c>
    </row>
    <row r="177" spans="1:19" ht="14.4">
      <c r="A177" s="24">
        <v>340</v>
      </c>
      <c r="B177" s="53" t="s">
        <v>726</v>
      </c>
      <c r="C177" s="53" t="s">
        <v>867</v>
      </c>
      <c r="D177" s="1" t="s">
        <v>618</v>
      </c>
      <c r="E177" s="31">
        <v>2</v>
      </c>
      <c r="F177" s="31">
        <v>0</v>
      </c>
      <c r="G177" s="31">
        <v>-430</v>
      </c>
      <c r="H177" s="31">
        <v>390</v>
      </c>
      <c r="I177" s="31">
        <v>390</v>
      </c>
      <c r="J177" s="31">
        <v>0</v>
      </c>
      <c r="K177" s="31">
        <v>0</v>
      </c>
      <c r="L177" s="31">
        <v>0</v>
      </c>
      <c r="M177" s="31">
        <v>40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75" t="s">
        <v>37</v>
      </c>
    </row>
    <row r="178" spans="1:19" ht="14.4">
      <c r="A178" s="24">
        <v>340</v>
      </c>
      <c r="B178" s="53" t="s">
        <v>726</v>
      </c>
      <c r="C178" s="53" t="s">
        <v>867</v>
      </c>
      <c r="D178" s="1" t="s">
        <v>618</v>
      </c>
      <c r="E178" s="31">
        <v>1</v>
      </c>
      <c r="F178" s="31">
        <v>0</v>
      </c>
      <c r="G178" s="31">
        <v>-85</v>
      </c>
      <c r="H178" s="31">
        <v>40</v>
      </c>
      <c r="I178" s="31">
        <v>40</v>
      </c>
      <c r="J178" s="31">
        <v>0</v>
      </c>
      <c r="K178" s="31">
        <v>0</v>
      </c>
      <c r="L178" s="31">
        <v>0</v>
      </c>
      <c r="M178" s="31">
        <v>0</v>
      </c>
      <c r="N178" s="31">
        <v>45</v>
      </c>
      <c r="O178" s="31">
        <v>0</v>
      </c>
      <c r="P178" s="31">
        <v>0</v>
      </c>
      <c r="Q178" s="31">
        <v>35</v>
      </c>
      <c r="R178" s="31">
        <v>0</v>
      </c>
      <c r="S178" s="75" t="s">
        <v>92</v>
      </c>
    </row>
    <row r="179" spans="1:19" ht="14.4">
      <c r="A179" s="24">
        <v>341</v>
      </c>
      <c r="B179" s="53" t="s">
        <v>868</v>
      </c>
      <c r="C179" s="53" t="s">
        <v>869</v>
      </c>
      <c r="D179" s="1" t="s">
        <v>618</v>
      </c>
      <c r="E179" s="31">
        <v>1</v>
      </c>
      <c r="F179" s="31">
        <v>0</v>
      </c>
      <c r="G179" s="31">
        <v>-75</v>
      </c>
      <c r="H179" s="31">
        <v>75</v>
      </c>
      <c r="I179" s="31">
        <v>75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75" t="s">
        <v>47</v>
      </c>
    </row>
    <row r="180" spans="1:19" ht="14.4">
      <c r="A180" s="24">
        <v>341</v>
      </c>
      <c r="B180" s="53" t="s">
        <v>684</v>
      </c>
      <c r="C180" s="53" t="s">
        <v>870</v>
      </c>
      <c r="D180" s="1" t="s">
        <v>618</v>
      </c>
      <c r="E180" s="31">
        <v>1</v>
      </c>
      <c r="F180" s="31">
        <v>0</v>
      </c>
      <c r="G180" s="31">
        <v>-235</v>
      </c>
      <c r="H180" s="31">
        <v>200</v>
      </c>
      <c r="I180" s="31">
        <v>200</v>
      </c>
      <c r="J180" s="31">
        <v>0</v>
      </c>
      <c r="K180" s="31">
        <v>0</v>
      </c>
      <c r="L180" s="31">
        <v>0</v>
      </c>
      <c r="M180" s="31">
        <v>0</v>
      </c>
      <c r="N180" s="31">
        <v>35</v>
      </c>
      <c r="O180" s="31">
        <v>0</v>
      </c>
      <c r="P180" s="31">
        <v>0</v>
      </c>
      <c r="Q180" s="31">
        <v>0</v>
      </c>
      <c r="R180" s="31">
        <v>0</v>
      </c>
      <c r="S180" s="75" t="s">
        <v>96</v>
      </c>
    </row>
    <row r="181" spans="1:19" ht="14.4">
      <c r="A181" s="24">
        <v>341</v>
      </c>
      <c r="B181" s="53" t="s">
        <v>868</v>
      </c>
      <c r="C181" s="53" t="s">
        <v>799</v>
      </c>
      <c r="D181" s="1" t="s">
        <v>618</v>
      </c>
      <c r="E181" s="31">
        <v>1</v>
      </c>
      <c r="F181" s="31">
        <v>0</v>
      </c>
      <c r="G181" s="31">
        <v>-435</v>
      </c>
      <c r="H181" s="31">
        <v>400</v>
      </c>
      <c r="I181" s="31">
        <v>400</v>
      </c>
      <c r="J181" s="31">
        <v>0</v>
      </c>
      <c r="K181" s="31">
        <v>0</v>
      </c>
      <c r="L181" s="31">
        <v>0</v>
      </c>
      <c r="M181" s="31">
        <v>0</v>
      </c>
      <c r="N181" s="31">
        <v>35</v>
      </c>
      <c r="O181" s="31">
        <v>0</v>
      </c>
      <c r="P181" s="31">
        <v>0</v>
      </c>
      <c r="Q181" s="31">
        <v>0</v>
      </c>
      <c r="R181" s="31">
        <v>0</v>
      </c>
      <c r="S181" s="75" t="s">
        <v>38</v>
      </c>
    </row>
    <row r="182" spans="1:19" ht="14.4">
      <c r="A182" s="24">
        <v>340</v>
      </c>
      <c r="B182" s="53" t="s">
        <v>786</v>
      </c>
      <c r="C182" s="53" t="s">
        <v>632</v>
      </c>
      <c r="D182" s="1" t="s">
        <v>645</v>
      </c>
      <c r="E182" s="31">
        <v>0</v>
      </c>
      <c r="F182" s="31">
        <v>0</v>
      </c>
      <c r="G182" s="31">
        <v>-337.78</v>
      </c>
      <c r="H182" s="31">
        <v>281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35</v>
      </c>
      <c r="O182" s="31">
        <v>0</v>
      </c>
      <c r="P182" s="31">
        <v>0</v>
      </c>
      <c r="Q182" s="31">
        <v>0</v>
      </c>
      <c r="R182" s="31">
        <v>0</v>
      </c>
      <c r="S182" s="75" t="s">
        <v>98</v>
      </c>
    </row>
    <row r="183" spans="1:19" ht="14.4">
      <c r="A183" s="24">
        <v>340</v>
      </c>
      <c r="B183" s="53" t="s">
        <v>696</v>
      </c>
      <c r="C183" s="53" t="s">
        <v>871</v>
      </c>
      <c r="D183" s="1" t="s">
        <v>618</v>
      </c>
      <c r="E183" s="31">
        <v>1</v>
      </c>
      <c r="F183" s="31">
        <v>0</v>
      </c>
      <c r="G183" s="31">
        <v>-185</v>
      </c>
      <c r="H183" s="31">
        <v>185</v>
      </c>
      <c r="I183" s="31">
        <v>185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75" t="s">
        <v>86</v>
      </c>
    </row>
    <row r="184" spans="1:19" ht="14.4">
      <c r="A184" s="24">
        <v>341</v>
      </c>
      <c r="B184" s="53" t="s">
        <v>749</v>
      </c>
      <c r="C184" s="53" t="s">
        <v>872</v>
      </c>
      <c r="D184" s="1" t="s">
        <v>618</v>
      </c>
      <c r="E184" s="31">
        <v>1</v>
      </c>
      <c r="F184" s="31">
        <v>0</v>
      </c>
      <c r="G184" s="31">
        <v>-1800</v>
      </c>
      <c r="H184" s="31">
        <v>1550</v>
      </c>
      <c r="I184" s="31">
        <v>1550</v>
      </c>
      <c r="J184" s="31">
        <v>0</v>
      </c>
      <c r="K184" s="31">
        <v>0</v>
      </c>
      <c r="L184" s="31">
        <v>0</v>
      </c>
      <c r="M184" s="31">
        <v>0</v>
      </c>
      <c r="N184" s="31">
        <v>250</v>
      </c>
      <c r="O184" s="31">
        <v>0</v>
      </c>
      <c r="P184" s="31">
        <v>0</v>
      </c>
      <c r="Q184" s="31">
        <v>0</v>
      </c>
      <c r="R184" s="31">
        <v>0</v>
      </c>
      <c r="S184" s="75" t="s">
        <v>60</v>
      </c>
    </row>
    <row r="185" spans="1:19" ht="14.4">
      <c r="A185" s="24">
        <v>341</v>
      </c>
      <c r="B185" s="53" t="s">
        <v>799</v>
      </c>
      <c r="C185" s="53" t="s">
        <v>800</v>
      </c>
      <c r="D185" s="1" t="s">
        <v>618</v>
      </c>
      <c r="E185" s="31">
        <v>1</v>
      </c>
      <c r="F185" s="31">
        <v>0</v>
      </c>
      <c r="G185" s="31">
        <v>-225</v>
      </c>
      <c r="H185" s="31">
        <v>190</v>
      </c>
      <c r="I185" s="31">
        <v>190</v>
      </c>
      <c r="J185" s="31">
        <v>0</v>
      </c>
      <c r="K185" s="31">
        <v>0</v>
      </c>
      <c r="L185" s="31">
        <v>0</v>
      </c>
      <c r="M185" s="31">
        <v>0</v>
      </c>
      <c r="N185" s="31">
        <v>35</v>
      </c>
      <c r="O185" s="31">
        <v>0</v>
      </c>
      <c r="P185" s="31">
        <v>0</v>
      </c>
      <c r="Q185" s="31">
        <v>0</v>
      </c>
      <c r="R185" s="31">
        <v>0</v>
      </c>
      <c r="S185" s="75" t="s">
        <v>60</v>
      </c>
    </row>
    <row r="186" spans="1:19" ht="14.4">
      <c r="A186" s="24">
        <v>341</v>
      </c>
      <c r="B186" s="53" t="s">
        <v>697</v>
      </c>
      <c r="C186" s="53" t="s">
        <v>873</v>
      </c>
      <c r="D186" s="1" t="s">
        <v>645</v>
      </c>
      <c r="E186" s="31">
        <v>0</v>
      </c>
      <c r="F186" s="31">
        <v>0</v>
      </c>
      <c r="G186" s="75"/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35</v>
      </c>
      <c r="O186" s="31">
        <v>0</v>
      </c>
      <c r="P186" s="31">
        <v>0</v>
      </c>
      <c r="Q186" s="31">
        <v>0</v>
      </c>
      <c r="R186" s="31">
        <v>0</v>
      </c>
      <c r="S186" s="75" t="s">
        <v>98</v>
      </c>
    </row>
    <row r="187" spans="1:19" ht="14.4">
      <c r="A187" s="24">
        <v>341</v>
      </c>
      <c r="B187" s="53" t="s">
        <v>752</v>
      </c>
      <c r="C187" s="53" t="s">
        <v>874</v>
      </c>
      <c r="D187" s="1" t="s">
        <v>618</v>
      </c>
      <c r="E187" s="31">
        <v>1</v>
      </c>
      <c r="F187" s="31">
        <v>0</v>
      </c>
      <c r="G187" s="31">
        <v>-75</v>
      </c>
      <c r="H187" s="31">
        <v>50</v>
      </c>
      <c r="I187" s="31">
        <v>50</v>
      </c>
      <c r="J187" s="31">
        <v>0</v>
      </c>
      <c r="K187" s="31">
        <v>0</v>
      </c>
      <c r="L187" s="31">
        <v>0</v>
      </c>
      <c r="M187" s="31">
        <v>0</v>
      </c>
      <c r="N187" s="31">
        <v>25</v>
      </c>
      <c r="O187" s="31">
        <v>0</v>
      </c>
      <c r="P187" s="31">
        <v>0</v>
      </c>
      <c r="Q187" s="31">
        <v>0</v>
      </c>
      <c r="R187" s="31">
        <v>0</v>
      </c>
      <c r="S187" s="75" t="s">
        <v>59</v>
      </c>
    </row>
    <row r="188" spans="1:19" ht="14.4">
      <c r="A188" s="24">
        <v>341</v>
      </c>
      <c r="B188" s="53" t="s">
        <v>875</v>
      </c>
      <c r="C188" s="53" t="s">
        <v>876</v>
      </c>
      <c r="D188" s="1" t="s">
        <v>618</v>
      </c>
      <c r="E188" s="31">
        <v>2</v>
      </c>
      <c r="F188" s="31">
        <v>0</v>
      </c>
      <c r="G188" s="31">
        <v>-273.76</v>
      </c>
      <c r="H188" s="31">
        <v>250</v>
      </c>
      <c r="I188" s="31">
        <v>250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75" t="s">
        <v>86</v>
      </c>
    </row>
    <row r="189" spans="1:19" ht="14.4">
      <c r="A189" s="24">
        <v>341</v>
      </c>
      <c r="B189" s="53" t="s">
        <v>877</v>
      </c>
      <c r="C189" s="53" t="s">
        <v>878</v>
      </c>
      <c r="D189" s="1" t="s">
        <v>618</v>
      </c>
      <c r="E189" s="31">
        <v>1</v>
      </c>
      <c r="F189" s="31">
        <v>0</v>
      </c>
      <c r="G189" s="31">
        <v>-150</v>
      </c>
      <c r="H189" s="31">
        <v>115</v>
      </c>
      <c r="I189" s="31">
        <v>115</v>
      </c>
      <c r="J189" s="31">
        <v>0</v>
      </c>
      <c r="K189" s="31">
        <v>0</v>
      </c>
      <c r="L189" s="31">
        <v>0</v>
      </c>
      <c r="M189" s="31">
        <v>0</v>
      </c>
      <c r="N189" s="31">
        <v>35</v>
      </c>
      <c r="O189" s="31">
        <v>0</v>
      </c>
      <c r="P189" s="31">
        <v>0</v>
      </c>
      <c r="Q189" s="31">
        <v>0</v>
      </c>
      <c r="R189" s="31">
        <v>0</v>
      </c>
      <c r="S189" s="75" t="s">
        <v>57</v>
      </c>
    </row>
    <row r="190" spans="1:19" ht="14.4">
      <c r="A190" s="24">
        <v>341</v>
      </c>
      <c r="B190" s="53" t="s">
        <v>879</v>
      </c>
      <c r="C190" s="53" t="s">
        <v>792</v>
      </c>
      <c r="D190" s="1" t="s">
        <v>618</v>
      </c>
      <c r="E190" s="31">
        <v>1</v>
      </c>
      <c r="F190" s="31">
        <v>0</v>
      </c>
      <c r="G190" s="31">
        <v>-1950</v>
      </c>
      <c r="H190" s="31">
        <v>1700</v>
      </c>
      <c r="I190" s="31">
        <v>1700</v>
      </c>
      <c r="J190" s="31">
        <v>0</v>
      </c>
      <c r="K190" s="31">
        <v>0</v>
      </c>
      <c r="L190" s="31">
        <v>0</v>
      </c>
      <c r="M190" s="31">
        <v>0</v>
      </c>
      <c r="N190" s="31">
        <v>250</v>
      </c>
      <c r="O190" s="31">
        <v>0</v>
      </c>
      <c r="P190" s="31">
        <v>0</v>
      </c>
      <c r="Q190" s="31">
        <v>0</v>
      </c>
      <c r="R190" s="31">
        <v>0</v>
      </c>
      <c r="S190" s="75" t="s">
        <v>43</v>
      </c>
    </row>
    <row r="191" spans="1:19" ht="14.4">
      <c r="A191" s="24">
        <v>341</v>
      </c>
      <c r="B191" s="53" t="s">
        <v>880</v>
      </c>
      <c r="C191" s="53" t="s">
        <v>792</v>
      </c>
      <c r="D191" s="1" t="s">
        <v>618</v>
      </c>
      <c r="E191" s="31">
        <v>1</v>
      </c>
      <c r="F191" s="31">
        <v>0</v>
      </c>
      <c r="G191" s="31">
        <v>-425</v>
      </c>
      <c r="H191" s="31">
        <v>225</v>
      </c>
      <c r="I191" s="31">
        <v>225</v>
      </c>
      <c r="J191" s="31">
        <v>0</v>
      </c>
      <c r="K191" s="31">
        <v>0</v>
      </c>
      <c r="L191" s="31">
        <v>0</v>
      </c>
      <c r="M191" s="31">
        <v>0</v>
      </c>
      <c r="N191" s="31">
        <v>200</v>
      </c>
      <c r="O191" s="31">
        <v>0</v>
      </c>
      <c r="P191" s="31">
        <v>0</v>
      </c>
      <c r="Q191" s="31">
        <v>0</v>
      </c>
      <c r="R191" s="31">
        <v>0</v>
      </c>
      <c r="S191" s="75" t="s">
        <v>38</v>
      </c>
    </row>
    <row r="192" spans="1:19" ht="14.4">
      <c r="A192" s="24">
        <v>340</v>
      </c>
      <c r="B192" s="53" t="s">
        <v>881</v>
      </c>
      <c r="C192" s="53" t="s">
        <v>763</v>
      </c>
      <c r="D192" s="1" t="s">
        <v>645</v>
      </c>
      <c r="E192" s="31">
        <v>0</v>
      </c>
      <c r="F192" s="31">
        <v>0</v>
      </c>
      <c r="G192" s="75"/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75" t="s">
        <v>94</v>
      </c>
    </row>
    <row r="193" spans="1:19" ht="14.4">
      <c r="A193" s="24">
        <v>341</v>
      </c>
      <c r="B193" s="53" t="s">
        <v>882</v>
      </c>
      <c r="C193" s="53" t="s">
        <v>883</v>
      </c>
      <c r="D193" s="1" t="s">
        <v>618</v>
      </c>
      <c r="E193" s="31">
        <v>1</v>
      </c>
      <c r="F193" s="31">
        <v>0</v>
      </c>
      <c r="G193" s="31">
        <v>-239.25</v>
      </c>
      <c r="H193" s="31">
        <v>220</v>
      </c>
      <c r="I193" s="31">
        <v>220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75" t="s">
        <v>60</v>
      </c>
    </row>
    <row r="194" spans="1:19" ht="14.4">
      <c r="A194" s="24">
        <v>341</v>
      </c>
      <c r="B194" s="53" t="s">
        <v>884</v>
      </c>
      <c r="C194" s="53" t="s">
        <v>885</v>
      </c>
      <c r="D194" s="1" t="s">
        <v>618</v>
      </c>
      <c r="E194" s="31">
        <v>2</v>
      </c>
      <c r="F194" s="31">
        <v>0</v>
      </c>
      <c r="G194" s="31">
        <v>-170</v>
      </c>
      <c r="H194" s="31">
        <v>135</v>
      </c>
      <c r="I194" s="31">
        <v>135</v>
      </c>
      <c r="J194" s="31">
        <v>0</v>
      </c>
      <c r="K194" s="31">
        <v>0</v>
      </c>
      <c r="L194" s="31">
        <v>0</v>
      </c>
      <c r="M194" s="31">
        <v>0</v>
      </c>
      <c r="N194" s="31">
        <v>35</v>
      </c>
      <c r="O194" s="31">
        <v>0</v>
      </c>
      <c r="P194" s="31">
        <v>0</v>
      </c>
      <c r="Q194" s="31">
        <v>0</v>
      </c>
      <c r="R194" s="31">
        <v>0</v>
      </c>
      <c r="S194" s="75" t="s">
        <v>44</v>
      </c>
    </row>
    <row r="195" spans="1:19" ht="14.4">
      <c r="A195" s="24">
        <v>341</v>
      </c>
      <c r="B195" s="53" t="s">
        <v>649</v>
      </c>
      <c r="C195" s="53" t="s">
        <v>886</v>
      </c>
      <c r="D195" s="1" t="s">
        <v>618</v>
      </c>
      <c r="E195" s="31">
        <v>1</v>
      </c>
      <c r="F195" s="31">
        <v>0</v>
      </c>
      <c r="G195" s="31">
        <v>-230</v>
      </c>
      <c r="H195" s="31">
        <v>180</v>
      </c>
      <c r="I195" s="31">
        <v>180</v>
      </c>
      <c r="J195" s="31">
        <v>0</v>
      </c>
      <c r="K195" s="31">
        <v>0</v>
      </c>
      <c r="L195" s="31">
        <v>0</v>
      </c>
      <c r="M195" s="31">
        <v>0</v>
      </c>
      <c r="N195" s="31">
        <v>50</v>
      </c>
      <c r="O195" s="31">
        <v>0</v>
      </c>
      <c r="P195" s="31">
        <v>0</v>
      </c>
      <c r="Q195" s="31">
        <v>0</v>
      </c>
      <c r="R195" s="31">
        <v>0</v>
      </c>
      <c r="S195" s="75" t="s">
        <v>43</v>
      </c>
    </row>
    <row r="196" spans="1:19" ht="14.4">
      <c r="A196" s="24">
        <v>341</v>
      </c>
      <c r="B196" s="53" t="s">
        <v>887</v>
      </c>
      <c r="C196" s="53" t="s">
        <v>778</v>
      </c>
      <c r="D196" s="1" t="s">
        <v>618</v>
      </c>
      <c r="E196" s="31">
        <v>1</v>
      </c>
      <c r="F196" s="31">
        <v>0</v>
      </c>
      <c r="G196" s="31">
        <v>-75</v>
      </c>
      <c r="H196" s="31">
        <v>50</v>
      </c>
      <c r="I196" s="31">
        <v>50</v>
      </c>
      <c r="J196" s="31">
        <v>0</v>
      </c>
      <c r="K196" s="31">
        <v>0</v>
      </c>
      <c r="L196" s="31">
        <v>0</v>
      </c>
      <c r="M196" s="31">
        <v>25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75" t="s">
        <v>89</v>
      </c>
    </row>
    <row r="197" spans="1:19" ht="14.4">
      <c r="A197" s="24">
        <v>341</v>
      </c>
      <c r="B197" s="53" t="s">
        <v>888</v>
      </c>
      <c r="C197" s="53" t="s">
        <v>889</v>
      </c>
      <c r="D197" s="1" t="s">
        <v>618</v>
      </c>
      <c r="E197" s="31">
        <v>1</v>
      </c>
      <c r="F197" s="31">
        <v>0</v>
      </c>
      <c r="G197" s="31">
        <v>-600</v>
      </c>
      <c r="H197" s="31">
        <v>600</v>
      </c>
      <c r="I197" s="31">
        <v>600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75" t="s">
        <v>43</v>
      </c>
    </row>
    <row r="198" spans="1:19" ht="14.4">
      <c r="A198" s="24">
        <v>341</v>
      </c>
      <c r="B198" s="53" t="s">
        <v>890</v>
      </c>
      <c r="C198" s="53" t="s">
        <v>891</v>
      </c>
      <c r="D198" s="1" t="s">
        <v>645</v>
      </c>
      <c r="E198" s="31">
        <v>0</v>
      </c>
      <c r="F198" s="31">
        <v>0</v>
      </c>
      <c r="G198" s="31">
        <v>-750.38</v>
      </c>
      <c r="H198" s="31">
        <v>650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40</v>
      </c>
      <c r="Q198" s="31">
        <v>0</v>
      </c>
      <c r="R198" s="31">
        <v>0</v>
      </c>
      <c r="S198" s="31" t="s">
        <v>60</v>
      </c>
    </row>
    <row r="199" spans="1:19" ht="14.4">
      <c r="A199" s="24">
        <v>341</v>
      </c>
      <c r="B199" s="53" t="s">
        <v>892</v>
      </c>
      <c r="C199" s="53" t="s">
        <v>746</v>
      </c>
      <c r="D199" s="1" t="s">
        <v>618</v>
      </c>
      <c r="E199" s="31">
        <v>1</v>
      </c>
      <c r="F199" s="31">
        <v>0</v>
      </c>
      <c r="G199" s="31">
        <v>-100</v>
      </c>
      <c r="H199" s="31">
        <v>45</v>
      </c>
      <c r="I199" s="31">
        <v>45</v>
      </c>
      <c r="J199" s="31">
        <v>0</v>
      </c>
      <c r="K199" s="31">
        <v>0</v>
      </c>
      <c r="L199" s="31">
        <v>0</v>
      </c>
      <c r="M199" s="31">
        <v>0</v>
      </c>
      <c r="N199" s="31">
        <v>55</v>
      </c>
      <c r="O199" s="31">
        <v>0</v>
      </c>
      <c r="P199" s="31">
        <v>0</v>
      </c>
      <c r="Q199" s="31">
        <v>0</v>
      </c>
      <c r="R199" s="31">
        <v>0</v>
      </c>
      <c r="S199" s="75" t="s">
        <v>92</v>
      </c>
    </row>
    <row r="200" spans="1:19" ht="14.4">
      <c r="A200" s="24">
        <v>340</v>
      </c>
      <c r="B200" s="53" t="s">
        <v>893</v>
      </c>
      <c r="C200" s="53" t="s">
        <v>894</v>
      </c>
      <c r="D200" s="1" t="s">
        <v>645</v>
      </c>
      <c r="E200" s="31">
        <v>0</v>
      </c>
      <c r="F200" s="31">
        <v>0</v>
      </c>
      <c r="G200" s="75"/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35</v>
      </c>
      <c r="O200" s="31">
        <v>0</v>
      </c>
      <c r="P200" s="31">
        <v>0</v>
      </c>
      <c r="Q200" s="31">
        <v>0</v>
      </c>
      <c r="R200" s="31">
        <v>0</v>
      </c>
      <c r="S200" s="75" t="s">
        <v>59</v>
      </c>
    </row>
    <row r="201" spans="1:19" ht="14.4">
      <c r="A201" s="24">
        <v>341</v>
      </c>
      <c r="B201" s="53" t="s">
        <v>890</v>
      </c>
      <c r="C201" s="53" t="s">
        <v>623</v>
      </c>
      <c r="D201" s="1" t="s">
        <v>618</v>
      </c>
      <c r="E201" s="31">
        <v>1</v>
      </c>
      <c r="F201" s="31">
        <v>0</v>
      </c>
      <c r="G201" s="31">
        <v>-95</v>
      </c>
      <c r="H201" s="31">
        <v>60</v>
      </c>
      <c r="I201" s="31">
        <v>60</v>
      </c>
      <c r="J201" s="31">
        <v>0</v>
      </c>
      <c r="K201" s="31">
        <v>0</v>
      </c>
      <c r="L201" s="31">
        <v>0</v>
      </c>
      <c r="M201" s="31">
        <v>35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75" t="s">
        <v>90</v>
      </c>
    </row>
    <row r="202" spans="1:19" ht="14.4">
      <c r="A202" s="24">
        <v>341</v>
      </c>
      <c r="B202" s="53" t="s">
        <v>895</v>
      </c>
      <c r="C202" s="53" t="s">
        <v>896</v>
      </c>
      <c r="D202" s="1" t="s">
        <v>618</v>
      </c>
      <c r="E202" s="31">
        <v>2</v>
      </c>
      <c r="F202" s="31">
        <v>0</v>
      </c>
      <c r="G202" s="31">
        <v>-416.5</v>
      </c>
      <c r="H202" s="31">
        <v>350</v>
      </c>
      <c r="I202" s="31">
        <v>350</v>
      </c>
      <c r="J202" s="31">
        <v>0</v>
      </c>
      <c r="K202" s="31">
        <v>0</v>
      </c>
      <c r="L202" s="31">
        <v>0</v>
      </c>
      <c r="M202" s="31">
        <v>35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75" t="s">
        <v>681</v>
      </c>
    </row>
    <row r="203" spans="1:19" ht="14.4">
      <c r="A203" s="24">
        <v>341</v>
      </c>
      <c r="B203" s="53" t="s">
        <v>897</v>
      </c>
      <c r="C203" s="53" t="s">
        <v>898</v>
      </c>
      <c r="D203" s="1" t="s">
        <v>618</v>
      </c>
      <c r="E203" s="31">
        <v>1</v>
      </c>
      <c r="F203" s="31">
        <v>0</v>
      </c>
      <c r="G203" s="31">
        <v>-175</v>
      </c>
      <c r="H203" s="31">
        <v>140</v>
      </c>
      <c r="I203" s="31">
        <v>140</v>
      </c>
      <c r="J203" s="31">
        <v>0</v>
      </c>
      <c r="K203" s="31">
        <v>0</v>
      </c>
      <c r="L203" s="31">
        <v>0</v>
      </c>
      <c r="M203" s="31">
        <v>35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75" t="s">
        <v>90</v>
      </c>
    </row>
    <row r="204" spans="1:19" ht="14.4">
      <c r="A204" s="24">
        <v>341</v>
      </c>
      <c r="B204" s="53" t="s">
        <v>897</v>
      </c>
      <c r="C204" s="53" t="s">
        <v>624</v>
      </c>
      <c r="D204" s="1" t="s">
        <v>618</v>
      </c>
      <c r="E204" s="31">
        <v>2</v>
      </c>
      <c r="F204" s="31">
        <v>0</v>
      </c>
      <c r="G204" s="31">
        <v>-2000</v>
      </c>
      <c r="H204" s="31">
        <v>1965</v>
      </c>
      <c r="I204" s="31">
        <v>1965</v>
      </c>
      <c r="J204" s="31">
        <v>0</v>
      </c>
      <c r="K204" s="31">
        <v>0</v>
      </c>
      <c r="L204" s="31">
        <v>0</v>
      </c>
      <c r="M204" s="31">
        <v>0</v>
      </c>
      <c r="N204" s="31">
        <v>35</v>
      </c>
      <c r="O204" s="31">
        <v>0</v>
      </c>
      <c r="P204" s="31">
        <v>0</v>
      </c>
      <c r="Q204" s="31">
        <v>0</v>
      </c>
      <c r="R204" s="31">
        <v>0</v>
      </c>
      <c r="S204" s="75" t="s">
        <v>47</v>
      </c>
    </row>
    <row r="205" spans="1:19" ht="14.4">
      <c r="A205" s="24">
        <v>341</v>
      </c>
      <c r="B205" s="53" t="s">
        <v>718</v>
      </c>
      <c r="C205" s="53" t="s">
        <v>687</v>
      </c>
      <c r="D205" s="1" t="s">
        <v>618</v>
      </c>
      <c r="E205" s="31">
        <v>1</v>
      </c>
      <c r="F205" s="31">
        <v>0</v>
      </c>
      <c r="G205" s="31">
        <v>-162.38</v>
      </c>
      <c r="H205" s="31">
        <v>150</v>
      </c>
      <c r="I205" s="31">
        <v>150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75" t="s">
        <v>38</v>
      </c>
    </row>
    <row r="206" spans="1:19" ht="14.4">
      <c r="A206" s="24">
        <v>341</v>
      </c>
      <c r="B206" s="53" t="s">
        <v>899</v>
      </c>
      <c r="C206" s="53" t="s">
        <v>777</v>
      </c>
      <c r="D206" s="1" t="s">
        <v>618</v>
      </c>
      <c r="E206" s="31">
        <v>1</v>
      </c>
      <c r="F206" s="31">
        <v>0</v>
      </c>
      <c r="G206" s="31">
        <v>-350</v>
      </c>
      <c r="H206" s="31">
        <v>150</v>
      </c>
      <c r="I206" s="31">
        <v>150</v>
      </c>
      <c r="J206" s="31">
        <v>0</v>
      </c>
      <c r="K206" s="31">
        <v>0</v>
      </c>
      <c r="L206" s="31">
        <v>0</v>
      </c>
      <c r="M206" s="31">
        <v>0</v>
      </c>
      <c r="N206" s="31">
        <v>200</v>
      </c>
      <c r="O206" s="31">
        <v>0</v>
      </c>
      <c r="P206" s="31">
        <v>0</v>
      </c>
      <c r="Q206" s="31">
        <v>0</v>
      </c>
      <c r="R206" s="31">
        <v>0</v>
      </c>
      <c r="S206" s="75" t="s">
        <v>97</v>
      </c>
    </row>
    <row r="207" spans="1:19" ht="14.4">
      <c r="A207" s="24">
        <v>341</v>
      </c>
      <c r="B207" s="53" t="s">
        <v>731</v>
      </c>
      <c r="C207" s="53" t="s">
        <v>900</v>
      </c>
      <c r="D207" s="1" t="s">
        <v>618</v>
      </c>
      <c r="E207" s="31">
        <v>1</v>
      </c>
      <c r="F207" s="31">
        <v>0</v>
      </c>
      <c r="G207" s="31">
        <v>-108.25</v>
      </c>
      <c r="H207" s="31">
        <v>100</v>
      </c>
      <c r="I207" s="31">
        <v>100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75" t="s">
        <v>681</v>
      </c>
    </row>
    <row r="208" spans="1:19" ht="14.4">
      <c r="A208" s="24">
        <v>341</v>
      </c>
      <c r="B208" s="53" t="s">
        <v>901</v>
      </c>
      <c r="C208" s="53" t="s">
        <v>902</v>
      </c>
      <c r="D208" s="1" t="s">
        <v>618</v>
      </c>
      <c r="E208" s="31">
        <v>1</v>
      </c>
      <c r="F208" s="31">
        <v>0</v>
      </c>
      <c r="G208" s="31">
        <v>-175</v>
      </c>
      <c r="H208" s="31">
        <v>125</v>
      </c>
      <c r="I208" s="31">
        <v>125</v>
      </c>
      <c r="J208" s="31">
        <v>0</v>
      </c>
      <c r="K208" s="31">
        <v>0</v>
      </c>
      <c r="L208" s="31">
        <v>0</v>
      </c>
      <c r="M208" s="31">
        <v>0</v>
      </c>
      <c r="N208" s="31">
        <v>50</v>
      </c>
      <c r="O208" s="31">
        <v>0</v>
      </c>
      <c r="P208" s="31">
        <v>0</v>
      </c>
      <c r="Q208" s="31">
        <v>0</v>
      </c>
      <c r="R208" s="31">
        <v>0</v>
      </c>
      <c r="S208" s="75" t="s">
        <v>43</v>
      </c>
    </row>
    <row r="209" spans="1:19" ht="14.4">
      <c r="A209" s="24">
        <v>341</v>
      </c>
      <c r="B209" s="53" t="s">
        <v>637</v>
      </c>
      <c r="C209" s="53" t="s">
        <v>903</v>
      </c>
      <c r="D209" s="1" t="s">
        <v>618</v>
      </c>
      <c r="E209" s="31">
        <v>1</v>
      </c>
      <c r="F209" s="31">
        <v>0</v>
      </c>
      <c r="G209" s="31">
        <v>-100</v>
      </c>
      <c r="H209" s="31">
        <v>100</v>
      </c>
      <c r="I209" s="31">
        <v>100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75" t="s">
        <v>98</v>
      </c>
    </row>
    <row r="210" spans="1:19" ht="14.4">
      <c r="A210" s="24">
        <v>341</v>
      </c>
      <c r="B210" s="53" t="s">
        <v>904</v>
      </c>
      <c r="C210" s="53" t="s">
        <v>905</v>
      </c>
      <c r="D210" s="1" t="s">
        <v>618</v>
      </c>
      <c r="E210" s="31">
        <v>1</v>
      </c>
      <c r="F210" s="31">
        <v>0</v>
      </c>
      <c r="G210" s="31">
        <v>-325</v>
      </c>
      <c r="H210" s="31">
        <v>190</v>
      </c>
      <c r="I210" s="31">
        <v>190</v>
      </c>
      <c r="J210" s="31">
        <v>0</v>
      </c>
      <c r="K210" s="31">
        <v>0</v>
      </c>
      <c r="L210" s="31">
        <v>0</v>
      </c>
      <c r="M210" s="31">
        <v>0</v>
      </c>
      <c r="N210" s="31">
        <v>35</v>
      </c>
      <c r="O210" s="31">
        <v>0</v>
      </c>
      <c r="P210" s="31">
        <v>100</v>
      </c>
      <c r="Q210" s="31">
        <v>0</v>
      </c>
      <c r="R210" s="31">
        <v>0</v>
      </c>
      <c r="S210" s="75" t="s">
        <v>38</v>
      </c>
    </row>
    <row r="211" spans="1:19" ht="14.4">
      <c r="A211" s="24">
        <v>341</v>
      </c>
      <c r="B211" s="53" t="s">
        <v>906</v>
      </c>
      <c r="C211" s="53" t="s">
        <v>905</v>
      </c>
      <c r="D211" s="1" t="s">
        <v>618</v>
      </c>
      <c r="E211" s="31">
        <v>1</v>
      </c>
      <c r="F211" s="31">
        <v>0</v>
      </c>
      <c r="G211" s="31">
        <v>-253.75</v>
      </c>
      <c r="H211" s="31">
        <v>200</v>
      </c>
      <c r="I211" s="31">
        <v>200</v>
      </c>
      <c r="J211" s="31">
        <v>0</v>
      </c>
      <c r="K211" s="31">
        <v>0</v>
      </c>
      <c r="L211" s="31">
        <v>0</v>
      </c>
      <c r="M211" s="31">
        <v>35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75" t="s">
        <v>90</v>
      </c>
    </row>
    <row r="212" spans="1:19" ht="14.4">
      <c r="A212" s="24">
        <v>341</v>
      </c>
      <c r="B212" s="53" t="s">
        <v>906</v>
      </c>
      <c r="C212" s="53" t="s">
        <v>809</v>
      </c>
      <c r="D212" s="1" t="s">
        <v>618</v>
      </c>
      <c r="E212" s="31">
        <v>1</v>
      </c>
      <c r="F212" s="31">
        <v>0</v>
      </c>
      <c r="G212" s="31">
        <v>-121.83</v>
      </c>
      <c r="H212" s="31">
        <v>110</v>
      </c>
      <c r="I212" s="31">
        <v>110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75" t="s">
        <v>60</v>
      </c>
    </row>
    <row r="213" spans="1:19" ht="14.4">
      <c r="A213" s="24">
        <v>341</v>
      </c>
      <c r="B213" s="53" t="s">
        <v>638</v>
      </c>
      <c r="C213" s="53" t="s">
        <v>907</v>
      </c>
      <c r="D213" s="1" t="s">
        <v>618</v>
      </c>
      <c r="E213" s="31">
        <v>1</v>
      </c>
      <c r="F213" s="31">
        <v>0</v>
      </c>
      <c r="G213" s="31">
        <v>-115</v>
      </c>
      <c r="H213" s="31">
        <v>80</v>
      </c>
      <c r="I213" s="31">
        <v>80</v>
      </c>
      <c r="J213" s="31">
        <v>0</v>
      </c>
      <c r="K213" s="31">
        <v>0</v>
      </c>
      <c r="L213" s="31">
        <v>0</v>
      </c>
      <c r="M213" s="31">
        <v>0</v>
      </c>
      <c r="N213" s="31">
        <v>35</v>
      </c>
      <c r="O213" s="31">
        <v>0</v>
      </c>
      <c r="P213" s="31">
        <v>0</v>
      </c>
      <c r="Q213" s="31">
        <v>0</v>
      </c>
      <c r="R213" s="31">
        <v>0</v>
      </c>
      <c r="S213" s="75" t="s">
        <v>44</v>
      </c>
    </row>
    <row r="214" spans="1:19" ht="14.4">
      <c r="A214" s="24">
        <v>341</v>
      </c>
      <c r="B214" s="53" t="s">
        <v>908</v>
      </c>
      <c r="C214" s="53" t="s">
        <v>909</v>
      </c>
      <c r="D214" s="1" t="s">
        <v>618</v>
      </c>
      <c r="E214" s="31">
        <v>2</v>
      </c>
      <c r="F214" s="31">
        <v>0</v>
      </c>
      <c r="G214" s="31">
        <v>-1095</v>
      </c>
      <c r="H214" s="31">
        <v>1060</v>
      </c>
      <c r="I214" s="31">
        <v>1060</v>
      </c>
      <c r="J214" s="31">
        <v>0</v>
      </c>
      <c r="K214" s="31">
        <v>0</v>
      </c>
      <c r="L214" s="31">
        <v>0</v>
      </c>
      <c r="M214" s="31">
        <v>0</v>
      </c>
      <c r="N214" s="31">
        <v>35</v>
      </c>
      <c r="O214" s="31">
        <v>0</v>
      </c>
      <c r="P214" s="31">
        <v>0</v>
      </c>
      <c r="Q214" s="31">
        <v>0</v>
      </c>
      <c r="R214" s="31">
        <v>0</v>
      </c>
      <c r="S214" s="75" t="s">
        <v>60</v>
      </c>
    </row>
    <row r="215" spans="1:19" ht="14.4">
      <c r="A215" s="24">
        <v>340</v>
      </c>
      <c r="B215" s="53" t="s">
        <v>910</v>
      </c>
      <c r="C215" s="53" t="s">
        <v>911</v>
      </c>
      <c r="D215" s="1" t="s">
        <v>618</v>
      </c>
      <c r="E215" s="31">
        <v>1</v>
      </c>
      <c r="F215" s="31">
        <v>0</v>
      </c>
      <c r="G215" s="31">
        <v>-116</v>
      </c>
      <c r="H215" s="31">
        <v>81</v>
      </c>
      <c r="I215" s="31">
        <v>81</v>
      </c>
      <c r="J215" s="31">
        <v>0</v>
      </c>
      <c r="K215" s="31">
        <v>0</v>
      </c>
      <c r="L215" s="31">
        <v>0</v>
      </c>
      <c r="M215" s="31">
        <v>0</v>
      </c>
      <c r="N215" s="31">
        <v>35</v>
      </c>
      <c r="O215" s="31">
        <v>0</v>
      </c>
      <c r="P215" s="31">
        <v>0</v>
      </c>
      <c r="Q215" s="31">
        <v>0</v>
      </c>
      <c r="R215" s="31">
        <v>0</v>
      </c>
      <c r="S215" s="75" t="s">
        <v>97</v>
      </c>
    </row>
    <row r="216" spans="1:19" ht="14.4">
      <c r="A216" s="24">
        <v>340</v>
      </c>
      <c r="B216" s="53" t="s">
        <v>912</v>
      </c>
      <c r="C216" s="53" t="s">
        <v>913</v>
      </c>
      <c r="D216" s="1" t="s">
        <v>618</v>
      </c>
      <c r="E216" s="31">
        <v>1</v>
      </c>
      <c r="F216" s="31">
        <v>0</v>
      </c>
      <c r="G216" s="31">
        <v>-85</v>
      </c>
      <c r="H216" s="31">
        <v>50</v>
      </c>
      <c r="I216" s="31">
        <v>50</v>
      </c>
      <c r="J216" s="31">
        <v>0</v>
      </c>
      <c r="K216" s="31">
        <v>0</v>
      </c>
      <c r="L216" s="31">
        <v>0</v>
      </c>
      <c r="M216" s="31">
        <v>0</v>
      </c>
      <c r="N216" s="31">
        <v>35</v>
      </c>
      <c r="O216" s="31">
        <v>0</v>
      </c>
      <c r="P216" s="31">
        <v>0</v>
      </c>
      <c r="Q216" s="31">
        <v>0</v>
      </c>
      <c r="R216" s="31">
        <v>0</v>
      </c>
      <c r="S216" s="75" t="s">
        <v>97</v>
      </c>
    </row>
    <row r="217" spans="1:19" ht="14.4">
      <c r="A217" s="24">
        <v>340</v>
      </c>
      <c r="B217" s="53" t="s">
        <v>914</v>
      </c>
      <c r="C217" s="53" t="s">
        <v>915</v>
      </c>
      <c r="D217" s="1" t="s">
        <v>618</v>
      </c>
      <c r="E217" s="31">
        <v>1</v>
      </c>
      <c r="F217" s="31">
        <v>0</v>
      </c>
      <c r="G217" s="31">
        <v>-100</v>
      </c>
      <c r="H217" s="31">
        <v>65</v>
      </c>
      <c r="I217" s="31">
        <v>65</v>
      </c>
      <c r="J217" s="31">
        <v>0</v>
      </c>
      <c r="K217" s="31">
        <v>0</v>
      </c>
      <c r="L217" s="31">
        <v>0</v>
      </c>
      <c r="M217" s="31">
        <v>0</v>
      </c>
      <c r="N217" s="31">
        <v>35</v>
      </c>
      <c r="O217" s="31">
        <v>0</v>
      </c>
      <c r="P217" s="31">
        <v>0</v>
      </c>
      <c r="Q217" s="31">
        <v>0</v>
      </c>
      <c r="R217" s="31">
        <v>0</v>
      </c>
      <c r="S217" s="75" t="s">
        <v>97</v>
      </c>
    </row>
    <row r="218" spans="1:19" ht="14.4">
      <c r="A218" s="24">
        <v>340</v>
      </c>
      <c r="B218" s="53" t="s">
        <v>916</v>
      </c>
      <c r="C218" s="53" t="s">
        <v>917</v>
      </c>
      <c r="D218" s="1" t="s">
        <v>618</v>
      </c>
      <c r="E218" s="31">
        <v>1</v>
      </c>
      <c r="F218" s="31">
        <v>0</v>
      </c>
      <c r="G218" s="31">
        <v>-85</v>
      </c>
      <c r="H218" s="31">
        <v>50</v>
      </c>
      <c r="I218" s="31">
        <v>50</v>
      </c>
      <c r="J218" s="31">
        <v>0</v>
      </c>
      <c r="K218" s="31">
        <v>0</v>
      </c>
      <c r="L218" s="31">
        <v>0</v>
      </c>
      <c r="M218" s="31">
        <v>0</v>
      </c>
      <c r="N218" s="31">
        <v>35</v>
      </c>
      <c r="O218" s="31">
        <v>0</v>
      </c>
      <c r="P218" s="31">
        <v>0</v>
      </c>
      <c r="Q218" s="31">
        <v>0</v>
      </c>
      <c r="R218" s="31">
        <v>0</v>
      </c>
      <c r="S218" s="75" t="s">
        <v>97</v>
      </c>
    </row>
    <row r="219" spans="1:19" ht="14.4">
      <c r="A219" s="24">
        <v>340</v>
      </c>
      <c r="B219" s="53" t="s">
        <v>918</v>
      </c>
      <c r="C219" s="53" t="s">
        <v>919</v>
      </c>
      <c r="D219" s="1" t="s">
        <v>618</v>
      </c>
      <c r="E219" s="31">
        <v>1</v>
      </c>
      <c r="F219" s="31">
        <v>0</v>
      </c>
      <c r="G219" s="31">
        <v>-150</v>
      </c>
      <c r="H219" s="31">
        <v>75</v>
      </c>
      <c r="I219" s="31">
        <v>75</v>
      </c>
      <c r="J219" s="31">
        <v>0</v>
      </c>
      <c r="K219" s="31">
        <v>0</v>
      </c>
      <c r="L219" s="31">
        <v>0</v>
      </c>
      <c r="M219" s="31">
        <v>0</v>
      </c>
      <c r="N219" s="31">
        <v>75</v>
      </c>
      <c r="O219" s="31">
        <v>0</v>
      </c>
      <c r="P219" s="31">
        <v>0</v>
      </c>
      <c r="Q219" s="31">
        <v>0</v>
      </c>
      <c r="R219" s="31">
        <v>0</v>
      </c>
      <c r="S219" s="75" t="s">
        <v>97</v>
      </c>
    </row>
    <row r="220" spans="1:19" ht="14.4">
      <c r="A220" s="24">
        <v>340</v>
      </c>
      <c r="B220" s="53" t="s">
        <v>918</v>
      </c>
      <c r="C220" s="53" t="s">
        <v>920</v>
      </c>
      <c r="D220" s="1" t="s">
        <v>618</v>
      </c>
      <c r="E220" s="31">
        <v>1</v>
      </c>
      <c r="F220" s="31">
        <v>0</v>
      </c>
      <c r="G220" s="31">
        <v>-195</v>
      </c>
      <c r="H220" s="31">
        <v>160</v>
      </c>
      <c r="I220" s="31">
        <v>160</v>
      </c>
      <c r="J220" s="31">
        <v>0</v>
      </c>
      <c r="K220" s="31">
        <v>0</v>
      </c>
      <c r="L220" s="31">
        <v>0</v>
      </c>
      <c r="M220" s="31">
        <v>0</v>
      </c>
      <c r="N220" s="31">
        <v>35</v>
      </c>
      <c r="O220" s="31">
        <v>0</v>
      </c>
      <c r="P220" s="31">
        <v>0</v>
      </c>
      <c r="Q220" s="31">
        <v>0</v>
      </c>
      <c r="R220" s="31">
        <v>0</v>
      </c>
      <c r="S220" s="75" t="s">
        <v>97</v>
      </c>
    </row>
    <row r="221" spans="1:19" ht="14.4">
      <c r="A221" s="24">
        <v>340</v>
      </c>
      <c r="B221" s="53" t="s">
        <v>921</v>
      </c>
      <c r="C221" s="53" t="s">
        <v>922</v>
      </c>
      <c r="D221" s="1" t="s">
        <v>618</v>
      </c>
      <c r="E221" s="31">
        <v>1</v>
      </c>
      <c r="F221" s="31">
        <v>0</v>
      </c>
      <c r="G221" s="31">
        <v>-85</v>
      </c>
      <c r="H221" s="31">
        <v>50</v>
      </c>
      <c r="I221" s="31">
        <v>50</v>
      </c>
      <c r="J221" s="31">
        <v>0</v>
      </c>
      <c r="K221" s="31">
        <v>0</v>
      </c>
      <c r="L221" s="31">
        <v>0</v>
      </c>
      <c r="M221" s="31">
        <v>0</v>
      </c>
      <c r="N221" s="31">
        <v>35</v>
      </c>
      <c r="O221" s="31">
        <v>0</v>
      </c>
      <c r="P221" s="31">
        <v>0</v>
      </c>
      <c r="Q221" s="31">
        <v>0</v>
      </c>
      <c r="R221" s="31">
        <v>0</v>
      </c>
      <c r="S221" s="75" t="s">
        <v>97</v>
      </c>
    </row>
    <row r="222" spans="1:19" ht="14.4">
      <c r="A222" s="24">
        <v>340</v>
      </c>
      <c r="B222" s="53" t="s">
        <v>923</v>
      </c>
      <c r="C222" s="53" t="s">
        <v>924</v>
      </c>
      <c r="D222" s="1" t="s">
        <v>618</v>
      </c>
      <c r="E222" s="31">
        <v>1</v>
      </c>
      <c r="F222" s="31">
        <v>0</v>
      </c>
      <c r="G222" s="31">
        <v>-95</v>
      </c>
      <c r="H222" s="31">
        <v>60</v>
      </c>
      <c r="I222" s="31">
        <v>60</v>
      </c>
      <c r="J222" s="31">
        <v>0</v>
      </c>
      <c r="K222" s="31">
        <v>0</v>
      </c>
      <c r="L222" s="31">
        <v>0</v>
      </c>
      <c r="M222" s="31">
        <v>0</v>
      </c>
      <c r="N222" s="31">
        <v>35</v>
      </c>
      <c r="O222" s="31">
        <v>0</v>
      </c>
      <c r="P222" s="31">
        <v>0</v>
      </c>
      <c r="Q222" s="31">
        <v>0</v>
      </c>
      <c r="R222" s="31">
        <v>0</v>
      </c>
      <c r="S222" s="75" t="s">
        <v>97</v>
      </c>
    </row>
    <row r="223" spans="1:19" ht="14.4">
      <c r="A223" s="24">
        <v>340</v>
      </c>
      <c r="B223" s="53" t="s">
        <v>737</v>
      </c>
      <c r="C223" s="53" t="s">
        <v>925</v>
      </c>
      <c r="D223" s="1" t="s">
        <v>618</v>
      </c>
      <c r="E223" s="31">
        <v>1</v>
      </c>
      <c r="F223" s="31">
        <v>0</v>
      </c>
      <c r="G223" s="31">
        <v>-110</v>
      </c>
      <c r="H223" s="31">
        <v>75</v>
      </c>
      <c r="I223" s="31">
        <v>75</v>
      </c>
      <c r="J223" s="31">
        <v>0</v>
      </c>
      <c r="K223" s="31">
        <v>0</v>
      </c>
      <c r="L223" s="31">
        <v>0</v>
      </c>
      <c r="M223" s="31">
        <v>0</v>
      </c>
      <c r="N223" s="31">
        <v>35</v>
      </c>
      <c r="O223" s="31">
        <v>0</v>
      </c>
      <c r="P223" s="31">
        <v>0</v>
      </c>
      <c r="Q223" s="31">
        <v>0</v>
      </c>
      <c r="R223" s="31">
        <v>0</v>
      </c>
      <c r="S223" s="75" t="s">
        <v>97</v>
      </c>
    </row>
    <row r="224" spans="1:19" ht="14.4">
      <c r="A224" s="24">
        <v>340</v>
      </c>
      <c r="B224" s="53" t="s">
        <v>926</v>
      </c>
      <c r="C224" s="53" t="s">
        <v>927</v>
      </c>
      <c r="D224" s="1" t="s">
        <v>618</v>
      </c>
      <c r="E224" s="31">
        <v>1</v>
      </c>
      <c r="F224" s="31">
        <v>0</v>
      </c>
      <c r="G224" s="31">
        <v>-85</v>
      </c>
      <c r="H224" s="31">
        <v>50</v>
      </c>
      <c r="I224" s="31">
        <v>50</v>
      </c>
      <c r="J224" s="31">
        <v>0</v>
      </c>
      <c r="K224" s="31">
        <v>0</v>
      </c>
      <c r="L224" s="31">
        <v>0</v>
      </c>
      <c r="M224" s="31">
        <v>0</v>
      </c>
      <c r="N224" s="31">
        <v>35</v>
      </c>
      <c r="O224" s="31">
        <v>0</v>
      </c>
      <c r="P224" s="31">
        <v>0</v>
      </c>
      <c r="Q224" s="31">
        <v>0</v>
      </c>
      <c r="R224" s="31">
        <v>0</v>
      </c>
      <c r="S224" s="75" t="s">
        <v>97</v>
      </c>
    </row>
    <row r="225" spans="1:19" ht="14.4">
      <c r="A225" s="24">
        <v>340</v>
      </c>
      <c r="B225" s="53" t="s">
        <v>928</v>
      </c>
      <c r="C225" s="53" t="s">
        <v>929</v>
      </c>
      <c r="D225" s="1" t="s">
        <v>618</v>
      </c>
      <c r="E225" s="31">
        <v>1</v>
      </c>
      <c r="F225" s="31">
        <v>0</v>
      </c>
      <c r="G225" s="31">
        <v>-110</v>
      </c>
      <c r="H225" s="31">
        <v>75</v>
      </c>
      <c r="I225" s="31">
        <v>75</v>
      </c>
      <c r="J225" s="31">
        <v>0</v>
      </c>
      <c r="K225" s="31">
        <v>0</v>
      </c>
      <c r="L225" s="31">
        <v>0</v>
      </c>
      <c r="M225" s="31">
        <v>0</v>
      </c>
      <c r="N225" s="31">
        <v>35</v>
      </c>
      <c r="O225" s="31">
        <v>0</v>
      </c>
      <c r="P225" s="31">
        <v>0</v>
      </c>
      <c r="Q225" s="31">
        <v>0</v>
      </c>
      <c r="R225" s="31">
        <v>0</v>
      </c>
      <c r="S225" s="75" t="s">
        <v>97</v>
      </c>
    </row>
    <row r="226" spans="1:19" ht="14.4">
      <c r="A226" s="24">
        <v>340</v>
      </c>
      <c r="B226" s="53" t="s">
        <v>928</v>
      </c>
      <c r="C226" s="53" t="s">
        <v>930</v>
      </c>
      <c r="D226" s="1" t="s">
        <v>618</v>
      </c>
      <c r="E226" s="31">
        <v>1</v>
      </c>
      <c r="F226" s="31">
        <v>0</v>
      </c>
      <c r="G226" s="31">
        <v>-575</v>
      </c>
      <c r="H226" s="31">
        <v>175</v>
      </c>
      <c r="I226" s="31">
        <v>175</v>
      </c>
      <c r="J226" s="31">
        <v>0</v>
      </c>
      <c r="K226" s="31">
        <v>0</v>
      </c>
      <c r="L226" s="31">
        <v>0</v>
      </c>
      <c r="M226" s="31">
        <v>0</v>
      </c>
      <c r="N226" s="31">
        <v>400</v>
      </c>
      <c r="O226" s="31">
        <v>0</v>
      </c>
      <c r="P226" s="31">
        <v>0</v>
      </c>
      <c r="Q226" s="31">
        <v>0</v>
      </c>
      <c r="R226" s="31">
        <v>0</v>
      </c>
      <c r="S226" s="75" t="s">
        <v>97</v>
      </c>
    </row>
    <row r="227" spans="1:19" ht="14.4">
      <c r="A227" s="24">
        <v>340</v>
      </c>
      <c r="B227" s="53" t="s">
        <v>845</v>
      </c>
      <c r="C227" s="53" t="s">
        <v>931</v>
      </c>
      <c r="D227" s="1" t="s">
        <v>618</v>
      </c>
      <c r="E227" s="31">
        <v>1</v>
      </c>
      <c r="F227" s="31">
        <v>0</v>
      </c>
      <c r="G227" s="31">
        <v>-100</v>
      </c>
      <c r="H227" s="31">
        <v>65</v>
      </c>
      <c r="I227" s="31">
        <v>65</v>
      </c>
      <c r="J227" s="31">
        <v>0</v>
      </c>
      <c r="K227" s="31">
        <v>0</v>
      </c>
      <c r="L227" s="31">
        <v>0</v>
      </c>
      <c r="M227" s="31">
        <v>0</v>
      </c>
      <c r="N227" s="31">
        <v>35</v>
      </c>
      <c r="O227" s="31">
        <v>0</v>
      </c>
      <c r="P227" s="31">
        <v>0</v>
      </c>
      <c r="Q227" s="31">
        <v>0</v>
      </c>
      <c r="R227" s="31">
        <v>0</v>
      </c>
      <c r="S227" s="75" t="s">
        <v>97</v>
      </c>
    </row>
    <row r="228" spans="1:19" ht="14.4">
      <c r="A228" s="24">
        <v>340</v>
      </c>
      <c r="B228" s="53" t="s">
        <v>834</v>
      </c>
      <c r="C228" s="53" t="s">
        <v>932</v>
      </c>
      <c r="D228" s="1" t="s">
        <v>618</v>
      </c>
      <c r="E228" s="31">
        <v>1</v>
      </c>
      <c r="F228" s="31">
        <v>0</v>
      </c>
      <c r="G228" s="31">
        <v>-95</v>
      </c>
      <c r="H228" s="31">
        <v>60</v>
      </c>
      <c r="I228" s="31">
        <v>60</v>
      </c>
      <c r="J228" s="31">
        <v>0</v>
      </c>
      <c r="K228" s="31">
        <v>0</v>
      </c>
      <c r="L228" s="31">
        <v>0</v>
      </c>
      <c r="M228" s="31">
        <v>0</v>
      </c>
      <c r="N228" s="31">
        <v>35</v>
      </c>
      <c r="O228" s="31">
        <v>0</v>
      </c>
      <c r="P228" s="31">
        <v>0</v>
      </c>
      <c r="Q228" s="31">
        <v>0</v>
      </c>
      <c r="R228" s="31">
        <v>0</v>
      </c>
      <c r="S228" s="75" t="s">
        <v>97</v>
      </c>
    </row>
    <row r="229" spans="1:19" ht="14.4">
      <c r="A229" s="24">
        <v>340</v>
      </c>
      <c r="B229" s="53" t="s">
        <v>841</v>
      </c>
      <c r="C229" s="53" t="s">
        <v>933</v>
      </c>
      <c r="D229" s="1" t="s">
        <v>618</v>
      </c>
      <c r="E229" s="31">
        <v>1</v>
      </c>
      <c r="F229" s="31">
        <v>0</v>
      </c>
      <c r="G229" s="31">
        <v>-445</v>
      </c>
      <c r="H229" s="31">
        <v>410</v>
      </c>
      <c r="I229" s="31">
        <v>410</v>
      </c>
      <c r="J229" s="31">
        <v>0</v>
      </c>
      <c r="K229" s="31">
        <v>0</v>
      </c>
      <c r="L229" s="31">
        <v>0</v>
      </c>
      <c r="M229" s="31">
        <v>0</v>
      </c>
      <c r="N229" s="31">
        <v>35</v>
      </c>
      <c r="O229" s="31">
        <v>0</v>
      </c>
      <c r="P229" s="31">
        <v>0</v>
      </c>
      <c r="Q229" s="31">
        <v>0</v>
      </c>
      <c r="R229" s="31">
        <v>0</v>
      </c>
      <c r="S229" s="75" t="s">
        <v>97</v>
      </c>
    </row>
    <row r="230" spans="1:19" ht="14.4">
      <c r="A230" s="24">
        <v>340</v>
      </c>
      <c r="B230" s="53" t="s">
        <v>841</v>
      </c>
      <c r="C230" s="53" t="s">
        <v>934</v>
      </c>
      <c r="D230" s="1" t="s">
        <v>618</v>
      </c>
      <c r="E230" s="31">
        <v>1</v>
      </c>
      <c r="F230" s="31">
        <v>0</v>
      </c>
      <c r="G230" s="31">
        <v>-99</v>
      </c>
      <c r="H230" s="31">
        <v>64</v>
      </c>
      <c r="I230" s="31">
        <v>64</v>
      </c>
      <c r="J230" s="31">
        <v>0</v>
      </c>
      <c r="K230" s="31">
        <v>0</v>
      </c>
      <c r="L230" s="31">
        <v>0</v>
      </c>
      <c r="M230" s="31">
        <v>0</v>
      </c>
      <c r="N230" s="31">
        <v>35</v>
      </c>
      <c r="O230" s="31">
        <v>0</v>
      </c>
      <c r="P230" s="31">
        <v>0</v>
      </c>
      <c r="Q230" s="31">
        <v>0</v>
      </c>
      <c r="R230" s="31">
        <v>0</v>
      </c>
      <c r="S230" s="75" t="s">
        <v>97</v>
      </c>
    </row>
    <row r="231" spans="1:19" ht="14.4">
      <c r="A231" s="24">
        <v>340</v>
      </c>
      <c r="B231" s="53" t="s">
        <v>847</v>
      </c>
      <c r="C231" s="53" t="s">
        <v>935</v>
      </c>
      <c r="D231" s="1" t="s">
        <v>618</v>
      </c>
      <c r="E231" s="31">
        <v>1</v>
      </c>
      <c r="F231" s="31">
        <v>0</v>
      </c>
      <c r="G231" s="31">
        <v>-85</v>
      </c>
      <c r="H231" s="31">
        <v>50</v>
      </c>
      <c r="I231" s="31">
        <v>50</v>
      </c>
      <c r="J231" s="31">
        <v>0</v>
      </c>
      <c r="K231" s="31">
        <v>0</v>
      </c>
      <c r="L231" s="31">
        <v>0</v>
      </c>
      <c r="M231" s="31">
        <v>0</v>
      </c>
      <c r="N231" s="31">
        <v>35</v>
      </c>
      <c r="O231" s="31">
        <v>0</v>
      </c>
      <c r="P231" s="31">
        <v>0</v>
      </c>
      <c r="Q231" s="31">
        <v>0</v>
      </c>
      <c r="R231" s="31">
        <v>0</v>
      </c>
      <c r="S231" s="75" t="s">
        <v>97</v>
      </c>
    </row>
    <row r="232" spans="1:19" ht="14.4">
      <c r="A232" s="24">
        <v>340</v>
      </c>
      <c r="B232" s="53" t="s">
        <v>703</v>
      </c>
      <c r="C232" s="53" t="s">
        <v>936</v>
      </c>
      <c r="D232" s="1" t="s">
        <v>618</v>
      </c>
      <c r="E232" s="31">
        <v>1</v>
      </c>
      <c r="F232" s="31">
        <v>0</v>
      </c>
      <c r="G232" s="31">
        <v>-110</v>
      </c>
      <c r="H232" s="31">
        <v>75</v>
      </c>
      <c r="I232" s="31">
        <v>75</v>
      </c>
      <c r="J232" s="31">
        <v>0</v>
      </c>
      <c r="K232" s="31">
        <v>0</v>
      </c>
      <c r="L232" s="31">
        <v>0</v>
      </c>
      <c r="M232" s="31">
        <v>0</v>
      </c>
      <c r="N232" s="31">
        <v>35</v>
      </c>
      <c r="O232" s="31">
        <v>0</v>
      </c>
      <c r="P232" s="31">
        <v>0</v>
      </c>
      <c r="Q232" s="31">
        <v>0</v>
      </c>
      <c r="R232" s="31">
        <v>0</v>
      </c>
      <c r="S232" s="75" t="s">
        <v>97</v>
      </c>
    </row>
    <row r="233" spans="1:19" ht="14.4">
      <c r="A233" s="24">
        <v>340</v>
      </c>
      <c r="B233" s="53" t="s">
        <v>937</v>
      </c>
      <c r="C233" s="53" t="s">
        <v>938</v>
      </c>
      <c r="D233" s="1" t="s">
        <v>618</v>
      </c>
      <c r="E233" s="31">
        <v>1</v>
      </c>
      <c r="F233" s="31">
        <v>0</v>
      </c>
      <c r="G233" s="31">
        <v>-95</v>
      </c>
      <c r="H233" s="31">
        <v>60</v>
      </c>
      <c r="I233" s="31">
        <v>60</v>
      </c>
      <c r="J233" s="31">
        <v>0</v>
      </c>
      <c r="K233" s="31">
        <v>0</v>
      </c>
      <c r="L233" s="31">
        <v>0</v>
      </c>
      <c r="M233" s="31">
        <v>0</v>
      </c>
      <c r="N233" s="31">
        <v>35</v>
      </c>
      <c r="O233" s="31">
        <v>0</v>
      </c>
      <c r="P233" s="31">
        <v>0</v>
      </c>
      <c r="Q233" s="31">
        <v>0</v>
      </c>
      <c r="R233" s="31">
        <v>0</v>
      </c>
      <c r="S233" s="75" t="s">
        <v>97</v>
      </c>
    </row>
    <row r="234" spans="1:19" ht="14.4">
      <c r="A234" s="24">
        <v>340</v>
      </c>
      <c r="B234" s="53" t="s">
        <v>856</v>
      </c>
      <c r="C234" s="53" t="s">
        <v>939</v>
      </c>
      <c r="D234" s="1" t="s">
        <v>618</v>
      </c>
      <c r="E234" s="31">
        <v>1</v>
      </c>
      <c r="F234" s="31">
        <v>0</v>
      </c>
      <c r="G234" s="31">
        <v>-175</v>
      </c>
      <c r="H234" s="31">
        <v>140</v>
      </c>
      <c r="I234" s="31">
        <v>140</v>
      </c>
      <c r="J234" s="31">
        <v>0</v>
      </c>
      <c r="K234" s="31">
        <v>0</v>
      </c>
      <c r="L234" s="31">
        <v>0</v>
      </c>
      <c r="M234" s="31">
        <v>0</v>
      </c>
      <c r="N234" s="31">
        <v>35</v>
      </c>
      <c r="O234" s="31">
        <v>0</v>
      </c>
      <c r="P234" s="31">
        <v>0</v>
      </c>
      <c r="Q234" s="31">
        <v>0</v>
      </c>
      <c r="R234" s="31">
        <v>0</v>
      </c>
      <c r="S234" s="75" t="s">
        <v>97</v>
      </c>
    </row>
    <row r="235" spans="1:19" ht="14.4">
      <c r="A235" s="24">
        <v>340</v>
      </c>
      <c r="B235" s="53" t="s">
        <v>855</v>
      </c>
      <c r="C235" s="53" t="s">
        <v>940</v>
      </c>
      <c r="D235" s="1" t="s">
        <v>618</v>
      </c>
      <c r="E235" s="31">
        <v>1</v>
      </c>
      <c r="F235" s="31">
        <v>0</v>
      </c>
      <c r="G235" s="31">
        <v>-107</v>
      </c>
      <c r="H235" s="31">
        <v>72</v>
      </c>
      <c r="I235" s="31">
        <v>72</v>
      </c>
      <c r="J235" s="31">
        <v>0</v>
      </c>
      <c r="K235" s="31">
        <v>0</v>
      </c>
      <c r="L235" s="31">
        <v>0</v>
      </c>
      <c r="M235" s="31">
        <v>0</v>
      </c>
      <c r="N235" s="31">
        <v>35</v>
      </c>
      <c r="O235" s="31">
        <v>0</v>
      </c>
      <c r="P235" s="31">
        <v>0</v>
      </c>
      <c r="Q235" s="31">
        <v>0</v>
      </c>
      <c r="R235" s="31">
        <v>0</v>
      </c>
      <c r="S235" s="75" t="s">
        <v>97</v>
      </c>
    </row>
    <row r="236" spans="1:19" ht="14.4">
      <c r="A236" s="24">
        <v>340</v>
      </c>
      <c r="B236" s="53" t="s">
        <v>855</v>
      </c>
      <c r="C236" s="53" t="s">
        <v>941</v>
      </c>
      <c r="D236" s="77" t="s">
        <v>618</v>
      </c>
      <c r="E236" s="31">
        <v>1</v>
      </c>
      <c r="F236" s="31">
        <v>0</v>
      </c>
      <c r="G236" s="31">
        <v>-260</v>
      </c>
      <c r="H236" s="31">
        <v>225</v>
      </c>
      <c r="I236" s="31">
        <v>225</v>
      </c>
      <c r="J236" s="31">
        <v>0</v>
      </c>
      <c r="K236" s="31">
        <v>0</v>
      </c>
      <c r="L236" s="31">
        <v>0</v>
      </c>
      <c r="M236" s="31">
        <v>0</v>
      </c>
      <c r="N236" s="31">
        <v>35</v>
      </c>
      <c r="O236" s="31">
        <v>0</v>
      </c>
      <c r="P236" s="31">
        <v>0</v>
      </c>
      <c r="Q236" s="31">
        <v>0</v>
      </c>
      <c r="R236" s="31">
        <v>0</v>
      </c>
      <c r="S236" s="75" t="s">
        <v>97</v>
      </c>
    </row>
    <row r="237" spans="1:19" ht="14.4">
      <c r="A237" s="24">
        <v>340</v>
      </c>
      <c r="B237" s="53" t="s">
        <v>858</v>
      </c>
      <c r="C237" s="53" t="s">
        <v>942</v>
      </c>
      <c r="D237" s="77" t="s">
        <v>618</v>
      </c>
      <c r="E237" s="31">
        <v>1</v>
      </c>
      <c r="F237" s="31">
        <v>0</v>
      </c>
      <c r="G237" s="31">
        <v>-95</v>
      </c>
      <c r="H237" s="31">
        <v>60</v>
      </c>
      <c r="I237" s="31">
        <v>60</v>
      </c>
      <c r="J237" s="31">
        <v>0</v>
      </c>
      <c r="K237" s="31">
        <v>0</v>
      </c>
      <c r="L237" s="31">
        <v>0</v>
      </c>
      <c r="M237" s="31">
        <v>0</v>
      </c>
      <c r="N237" s="31">
        <v>35</v>
      </c>
      <c r="O237" s="31">
        <v>0</v>
      </c>
      <c r="P237" s="31">
        <v>0</v>
      </c>
      <c r="Q237" s="31">
        <v>0</v>
      </c>
      <c r="R237" s="31">
        <v>0</v>
      </c>
      <c r="S237" s="75" t="s">
        <v>97</v>
      </c>
    </row>
    <row r="238" spans="1:19" ht="14.4">
      <c r="A238" s="24">
        <v>340</v>
      </c>
      <c r="B238" s="53" t="s">
        <v>858</v>
      </c>
      <c r="C238" s="53" t="s">
        <v>943</v>
      </c>
      <c r="D238" s="1" t="s">
        <v>618</v>
      </c>
      <c r="E238" s="31">
        <v>1</v>
      </c>
      <c r="F238" s="31">
        <v>0</v>
      </c>
      <c r="G238" s="31">
        <v>-95</v>
      </c>
      <c r="H238" s="31">
        <v>60</v>
      </c>
      <c r="I238" s="31">
        <v>60</v>
      </c>
      <c r="J238" s="31">
        <v>0</v>
      </c>
      <c r="K238" s="31">
        <v>0</v>
      </c>
      <c r="L238" s="31">
        <v>0</v>
      </c>
      <c r="M238" s="31">
        <v>0</v>
      </c>
      <c r="N238" s="31">
        <v>35</v>
      </c>
      <c r="O238" s="31">
        <v>0</v>
      </c>
      <c r="P238" s="31">
        <v>0</v>
      </c>
      <c r="Q238" s="31">
        <v>0</v>
      </c>
      <c r="R238" s="31">
        <v>0</v>
      </c>
      <c r="S238" s="75" t="s">
        <v>97</v>
      </c>
    </row>
    <row r="239" spans="1:19" ht="14.4">
      <c r="A239" s="24">
        <v>340</v>
      </c>
      <c r="B239" s="53" t="s">
        <v>944</v>
      </c>
      <c r="C239" s="53" t="s">
        <v>945</v>
      </c>
      <c r="D239" s="1" t="s">
        <v>618</v>
      </c>
      <c r="E239" s="31">
        <v>1</v>
      </c>
      <c r="F239" s="31">
        <v>0</v>
      </c>
      <c r="G239" s="31">
        <v>-100</v>
      </c>
      <c r="H239" s="31">
        <v>65</v>
      </c>
      <c r="I239" s="31">
        <v>65</v>
      </c>
      <c r="J239" s="31">
        <v>0</v>
      </c>
      <c r="K239" s="31">
        <v>0</v>
      </c>
      <c r="L239" s="31">
        <v>0</v>
      </c>
      <c r="M239" s="31">
        <v>0</v>
      </c>
      <c r="N239" s="31">
        <v>35</v>
      </c>
      <c r="O239" s="31">
        <v>0</v>
      </c>
      <c r="P239" s="31">
        <v>0</v>
      </c>
      <c r="Q239" s="31">
        <v>0</v>
      </c>
      <c r="R239" s="31">
        <v>0</v>
      </c>
      <c r="S239" s="75" t="s">
        <v>97</v>
      </c>
    </row>
    <row r="240" spans="1:19" ht="14.4">
      <c r="A240" s="24">
        <v>340</v>
      </c>
      <c r="B240" s="53" t="s">
        <v>944</v>
      </c>
      <c r="C240" s="53" t="s">
        <v>946</v>
      </c>
      <c r="D240" s="77" t="s">
        <v>618</v>
      </c>
      <c r="E240" s="31">
        <v>1</v>
      </c>
      <c r="F240" s="31">
        <v>0</v>
      </c>
      <c r="G240" s="31">
        <v>-85</v>
      </c>
      <c r="H240" s="31">
        <v>50</v>
      </c>
      <c r="I240" s="31">
        <v>50</v>
      </c>
      <c r="J240" s="31">
        <v>0</v>
      </c>
      <c r="K240" s="31">
        <v>0</v>
      </c>
      <c r="L240" s="31">
        <v>0</v>
      </c>
      <c r="M240" s="31">
        <v>0</v>
      </c>
      <c r="N240" s="31">
        <v>35</v>
      </c>
      <c r="O240" s="31">
        <v>0</v>
      </c>
      <c r="P240" s="31">
        <v>0</v>
      </c>
      <c r="Q240" s="31">
        <v>0</v>
      </c>
      <c r="R240" s="31">
        <v>0</v>
      </c>
      <c r="S240" s="75" t="s">
        <v>97</v>
      </c>
    </row>
    <row r="241" spans="1:19" ht="14.4">
      <c r="A241" s="24">
        <v>341</v>
      </c>
      <c r="B241" s="53" t="s">
        <v>947</v>
      </c>
      <c r="C241" s="53" t="s">
        <v>948</v>
      </c>
      <c r="D241" s="1" t="s">
        <v>618</v>
      </c>
      <c r="E241" s="31">
        <v>1</v>
      </c>
      <c r="F241" s="31">
        <v>0</v>
      </c>
      <c r="G241" s="31">
        <v>-85</v>
      </c>
      <c r="H241" s="31">
        <v>50</v>
      </c>
      <c r="I241" s="31">
        <v>50</v>
      </c>
      <c r="J241" s="31">
        <v>0</v>
      </c>
      <c r="K241" s="31">
        <v>0</v>
      </c>
      <c r="L241" s="31">
        <v>0</v>
      </c>
      <c r="M241" s="31">
        <v>0</v>
      </c>
      <c r="N241" s="31">
        <v>35</v>
      </c>
      <c r="O241" s="31">
        <v>0</v>
      </c>
      <c r="P241" s="31">
        <v>0</v>
      </c>
      <c r="Q241" s="31">
        <v>0</v>
      </c>
      <c r="R241" s="31">
        <v>0</v>
      </c>
      <c r="S241" s="75" t="s">
        <v>97</v>
      </c>
    </row>
    <row r="242" spans="1:19" ht="14.4">
      <c r="A242" s="24">
        <v>341</v>
      </c>
      <c r="B242" s="53" t="s">
        <v>620</v>
      </c>
      <c r="C242" s="53" t="s">
        <v>949</v>
      </c>
      <c r="D242" s="77" t="s">
        <v>618</v>
      </c>
      <c r="E242" s="31">
        <v>1</v>
      </c>
      <c r="F242" s="31">
        <v>0</v>
      </c>
      <c r="G242" s="31">
        <v>-110</v>
      </c>
      <c r="H242" s="31">
        <v>75</v>
      </c>
      <c r="I242" s="31">
        <v>75</v>
      </c>
      <c r="J242" s="31">
        <v>0</v>
      </c>
      <c r="K242" s="31">
        <v>0</v>
      </c>
      <c r="L242" s="31">
        <v>0</v>
      </c>
      <c r="M242" s="31">
        <v>0</v>
      </c>
      <c r="N242" s="31">
        <v>35</v>
      </c>
      <c r="O242" s="31">
        <v>0</v>
      </c>
      <c r="P242" s="31">
        <v>0</v>
      </c>
      <c r="Q242" s="31">
        <v>0</v>
      </c>
      <c r="R242" s="31">
        <v>0</v>
      </c>
      <c r="S242" s="75" t="s">
        <v>97</v>
      </c>
    </row>
    <row r="243" spans="1:19" ht="14.4">
      <c r="A243" s="24">
        <v>341</v>
      </c>
      <c r="B243" s="53" t="s">
        <v>620</v>
      </c>
      <c r="C243" s="53" t="s">
        <v>950</v>
      </c>
      <c r="D243" s="77" t="s">
        <v>618</v>
      </c>
      <c r="E243" s="31">
        <v>1</v>
      </c>
      <c r="F243" s="31">
        <v>0</v>
      </c>
      <c r="G243" s="31">
        <v>-92</v>
      </c>
      <c r="H243" s="31">
        <v>57</v>
      </c>
      <c r="I243" s="31">
        <v>57</v>
      </c>
      <c r="J243" s="31">
        <v>0</v>
      </c>
      <c r="K243" s="31">
        <v>0</v>
      </c>
      <c r="L243" s="31">
        <v>0</v>
      </c>
      <c r="M243" s="31">
        <v>0</v>
      </c>
      <c r="N243" s="31">
        <v>35</v>
      </c>
      <c r="O243" s="31">
        <v>0</v>
      </c>
      <c r="P243" s="31">
        <v>0</v>
      </c>
      <c r="Q243" s="31">
        <v>0</v>
      </c>
      <c r="R243" s="31">
        <v>0</v>
      </c>
      <c r="S243" s="75" t="s">
        <v>97</v>
      </c>
    </row>
    <row r="244" spans="1:19" ht="14.4">
      <c r="A244" s="24">
        <v>341</v>
      </c>
      <c r="B244" s="53" t="s">
        <v>620</v>
      </c>
      <c r="C244" s="53" t="s">
        <v>951</v>
      </c>
      <c r="D244" s="77" t="s">
        <v>618</v>
      </c>
      <c r="E244" s="31">
        <v>1</v>
      </c>
      <c r="F244" s="31">
        <v>0</v>
      </c>
      <c r="G244" s="31">
        <v>-95</v>
      </c>
      <c r="H244" s="31">
        <v>60</v>
      </c>
      <c r="I244" s="31">
        <v>60</v>
      </c>
      <c r="J244" s="31">
        <v>0</v>
      </c>
      <c r="K244" s="31">
        <v>0</v>
      </c>
      <c r="L244" s="31">
        <v>0</v>
      </c>
      <c r="M244" s="31">
        <v>0</v>
      </c>
      <c r="N244" s="31">
        <v>35</v>
      </c>
      <c r="O244" s="31">
        <v>0</v>
      </c>
      <c r="P244" s="31">
        <v>0</v>
      </c>
      <c r="Q244" s="31">
        <v>0</v>
      </c>
      <c r="R244" s="31">
        <v>0</v>
      </c>
      <c r="S244" s="75" t="s">
        <v>97</v>
      </c>
    </row>
    <row r="245" spans="1:19" ht="14.4">
      <c r="A245" s="24">
        <v>341</v>
      </c>
      <c r="B245" s="53" t="s">
        <v>952</v>
      </c>
      <c r="C245" s="53" t="s">
        <v>953</v>
      </c>
      <c r="D245" s="1" t="s">
        <v>618</v>
      </c>
      <c r="E245" s="31">
        <v>1</v>
      </c>
      <c r="F245" s="31">
        <v>0</v>
      </c>
      <c r="G245" s="31">
        <v>-163</v>
      </c>
      <c r="H245" s="31">
        <v>128</v>
      </c>
      <c r="I245" s="31">
        <v>128</v>
      </c>
      <c r="J245" s="31">
        <v>0</v>
      </c>
      <c r="K245" s="31">
        <v>0</v>
      </c>
      <c r="L245" s="31">
        <v>0</v>
      </c>
      <c r="M245" s="31">
        <v>0</v>
      </c>
      <c r="N245" s="31">
        <v>35</v>
      </c>
      <c r="O245" s="31">
        <v>0</v>
      </c>
      <c r="P245" s="31">
        <v>0</v>
      </c>
      <c r="Q245" s="31">
        <v>0</v>
      </c>
      <c r="R245" s="31">
        <v>0</v>
      </c>
      <c r="S245" s="75" t="s">
        <v>97</v>
      </c>
    </row>
    <row r="246" spans="1:19" ht="14.4">
      <c r="A246" s="24">
        <v>341</v>
      </c>
      <c r="B246" s="53" t="s">
        <v>868</v>
      </c>
      <c r="C246" s="53" t="s">
        <v>954</v>
      </c>
      <c r="D246" s="1" t="s">
        <v>618</v>
      </c>
      <c r="E246" s="31">
        <v>1</v>
      </c>
      <c r="F246" s="31">
        <v>0</v>
      </c>
      <c r="G246" s="31">
        <v>-110</v>
      </c>
      <c r="H246" s="31">
        <v>75</v>
      </c>
      <c r="I246" s="31">
        <v>75</v>
      </c>
      <c r="J246" s="31">
        <v>0</v>
      </c>
      <c r="K246" s="31">
        <v>0</v>
      </c>
      <c r="L246" s="31">
        <v>0</v>
      </c>
      <c r="M246" s="31">
        <v>0</v>
      </c>
      <c r="N246" s="31">
        <v>35</v>
      </c>
      <c r="O246" s="31">
        <v>0</v>
      </c>
      <c r="P246" s="31">
        <v>0</v>
      </c>
      <c r="Q246" s="31">
        <v>0</v>
      </c>
      <c r="R246" s="31">
        <v>0</v>
      </c>
      <c r="S246" s="75" t="s">
        <v>97</v>
      </c>
    </row>
    <row r="247" spans="1:19" ht="14.4">
      <c r="A247" s="24">
        <v>341</v>
      </c>
      <c r="B247" s="53" t="s">
        <v>897</v>
      </c>
      <c r="C247" s="53" t="s">
        <v>955</v>
      </c>
      <c r="D247" s="1" t="s">
        <v>618</v>
      </c>
      <c r="E247" s="31">
        <v>1</v>
      </c>
      <c r="F247" s="31">
        <v>0</v>
      </c>
      <c r="G247" s="31">
        <v>-105</v>
      </c>
      <c r="H247" s="31">
        <v>70</v>
      </c>
      <c r="I247" s="31">
        <v>70</v>
      </c>
      <c r="J247" s="31">
        <v>0</v>
      </c>
      <c r="K247" s="31">
        <v>0</v>
      </c>
      <c r="L247" s="31">
        <v>0</v>
      </c>
      <c r="M247" s="31">
        <v>0</v>
      </c>
      <c r="N247" s="31">
        <v>35</v>
      </c>
      <c r="O247" s="31">
        <v>0</v>
      </c>
      <c r="P247" s="31">
        <v>0</v>
      </c>
      <c r="Q247" s="31">
        <v>0</v>
      </c>
      <c r="R247" s="31">
        <v>0</v>
      </c>
      <c r="S247" s="75" t="s">
        <v>97</v>
      </c>
    </row>
    <row r="248" spans="1:19" ht="14.4">
      <c r="A248" s="24">
        <v>341</v>
      </c>
      <c r="B248" s="53" t="s">
        <v>956</v>
      </c>
      <c r="C248" s="53" t="s">
        <v>957</v>
      </c>
      <c r="D248" s="77" t="s">
        <v>618</v>
      </c>
      <c r="E248" s="31">
        <v>1</v>
      </c>
      <c r="F248" s="31">
        <v>0</v>
      </c>
      <c r="G248" s="31">
        <v>-85</v>
      </c>
      <c r="H248" s="31">
        <v>50</v>
      </c>
      <c r="I248" s="31">
        <v>50</v>
      </c>
      <c r="J248" s="31">
        <v>0</v>
      </c>
      <c r="K248" s="31">
        <v>0</v>
      </c>
      <c r="L248" s="31">
        <v>0</v>
      </c>
      <c r="M248" s="31">
        <v>0</v>
      </c>
      <c r="N248" s="31">
        <v>35</v>
      </c>
      <c r="O248" s="31">
        <v>0</v>
      </c>
      <c r="P248" s="31">
        <v>0</v>
      </c>
      <c r="Q248" s="31">
        <v>0</v>
      </c>
      <c r="R248" s="31">
        <v>0</v>
      </c>
      <c r="S248" s="75" t="s">
        <v>97</v>
      </c>
    </row>
    <row r="249" spans="1:19" ht="14.4">
      <c r="A249" s="24">
        <v>341</v>
      </c>
      <c r="B249" s="53" t="s">
        <v>956</v>
      </c>
      <c r="C249" s="53" t="s">
        <v>958</v>
      </c>
      <c r="D249" s="1" t="s">
        <v>618</v>
      </c>
      <c r="E249" s="31">
        <v>1</v>
      </c>
      <c r="F249" s="31">
        <v>0</v>
      </c>
      <c r="G249" s="31">
        <v>-110</v>
      </c>
      <c r="H249" s="31">
        <v>75</v>
      </c>
      <c r="I249" s="31">
        <v>75</v>
      </c>
      <c r="J249" s="31">
        <v>0</v>
      </c>
      <c r="K249" s="31">
        <v>0</v>
      </c>
      <c r="L249" s="31">
        <v>0</v>
      </c>
      <c r="M249" s="31">
        <v>0</v>
      </c>
      <c r="N249" s="31">
        <v>35</v>
      </c>
      <c r="O249" s="31">
        <v>0</v>
      </c>
      <c r="P249" s="31">
        <v>0</v>
      </c>
      <c r="Q249" s="31">
        <v>0</v>
      </c>
      <c r="R249" s="31">
        <v>0</v>
      </c>
      <c r="S249" s="75" t="s">
        <v>97</v>
      </c>
    </row>
    <row r="250" spans="1:19" ht="14.4">
      <c r="A250" s="24">
        <v>341</v>
      </c>
      <c r="B250" s="53" t="s">
        <v>956</v>
      </c>
      <c r="C250" s="53" t="s">
        <v>959</v>
      </c>
      <c r="D250" s="1" t="s">
        <v>618</v>
      </c>
      <c r="E250" s="31">
        <v>1</v>
      </c>
      <c r="F250" s="31">
        <v>0</v>
      </c>
      <c r="G250" s="31">
        <v>-110</v>
      </c>
      <c r="H250" s="31">
        <v>75</v>
      </c>
      <c r="I250" s="31">
        <v>75</v>
      </c>
      <c r="J250" s="31">
        <v>0</v>
      </c>
      <c r="K250" s="31">
        <v>0</v>
      </c>
      <c r="L250" s="31">
        <v>0</v>
      </c>
      <c r="M250" s="31">
        <v>0</v>
      </c>
      <c r="N250" s="31">
        <v>35</v>
      </c>
      <c r="O250" s="31">
        <v>0</v>
      </c>
      <c r="P250" s="31">
        <v>0</v>
      </c>
      <c r="Q250" s="31">
        <v>0</v>
      </c>
      <c r="R250" s="31">
        <v>0</v>
      </c>
      <c r="S250" s="75" t="s">
        <v>97</v>
      </c>
    </row>
    <row r="251" spans="1:19" ht="14.4">
      <c r="A251" s="24">
        <v>341</v>
      </c>
      <c r="B251" s="53" t="s">
        <v>956</v>
      </c>
      <c r="C251" s="53" t="s">
        <v>960</v>
      </c>
      <c r="D251" s="1" t="s">
        <v>618</v>
      </c>
      <c r="E251" s="31">
        <v>1</v>
      </c>
      <c r="F251" s="31">
        <v>0</v>
      </c>
      <c r="G251" s="31">
        <v>-85</v>
      </c>
      <c r="H251" s="31">
        <v>50</v>
      </c>
      <c r="I251" s="31">
        <v>50</v>
      </c>
      <c r="J251" s="31">
        <v>0</v>
      </c>
      <c r="K251" s="31">
        <v>0</v>
      </c>
      <c r="L251" s="31">
        <v>0</v>
      </c>
      <c r="M251" s="31">
        <v>0</v>
      </c>
      <c r="N251" s="31">
        <v>35</v>
      </c>
      <c r="O251" s="31">
        <v>0</v>
      </c>
      <c r="P251" s="31">
        <v>0</v>
      </c>
      <c r="Q251" s="31">
        <v>0</v>
      </c>
      <c r="R251" s="31">
        <v>0</v>
      </c>
      <c r="S251" s="75" t="s">
        <v>97</v>
      </c>
    </row>
    <row r="252" spans="1:19" ht="14.4">
      <c r="A252" s="24">
        <v>341</v>
      </c>
      <c r="B252" s="53" t="s">
        <v>956</v>
      </c>
      <c r="C252" s="53" t="s">
        <v>961</v>
      </c>
      <c r="D252" s="1" t="s">
        <v>618</v>
      </c>
      <c r="E252" s="31">
        <v>1</v>
      </c>
      <c r="F252" s="31">
        <v>0</v>
      </c>
      <c r="G252" s="31">
        <v>-110</v>
      </c>
      <c r="H252" s="31">
        <v>75</v>
      </c>
      <c r="I252" s="31">
        <v>75</v>
      </c>
      <c r="J252" s="31">
        <v>0</v>
      </c>
      <c r="K252" s="31">
        <v>0</v>
      </c>
      <c r="L252" s="31">
        <v>0</v>
      </c>
      <c r="M252" s="31">
        <v>0</v>
      </c>
      <c r="N252" s="31">
        <v>35</v>
      </c>
      <c r="O252" s="31">
        <v>0</v>
      </c>
      <c r="P252" s="31">
        <v>0</v>
      </c>
      <c r="Q252" s="31">
        <v>0</v>
      </c>
      <c r="R252" s="31">
        <v>0</v>
      </c>
      <c r="S252" s="75" t="s">
        <v>97</v>
      </c>
    </row>
    <row r="253" spans="1:19" ht="14.4">
      <c r="A253" s="24">
        <v>341</v>
      </c>
      <c r="B253" s="53" t="s">
        <v>962</v>
      </c>
      <c r="C253" s="53" t="s">
        <v>963</v>
      </c>
      <c r="D253" s="77" t="s">
        <v>618</v>
      </c>
      <c r="E253" s="31">
        <v>1</v>
      </c>
      <c r="F253" s="31">
        <v>0</v>
      </c>
      <c r="G253" s="31">
        <v>-181</v>
      </c>
      <c r="H253" s="31">
        <v>106</v>
      </c>
      <c r="I253" s="31">
        <v>106</v>
      </c>
      <c r="J253" s="31">
        <v>0</v>
      </c>
      <c r="K253" s="31">
        <v>0</v>
      </c>
      <c r="L253" s="31">
        <v>0</v>
      </c>
      <c r="M253" s="31">
        <v>0</v>
      </c>
      <c r="N253" s="31">
        <v>75</v>
      </c>
      <c r="O253" s="31">
        <v>0</v>
      </c>
      <c r="P253" s="31">
        <v>0</v>
      </c>
      <c r="Q253" s="31">
        <v>0</v>
      </c>
      <c r="R253" s="31">
        <v>0</v>
      </c>
      <c r="S253" s="75" t="s">
        <v>97</v>
      </c>
    </row>
    <row r="254" spans="1:19" ht="14.4">
      <c r="A254" s="24">
        <v>341</v>
      </c>
      <c r="B254" s="53" t="s">
        <v>962</v>
      </c>
      <c r="C254" s="53" t="s">
        <v>964</v>
      </c>
      <c r="D254" s="77" t="s">
        <v>618</v>
      </c>
      <c r="E254" s="31">
        <v>1</v>
      </c>
      <c r="F254" s="31">
        <v>0</v>
      </c>
      <c r="G254" s="31">
        <v>-95</v>
      </c>
      <c r="H254" s="31">
        <v>60</v>
      </c>
      <c r="I254" s="31">
        <v>60</v>
      </c>
      <c r="J254" s="31">
        <v>0</v>
      </c>
      <c r="K254" s="31">
        <v>0</v>
      </c>
      <c r="L254" s="31">
        <v>0</v>
      </c>
      <c r="M254" s="31">
        <v>0</v>
      </c>
      <c r="N254" s="31">
        <v>35</v>
      </c>
      <c r="O254" s="31">
        <v>0</v>
      </c>
      <c r="P254" s="31">
        <v>0</v>
      </c>
      <c r="Q254" s="31">
        <v>0</v>
      </c>
      <c r="R254" s="31">
        <v>0</v>
      </c>
      <c r="S254" s="75" t="s">
        <v>97</v>
      </c>
    </row>
    <row r="255" spans="1:19" ht="14.4">
      <c r="A255" s="24">
        <v>341</v>
      </c>
      <c r="B255" s="53" t="s">
        <v>899</v>
      </c>
      <c r="C255" s="53" t="s">
        <v>965</v>
      </c>
      <c r="D255" s="1" t="s">
        <v>618</v>
      </c>
      <c r="E255" s="31">
        <v>1</v>
      </c>
      <c r="F255" s="31">
        <v>0</v>
      </c>
      <c r="G255" s="31">
        <v>-100</v>
      </c>
      <c r="H255" s="31">
        <v>65</v>
      </c>
      <c r="I255" s="31">
        <v>65</v>
      </c>
      <c r="J255" s="31">
        <v>0</v>
      </c>
      <c r="K255" s="31">
        <v>0</v>
      </c>
      <c r="L255" s="31">
        <v>0</v>
      </c>
      <c r="M255" s="31">
        <v>0</v>
      </c>
      <c r="N255" s="31">
        <v>35</v>
      </c>
      <c r="O255" s="31">
        <v>0</v>
      </c>
      <c r="P255" s="31">
        <v>0</v>
      </c>
      <c r="Q255" s="31">
        <v>0</v>
      </c>
      <c r="R255" s="31">
        <v>0</v>
      </c>
      <c r="S255" s="75" t="s">
        <v>97</v>
      </c>
    </row>
    <row r="256" spans="1:19" ht="14.4">
      <c r="A256" s="24">
        <v>341</v>
      </c>
      <c r="B256" s="53" t="s">
        <v>966</v>
      </c>
      <c r="C256" s="53" t="s">
        <v>967</v>
      </c>
      <c r="D256" s="1" t="s">
        <v>618</v>
      </c>
      <c r="E256" s="31">
        <v>1</v>
      </c>
      <c r="F256" s="31">
        <v>0</v>
      </c>
      <c r="G256" s="31">
        <v>-86</v>
      </c>
      <c r="H256" s="31">
        <v>51</v>
      </c>
      <c r="I256" s="31">
        <v>51</v>
      </c>
      <c r="J256" s="31">
        <v>0</v>
      </c>
      <c r="K256" s="31">
        <v>0</v>
      </c>
      <c r="L256" s="31">
        <v>0</v>
      </c>
      <c r="M256" s="31">
        <v>0</v>
      </c>
      <c r="N256" s="31">
        <v>35</v>
      </c>
      <c r="O256" s="31">
        <v>0</v>
      </c>
      <c r="P256" s="31">
        <v>0</v>
      </c>
      <c r="Q256" s="31">
        <v>0</v>
      </c>
      <c r="R256" s="31">
        <v>0</v>
      </c>
      <c r="S256" s="75" t="s">
        <v>97</v>
      </c>
    </row>
    <row r="257" spans="1:19" ht="14.4">
      <c r="A257" s="24">
        <v>341</v>
      </c>
      <c r="B257" s="53" t="s">
        <v>908</v>
      </c>
      <c r="C257" s="53" t="s">
        <v>968</v>
      </c>
      <c r="D257" s="1" t="s">
        <v>618</v>
      </c>
      <c r="E257" s="31">
        <v>1</v>
      </c>
      <c r="F257" s="31">
        <v>0</v>
      </c>
      <c r="G257" s="31">
        <v>-125</v>
      </c>
      <c r="H257" s="31">
        <v>50</v>
      </c>
      <c r="I257" s="31">
        <v>50</v>
      </c>
      <c r="J257" s="31">
        <v>0</v>
      </c>
      <c r="K257" s="31">
        <v>0</v>
      </c>
      <c r="L257" s="31">
        <v>0</v>
      </c>
      <c r="M257" s="31">
        <v>0</v>
      </c>
      <c r="N257" s="31">
        <v>75</v>
      </c>
      <c r="O257" s="31">
        <v>0</v>
      </c>
      <c r="P257" s="31">
        <v>0</v>
      </c>
      <c r="Q257" s="31">
        <v>0</v>
      </c>
      <c r="R257" s="31">
        <v>0</v>
      </c>
      <c r="S257" s="75" t="s">
        <v>97</v>
      </c>
    </row>
    <row r="258" spans="1:19" ht="14.4">
      <c r="A258" s="24">
        <v>341</v>
      </c>
      <c r="B258" s="53" t="s">
        <v>908</v>
      </c>
      <c r="C258" s="53" t="s">
        <v>969</v>
      </c>
      <c r="D258" s="77" t="s">
        <v>618</v>
      </c>
      <c r="E258" s="31">
        <v>1</v>
      </c>
      <c r="F258" s="31">
        <v>0</v>
      </c>
      <c r="G258" s="31">
        <v>-100</v>
      </c>
      <c r="H258" s="31">
        <v>65</v>
      </c>
      <c r="I258" s="31">
        <v>65</v>
      </c>
      <c r="J258" s="31">
        <v>0</v>
      </c>
      <c r="K258" s="31">
        <v>0</v>
      </c>
      <c r="L258" s="31">
        <v>0</v>
      </c>
      <c r="M258" s="31">
        <v>0</v>
      </c>
      <c r="N258" s="31">
        <v>35</v>
      </c>
      <c r="O258" s="31">
        <v>0</v>
      </c>
      <c r="P258" s="31">
        <v>0</v>
      </c>
      <c r="Q258" s="31">
        <v>0</v>
      </c>
      <c r="R258" s="31">
        <v>0</v>
      </c>
      <c r="S258" s="75" t="s">
        <v>97</v>
      </c>
    </row>
    <row r="259" spans="1:19" ht="14.4">
      <c r="A259" s="24">
        <v>341</v>
      </c>
      <c r="B259" s="53" t="s">
        <v>970</v>
      </c>
      <c r="C259" s="53" t="s">
        <v>971</v>
      </c>
      <c r="D259" s="1" t="s">
        <v>618</v>
      </c>
      <c r="E259" s="31">
        <v>1</v>
      </c>
      <c r="F259" s="31">
        <v>0</v>
      </c>
      <c r="G259" s="31">
        <v>-90</v>
      </c>
      <c r="H259" s="31">
        <v>55</v>
      </c>
      <c r="I259" s="31">
        <v>55</v>
      </c>
      <c r="J259" s="31">
        <v>0</v>
      </c>
      <c r="K259" s="31">
        <v>0</v>
      </c>
      <c r="L259" s="31">
        <v>0</v>
      </c>
      <c r="M259" s="31">
        <v>0</v>
      </c>
      <c r="N259" s="31">
        <v>35</v>
      </c>
      <c r="O259" s="31">
        <v>0</v>
      </c>
      <c r="P259" s="31">
        <v>0</v>
      </c>
      <c r="Q259" s="31">
        <v>0</v>
      </c>
      <c r="R259" s="31">
        <v>0</v>
      </c>
      <c r="S259" s="75" t="s">
        <v>97</v>
      </c>
    </row>
    <row r="260" spans="1:19" ht="14.4">
      <c r="A260" s="24">
        <v>341</v>
      </c>
      <c r="B260" s="53" t="s">
        <v>972</v>
      </c>
      <c r="C260" s="53" t="s">
        <v>973</v>
      </c>
      <c r="D260" s="77" t="s">
        <v>618</v>
      </c>
      <c r="E260" s="31">
        <v>1</v>
      </c>
      <c r="F260" s="31">
        <v>0</v>
      </c>
      <c r="G260" s="31">
        <v>-135</v>
      </c>
      <c r="H260" s="31">
        <v>100</v>
      </c>
      <c r="I260" s="31">
        <v>100</v>
      </c>
      <c r="J260" s="31">
        <v>0</v>
      </c>
      <c r="K260" s="31">
        <v>0</v>
      </c>
      <c r="L260" s="31">
        <v>0</v>
      </c>
      <c r="M260" s="31">
        <v>0</v>
      </c>
      <c r="N260" s="31">
        <v>35</v>
      </c>
      <c r="O260" s="31">
        <v>0</v>
      </c>
      <c r="P260" s="31">
        <v>0</v>
      </c>
      <c r="Q260" s="31">
        <v>0</v>
      </c>
      <c r="R260" s="31">
        <v>0</v>
      </c>
      <c r="S260" s="75" t="s">
        <v>97</v>
      </c>
    </row>
    <row r="261" spans="1:19" ht="14.4">
      <c r="A261" s="24">
        <v>341</v>
      </c>
      <c r="B261" s="53" t="s">
        <v>974</v>
      </c>
      <c r="C261" s="53" t="s">
        <v>975</v>
      </c>
      <c r="D261" s="77" t="s">
        <v>618</v>
      </c>
      <c r="E261" s="31">
        <v>1</v>
      </c>
      <c r="F261" s="31">
        <v>0</v>
      </c>
      <c r="G261" s="31">
        <v>-85</v>
      </c>
      <c r="H261" s="31">
        <v>50</v>
      </c>
      <c r="I261" s="31">
        <v>50</v>
      </c>
      <c r="J261" s="31">
        <v>0</v>
      </c>
      <c r="K261" s="31">
        <v>0</v>
      </c>
      <c r="L261" s="31">
        <v>0</v>
      </c>
      <c r="M261" s="31">
        <v>0</v>
      </c>
      <c r="N261" s="31">
        <v>35</v>
      </c>
      <c r="O261" s="31">
        <v>0</v>
      </c>
      <c r="P261" s="31">
        <v>0</v>
      </c>
      <c r="Q261" s="31">
        <v>0</v>
      </c>
      <c r="R261" s="31">
        <v>0</v>
      </c>
      <c r="S261" s="75" t="s">
        <v>97</v>
      </c>
    </row>
    <row r="262" spans="1:19" ht="14.4">
      <c r="A262" s="24">
        <v>341</v>
      </c>
      <c r="B262" s="53" t="s">
        <v>976</v>
      </c>
      <c r="C262" s="53" t="s">
        <v>977</v>
      </c>
      <c r="D262" s="77" t="s">
        <v>618</v>
      </c>
      <c r="E262" s="31">
        <v>1</v>
      </c>
      <c r="F262" s="31">
        <v>0</v>
      </c>
      <c r="G262" s="31">
        <v>-175</v>
      </c>
      <c r="H262" s="31">
        <v>100</v>
      </c>
      <c r="I262" s="31">
        <v>100</v>
      </c>
      <c r="J262" s="31">
        <v>0</v>
      </c>
      <c r="K262" s="31">
        <v>0</v>
      </c>
      <c r="L262" s="31">
        <v>0</v>
      </c>
      <c r="M262" s="31">
        <v>0</v>
      </c>
      <c r="N262" s="31">
        <v>75</v>
      </c>
      <c r="O262" s="31">
        <v>0</v>
      </c>
      <c r="P262" s="31">
        <v>0</v>
      </c>
      <c r="Q262" s="31">
        <v>0</v>
      </c>
      <c r="R262" s="31">
        <v>0</v>
      </c>
      <c r="S262" s="75" t="s">
        <v>97</v>
      </c>
    </row>
    <row r="263" spans="1:19" ht="14.4">
      <c r="A263" s="24">
        <v>341</v>
      </c>
      <c r="B263" s="53" t="s">
        <v>976</v>
      </c>
      <c r="C263" s="53" t="s">
        <v>978</v>
      </c>
      <c r="D263" s="77" t="s">
        <v>618</v>
      </c>
      <c r="E263" s="31">
        <v>1</v>
      </c>
      <c r="F263" s="31">
        <v>0</v>
      </c>
      <c r="G263" s="31">
        <v>-120</v>
      </c>
      <c r="H263" s="31">
        <v>85</v>
      </c>
      <c r="I263" s="31">
        <v>85</v>
      </c>
      <c r="J263" s="31">
        <v>0</v>
      </c>
      <c r="K263" s="31">
        <v>0</v>
      </c>
      <c r="L263" s="31">
        <v>0</v>
      </c>
      <c r="M263" s="31">
        <v>0</v>
      </c>
      <c r="N263" s="31">
        <v>35</v>
      </c>
      <c r="O263" s="31">
        <v>0</v>
      </c>
      <c r="P263" s="31">
        <v>0</v>
      </c>
      <c r="Q263" s="31">
        <v>0</v>
      </c>
      <c r="R263" s="31">
        <v>0</v>
      </c>
      <c r="S263" s="75" t="s">
        <v>97</v>
      </c>
    </row>
    <row r="264" spans="1:19" ht="14.4">
      <c r="A264" s="24">
        <v>341</v>
      </c>
      <c r="B264" s="53" t="s">
        <v>979</v>
      </c>
      <c r="C264" s="53" t="s">
        <v>980</v>
      </c>
      <c r="D264" s="77" t="s">
        <v>618</v>
      </c>
      <c r="E264" s="31">
        <v>1</v>
      </c>
      <c r="F264" s="31">
        <v>0</v>
      </c>
      <c r="G264" s="31">
        <v>-835</v>
      </c>
      <c r="H264" s="31">
        <v>435</v>
      </c>
      <c r="I264" s="31">
        <v>435</v>
      </c>
      <c r="J264" s="31">
        <v>0</v>
      </c>
      <c r="K264" s="31">
        <v>0</v>
      </c>
      <c r="L264" s="31">
        <v>0</v>
      </c>
      <c r="M264" s="31">
        <v>0</v>
      </c>
      <c r="N264" s="31">
        <v>400</v>
      </c>
      <c r="O264" s="31">
        <v>0</v>
      </c>
      <c r="P264" s="31">
        <v>0</v>
      </c>
      <c r="Q264" s="31">
        <v>0</v>
      </c>
      <c r="R264" s="31">
        <v>0</v>
      </c>
      <c r="S264" s="75" t="s">
        <v>97</v>
      </c>
    </row>
    <row r="265" spans="1:19" ht="14.4">
      <c r="A265" s="24">
        <v>341</v>
      </c>
      <c r="B265" s="53" t="s">
        <v>981</v>
      </c>
      <c r="C265" s="53" t="s">
        <v>982</v>
      </c>
      <c r="D265" s="77" t="s">
        <v>618</v>
      </c>
      <c r="E265" s="31">
        <v>1</v>
      </c>
      <c r="F265" s="31">
        <v>0</v>
      </c>
      <c r="G265" s="31">
        <v>-95</v>
      </c>
      <c r="H265" s="31">
        <v>60</v>
      </c>
      <c r="I265" s="31">
        <v>60</v>
      </c>
      <c r="J265" s="31">
        <v>0</v>
      </c>
      <c r="K265" s="31">
        <v>0</v>
      </c>
      <c r="L265" s="31">
        <v>0</v>
      </c>
      <c r="M265" s="31">
        <v>0</v>
      </c>
      <c r="N265" s="31">
        <v>35</v>
      </c>
      <c r="O265" s="31">
        <v>0</v>
      </c>
      <c r="P265" s="31">
        <v>0</v>
      </c>
      <c r="Q265" s="31">
        <v>0</v>
      </c>
      <c r="R265" s="31">
        <v>0</v>
      </c>
      <c r="S265" s="75" t="s">
        <v>97</v>
      </c>
    </row>
    <row r="266" spans="1:19" ht="14.4">
      <c r="A266" s="24">
        <v>341</v>
      </c>
      <c r="B266" s="53" t="s">
        <v>983</v>
      </c>
      <c r="C266" s="53" t="s">
        <v>984</v>
      </c>
      <c r="D266" s="77" t="s">
        <v>618</v>
      </c>
      <c r="E266" s="31">
        <v>1</v>
      </c>
      <c r="F266" s="31">
        <v>0</v>
      </c>
      <c r="G266" s="31">
        <v>-130</v>
      </c>
      <c r="H266" s="31">
        <v>95</v>
      </c>
      <c r="I266" s="31">
        <v>95</v>
      </c>
      <c r="J266" s="31">
        <v>0</v>
      </c>
      <c r="K266" s="31">
        <v>0</v>
      </c>
      <c r="L266" s="31">
        <v>0</v>
      </c>
      <c r="M266" s="31">
        <v>0</v>
      </c>
      <c r="N266" s="31">
        <v>35</v>
      </c>
      <c r="O266" s="31">
        <v>0</v>
      </c>
      <c r="P266" s="31">
        <v>0</v>
      </c>
      <c r="Q266" s="31">
        <v>0</v>
      </c>
      <c r="R266" s="31">
        <v>0</v>
      </c>
      <c r="S266" s="75" t="s">
        <v>97</v>
      </c>
    </row>
    <row r="267" spans="1:19" ht="14.4">
      <c r="A267" s="24">
        <v>341</v>
      </c>
      <c r="B267" s="53" t="s">
        <v>985</v>
      </c>
      <c r="C267" s="53" t="s">
        <v>986</v>
      </c>
      <c r="D267" s="77" t="s">
        <v>618</v>
      </c>
      <c r="E267" s="31">
        <v>1</v>
      </c>
      <c r="F267" s="31">
        <v>0</v>
      </c>
      <c r="G267" s="31">
        <v>-100</v>
      </c>
      <c r="H267" s="31">
        <v>65</v>
      </c>
      <c r="I267" s="31">
        <v>65</v>
      </c>
      <c r="J267" s="31">
        <v>0</v>
      </c>
      <c r="K267" s="31">
        <v>0</v>
      </c>
      <c r="L267" s="31">
        <v>0</v>
      </c>
      <c r="M267" s="31">
        <v>0</v>
      </c>
      <c r="N267" s="31">
        <v>35</v>
      </c>
      <c r="O267" s="31">
        <v>0</v>
      </c>
      <c r="P267" s="31">
        <v>0</v>
      </c>
      <c r="Q267" s="31">
        <v>0</v>
      </c>
      <c r="R267" s="31">
        <v>0</v>
      </c>
      <c r="S267" s="75" t="s">
        <v>97</v>
      </c>
    </row>
    <row r="268" spans="1:19" ht="14.4">
      <c r="A268" s="24">
        <v>341</v>
      </c>
      <c r="B268" s="53" t="s">
        <v>987</v>
      </c>
      <c r="C268" s="53" t="s">
        <v>988</v>
      </c>
      <c r="D268" s="77" t="s">
        <v>618</v>
      </c>
      <c r="E268" s="31">
        <v>1</v>
      </c>
      <c r="F268" s="31">
        <v>0</v>
      </c>
      <c r="G268" s="31">
        <v>-89</v>
      </c>
      <c r="H268" s="31">
        <v>54</v>
      </c>
      <c r="I268" s="31">
        <v>54</v>
      </c>
      <c r="J268" s="31">
        <v>0</v>
      </c>
      <c r="K268" s="31">
        <v>0</v>
      </c>
      <c r="L268" s="31">
        <v>0</v>
      </c>
      <c r="M268" s="31">
        <v>0</v>
      </c>
      <c r="N268" s="31">
        <v>35</v>
      </c>
      <c r="O268" s="31">
        <v>0</v>
      </c>
      <c r="P268" s="31">
        <v>0</v>
      </c>
      <c r="Q268" s="31">
        <v>0</v>
      </c>
      <c r="R268" s="31">
        <v>0</v>
      </c>
      <c r="S268" s="75" t="s">
        <v>97</v>
      </c>
    </row>
    <row r="269" spans="1:19" ht="14.4">
      <c r="A269" s="24">
        <v>341</v>
      </c>
      <c r="B269" s="53" t="s">
        <v>987</v>
      </c>
      <c r="C269" s="53" t="s">
        <v>989</v>
      </c>
      <c r="D269" s="77" t="s">
        <v>618</v>
      </c>
      <c r="E269" s="31">
        <v>1</v>
      </c>
      <c r="F269" s="31">
        <v>0</v>
      </c>
      <c r="G269" s="31">
        <v>-292</v>
      </c>
      <c r="H269" s="31">
        <v>257</v>
      </c>
      <c r="I269" s="31">
        <v>257</v>
      </c>
      <c r="J269" s="31">
        <v>0</v>
      </c>
      <c r="K269" s="31">
        <v>0</v>
      </c>
      <c r="L269" s="31">
        <v>0</v>
      </c>
      <c r="M269" s="31">
        <v>0</v>
      </c>
      <c r="N269" s="31">
        <v>35</v>
      </c>
      <c r="O269" s="31">
        <v>0</v>
      </c>
      <c r="P269" s="31">
        <v>0</v>
      </c>
      <c r="Q269" s="31">
        <v>0</v>
      </c>
      <c r="R269" s="31">
        <v>0</v>
      </c>
      <c r="S269" s="75" t="s">
        <v>97</v>
      </c>
    </row>
    <row r="270" spans="1:19" ht="14.4">
      <c r="A270" s="24">
        <v>341</v>
      </c>
      <c r="B270" s="53" t="s">
        <v>949</v>
      </c>
      <c r="C270" s="53" t="s">
        <v>990</v>
      </c>
      <c r="D270" s="77" t="s">
        <v>618</v>
      </c>
      <c r="E270" s="31">
        <v>1</v>
      </c>
      <c r="F270" s="31">
        <v>0</v>
      </c>
      <c r="G270" s="31">
        <v>-85</v>
      </c>
      <c r="H270" s="31">
        <v>50</v>
      </c>
      <c r="I270" s="31">
        <v>50</v>
      </c>
      <c r="J270" s="31">
        <v>0</v>
      </c>
      <c r="K270" s="31">
        <v>0</v>
      </c>
      <c r="L270" s="31">
        <v>0</v>
      </c>
      <c r="M270" s="31">
        <v>0</v>
      </c>
      <c r="N270" s="31">
        <v>35</v>
      </c>
      <c r="O270" s="31">
        <v>0</v>
      </c>
      <c r="P270" s="31">
        <v>0</v>
      </c>
      <c r="Q270" s="31">
        <v>0</v>
      </c>
      <c r="R270" s="31">
        <v>0</v>
      </c>
      <c r="S270" s="75" t="s">
        <v>97</v>
      </c>
    </row>
    <row r="271" spans="1:19" ht="14.4">
      <c r="A271" s="24">
        <v>340</v>
      </c>
      <c r="B271" s="53" t="s">
        <v>991</v>
      </c>
      <c r="C271" s="53" t="s">
        <v>992</v>
      </c>
      <c r="D271" s="77" t="s">
        <v>618</v>
      </c>
      <c r="E271" s="31">
        <v>1</v>
      </c>
      <c r="F271" s="31">
        <v>0</v>
      </c>
      <c r="G271" s="31">
        <v>-110</v>
      </c>
      <c r="H271" s="31">
        <v>75</v>
      </c>
      <c r="I271" s="31">
        <v>75</v>
      </c>
      <c r="J271" s="31">
        <v>0</v>
      </c>
      <c r="K271" s="31">
        <v>0</v>
      </c>
      <c r="L271" s="31">
        <v>0</v>
      </c>
      <c r="M271" s="31">
        <v>0</v>
      </c>
      <c r="N271" s="31">
        <v>35</v>
      </c>
      <c r="O271" s="31">
        <v>0</v>
      </c>
      <c r="P271" s="31">
        <v>0</v>
      </c>
      <c r="Q271" s="31">
        <v>0</v>
      </c>
      <c r="R271" s="31">
        <v>0</v>
      </c>
      <c r="S271" s="75" t="s">
        <v>97</v>
      </c>
    </row>
    <row r="272" spans="1:19" ht="14.4">
      <c r="A272" s="24">
        <v>340</v>
      </c>
      <c r="B272" s="53" t="s">
        <v>833</v>
      </c>
      <c r="C272" s="53" t="s">
        <v>781</v>
      </c>
      <c r="D272" s="77" t="s">
        <v>645</v>
      </c>
      <c r="E272" s="31">
        <v>0</v>
      </c>
      <c r="F272" s="31">
        <v>-95</v>
      </c>
      <c r="G272" s="31">
        <v>-95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35</v>
      </c>
      <c r="O272" s="31">
        <v>0</v>
      </c>
      <c r="P272" s="31">
        <v>0</v>
      </c>
      <c r="Q272" s="31">
        <v>0</v>
      </c>
      <c r="R272" s="31">
        <v>0</v>
      </c>
      <c r="S272" s="75" t="s">
        <v>97</v>
      </c>
    </row>
    <row r="273" spans="1:19" ht="14.4">
      <c r="A273" s="24">
        <v>340</v>
      </c>
      <c r="B273" s="53" t="s">
        <v>993</v>
      </c>
      <c r="C273" s="53" t="s">
        <v>684</v>
      </c>
      <c r="D273" s="77" t="s">
        <v>645</v>
      </c>
      <c r="E273" s="31">
        <v>0</v>
      </c>
      <c r="F273" s="31">
        <v>-115</v>
      </c>
      <c r="G273" s="31">
        <v>-115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35</v>
      </c>
      <c r="O273" s="31">
        <v>0</v>
      </c>
      <c r="P273" s="31">
        <v>0</v>
      </c>
      <c r="Q273" s="31">
        <v>0</v>
      </c>
      <c r="R273" s="31">
        <v>0</v>
      </c>
      <c r="S273" s="75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outlinePr summaryBelow="0" summaryRight="0"/>
  </sheetPr>
  <dimension ref="A1:X1000"/>
  <sheetViews>
    <sheetView tabSelected="1" workbookViewId="0">
      <selection activeCell="G12" sqref="G12"/>
    </sheetView>
  </sheetViews>
  <sheetFormatPr defaultColWidth="12.6640625" defaultRowHeight="15.75" customHeight="1"/>
  <cols>
    <col min="1" max="1" width="25" customWidth="1"/>
    <col min="3" max="3" width="15.6640625" customWidth="1"/>
    <col min="5" max="5" width="16.6640625" bestFit="1" customWidth="1"/>
    <col min="9" max="9" width="19.77734375" bestFit="1" customWidth="1"/>
    <col min="11" max="11" width="16.109375" customWidth="1"/>
    <col min="13" max="13" width="17.21875" bestFit="1" customWidth="1"/>
    <col min="15" max="15" width="19" bestFit="1" customWidth="1"/>
    <col min="17" max="17" width="21.44140625" bestFit="1" customWidth="1"/>
    <col min="19" max="19" width="18" bestFit="1" customWidth="1"/>
  </cols>
  <sheetData>
    <row r="1" spans="1:24" ht="15.75" customHeight="1">
      <c r="A1" s="2" t="s">
        <v>26</v>
      </c>
      <c r="B1" s="1"/>
      <c r="C1" s="2" t="s">
        <v>27</v>
      </c>
      <c r="D1" s="1"/>
      <c r="E1" s="2" t="s">
        <v>28</v>
      </c>
      <c r="F1" s="3"/>
      <c r="G1" s="2" t="s">
        <v>29</v>
      </c>
      <c r="H1" s="1"/>
      <c r="I1" s="4" t="s">
        <v>30</v>
      </c>
      <c r="J1" s="1"/>
      <c r="K1" s="183" t="s">
        <v>36</v>
      </c>
      <c r="L1" s="1"/>
      <c r="M1" s="183" t="s">
        <v>39</v>
      </c>
      <c r="N1" s="1"/>
      <c r="O1" s="183" t="s">
        <v>42</v>
      </c>
      <c r="P1" s="1"/>
      <c r="Q1" s="183" t="s">
        <v>45</v>
      </c>
      <c r="R1" s="1"/>
      <c r="S1" s="183" t="s">
        <v>48</v>
      </c>
      <c r="T1" s="1"/>
      <c r="U1" s="1"/>
      <c r="V1" s="1"/>
      <c r="W1" s="1"/>
      <c r="X1" s="1"/>
    </row>
    <row r="2" spans="1:24" ht="15.75" customHeight="1">
      <c r="A2" s="5" t="s">
        <v>36</v>
      </c>
      <c r="B2" s="1"/>
      <c r="C2" s="5" t="s">
        <v>37</v>
      </c>
      <c r="D2" s="1"/>
      <c r="E2" s="6" t="s">
        <v>37</v>
      </c>
      <c r="F2" s="3"/>
      <c r="G2" s="6" t="s">
        <v>38</v>
      </c>
      <c r="H2" s="1"/>
      <c r="I2" s="7" t="str">
        <f ca="1">IFERROR(__xludf.DUMMYFUNCTION("SORT(FILTER(UNIQUE('Sales  Returns'!$C$2:$C$19968),UNIQUE('Sales  Returns'!$C$2:$C$19968)&lt;&gt;ISNUMBER(UNIQUE('Sales  Returns'!$C$2:$C$19968))))"),"Abigail Adams")</f>
        <v>Abigail Adams</v>
      </c>
      <c r="J2" s="1"/>
      <c r="K2" s="7" t="str">
        <f ca="1">IFERROR(__xludf.DUMMYFUNCTION("SORT(UNIQUE(FILTER('Sales  Returns'!$C$1:$C$19968,'Sales  Returns'!T1:T19968=""USA Agent"")))"),"Abigail Adams")</f>
        <v>Abigail Adams</v>
      </c>
      <c r="L2" s="1"/>
      <c r="M2" s="7" t="str">
        <f ca="1">IFERROR(__xludf.DUMMYFUNCTION("SORT(UNIQUE(FILTER('Sales  Returns'!$C$1:$C$19968,'Sales  Returns'!T1:T19968=""INDIA Agent"")))"),"Amanda Harris")</f>
        <v>Amanda Harris</v>
      </c>
      <c r="N2" s="1"/>
      <c r="O2" s="7" t="str">
        <f ca="1">IFERROR(__xludf.DUMMYFUNCTION("SORT(UNIQUE(FILTER('Sales  Returns'!$C$1:$C$19968,'Sales  Returns'!$T$1:$T$19968=""DIGITAL Agent"")))"),"Kimberly King")</f>
        <v>Kimberly King</v>
      </c>
      <c r="P2" s="1"/>
      <c r="Q2" s="7" t="str">
        <f ca="1">IFERROR(__xludf.DUMMYFUNCTION("SORT(UNIQUE(FILTER('Sales  Returns'!$C$1:$C$19968,'Sales  Returns'!$T$1:$T$19968=""MANAGED Agent"")))"),"AutoZonePro")</f>
        <v>AutoZonePro</v>
      </c>
      <c r="R2" s="1"/>
      <c r="S2" s="7" t="str">
        <f ca="1">IFERROR(__xludf.DUMMYFUNCTION("IFERROR(SORT(UNIQUE(FILTER('Sales  Returns'!$C$1:$C$19968,'Sales  Returns'!$T$1:$T$19968=""Other""))),"""")"),"Nicholas Hill")</f>
        <v>Nicholas Hill</v>
      </c>
      <c r="T2" s="1"/>
      <c r="U2" s="1"/>
      <c r="V2" s="1"/>
      <c r="W2" s="1"/>
      <c r="X2" s="1"/>
    </row>
    <row r="3" spans="1:24" ht="15.75" customHeight="1">
      <c r="A3" s="7" t="s">
        <v>39</v>
      </c>
      <c r="B3" s="1"/>
      <c r="C3" s="5" t="s">
        <v>40</v>
      </c>
      <c r="D3" s="1"/>
      <c r="E3" s="6" t="s">
        <v>40</v>
      </c>
      <c r="F3" s="3"/>
      <c r="G3" s="6" t="s">
        <v>41</v>
      </c>
      <c r="H3" s="1"/>
      <c r="I3" s="7" t="str">
        <f ca="1">IFERROR(__xludf.DUMMYFUNCTION("""COMPUTED_VALUE"""),"Alexander Robinson")</f>
        <v>Alexander Robinson</v>
      </c>
      <c r="J3" s="1"/>
      <c r="K3" s="7" t="str">
        <f ca="1">IFERROR(__xludf.DUMMYFUNCTION("""COMPUTED_VALUE"""),"Alexander Robinson")</f>
        <v>Alexander Robinson</v>
      </c>
      <c r="L3" s="1"/>
      <c r="M3" s="7" t="str">
        <f ca="1">IFERROR(__xludf.DUMMYFUNCTION("""COMPUTED_VALUE"""),"Anthony White")</f>
        <v>Anthony White</v>
      </c>
      <c r="N3" s="1"/>
      <c r="O3" s="7" t="str">
        <f ca="1">IFERROR(__xludf.DUMMYFUNCTION("""COMPUTED_VALUE"""),"OEConnection")</f>
        <v>OEConnection</v>
      </c>
      <c r="P3" s="1"/>
      <c r="Q3" s="7" t="str">
        <f ca="1">IFERROR(__xludf.DUMMYFUNCTION("""COMPUTED_VALUE"""),"NAPA ProLink")</f>
        <v>NAPA ProLink</v>
      </c>
      <c r="R3" s="1"/>
      <c r="S3" s="1"/>
      <c r="T3" s="1"/>
      <c r="U3" s="1"/>
      <c r="V3" s="1"/>
      <c r="W3" s="1"/>
      <c r="X3" s="1"/>
    </row>
    <row r="4" spans="1:24" ht="15.75" customHeight="1">
      <c r="A4" s="5" t="s">
        <v>42</v>
      </c>
      <c r="B4" s="1"/>
      <c r="C4" s="5" t="s">
        <v>43</v>
      </c>
      <c r="D4" s="1"/>
      <c r="E4" s="6" t="s">
        <v>43</v>
      </c>
      <c r="F4" s="3"/>
      <c r="G4" s="6" t="s">
        <v>44</v>
      </c>
      <c r="H4" s="1"/>
      <c r="I4" s="7" t="str">
        <f ca="1">IFERROR(__xludf.DUMMYFUNCTION("""COMPUTED_VALUE"""),"Amanda Harris")</f>
        <v>Amanda Harris</v>
      </c>
      <c r="J4" s="1"/>
      <c r="K4" s="7" t="str">
        <f ca="1">IFERROR(__xludf.DUMMYFUNCTION("""COMPUTED_VALUE"""),"Christopher Moore")</f>
        <v>Christopher Moore</v>
      </c>
      <c r="L4" s="1"/>
      <c r="M4" s="7" t="str">
        <f ca="1">IFERROR(__xludf.DUMMYFUNCTION("""COMPUTED_VALUE"""),"Ashley Lewis")</f>
        <v>Ashley Lewis</v>
      </c>
      <c r="N4" s="1"/>
      <c r="O4" s="7" t="str">
        <f ca="1">IFERROR(__xludf.DUMMYFUNCTION("""COMPUTED_VALUE"""),"Shop-Ware")</f>
        <v>Shop-Ware</v>
      </c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7" t="s">
        <v>45</v>
      </c>
      <c r="B5" s="1"/>
      <c r="C5" s="5" t="s">
        <v>46</v>
      </c>
      <c r="D5" s="1"/>
      <c r="E5" s="6" t="s">
        <v>46</v>
      </c>
      <c r="F5" s="3"/>
      <c r="G5" s="6" t="s">
        <v>47</v>
      </c>
      <c r="H5" s="1"/>
      <c r="I5" s="7" t="str">
        <f ca="1">IFERROR(__xludf.DUMMYFUNCTION("""COMPUTED_VALUE"""),"Anthony White")</f>
        <v>Anthony White</v>
      </c>
      <c r="J5" s="1"/>
      <c r="K5" s="7" t="str">
        <f ca="1">IFERROR(__xludf.DUMMYFUNCTION("""COMPUTED_VALUE"""),"Hannah Gonzalez")</f>
        <v>Hannah Gonzalez</v>
      </c>
      <c r="L5" s="1"/>
      <c r="M5" s="7" t="str">
        <f ca="1">IFERROR(__xludf.DUMMYFUNCTION("""COMPUTED_VALUE"""),"Daniel Walker")</f>
        <v>Daniel Walker</v>
      </c>
      <c r="N5" s="1"/>
      <c r="O5" s="7" t="str">
        <f ca="1">IFERROR(__xludf.DUMMYFUNCTION("""COMPUTED_VALUE"""),"Site")</f>
        <v>Site</v>
      </c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5" t="s">
        <v>48</v>
      </c>
      <c r="B6" s="1"/>
      <c r="C6" s="5" t="s">
        <v>49</v>
      </c>
      <c r="D6" s="1"/>
      <c r="E6" s="8" t="s">
        <v>49</v>
      </c>
      <c r="F6" s="3"/>
      <c r="G6" s="8" t="s">
        <v>50</v>
      </c>
      <c r="H6" s="1"/>
      <c r="I6" s="7" t="str">
        <f ca="1">IFERROR(__xludf.DUMMYFUNCTION("""COMPUTED_VALUE"""),"Ashley Lewis")</f>
        <v>Ashley Lewis</v>
      </c>
      <c r="J6" s="1"/>
      <c r="K6" s="7" t="str">
        <f ca="1">IFERROR(__xludf.DUMMYFUNCTION("""COMPUTED_VALUE"""),"James Smith")</f>
        <v>James Smith</v>
      </c>
      <c r="L6" s="1"/>
      <c r="M6" s="7" t="str">
        <f ca="1">IFERROR(__xludf.DUMMYFUNCTION("""COMPUTED_VALUE"""),"Samantha Green")</f>
        <v>Samantha Green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"/>
      <c r="B7" s="1"/>
      <c r="C7" s="5" t="s">
        <v>51</v>
      </c>
      <c r="D7" s="1"/>
      <c r="E7" s="6" t="s">
        <v>51</v>
      </c>
      <c r="F7" s="3"/>
      <c r="G7" s="6" t="s">
        <v>52</v>
      </c>
      <c r="H7" s="1"/>
      <c r="I7" s="7" t="str">
        <f ca="1">IFERROR(__xludf.DUMMYFUNCTION("""COMPUTED_VALUE"""),"AutoZonePro")</f>
        <v>AutoZonePro</v>
      </c>
      <c r="J7" s="1"/>
      <c r="K7" s="7" t="str">
        <f ca="1">IFERROR(__xludf.DUMMYFUNCTION("""COMPUTED_VALUE"""),"Jessica Miller")</f>
        <v>Jessica Miller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"/>
      <c r="B8" s="1"/>
      <c r="C8" s="5" t="s">
        <v>53</v>
      </c>
      <c r="D8" s="1"/>
      <c r="E8" s="6" t="s">
        <v>53</v>
      </c>
      <c r="F8" s="3"/>
      <c r="G8" s="8" t="s">
        <v>54</v>
      </c>
      <c r="H8" s="1"/>
      <c r="I8" s="7" t="str">
        <f ca="1">IFERROR(__xludf.DUMMYFUNCTION("""COMPUTED_VALUE"""),"Christopher Moore")</f>
        <v>Christopher Moore</v>
      </c>
      <c r="J8" s="1"/>
      <c r="K8" s="7" t="str">
        <f ca="1">IFERROR(__xludf.DUMMYFUNCTION("""COMPUTED_VALUE"""),"Michael Brown")</f>
        <v>Michael Brown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"/>
      <c r="B9" s="1"/>
      <c r="C9" s="5" t="s">
        <v>55</v>
      </c>
      <c r="D9" s="1"/>
      <c r="E9" s="6" t="s">
        <v>55</v>
      </c>
      <c r="F9" s="3"/>
      <c r="G9" s="6" t="s">
        <v>56</v>
      </c>
      <c r="H9" s="1"/>
      <c r="I9" s="7" t="str">
        <f ca="1">IFERROR(__xludf.DUMMYFUNCTION("""COMPUTED_VALUE"""),"Daniel Walker")</f>
        <v>Daniel Walker</v>
      </c>
      <c r="J9" s="1"/>
      <c r="K9" s="7" t="str">
        <f ca="1">IFERROR(__xludf.DUMMYFUNCTION("""COMPUTED_VALUE"""),"Robert Thomas")</f>
        <v>Robert Thomas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"/>
      <c r="B10" s="1"/>
      <c r="C10" s="5" t="s">
        <v>57</v>
      </c>
      <c r="D10" s="1"/>
      <c r="E10" s="6" t="s">
        <v>57</v>
      </c>
      <c r="F10" s="3"/>
      <c r="G10" s="1"/>
      <c r="H10" s="1"/>
      <c r="I10" s="7" t="str">
        <f ca="1">IFERROR(__xludf.DUMMYFUNCTION("""COMPUTED_VALUE"""),"Hannah Gonzalez")</f>
        <v>Hannah Gonzalez</v>
      </c>
      <c r="J10" s="1"/>
      <c r="K10" s="7" t="str">
        <f ca="1">IFERROR(__xludf.DUMMYFUNCTION("""COMPUTED_VALUE"""),"Sarah Davis")</f>
        <v>Sarah Davis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"/>
      <c r="B11" s="1"/>
      <c r="C11" s="5" t="s">
        <v>58</v>
      </c>
      <c r="D11" s="1"/>
      <c r="E11" s="6" t="s">
        <v>58</v>
      </c>
      <c r="F11" s="3"/>
      <c r="G11" s="1"/>
      <c r="H11" s="1"/>
      <c r="I11" s="7" t="str">
        <f ca="1">IFERROR(__xludf.DUMMYFUNCTION("""COMPUTED_VALUE"""),"James Smith")</f>
        <v>James Smith</v>
      </c>
      <c r="J11" s="1"/>
      <c r="K11" s="7" t="str">
        <f ca="1">IFERROR(__xludf.DUMMYFUNCTION("""COMPUTED_VALUE"""),"Stephanie Scott")</f>
        <v>Stephanie Scott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"/>
      <c r="B12" s="1"/>
      <c r="C12" s="5" t="s">
        <v>59</v>
      </c>
      <c r="D12" s="1"/>
      <c r="E12" s="6" t="s">
        <v>59</v>
      </c>
      <c r="F12" s="3"/>
      <c r="G12" s="1"/>
      <c r="H12" s="1"/>
      <c r="I12" s="7" t="str">
        <f ca="1">IFERROR(__xludf.DUMMYFUNCTION("""COMPUTED_VALUE"""),"Jessica Miller")</f>
        <v>Jessica Miller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"/>
      <c r="B13" s="1"/>
      <c r="C13" s="5" t="s">
        <v>38</v>
      </c>
      <c r="D13" s="1"/>
      <c r="E13" s="6" t="s">
        <v>60</v>
      </c>
      <c r="F13" s="3"/>
      <c r="G13" s="1"/>
      <c r="H13" s="1"/>
      <c r="I13" s="7" t="str">
        <f ca="1">IFERROR(__xludf.DUMMYFUNCTION("""COMPUTED_VALUE"""),"Kimberly King")</f>
        <v>Kimberly King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"/>
      <c r="B14" s="1"/>
      <c r="C14" s="5" t="s">
        <v>41</v>
      </c>
      <c r="D14" s="1"/>
      <c r="E14" s="155"/>
      <c r="F14" s="155"/>
      <c r="G14" s="1"/>
      <c r="H14" s="1"/>
      <c r="I14" s="7" t="str">
        <f ca="1">IFERROR(__xludf.DUMMYFUNCTION("""COMPUTED_VALUE"""),"Michael Brown")</f>
        <v>Michael Brown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 t="s">
        <v>26</v>
      </c>
      <c r="B15" s="1"/>
      <c r="C15" s="5" t="s">
        <v>44</v>
      </c>
      <c r="D15" s="1"/>
      <c r="E15" s="155"/>
      <c r="F15" s="155"/>
      <c r="G15" s="1"/>
      <c r="H15" s="1"/>
      <c r="I15" s="7" t="str">
        <f ca="1">IFERROR(__xludf.DUMMYFUNCTION("""COMPUTED_VALUE"""),"NAPA ProLink")</f>
        <v>NAPA ProLink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5" t="s">
        <v>31</v>
      </c>
      <c r="B16" s="1"/>
      <c r="C16" s="5" t="s">
        <v>47</v>
      </c>
      <c r="D16" s="1"/>
      <c r="E16" s="155"/>
      <c r="F16" s="155"/>
      <c r="G16" s="1"/>
      <c r="H16" s="1"/>
      <c r="I16" s="7" t="str">
        <f ca="1">IFERROR(__xludf.DUMMYFUNCTION("""COMPUTED_VALUE"""),"Nicholas Hill")</f>
        <v>Nicholas Hill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7" t="s">
        <v>32</v>
      </c>
      <c r="B17" s="1"/>
      <c r="C17" s="5" t="s">
        <v>50</v>
      </c>
      <c r="D17" s="1"/>
      <c r="E17" s="155"/>
      <c r="F17" s="155"/>
      <c r="G17" s="1"/>
      <c r="H17" s="1"/>
      <c r="I17" s="7" t="str">
        <f ca="1">IFERROR(__xludf.DUMMYFUNCTION("""COMPUTED_VALUE"""),"OEConnection")</f>
        <v>OEConnection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5" t="s">
        <v>61</v>
      </c>
      <c r="B18" s="1"/>
      <c r="C18" s="5" t="s">
        <v>52</v>
      </c>
      <c r="D18" s="1"/>
      <c r="E18" s="155"/>
      <c r="F18" s="155"/>
      <c r="G18" s="1"/>
      <c r="H18" s="1"/>
      <c r="I18" s="7" t="str">
        <f ca="1">IFERROR(__xludf.DUMMYFUNCTION("""COMPUTED_VALUE"""),"Robert Thomas")</f>
        <v>Robert Thomas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7" t="s">
        <v>62</v>
      </c>
      <c r="B19" s="1"/>
      <c r="C19" s="5" t="s">
        <v>54</v>
      </c>
      <c r="D19" s="1"/>
      <c r="E19" s="155"/>
      <c r="F19" s="155"/>
      <c r="G19" s="1"/>
      <c r="H19" s="1"/>
      <c r="I19" s="7" t="str">
        <f ca="1">IFERROR(__xludf.DUMMYFUNCTION("""COMPUTED_VALUE"""),"Samantha Green")</f>
        <v>Samantha Green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5" t="s">
        <v>35</v>
      </c>
      <c r="B20" s="1"/>
      <c r="C20" s="5" t="s">
        <v>56</v>
      </c>
      <c r="D20" s="1"/>
      <c r="E20" s="155"/>
      <c r="F20" s="155"/>
      <c r="G20" s="1"/>
      <c r="H20" s="1"/>
      <c r="I20" s="7" t="str">
        <f ca="1">IFERROR(__xludf.DUMMYFUNCTION("""COMPUTED_VALUE"""),"Sarah Davis")</f>
        <v>Sarah Davis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7" t="s">
        <v>63</v>
      </c>
      <c r="B21" s="1"/>
      <c r="C21" s="1"/>
      <c r="D21" s="1"/>
      <c r="E21" s="155"/>
      <c r="F21" s="155"/>
      <c r="G21" s="1"/>
      <c r="H21" s="1"/>
      <c r="I21" s="7" t="str">
        <f ca="1">IFERROR(__xludf.DUMMYFUNCTION("""COMPUTED_VALUE"""),"Shop-Ware")</f>
        <v>Shop-Ware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1"/>
      <c r="D22" s="1"/>
      <c r="E22" s="155"/>
      <c r="F22" s="155"/>
      <c r="G22" s="1"/>
      <c r="H22" s="1"/>
      <c r="I22" s="7" t="str">
        <f ca="1">IFERROR(__xludf.DUMMYFUNCTION("""COMPUTED_VALUE"""),"Site")</f>
        <v>Site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1"/>
      <c r="D23" s="1"/>
      <c r="E23" s="155"/>
      <c r="F23" s="155"/>
      <c r="G23" s="1"/>
      <c r="H23" s="1"/>
      <c r="I23" s="7" t="str">
        <f ca="1">IFERROR(__xludf.DUMMYFUNCTION("""COMPUTED_VALUE"""),"Stephanie Scott")</f>
        <v>Stephanie Scott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1"/>
      <c r="D24" s="1"/>
      <c r="E24" s="155"/>
      <c r="F24" s="15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1"/>
      <c r="D25" s="1"/>
      <c r="E25" s="155"/>
      <c r="F25" s="15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1"/>
      <c r="D26" s="1"/>
      <c r="E26" s="155"/>
      <c r="F26" s="15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>
      <c r="A27" s="1"/>
      <c r="B27" s="1"/>
      <c r="C27" s="1"/>
      <c r="D27" s="1"/>
      <c r="E27" s="155"/>
      <c r="F27" s="15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4.4">
      <c r="A28" s="1"/>
      <c r="B28" s="1"/>
      <c r="C28" s="1"/>
      <c r="D28" s="1"/>
      <c r="E28" s="155"/>
      <c r="F28" s="15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>
      <c r="A29" s="1"/>
      <c r="B29" s="1"/>
      <c r="C29" s="1"/>
      <c r="D29" s="1"/>
      <c r="E29" s="155"/>
      <c r="F29" s="15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4.4">
      <c r="A30" s="1"/>
      <c r="B30" s="1"/>
      <c r="C30" s="1"/>
      <c r="D30" s="1"/>
      <c r="E30" s="155"/>
      <c r="F30" s="15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4">
      <c r="A31" s="1"/>
      <c r="B31" s="1"/>
      <c r="C31" s="1"/>
      <c r="D31" s="1"/>
      <c r="E31" s="155"/>
      <c r="F31" s="15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>
      <c r="A32" s="1"/>
      <c r="B32" s="1"/>
      <c r="C32" s="1"/>
      <c r="D32" s="1"/>
      <c r="E32" s="155"/>
      <c r="F32" s="15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>
      <c r="A33" s="1"/>
      <c r="B33" s="1"/>
      <c r="C33" s="1"/>
      <c r="D33" s="1"/>
      <c r="E33" s="155"/>
      <c r="F33" s="15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4.4">
      <c r="A34" s="1"/>
      <c r="B34" s="1"/>
      <c r="C34" s="1"/>
      <c r="D34" s="1"/>
      <c r="E34" s="155"/>
      <c r="F34" s="15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4.4">
      <c r="A35" s="1"/>
      <c r="B35" s="1"/>
      <c r="C35" s="1"/>
      <c r="D35" s="1"/>
      <c r="E35" s="155"/>
      <c r="F35" s="15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4.4">
      <c r="A36" s="1"/>
      <c r="B36" s="1"/>
      <c r="C36" s="1"/>
      <c r="D36" s="1"/>
      <c r="E36" s="155"/>
      <c r="F36" s="15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>
      <c r="A37" s="1"/>
      <c r="B37" s="1"/>
      <c r="C37" s="1"/>
      <c r="D37" s="1"/>
      <c r="E37" s="155"/>
      <c r="F37" s="15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>
      <c r="A38" s="1"/>
      <c r="B38" s="1"/>
      <c r="C38" s="1"/>
      <c r="D38" s="1"/>
      <c r="E38" s="155"/>
      <c r="F38" s="15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4">
      <c r="A39" s="1"/>
      <c r="B39" s="1"/>
      <c r="C39" s="1"/>
      <c r="D39" s="1"/>
      <c r="E39" s="155"/>
      <c r="F39" s="1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4">
      <c r="A40" s="1"/>
      <c r="B40" s="1"/>
      <c r="C40" s="1"/>
      <c r="D40" s="1"/>
      <c r="E40" s="155"/>
      <c r="F40" s="15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>
      <c r="A41" s="1"/>
      <c r="B41" s="1"/>
      <c r="C41" s="1"/>
      <c r="D41" s="1"/>
      <c r="E41" s="155"/>
      <c r="F41" s="1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>
      <c r="A42" s="1"/>
      <c r="B42" s="1"/>
      <c r="C42" s="1"/>
      <c r="D42" s="1"/>
      <c r="E42" s="155"/>
      <c r="F42" s="1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4">
      <c r="A43" s="1"/>
      <c r="B43" s="1"/>
      <c r="C43" s="1"/>
      <c r="D43" s="1"/>
      <c r="E43" s="155"/>
      <c r="F43" s="1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>
      <c r="A44" s="1"/>
      <c r="B44" s="1"/>
      <c r="C44" s="1"/>
      <c r="D44" s="1"/>
      <c r="E44" s="155"/>
      <c r="F44" s="1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>
      <c r="A45" s="1"/>
      <c r="B45" s="1"/>
      <c r="C45" s="1"/>
      <c r="D45" s="1"/>
      <c r="E45" s="155"/>
      <c r="F45" s="1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>
      <c r="A46" s="1"/>
      <c r="B46" s="1"/>
      <c r="C46" s="1"/>
      <c r="D46" s="1"/>
      <c r="E46" s="155"/>
      <c r="F46" s="1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>
      <c r="A47" s="1"/>
      <c r="B47" s="1"/>
      <c r="C47" s="1"/>
      <c r="D47" s="1"/>
      <c r="E47" s="155"/>
      <c r="F47" s="1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4">
      <c r="A48" s="1"/>
      <c r="B48" s="1"/>
      <c r="C48" s="1"/>
      <c r="D48" s="1"/>
      <c r="E48" s="155"/>
      <c r="F48" s="1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>
      <c r="A49" s="1"/>
      <c r="B49" s="1"/>
      <c r="C49" s="1"/>
      <c r="D49" s="1"/>
      <c r="E49" s="155"/>
      <c r="F49" s="1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>
      <c r="A50" s="1"/>
      <c r="B50" s="1"/>
      <c r="C50" s="1"/>
      <c r="D50" s="1"/>
      <c r="E50" s="155"/>
      <c r="F50" s="1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>
      <c r="A51" s="1"/>
      <c r="B51" s="1"/>
      <c r="C51" s="1"/>
      <c r="D51" s="1"/>
      <c r="E51" s="155"/>
      <c r="F51" s="1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>
      <c r="A52" s="1"/>
      <c r="B52" s="1"/>
      <c r="C52" s="1"/>
      <c r="D52" s="1"/>
      <c r="E52" s="155"/>
      <c r="F52" s="1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>
      <c r="A53" s="1"/>
      <c r="B53" s="1"/>
      <c r="C53" s="1"/>
      <c r="D53" s="1"/>
      <c r="E53" s="155"/>
      <c r="F53" s="1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4">
      <c r="A54" s="1"/>
      <c r="B54" s="1"/>
      <c r="C54" s="1"/>
      <c r="D54" s="1"/>
      <c r="E54" s="155"/>
      <c r="F54" s="15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4">
      <c r="A55" s="1"/>
      <c r="B55" s="1"/>
      <c r="C55" s="1"/>
      <c r="D55" s="1"/>
      <c r="E55" s="155"/>
      <c r="F55" s="1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4">
      <c r="A56" s="1"/>
      <c r="B56" s="1"/>
      <c r="C56" s="1"/>
      <c r="D56" s="1"/>
      <c r="E56" s="155"/>
      <c r="F56" s="1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4">
      <c r="A57" s="1"/>
      <c r="B57" s="1"/>
      <c r="C57" s="1"/>
      <c r="D57" s="1"/>
      <c r="E57" s="155"/>
      <c r="F57" s="15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4">
      <c r="A58" s="1"/>
      <c r="B58" s="1"/>
      <c r="C58" s="1"/>
      <c r="D58" s="1"/>
      <c r="E58" s="155"/>
      <c r="F58" s="1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4">
      <c r="A59" s="1"/>
      <c r="B59" s="1"/>
      <c r="C59" s="1"/>
      <c r="D59" s="1"/>
      <c r="E59" s="155"/>
      <c r="F59" s="15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4">
      <c r="A60" s="1"/>
      <c r="B60" s="1"/>
      <c r="C60" s="1"/>
      <c r="D60" s="1"/>
      <c r="E60" s="155"/>
      <c r="F60" s="15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4">
      <c r="A61" s="1"/>
      <c r="B61" s="1"/>
      <c r="C61" s="1"/>
      <c r="D61" s="1"/>
      <c r="E61" s="155"/>
      <c r="F61" s="15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4">
      <c r="A62" s="1"/>
      <c r="B62" s="1"/>
      <c r="C62" s="1"/>
      <c r="D62" s="1"/>
      <c r="E62" s="155"/>
      <c r="F62" s="15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4">
      <c r="A63" s="1"/>
      <c r="B63" s="1"/>
      <c r="C63" s="1"/>
      <c r="D63" s="1"/>
      <c r="E63" s="155"/>
      <c r="F63" s="15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>
      <c r="A64" s="1"/>
      <c r="B64" s="1"/>
      <c r="C64" s="1"/>
      <c r="D64" s="1"/>
      <c r="E64" s="155"/>
      <c r="F64" s="1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>
      <c r="A65" s="1"/>
      <c r="B65" s="1"/>
      <c r="C65" s="1"/>
      <c r="D65" s="1"/>
      <c r="E65" s="155"/>
      <c r="F65" s="1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>
      <c r="A66" s="1"/>
      <c r="B66" s="1"/>
      <c r="C66" s="1"/>
      <c r="D66" s="1"/>
      <c r="E66" s="155"/>
      <c r="F66" s="1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>
      <c r="A67" s="1"/>
      <c r="B67" s="1"/>
      <c r="C67" s="1"/>
      <c r="D67" s="1"/>
      <c r="E67" s="155"/>
      <c r="F67" s="1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>
      <c r="A68" s="1"/>
      <c r="B68" s="1"/>
      <c r="C68" s="1"/>
      <c r="D68" s="1"/>
      <c r="E68" s="155"/>
      <c r="F68" s="1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>
      <c r="A69" s="1"/>
      <c r="B69" s="1"/>
      <c r="C69" s="1"/>
      <c r="D69" s="1"/>
      <c r="E69" s="155"/>
      <c r="F69" s="15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>
      <c r="A70" s="1"/>
      <c r="B70" s="1"/>
      <c r="C70" s="1"/>
      <c r="D70" s="1"/>
      <c r="E70" s="155"/>
      <c r="F70" s="15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>
      <c r="A71" s="1"/>
      <c r="B71" s="1"/>
      <c r="C71" s="1"/>
      <c r="D71" s="1"/>
      <c r="E71" s="155"/>
      <c r="F71" s="1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>
      <c r="A72" s="1"/>
      <c r="B72" s="1"/>
      <c r="C72" s="1"/>
      <c r="D72" s="1"/>
      <c r="E72" s="155"/>
      <c r="F72" s="15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4">
      <c r="A73" s="1"/>
      <c r="B73" s="1"/>
      <c r="C73" s="1"/>
      <c r="D73" s="1"/>
      <c r="E73" s="155"/>
      <c r="F73" s="15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4">
      <c r="A74" s="1"/>
      <c r="B74" s="1"/>
      <c r="C74" s="1"/>
      <c r="D74" s="1"/>
      <c r="E74" s="155"/>
      <c r="F74" s="15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>
      <c r="A75" s="1"/>
      <c r="B75" s="1"/>
      <c r="C75" s="1"/>
      <c r="D75" s="1"/>
      <c r="E75" s="155"/>
      <c r="F75" s="15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>
      <c r="A76" s="1"/>
      <c r="B76" s="1"/>
      <c r="C76" s="1"/>
      <c r="D76" s="1"/>
      <c r="E76" s="155"/>
      <c r="F76" s="1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>
      <c r="A77" s="1"/>
      <c r="B77" s="1"/>
      <c r="C77" s="1"/>
      <c r="D77" s="1"/>
      <c r="E77" s="155"/>
      <c r="F77" s="1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>
      <c r="A78" s="1"/>
      <c r="B78" s="1"/>
      <c r="C78" s="1"/>
      <c r="D78" s="1"/>
      <c r="E78" s="155"/>
      <c r="F78" s="15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>
      <c r="A79" s="1"/>
      <c r="B79" s="1"/>
      <c r="C79" s="1"/>
      <c r="D79" s="1"/>
      <c r="E79" s="155"/>
      <c r="F79" s="15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>
      <c r="A80" s="1"/>
      <c r="B80" s="1"/>
      <c r="C80" s="1"/>
      <c r="D80" s="1"/>
      <c r="E80" s="155"/>
      <c r="F80" s="15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>
      <c r="A81" s="1"/>
      <c r="B81" s="1"/>
      <c r="C81" s="1"/>
      <c r="D81" s="1"/>
      <c r="E81" s="155"/>
      <c r="F81" s="15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>
      <c r="A82" s="1"/>
      <c r="B82" s="1"/>
      <c r="C82" s="1"/>
      <c r="D82" s="1"/>
      <c r="E82" s="155"/>
      <c r="F82" s="15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>
      <c r="A83" s="1"/>
      <c r="B83" s="1"/>
      <c r="C83" s="1"/>
      <c r="D83" s="1"/>
      <c r="E83" s="155"/>
      <c r="F83" s="15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>
      <c r="A84" s="1"/>
      <c r="B84" s="1"/>
      <c r="C84" s="1"/>
      <c r="D84" s="1"/>
      <c r="E84" s="155"/>
      <c r="F84" s="1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>
      <c r="A85" s="1"/>
      <c r="B85" s="1"/>
      <c r="C85" s="1"/>
      <c r="D85" s="1"/>
      <c r="E85" s="155"/>
      <c r="F85" s="15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>
      <c r="A86" s="1"/>
      <c r="B86" s="1"/>
      <c r="C86" s="1"/>
      <c r="D86" s="1"/>
      <c r="E86" s="156"/>
      <c r="F86" s="15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>
      <c r="A87" s="1"/>
      <c r="B87" s="1"/>
      <c r="C87" s="1"/>
      <c r="D87" s="1"/>
      <c r="E87" s="156"/>
      <c r="F87" s="15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4">
      <c r="A88" s="1"/>
      <c r="B88" s="1"/>
      <c r="C88" s="1"/>
      <c r="D88" s="1"/>
      <c r="E88" s="156"/>
      <c r="F88" s="15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4">
      <c r="A89" s="1"/>
      <c r="B89" s="1"/>
      <c r="C89" s="1"/>
      <c r="D89" s="1"/>
      <c r="E89" s="156"/>
      <c r="F89" s="15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4">
      <c r="A90" s="1"/>
      <c r="B90" s="1"/>
      <c r="C90" s="1"/>
      <c r="D90" s="1"/>
      <c r="E90" s="156"/>
      <c r="F90" s="15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>
      <c r="A91" s="1"/>
      <c r="B91" s="1"/>
      <c r="C91" s="1"/>
      <c r="D91" s="1"/>
      <c r="E91" s="156"/>
      <c r="F91" s="15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>
      <c r="A92" s="1"/>
      <c r="B92" s="1"/>
      <c r="C92" s="1"/>
      <c r="D92" s="1"/>
      <c r="E92" s="156"/>
      <c r="F92" s="15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>
      <c r="A93" s="1"/>
      <c r="B93" s="1"/>
      <c r="C93" s="1"/>
      <c r="D93" s="1"/>
      <c r="E93" s="156"/>
      <c r="F93" s="15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>
      <c r="A94" s="1"/>
      <c r="B94" s="1"/>
      <c r="C94" s="1"/>
      <c r="D94" s="1"/>
      <c r="E94" s="156"/>
      <c r="F94" s="15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>
      <c r="A95" s="1"/>
      <c r="B95" s="1"/>
      <c r="C95" s="1"/>
      <c r="D95" s="1"/>
      <c r="E95" s="156"/>
      <c r="F95" s="15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>
      <c r="A96" s="1"/>
      <c r="B96" s="1"/>
      <c r="C96" s="1"/>
      <c r="D96" s="1"/>
      <c r="E96" s="156"/>
      <c r="F96" s="15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>
      <c r="A97" s="1"/>
      <c r="B97" s="1"/>
      <c r="C97" s="1"/>
      <c r="D97" s="1"/>
      <c r="E97" s="156"/>
      <c r="F97" s="15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4">
      <c r="A98" s="1"/>
      <c r="B98" s="1"/>
      <c r="C98" s="1"/>
      <c r="D98" s="1"/>
      <c r="E98" s="156"/>
      <c r="F98" s="15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4">
      <c r="A99" s="1"/>
      <c r="B99" s="1"/>
      <c r="C99" s="1"/>
      <c r="D99" s="1"/>
      <c r="E99" s="156"/>
      <c r="F99" s="15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4">
      <c r="A100" s="1"/>
      <c r="B100" s="1"/>
      <c r="C100" s="1"/>
      <c r="D100" s="1"/>
      <c r="E100" s="156"/>
      <c r="F100" s="15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4">
      <c r="A101" s="1"/>
      <c r="B101" s="1"/>
      <c r="C101" s="1"/>
      <c r="D101" s="1"/>
      <c r="E101" s="156"/>
      <c r="F101" s="15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4">
      <c r="A102" s="1"/>
      <c r="B102" s="1"/>
      <c r="C102" s="1"/>
      <c r="D102" s="1"/>
      <c r="E102" s="156"/>
      <c r="F102" s="15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>
      <c r="A103" s="1"/>
      <c r="B103" s="1"/>
      <c r="C103" s="1"/>
      <c r="D103" s="1"/>
      <c r="E103" s="156"/>
      <c r="F103" s="15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4">
      <c r="A104" s="1"/>
      <c r="B104" s="1"/>
      <c r="C104" s="1"/>
      <c r="D104" s="1"/>
      <c r="E104" s="156"/>
      <c r="F104" s="15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4">
      <c r="A105" s="1"/>
      <c r="B105" s="1"/>
      <c r="C105" s="1"/>
      <c r="D105" s="1"/>
      <c r="E105" s="156"/>
      <c r="F105" s="15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4">
      <c r="A106" s="1"/>
      <c r="B106" s="1"/>
      <c r="C106" s="1"/>
      <c r="D106" s="1"/>
      <c r="E106" s="9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4">
      <c r="A107" s="1"/>
      <c r="B107" s="1"/>
      <c r="C107" s="1"/>
      <c r="D107" s="1"/>
      <c r="E107" s="9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4">
      <c r="A108" s="1"/>
      <c r="B108" s="1"/>
      <c r="C108" s="1"/>
      <c r="D108" s="1"/>
      <c r="E108" s="9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4">
      <c r="A109" s="1"/>
      <c r="B109" s="1"/>
      <c r="C109" s="1"/>
      <c r="D109" s="1"/>
      <c r="E109" s="9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4">
      <c r="A110" s="1"/>
      <c r="B110" s="1"/>
      <c r="C110" s="1"/>
      <c r="D110" s="1"/>
      <c r="E110" s="9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4">
      <c r="A111" s="1"/>
      <c r="B111" s="1"/>
      <c r="C111" s="1"/>
      <c r="D111" s="1"/>
      <c r="E111" s="9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4">
      <c r="A112" s="1"/>
      <c r="B112" s="1"/>
      <c r="C112" s="1"/>
      <c r="D112" s="1"/>
      <c r="E112" s="9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4">
      <c r="A113" s="1"/>
      <c r="B113" s="1"/>
      <c r="C113" s="1"/>
      <c r="D113" s="1"/>
      <c r="E113" s="9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>
      <c r="A114" s="1"/>
      <c r="B114" s="1"/>
      <c r="C114" s="1"/>
      <c r="D114" s="1"/>
      <c r="E114" s="9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>
      <c r="A115" s="1"/>
      <c r="B115" s="1"/>
      <c r="C115" s="1"/>
      <c r="D115" s="1"/>
      <c r="E115" s="9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>
      <c r="A116" s="1"/>
      <c r="B116" s="1"/>
      <c r="C116" s="1"/>
      <c r="D116" s="1"/>
      <c r="E116" s="9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>
      <c r="A117" s="1"/>
      <c r="B117" s="1"/>
      <c r="C117" s="1"/>
      <c r="D117" s="1"/>
      <c r="E117" s="9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4">
      <c r="A118" s="1"/>
      <c r="B118" s="1"/>
      <c r="C118" s="1"/>
      <c r="D118" s="1"/>
      <c r="E118" s="9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4">
      <c r="A119" s="1"/>
      <c r="B119" s="1"/>
      <c r="C119" s="1"/>
      <c r="D119" s="1"/>
      <c r="E119" s="9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4">
      <c r="A120" s="1"/>
      <c r="B120" s="1"/>
      <c r="C120" s="1"/>
      <c r="D120" s="1"/>
      <c r="E120" s="9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4">
      <c r="A121" s="1"/>
      <c r="B121" s="1"/>
      <c r="C121" s="1"/>
      <c r="D121" s="1"/>
      <c r="E121" s="9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4">
      <c r="A122" s="1"/>
      <c r="B122" s="1"/>
      <c r="C122" s="1"/>
      <c r="D122" s="1"/>
      <c r="E122" s="9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4">
      <c r="A123" s="1"/>
      <c r="B123" s="1"/>
      <c r="C123" s="1"/>
      <c r="D123" s="1"/>
      <c r="E123" s="9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>
      <c r="A124" s="1"/>
      <c r="B124" s="1"/>
      <c r="C124" s="1"/>
      <c r="D124" s="1"/>
      <c r="E124" s="9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>
      <c r="A125" s="1"/>
      <c r="B125" s="1"/>
      <c r="C125" s="1"/>
      <c r="D125" s="1"/>
      <c r="E125" s="9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>
      <c r="A126" s="1"/>
      <c r="B126" s="1"/>
      <c r="C126" s="1"/>
      <c r="D126" s="1"/>
      <c r="E126" s="9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4">
      <c r="A127" s="1"/>
      <c r="B127" s="1"/>
      <c r="C127" s="1"/>
      <c r="D127" s="1"/>
      <c r="E127" s="9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4">
      <c r="A128" s="1"/>
      <c r="B128" s="1"/>
      <c r="C128" s="1"/>
      <c r="D128" s="1"/>
      <c r="E128" s="9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4">
      <c r="A129" s="1"/>
      <c r="B129" s="1"/>
      <c r="C129" s="1"/>
      <c r="D129" s="1"/>
      <c r="E129" s="9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4">
      <c r="A130" s="1"/>
      <c r="B130" s="1"/>
      <c r="C130" s="1"/>
      <c r="D130" s="1"/>
      <c r="E130" s="9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4">
      <c r="A131" s="1"/>
      <c r="B131" s="1"/>
      <c r="C131" s="1"/>
      <c r="D131" s="1"/>
      <c r="E131" s="9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4">
      <c r="A132" s="1"/>
      <c r="B132" s="1"/>
      <c r="C132" s="1"/>
      <c r="D132" s="1"/>
      <c r="E132" s="9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4">
      <c r="A133" s="1"/>
      <c r="B133" s="1"/>
      <c r="C133" s="1"/>
      <c r="D133" s="1"/>
      <c r="E133" s="9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4">
      <c r="A134" s="1"/>
      <c r="B134" s="1"/>
      <c r="C134" s="1"/>
      <c r="D134" s="1"/>
      <c r="E134" s="9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4">
      <c r="A135" s="1"/>
      <c r="B135" s="1"/>
      <c r="C135" s="1"/>
      <c r="D135" s="1"/>
      <c r="E135" s="9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4">
      <c r="A136" s="1"/>
      <c r="B136" s="1"/>
      <c r="C136" s="1"/>
      <c r="D136" s="1"/>
      <c r="E136" s="9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4">
      <c r="A137" s="1"/>
      <c r="B137" s="1"/>
      <c r="C137" s="1"/>
      <c r="D137" s="1"/>
      <c r="E137" s="9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4">
      <c r="A138" s="1"/>
      <c r="B138" s="1"/>
      <c r="C138" s="1"/>
      <c r="D138" s="1"/>
      <c r="E138" s="9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4">
      <c r="A139" s="1"/>
      <c r="B139" s="1"/>
      <c r="C139" s="1"/>
      <c r="D139" s="1"/>
      <c r="E139" s="9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>
      <c r="A140" s="1"/>
      <c r="B140" s="1"/>
      <c r="C140" s="1"/>
      <c r="D140" s="1"/>
      <c r="E140" s="9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>
      <c r="A141" s="1"/>
      <c r="B141" s="1"/>
      <c r="C141" s="1"/>
      <c r="D141" s="1"/>
      <c r="E141" s="9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>
      <c r="A142" s="1"/>
      <c r="B142" s="1"/>
      <c r="C142" s="1"/>
      <c r="D142" s="1"/>
      <c r="E142" s="9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4">
      <c r="A143" s="1"/>
      <c r="B143" s="1"/>
      <c r="C143" s="1"/>
      <c r="D143" s="1"/>
      <c r="E143" s="9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>
      <c r="A144" s="1"/>
      <c r="B144" s="1"/>
      <c r="C144" s="1"/>
      <c r="D144" s="1"/>
      <c r="E144" s="9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4">
      <c r="A145" s="1"/>
      <c r="B145" s="1"/>
      <c r="C145" s="1"/>
      <c r="D145" s="1"/>
      <c r="E145" s="9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>
      <c r="A146" s="1"/>
      <c r="B146" s="1"/>
      <c r="C146" s="1"/>
      <c r="D146" s="1"/>
      <c r="E146" s="9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>
      <c r="A147" s="1"/>
      <c r="B147" s="1"/>
      <c r="C147" s="1"/>
      <c r="D147" s="1"/>
      <c r="E147" s="9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>
      <c r="A148" s="1"/>
      <c r="B148" s="1"/>
      <c r="C148" s="1"/>
      <c r="D148" s="1"/>
      <c r="E148" s="9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>
      <c r="A149" s="1"/>
      <c r="B149" s="1"/>
      <c r="C149" s="1"/>
      <c r="D149" s="1"/>
      <c r="E149" s="9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>
      <c r="A150" s="1"/>
      <c r="B150" s="1"/>
      <c r="C150" s="1"/>
      <c r="D150" s="1"/>
      <c r="E150" s="9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>
      <c r="A151" s="1"/>
      <c r="B151" s="1"/>
      <c r="C151" s="1"/>
      <c r="D151" s="1"/>
      <c r="E151" s="9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>
      <c r="A152" s="1"/>
      <c r="B152" s="1"/>
      <c r="C152" s="1"/>
      <c r="D152" s="1"/>
      <c r="E152" s="9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>
      <c r="A153" s="1"/>
      <c r="B153" s="1"/>
      <c r="C153" s="1"/>
      <c r="D153" s="1"/>
      <c r="E153" s="9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>
      <c r="A154" s="1"/>
      <c r="B154" s="1"/>
      <c r="C154" s="1"/>
      <c r="D154" s="1"/>
      <c r="E154" s="9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>
      <c r="A155" s="1"/>
      <c r="B155" s="1"/>
      <c r="C155" s="1"/>
      <c r="D155" s="1"/>
      <c r="E155" s="9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>
      <c r="A156" s="1"/>
      <c r="B156" s="1"/>
      <c r="C156" s="1"/>
      <c r="D156" s="1"/>
      <c r="E156" s="9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>
      <c r="A157" s="1"/>
      <c r="B157" s="1"/>
      <c r="C157" s="1"/>
      <c r="D157" s="1"/>
      <c r="E157" s="9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4">
      <c r="A158" s="1"/>
      <c r="B158" s="1"/>
      <c r="C158" s="1"/>
      <c r="D158" s="1"/>
      <c r="E158" s="9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4">
      <c r="A159" s="1"/>
      <c r="B159" s="1"/>
      <c r="C159" s="1"/>
      <c r="D159" s="1"/>
      <c r="E159" s="9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4">
      <c r="A160" s="1"/>
      <c r="B160" s="1"/>
      <c r="C160" s="1"/>
      <c r="D160" s="1"/>
      <c r="E160" s="9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>
      <c r="A161" s="1"/>
      <c r="B161" s="1"/>
      <c r="C161" s="1"/>
      <c r="D161" s="1"/>
      <c r="E161" s="9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4">
      <c r="A162" s="1"/>
      <c r="B162" s="1"/>
      <c r="C162" s="1"/>
      <c r="D162" s="1"/>
      <c r="E162" s="9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4">
      <c r="A163" s="1"/>
      <c r="B163" s="1"/>
      <c r="C163" s="1"/>
      <c r="D163" s="1"/>
      <c r="E163" s="9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4">
      <c r="A164" s="1"/>
      <c r="B164" s="1"/>
      <c r="C164" s="1"/>
      <c r="D164" s="1"/>
      <c r="E164" s="9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4">
      <c r="A165" s="1"/>
      <c r="B165" s="1"/>
      <c r="C165" s="1"/>
      <c r="D165" s="1"/>
      <c r="E165" s="9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>
      <c r="A166" s="1"/>
      <c r="B166" s="1"/>
      <c r="C166" s="1"/>
      <c r="D166" s="1"/>
      <c r="E166" s="9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>
      <c r="A167" s="1"/>
      <c r="B167" s="1"/>
      <c r="C167" s="1"/>
      <c r="D167" s="1"/>
      <c r="E167" s="9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>
      <c r="A168" s="1"/>
      <c r="B168" s="1"/>
      <c r="C168" s="1"/>
      <c r="D168" s="1"/>
      <c r="E168" s="9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>
      <c r="A169" s="1"/>
      <c r="B169" s="1"/>
      <c r="C169" s="1"/>
      <c r="D169" s="1"/>
      <c r="E169" s="9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>
      <c r="A170" s="1"/>
      <c r="B170" s="1"/>
      <c r="C170" s="1"/>
      <c r="D170" s="1"/>
      <c r="E170" s="9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>
      <c r="A171" s="1"/>
      <c r="B171" s="1"/>
      <c r="C171" s="1"/>
      <c r="D171" s="1"/>
      <c r="E171" s="9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>
      <c r="A172" s="1"/>
      <c r="B172" s="1"/>
      <c r="C172" s="1"/>
      <c r="D172" s="1"/>
      <c r="E172" s="9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>
      <c r="A173" s="1"/>
      <c r="B173" s="1"/>
      <c r="C173" s="1"/>
      <c r="D173" s="1"/>
      <c r="E173" s="9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>
      <c r="A174" s="1"/>
      <c r="B174" s="1"/>
      <c r="C174" s="1"/>
      <c r="D174" s="1"/>
      <c r="E174" s="9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>
      <c r="A175" s="1"/>
      <c r="B175" s="1"/>
      <c r="C175" s="1"/>
      <c r="D175" s="1"/>
      <c r="E175" s="9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>
      <c r="A176" s="1"/>
      <c r="B176" s="1"/>
      <c r="C176" s="1"/>
      <c r="D176" s="1"/>
      <c r="E176" s="9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>
      <c r="A177" s="1"/>
      <c r="B177" s="1"/>
      <c r="C177" s="1"/>
      <c r="D177" s="1"/>
      <c r="E177" s="9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>
      <c r="A178" s="1"/>
      <c r="B178" s="1"/>
      <c r="C178" s="1"/>
      <c r="D178" s="1"/>
      <c r="E178" s="9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>
      <c r="A179" s="1"/>
      <c r="B179" s="1"/>
      <c r="C179" s="1"/>
      <c r="D179" s="1"/>
      <c r="E179" s="9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>
      <c r="A180" s="1"/>
      <c r="B180" s="1"/>
      <c r="C180" s="1"/>
      <c r="D180" s="1"/>
      <c r="E180" s="9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>
      <c r="A181" s="1"/>
      <c r="B181" s="1"/>
      <c r="C181" s="1"/>
      <c r="D181" s="1"/>
      <c r="E181" s="9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>
      <c r="A182" s="1"/>
      <c r="B182" s="1"/>
      <c r="C182" s="1"/>
      <c r="D182" s="1"/>
      <c r="E182" s="9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>
      <c r="A183" s="1"/>
      <c r="B183" s="1"/>
      <c r="C183" s="1"/>
      <c r="D183" s="1"/>
      <c r="E183" s="9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>
      <c r="A184" s="1"/>
      <c r="B184" s="1"/>
      <c r="C184" s="1"/>
      <c r="D184" s="1"/>
      <c r="E184" s="9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>
      <c r="A185" s="1"/>
      <c r="B185" s="1"/>
      <c r="C185" s="1"/>
      <c r="D185" s="1"/>
      <c r="E185" s="9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>
      <c r="A186" s="1"/>
      <c r="B186" s="1"/>
      <c r="C186" s="1"/>
      <c r="D186" s="1"/>
      <c r="E186" s="9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>
      <c r="A187" s="1"/>
      <c r="B187" s="1"/>
      <c r="C187" s="1"/>
      <c r="D187" s="1"/>
      <c r="E187" s="9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>
      <c r="A188" s="1"/>
      <c r="B188" s="1"/>
      <c r="C188" s="1"/>
      <c r="D188" s="1"/>
      <c r="E188" s="9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>
      <c r="A189" s="1"/>
      <c r="B189" s="1"/>
      <c r="C189" s="1"/>
      <c r="D189" s="1"/>
      <c r="E189" s="9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>
      <c r="A190" s="1"/>
      <c r="B190" s="1"/>
      <c r="C190" s="1"/>
      <c r="D190" s="1"/>
      <c r="E190" s="9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>
      <c r="A191" s="1"/>
      <c r="B191" s="1"/>
      <c r="C191" s="1"/>
      <c r="D191" s="1"/>
      <c r="E191" s="9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>
      <c r="A192" s="1"/>
      <c r="B192" s="1"/>
      <c r="C192" s="1"/>
      <c r="D192" s="1"/>
      <c r="E192" s="9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>
      <c r="A193" s="1"/>
      <c r="B193" s="1"/>
      <c r="C193" s="1"/>
      <c r="D193" s="1"/>
      <c r="E193" s="9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>
      <c r="A194" s="1"/>
      <c r="B194" s="1"/>
      <c r="C194" s="1"/>
      <c r="D194" s="1"/>
      <c r="E194" s="9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>
      <c r="A195" s="1"/>
      <c r="B195" s="1"/>
      <c r="C195" s="1"/>
      <c r="D195" s="1"/>
      <c r="E195" s="9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>
      <c r="A196" s="1"/>
      <c r="B196" s="1"/>
      <c r="C196" s="1"/>
      <c r="D196" s="1"/>
      <c r="E196" s="9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>
      <c r="A197" s="1"/>
      <c r="B197" s="1"/>
      <c r="C197" s="1"/>
      <c r="D197" s="1"/>
      <c r="E197" s="9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>
      <c r="A198" s="1"/>
      <c r="B198" s="1"/>
      <c r="C198" s="1"/>
      <c r="D198" s="1"/>
      <c r="E198" s="9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>
      <c r="A199" s="1"/>
      <c r="B199" s="1"/>
      <c r="C199" s="1"/>
      <c r="D199" s="1"/>
      <c r="E199" s="9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>
      <c r="A200" s="1"/>
      <c r="B200" s="1"/>
      <c r="C200" s="1"/>
      <c r="D200" s="1"/>
      <c r="E200" s="9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>
      <c r="A201" s="1"/>
      <c r="B201" s="1"/>
      <c r="C201" s="1"/>
      <c r="D201" s="1"/>
      <c r="E201" s="9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>
      <c r="A202" s="1"/>
      <c r="B202" s="1"/>
      <c r="C202" s="1"/>
      <c r="D202" s="1"/>
      <c r="E202" s="9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>
      <c r="A203" s="1"/>
      <c r="B203" s="1"/>
      <c r="C203" s="1"/>
      <c r="D203" s="1"/>
      <c r="E203" s="9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>
      <c r="A204" s="1"/>
      <c r="B204" s="1"/>
      <c r="C204" s="1"/>
      <c r="D204" s="1"/>
      <c r="E204" s="9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>
      <c r="A205" s="1"/>
      <c r="B205" s="1"/>
      <c r="C205" s="1"/>
      <c r="D205" s="1"/>
      <c r="E205" s="9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>
      <c r="A206" s="1"/>
      <c r="B206" s="1"/>
      <c r="C206" s="1"/>
      <c r="D206" s="1"/>
      <c r="E206" s="9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>
      <c r="A207" s="1"/>
      <c r="B207" s="1"/>
      <c r="C207" s="1"/>
      <c r="D207" s="1"/>
      <c r="E207" s="9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>
      <c r="A208" s="1"/>
      <c r="B208" s="1"/>
      <c r="C208" s="1"/>
      <c r="D208" s="1"/>
      <c r="E208" s="9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>
      <c r="A209" s="1"/>
      <c r="B209" s="1"/>
      <c r="C209" s="1"/>
      <c r="D209" s="1"/>
      <c r="E209" s="9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>
      <c r="A210" s="1"/>
      <c r="B210" s="1"/>
      <c r="C210" s="1"/>
      <c r="D210" s="1"/>
      <c r="E210" s="9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>
      <c r="A211" s="1"/>
      <c r="B211" s="1"/>
      <c r="C211" s="1"/>
      <c r="D211" s="1"/>
      <c r="E211" s="9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>
      <c r="A212" s="1"/>
      <c r="B212" s="1"/>
      <c r="C212" s="1"/>
      <c r="D212" s="1"/>
      <c r="E212" s="9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>
      <c r="A213" s="1"/>
      <c r="B213" s="1"/>
      <c r="C213" s="1"/>
      <c r="D213" s="1"/>
      <c r="E213" s="9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>
      <c r="A214" s="1"/>
      <c r="B214" s="1"/>
      <c r="C214" s="1"/>
      <c r="D214" s="1"/>
      <c r="E214" s="9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>
      <c r="A215" s="1"/>
      <c r="B215" s="1"/>
      <c r="C215" s="1"/>
      <c r="D215" s="1"/>
      <c r="E215" s="9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>
      <c r="A216" s="1"/>
      <c r="B216" s="1"/>
      <c r="C216" s="1"/>
      <c r="D216" s="1"/>
      <c r="E216" s="9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>
      <c r="A217" s="1"/>
      <c r="B217" s="1"/>
      <c r="C217" s="1"/>
      <c r="D217" s="1"/>
      <c r="E217" s="9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>
      <c r="A218" s="1"/>
      <c r="B218" s="1"/>
      <c r="C218" s="1"/>
      <c r="D218" s="1"/>
      <c r="E218" s="9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>
      <c r="A219" s="1"/>
      <c r="B219" s="1"/>
      <c r="C219" s="1"/>
      <c r="D219" s="1"/>
      <c r="E219" s="9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>
      <c r="A220" s="1"/>
      <c r="B220" s="1"/>
      <c r="C220" s="1"/>
      <c r="D220" s="1"/>
      <c r="E220" s="9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>
      <c r="A221" s="1"/>
      <c r="B221" s="1"/>
      <c r="C221" s="1"/>
      <c r="D221" s="1"/>
      <c r="E221" s="9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>
      <c r="A222" s="1"/>
      <c r="B222" s="1"/>
      <c r="C222" s="1"/>
      <c r="D222" s="1"/>
      <c r="E222" s="9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>
      <c r="A223" s="1"/>
      <c r="B223" s="1"/>
      <c r="C223" s="1"/>
      <c r="D223" s="1"/>
      <c r="E223" s="9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>
      <c r="A224" s="1"/>
      <c r="B224" s="1"/>
      <c r="C224" s="1"/>
      <c r="D224" s="1"/>
      <c r="E224" s="9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>
      <c r="A225" s="1"/>
      <c r="B225" s="1"/>
      <c r="C225" s="1"/>
      <c r="D225" s="1"/>
      <c r="E225" s="9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>
      <c r="A226" s="1"/>
      <c r="B226" s="1"/>
      <c r="C226" s="1"/>
      <c r="D226" s="1"/>
      <c r="E226" s="9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>
      <c r="A227" s="1"/>
      <c r="B227" s="1"/>
      <c r="C227" s="1"/>
      <c r="D227" s="1"/>
      <c r="E227" s="9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>
      <c r="A228" s="1"/>
      <c r="B228" s="1"/>
      <c r="C228" s="1"/>
      <c r="D228" s="1"/>
      <c r="E228" s="9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>
      <c r="A229" s="1"/>
      <c r="B229" s="1"/>
      <c r="C229" s="1"/>
      <c r="D229" s="1"/>
      <c r="E229" s="9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>
      <c r="A230" s="1"/>
      <c r="B230" s="1"/>
      <c r="C230" s="1"/>
      <c r="D230" s="1"/>
      <c r="E230" s="9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>
      <c r="A231" s="1"/>
      <c r="B231" s="1"/>
      <c r="C231" s="1"/>
      <c r="D231" s="1"/>
      <c r="E231" s="9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>
      <c r="A232" s="1"/>
      <c r="B232" s="1"/>
      <c r="C232" s="1"/>
      <c r="D232" s="1"/>
      <c r="E232" s="9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>
      <c r="A233" s="1"/>
      <c r="B233" s="1"/>
      <c r="C233" s="1"/>
      <c r="D233" s="1"/>
      <c r="E233" s="9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>
      <c r="A234" s="1"/>
      <c r="B234" s="1"/>
      <c r="C234" s="1"/>
      <c r="D234" s="1"/>
      <c r="E234" s="9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>
      <c r="A235" s="1"/>
      <c r="B235" s="1"/>
      <c r="C235" s="1"/>
      <c r="D235" s="1"/>
      <c r="E235" s="9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>
      <c r="A236" s="1"/>
      <c r="B236" s="1"/>
      <c r="C236" s="1"/>
      <c r="D236" s="1"/>
      <c r="E236" s="9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>
      <c r="A237" s="1"/>
      <c r="B237" s="1"/>
      <c r="C237" s="1"/>
      <c r="D237" s="1"/>
      <c r="E237" s="9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>
      <c r="A238" s="1"/>
      <c r="B238" s="1"/>
      <c r="C238" s="1"/>
      <c r="D238" s="1"/>
      <c r="E238" s="9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>
      <c r="A239" s="1"/>
      <c r="B239" s="1"/>
      <c r="C239" s="1"/>
      <c r="D239" s="1"/>
      <c r="E239" s="9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>
      <c r="A240" s="1"/>
      <c r="B240" s="1"/>
      <c r="C240" s="1"/>
      <c r="D240" s="1"/>
      <c r="E240" s="9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>
      <c r="A241" s="1"/>
      <c r="B241" s="1"/>
      <c r="C241" s="1"/>
      <c r="D241" s="1"/>
      <c r="E241" s="9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>
      <c r="A242" s="1"/>
      <c r="B242" s="1"/>
      <c r="C242" s="1"/>
      <c r="D242" s="1"/>
      <c r="E242" s="9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>
      <c r="A243" s="1"/>
      <c r="B243" s="1"/>
      <c r="C243" s="1"/>
      <c r="D243" s="1"/>
      <c r="E243" s="9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>
      <c r="A244" s="1"/>
      <c r="B244" s="1"/>
      <c r="C244" s="1"/>
      <c r="D244" s="1"/>
      <c r="E244" s="9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>
      <c r="A245" s="1"/>
      <c r="B245" s="1"/>
      <c r="C245" s="1"/>
      <c r="D245" s="1"/>
      <c r="E245" s="9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>
      <c r="A246" s="1"/>
      <c r="B246" s="1"/>
      <c r="C246" s="1"/>
      <c r="D246" s="1"/>
      <c r="E246" s="9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>
      <c r="A247" s="1"/>
      <c r="B247" s="1"/>
      <c r="C247" s="1"/>
      <c r="D247" s="1"/>
      <c r="E247" s="9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>
      <c r="A248" s="1"/>
      <c r="B248" s="1"/>
      <c r="C248" s="1"/>
      <c r="D248" s="1"/>
      <c r="E248" s="9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>
      <c r="A249" s="1"/>
      <c r="B249" s="1"/>
      <c r="C249" s="1"/>
      <c r="D249" s="1"/>
      <c r="E249" s="9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>
      <c r="A250" s="1"/>
      <c r="B250" s="1"/>
      <c r="C250" s="1"/>
      <c r="D250" s="1"/>
      <c r="E250" s="9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>
      <c r="A251" s="1"/>
      <c r="B251" s="1"/>
      <c r="C251" s="1"/>
      <c r="D251" s="1"/>
      <c r="E251" s="9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>
      <c r="A252" s="1"/>
      <c r="B252" s="1"/>
      <c r="C252" s="1"/>
      <c r="D252" s="1"/>
      <c r="E252" s="9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>
      <c r="A253" s="1"/>
      <c r="B253" s="1"/>
      <c r="C253" s="1"/>
      <c r="D253" s="1"/>
      <c r="E253" s="9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>
      <c r="A254" s="1"/>
      <c r="B254" s="1"/>
      <c r="C254" s="1"/>
      <c r="D254" s="1"/>
      <c r="E254" s="9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>
      <c r="A255" s="1"/>
      <c r="B255" s="1"/>
      <c r="C255" s="1"/>
      <c r="D255" s="1"/>
      <c r="E255" s="9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>
      <c r="A256" s="1"/>
      <c r="B256" s="1"/>
      <c r="C256" s="1"/>
      <c r="D256" s="1"/>
      <c r="E256" s="9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>
      <c r="A257" s="1"/>
      <c r="B257" s="1"/>
      <c r="C257" s="1"/>
      <c r="D257" s="1"/>
      <c r="E257" s="9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>
      <c r="A258" s="1"/>
      <c r="B258" s="1"/>
      <c r="C258" s="1"/>
      <c r="D258" s="1"/>
      <c r="E258" s="9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>
      <c r="A259" s="1"/>
      <c r="B259" s="1"/>
      <c r="C259" s="1"/>
      <c r="D259" s="1"/>
      <c r="E259" s="9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>
      <c r="A260" s="1"/>
      <c r="B260" s="1"/>
      <c r="C260" s="1"/>
      <c r="D260" s="1"/>
      <c r="E260" s="9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>
      <c r="A261" s="1"/>
      <c r="B261" s="1"/>
      <c r="C261" s="1"/>
      <c r="D261" s="1"/>
      <c r="E261" s="9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>
      <c r="A262" s="1"/>
      <c r="B262" s="1"/>
      <c r="C262" s="1"/>
      <c r="D262" s="1"/>
      <c r="E262" s="9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>
      <c r="A263" s="1"/>
      <c r="B263" s="1"/>
      <c r="C263" s="1"/>
      <c r="D263" s="1"/>
      <c r="E263" s="9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>
      <c r="A264" s="1"/>
      <c r="B264" s="1"/>
      <c r="C264" s="1"/>
      <c r="D264" s="1"/>
      <c r="E264" s="9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>
      <c r="A265" s="1"/>
      <c r="B265" s="1"/>
      <c r="C265" s="1"/>
      <c r="D265" s="1"/>
      <c r="E265" s="9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>
      <c r="A266" s="1"/>
      <c r="B266" s="1"/>
      <c r="C266" s="1"/>
      <c r="D266" s="1"/>
      <c r="E266" s="9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>
      <c r="A267" s="1"/>
      <c r="B267" s="1"/>
      <c r="C267" s="1"/>
      <c r="D267" s="1"/>
      <c r="E267" s="9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>
      <c r="A268" s="1"/>
      <c r="B268" s="1"/>
      <c r="C268" s="1"/>
      <c r="D268" s="1"/>
      <c r="E268" s="9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>
      <c r="A269" s="1"/>
      <c r="B269" s="1"/>
      <c r="C269" s="1"/>
      <c r="D269" s="1"/>
      <c r="E269" s="9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>
      <c r="A270" s="1"/>
      <c r="B270" s="1"/>
      <c r="C270" s="1"/>
      <c r="D270" s="1"/>
      <c r="E270" s="9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>
      <c r="A271" s="1"/>
      <c r="B271" s="1"/>
      <c r="C271" s="1"/>
      <c r="D271" s="1"/>
      <c r="E271" s="9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>
      <c r="A272" s="1"/>
      <c r="B272" s="1"/>
      <c r="C272" s="1"/>
      <c r="D272" s="1"/>
      <c r="E272" s="9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>
      <c r="A273" s="1"/>
      <c r="B273" s="1"/>
      <c r="C273" s="1"/>
      <c r="D273" s="1"/>
      <c r="E273" s="9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>
      <c r="A274" s="1"/>
      <c r="B274" s="1"/>
      <c r="C274" s="1"/>
      <c r="D274" s="1"/>
      <c r="E274" s="9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>
      <c r="A275" s="1"/>
      <c r="B275" s="1"/>
      <c r="C275" s="1"/>
      <c r="D275" s="1"/>
      <c r="E275" s="9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>
      <c r="A276" s="1"/>
      <c r="B276" s="1"/>
      <c r="C276" s="1"/>
      <c r="D276" s="1"/>
      <c r="E276" s="9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>
      <c r="A277" s="1"/>
      <c r="B277" s="1"/>
      <c r="C277" s="1"/>
      <c r="D277" s="1"/>
      <c r="E277" s="9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>
      <c r="A278" s="1"/>
      <c r="B278" s="1"/>
      <c r="C278" s="1"/>
      <c r="D278" s="1"/>
      <c r="E278" s="9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>
      <c r="A279" s="1"/>
      <c r="B279" s="1"/>
      <c r="C279" s="1"/>
      <c r="D279" s="1"/>
      <c r="E279" s="9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>
      <c r="A280" s="1"/>
      <c r="B280" s="1"/>
      <c r="C280" s="1"/>
      <c r="D280" s="1"/>
      <c r="E280" s="9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>
      <c r="A281" s="1"/>
      <c r="B281" s="1"/>
      <c r="C281" s="1"/>
      <c r="D281" s="1"/>
      <c r="E281" s="9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>
      <c r="A282" s="1"/>
      <c r="B282" s="1"/>
      <c r="C282" s="1"/>
      <c r="D282" s="1"/>
      <c r="E282" s="9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>
      <c r="A283" s="1"/>
      <c r="B283" s="1"/>
      <c r="C283" s="1"/>
      <c r="D283" s="1"/>
      <c r="E283" s="9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>
      <c r="A284" s="1"/>
      <c r="B284" s="1"/>
      <c r="C284" s="1"/>
      <c r="D284" s="1"/>
      <c r="E284" s="9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>
      <c r="A285" s="1"/>
      <c r="B285" s="1"/>
      <c r="C285" s="1"/>
      <c r="D285" s="1"/>
      <c r="E285" s="9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>
      <c r="A286" s="1"/>
      <c r="B286" s="1"/>
      <c r="C286" s="1"/>
      <c r="D286" s="1"/>
      <c r="E286" s="9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>
      <c r="A287" s="1"/>
      <c r="B287" s="1"/>
      <c r="C287" s="1"/>
      <c r="D287" s="1"/>
      <c r="E287" s="9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>
      <c r="A288" s="1"/>
      <c r="B288" s="1"/>
      <c r="C288" s="1"/>
      <c r="D288" s="1"/>
      <c r="E288" s="9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>
      <c r="A289" s="1"/>
      <c r="B289" s="1"/>
      <c r="C289" s="1"/>
      <c r="D289" s="1"/>
      <c r="E289" s="9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>
      <c r="A290" s="1"/>
      <c r="B290" s="1"/>
      <c r="C290" s="1"/>
      <c r="D290" s="1"/>
      <c r="E290" s="9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>
      <c r="A291" s="1"/>
      <c r="B291" s="1"/>
      <c r="C291" s="1"/>
      <c r="D291" s="1"/>
      <c r="E291" s="9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>
      <c r="A292" s="1"/>
      <c r="B292" s="1"/>
      <c r="C292" s="1"/>
      <c r="D292" s="1"/>
      <c r="E292" s="9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>
      <c r="A293" s="1"/>
      <c r="B293" s="1"/>
      <c r="C293" s="1"/>
      <c r="D293" s="1"/>
      <c r="E293" s="9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>
      <c r="A294" s="1"/>
      <c r="B294" s="1"/>
      <c r="C294" s="1"/>
      <c r="D294" s="1"/>
      <c r="E294" s="9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>
      <c r="A295" s="1"/>
      <c r="B295" s="1"/>
      <c r="C295" s="1"/>
      <c r="D295" s="1"/>
      <c r="E295" s="9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>
      <c r="A296" s="1"/>
      <c r="B296" s="1"/>
      <c r="C296" s="1"/>
      <c r="D296" s="1"/>
      <c r="E296" s="9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>
      <c r="A297" s="1"/>
      <c r="B297" s="1"/>
      <c r="C297" s="1"/>
      <c r="D297" s="1"/>
      <c r="E297" s="9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>
      <c r="A298" s="1"/>
      <c r="B298" s="1"/>
      <c r="C298" s="1"/>
      <c r="D298" s="1"/>
      <c r="E298" s="9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>
      <c r="A299" s="1"/>
      <c r="B299" s="1"/>
      <c r="C299" s="1"/>
      <c r="D299" s="1"/>
      <c r="E299" s="9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>
      <c r="A300" s="1"/>
      <c r="B300" s="1"/>
      <c r="C300" s="1"/>
      <c r="D300" s="1"/>
      <c r="E300" s="9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>
      <c r="A301" s="1"/>
      <c r="B301" s="1"/>
      <c r="C301" s="1"/>
      <c r="D301" s="1"/>
      <c r="E301" s="9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>
      <c r="A302" s="1"/>
      <c r="B302" s="1"/>
      <c r="C302" s="1"/>
      <c r="D302" s="1"/>
      <c r="E302" s="9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>
      <c r="A303" s="1"/>
      <c r="B303" s="1"/>
      <c r="C303" s="1"/>
      <c r="D303" s="1"/>
      <c r="E303" s="9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>
      <c r="A304" s="1"/>
      <c r="B304" s="1"/>
      <c r="C304" s="1"/>
      <c r="D304" s="1"/>
      <c r="E304" s="9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>
      <c r="A305" s="1"/>
      <c r="B305" s="1"/>
      <c r="C305" s="1"/>
      <c r="D305" s="1"/>
      <c r="E305" s="9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>
      <c r="A306" s="1"/>
      <c r="B306" s="1"/>
      <c r="C306" s="1"/>
      <c r="D306" s="1"/>
      <c r="E306" s="9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>
      <c r="A307" s="1"/>
      <c r="B307" s="1"/>
      <c r="C307" s="1"/>
      <c r="D307" s="1"/>
      <c r="E307" s="9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>
      <c r="A308" s="1"/>
      <c r="B308" s="1"/>
      <c r="C308" s="1"/>
      <c r="D308" s="1"/>
      <c r="E308" s="9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>
      <c r="A309" s="1"/>
      <c r="B309" s="1"/>
      <c r="C309" s="1"/>
      <c r="D309" s="1"/>
      <c r="E309" s="9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>
      <c r="A310" s="1"/>
      <c r="B310" s="1"/>
      <c r="C310" s="1"/>
      <c r="D310" s="1"/>
      <c r="E310" s="9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>
      <c r="A311" s="1"/>
      <c r="B311" s="1"/>
      <c r="C311" s="1"/>
      <c r="D311" s="1"/>
      <c r="E311" s="9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>
      <c r="A312" s="1"/>
      <c r="B312" s="1"/>
      <c r="C312" s="1"/>
      <c r="D312" s="1"/>
      <c r="E312" s="9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>
      <c r="A313" s="1"/>
      <c r="B313" s="1"/>
      <c r="C313" s="1"/>
      <c r="D313" s="1"/>
      <c r="E313" s="9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>
      <c r="A314" s="1"/>
      <c r="B314" s="1"/>
      <c r="C314" s="1"/>
      <c r="D314" s="1"/>
      <c r="E314" s="9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>
      <c r="A315" s="1"/>
      <c r="B315" s="1"/>
      <c r="C315" s="1"/>
      <c r="D315" s="1"/>
      <c r="E315" s="9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>
      <c r="A316" s="1"/>
      <c r="B316" s="1"/>
      <c r="C316" s="1"/>
      <c r="D316" s="1"/>
      <c r="E316" s="9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>
      <c r="A317" s="1"/>
      <c r="B317" s="1"/>
      <c r="C317" s="1"/>
      <c r="D317" s="1"/>
      <c r="E317" s="9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>
      <c r="A318" s="1"/>
      <c r="B318" s="1"/>
      <c r="C318" s="1"/>
      <c r="D318" s="1"/>
      <c r="E318" s="9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>
      <c r="A319" s="1"/>
      <c r="B319" s="1"/>
      <c r="C319" s="1"/>
      <c r="D319" s="1"/>
      <c r="E319" s="9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>
      <c r="A320" s="1"/>
      <c r="B320" s="1"/>
      <c r="C320" s="1"/>
      <c r="D320" s="1"/>
      <c r="E320" s="9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>
      <c r="A321" s="1"/>
      <c r="B321" s="1"/>
      <c r="C321" s="1"/>
      <c r="D321" s="1"/>
      <c r="E321" s="9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>
      <c r="A322" s="1"/>
      <c r="B322" s="1"/>
      <c r="C322" s="1"/>
      <c r="D322" s="1"/>
      <c r="E322" s="9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>
      <c r="A323" s="1"/>
      <c r="B323" s="1"/>
      <c r="C323" s="1"/>
      <c r="D323" s="1"/>
      <c r="E323" s="9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>
      <c r="A324" s="1"/>
      <c r="B324" s="1"/>
      <c r="C324" s="1"/>
      <c r="D324" s="1"/>
      <c r="E324" s="9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>
      <c r="A325" s="1"/>
      <c r="B325" s="1"/>
      <c r="C325" s="1"/>
      <c r="D325" s="1"/>
      <c r="E325" s="9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>
      <c r="A326" s="1"/>
      <c r="B326" s="1"/>
      <c r="C326" s="1"/>
      <c r="D326" s="1"/>
      <c r="E326" s="9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>
      <c r="A327" s="1"/>
      <c r="B327" s="1"/>
      <c r="C327" s="1"/>
      <c r="D327" s="1"/>
      <c r="E327" s="9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>
      <c r="A328" s="1"/>
      <c r="B328" s="1"/>
      <c r="C328" s="1"/>
      <c r="D328" s="1"/>
      <c r="E328" s="9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>
      <c r="A329" s="1"/>
      <c r="B329" s="1"/>
      <c r="C329" s="1"/>
      <c r="D329" s="1"/>
      <c r="E329" s="9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>
      <c r="A330" s="1"/>
      <c r="B330" s="1"/>
      <c r="C330" s="1"/>
      <c r="D330" s="1"/>
      <c r="E330" s="9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>
      <c r="A331" s="1"/>
      <c r="B331" s="1"/>
      <c r="C331" s="1"/>
      <c r="D331" s="1"/>
      <c r="E331" s="9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>
      <c r="A332" s="1"/>
      <c r="B332" s="1"/>
      <c r="C332" s="1"/>
      <c r="D332" s="1"/>
      <c r="E332" s="9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>
      <c r="A333" s="1"/>
      <c r="B333" s="1"/>
      <c r="C333" s="1"/>
      <c r="D333" s="1"/>
      <c r="E333" s="9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>
      <c r="A334" s="1"/>
      <c r="B334" s="1"/>
      <c r="C334" s="1"/>
      <c r="D334" s="1"/>
      <c r="E334" s="9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>
      <c r="A335" s="1"/>
      <c r="B335" s="1"/>
      <c r="C335" s="1"/>
      <c r="D335" s="1"/>
      <c r="E335" s="9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>
      <c r="A336" s="1"/>
      <c r="B336" s="1"/>
      <c r="C336" s="1"/>
      <c r="D336" s="1"/>
      <c r="E336" s="9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>
      <c r="A337" s="1"/>
      <c r="B337" s="1"/>
      <c r="C337" s="1"/>
      <c r="D337" s="1"/>
      <c r="E337" s="9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>
      <c r="A338" s="1"/>
      <c r="B338" s="1"/>
      <c r="C338" s="1"/>
      <c r="D338" s="1"/>
      <c r="E338" s="9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>
      <c r="A339" s="1"/>
      <c r="B339" s="1"/>
      <c r="C339" s="1"/>
      <c r="D339" s="1"/>
      <c r="E339" s="9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>
      <c r="A340" s="1"/>
      <c r="B340" s="1"/>
      <c r="C340" s="1"/>
      <c r="D340" s="1"/>
      <c r="E340" s="9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>
      <c r="A341" s="1"/>
      <c r="B341" s="1"/>
      <c r="C341" s="1"/>
      <c r="D341" s="1"/>
      <c r="E341" s="9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>
      <c r="A342" s="1"/>
      <c r="B342" s="1"/>
      <c r="C342" s="1"/>
      <c r="D342" s="1"/>
      <c r="E342" s="9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>
      <c r="A343" s="1"/>
      <c r="B343" s="1"/>
      <c r="C343" s="1"/>
      <c r="D343" s="1"/>
      <c r="E343" s="9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>
      <c r="A344" s="1"/>
      <c r="B344" s="1"/>
      <c r="C344" s="1"/>
      <c r="D344" s="1"/>
      <c r="E344" s="9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>
      <c r="A345" s="1"/>
      <c r="B345" s="1"/>
      <c r="C345" s="1"/>
      <c r="D345" s="1"/>
      <c r="E345" s="9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>
      <c r="A346" s="1"/>
      <c r="B346" s="1"/>
      <c r="C346" s="1"/>
      <c r="D346" s="1"/>
      <c r="E346" s="9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>
      <c r="A347" s="1"/>
      <c r="B347" s="1"/>
      <c r="C347" s="1"/>
      <c r="D347" s="1"/>
      <c r="E347" s="9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>
      <c r="A348" s="1"/>
      <c r="B348" s="1"/>
      <c r="C348" s="1"/>
      <c r="D348" s="1"/>
      <c r="E348" s="9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>
      <c r="A349" s="1"/>
      <c r="B349" s="1"/>
      <c r="C349" s="1"/>
      <c r="D349" s="1"/>
      <c r="E349" s="9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>
      <c r="A350" s="1"/>
      <c r="B350" s="1"/>
      <c r="C350" s="1"/>
      <c r="D350" s="1"/>
      <c r="E350" s="9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>
      <c r="A351" s="1"/>
      <c r="B351" s="1"/>
      <c r="C351" s="1"/>
      <c r="D351" s="1"/>
      <c r="E351" s="9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>
      <c r="A352" s="1"/>
      <c r="B352" s="1"/>
      <c r="C352" s="1"/>
      <c r="D352" s="1"/>
      <c r="E352" s="9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>
      <c r="A353" s="1"/>
      <c r="B353" s="1"/>
      <c r="C353" s="1"/>
      <c r="D353" s="1"/>
      <c r="E353" s="9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>
      <c r="A354" s="1"/>
      <c r="B354" s="1"/>
      <c r="C354" s="1"/>
      <c r="D354" s="1"/>
      <c r="E354" s="9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>
      <c r="A355" s="1"/>
      <c r="B355" s="1"/>
      <c r="C355" s="1"/>
      <c r="D355" s="1"/>
      <c r="E355" s="9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>
      <c r="A356" s="1"/>
      <c r="B356" s="1"/>
      <c r="C356" s="1"/>
      <c r="D356" s="1"/>
      <c r="E356" s="9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>
      <c r="A357" s="1"/>
      <c r="B357" s="1"/>
      <c r="C357" s="1"/>
      <c r="D357" s="1"/>
      <c r="E357" s="9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>
      <c r="A358" s="1"/>
      <c r="B358" s="1"/>
      <c r="C358" s="1"/>
      <c r="D358" s="1"/>
      <c r="E358" s="9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>
      <c r="A359" s="1"/>
      <c r="B359" s="1"/>
      <c r="C359" s="1"/>
      <c r="D359" s="1"/>
      <c r="E359" s="9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>
      <c r="A360" s="1"/>
      <c r="B360" s="1"/>
      <c r="C360" s="1"/>
      <c r="D360" s="1"/>
      <c r="E360" s="9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>
      <c r="A361" s="1"/>
      <c r="B361" s="1"/>
      <c r="C361" s="1"/>
      <c r="D361" s="1"/>
      <c r="E361" s="9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>
      <c r="A362" s="1"/>
      <c r="B362" s="1"/>
      <c r="C362" s="1"/>
      <c r="D362" s="1"/>
      <c r="E362" s="9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>
      <c r="A363" s="1"/>
      <c r="B363" s="1"/>
      <c r="C363" s="1"/>
      <c r="D363" s="1"/>
      <c r="E363" s="9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>
      <c r="A364" s="1"/>
      <c r="B364" s="1"/>
      <c r="C364" s="1"/>
      <c r="D364" s="1"/>
      <c r="E364" s="9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>
      <c r="A365" s="1"/>
      <c r="B365" s="1"/>
      <c r="C365" s="1"/>
      <c r="D365" s="1"/>
      <c r="E365" s="9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>
      <c r="A366" s="1"/>
      <c r="B366" s="1"/>
      <c r="C366" s="1"/>
      <c r="D366" s="1"/>
      <c r="E366" s="9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>
      <c r="A367" s="1"/>
      <c r="B367" s="1"/>
      <c r="C367" s="1"/>
      <c r="D367" s="1"/>
      <c r="E367" s="9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>
      <c r="A368" s="1"/>
      <c r="B368" s="1"/>
      <c r="C368" s="1"/>
      <c r="D368" s="1"/>
      <c r="E368" s="9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>
      <c r="A369" s="1"/>
      <c r="B369" s="1"/>
      <c r="C369" s="1"/>
      <c r="D369" s="1"/>
      <c r="E369" s="9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>
      <c r="A370" s="1"/>
      <c r="B370" s="1"/>
      <c r="C370" s="1"/>
      <c r="D370" s="1"/>
      <c r="E370" s="9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>
      <c r="A371" s="1"/>
      <c r="B371" s="1"/>
      <c r="C371" s="1"/>
      <c r="D371" s="1"/>
      <c r="E371" s="9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>
      <c r="A372" s="1"/>
      <c r="B372" s="1"/>
      <c r="C372" s="1"/>
      <c r="D372" s="1"/>
      <c r="E372" s="9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>
      <c r="A373" s="1"/>
      <c r="B373" s="1"/>
      <c r="C373" s="1"/>
      <c r="D373" s="1"/>
      <c r="E373" s="9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>
      <c r="A374" s="1"/>
      <c r="B374" s="1"/>
      <c r="C374" s="1"/>
      <c r="D374" s="1"/>
      <c r="E374" s="9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>
      <c r="A375" s="1"/>
      <c r="B375" s="1"/>
      <c r="C375" s="1"/>
      <c r="D375" s="1"/>
      <c r="E375" s="9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>
      <c r="A376" s="1"/>
      <c r="B376" s="1"/>
      <c r="C376" s="1"/>
      <c r="D376" s="1"/>
      <c r="E376" s="9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>
      <c r="A377" s="1"/>
      <c r="B377" s="1"/>
      <c r="C377" s="1"/>
      <c r="D377" s="1"/>
      <c r="E377" s="9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>
      <c r="A378" s="1"/>
      <c r="B378" s="1"/>
      <c r="C378" s="1"/>
      <c r="D378" s="1"/>
      <c r="E378" s="9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>
      <c r="A379" s="1"/>
      <c r="B379" s="1"/>
      <c r="C379" s="1"/>
      <c r="D379" s="1"/>
      <c r="E379" s="9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>
      <c r="A380" s="1"/>
      <c r="B380" s="1"/>
      <c r="C380" s="1"/>
      <c r="D380" s="1"/>
      <c r="E380" s="9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>
      <c r="A381" s="1"/>
      <c r="B381" s="1"/>
      <c r="C381" s="1"/>
      <c r="D381" s="1"/>
      <c r="E381" s="9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>
      <c r="A382" s="1"/>
      <c r="B382" s="1"/>
      <c r="C382" s="1"/>
      <c r="D382" s="1"/>
      <c r="E382" s="9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>
      <c r="A383" s="1"/>
      <c r="B383" s="1"/>
      <c r="C383" s="1"/>
      <c r="D383" s="1"/>
      <c r="E383" s="9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>
      <c r="A384" s="1"/>
      <c r="B384" s="1"/>
      <c r="C384" s="1"/>
      <c r="D384" s="1"/>
      <c r="E384" s="9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>
      <c r="A385" s="1"/>
      <c r="B385" s="1"/>
      <c r="C385" s="1"/>
      <c r="D385" s="1"/>
      <c r="E385" s="9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>
      <c r="A386" s="1"/>
      <c r="B386" s="1"/>
      <c r="C386" s="1"/>
      <c r="D386" s="1"/>
      <c r="E386" s="9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>
      <c r="A387" s="1"/>
      <c r="B387" s="1"/>
      <c r="C387" s="1"/>
      <c r="D387" s="1"/>
      <c r="E387" s="9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>
      <c r="A388" s="1"/>
      <c r="B388" s="1"/>
      <c r="C388" s="1"/>
      <c r="D388" s="1"/>
      <c r="E388" s="9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>
      <c r="A389" s="1"/>
      <c r="B389" s="1"/>
      <c r="C389" s="1"/>
      <c r="D389" s="1"/>
      <c r="E389" s="9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>
      <c r="A390" s="1"/>
      <c r="B390" s="1"/>
      <c r="C390" s="1"/>
      <c r="D390" s="1"/>
      <c r="E390" s="9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>
      <c r="A391" s="1"/>
      <c r="B391" s="1"/>
      <c r="C391" s="1"/>
      <c r="D391" s="1"/>
      <c r="E391" s="9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>
      <c r="A392" s="1"/>
      <c r="B392" s="1"/>
      <c r="C392" s="1"/>
      <c r="D392" s="1"/>
      <c r="E392" s="9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>
      <c r="A393" s="1"/>
      <c r="B393" s="1"/>
      <c r="C393" s="1"/>
      <c r="D393" s="1"/>
      <c r="E393" s="9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>
      <c r="A394" s="1"/>
      <c r="B394" s="1"/>
      <c r="C394" s="1"/>
      <c r="D394" s="1"/>
      <c r="E394" s="9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>
      <c r="A395" s="1"/>
      <c r="B395" s="1"/>
      <c r="C395" s="1"/>
      <c r="D395" s="1"/>
      <c r="E395" s="9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>
      <c r="A396" s="1"/>
      <c r="B396" s="1"/>
      <c r="C396" s="1"/>
      <c r="D396" s="1"/>
      <c r="E396" s="9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>
      <c r="A397" s="1"/>
      <c r="B397" s="1"/>
      <c r="C397" s="1"/>
      <c r="D397" s="1"/>
      <c r="E397" s="9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>
      <c r="A398" s="1"/>
      <c r="B398" s="1"/>
      <c r="C398" s="1"/>
      <c r="D398" s="1"/>
      <c r="E398" s="9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>
      <c r="A399" s="1"/>
      <c r="B399" s="1"/>
      <c r="C399" s="1"/>
      <c r="D399" s="1"/>
      <c r="E399" s="9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>
      <c r="A400" s="1"/>
      <c r="B400" s="1"/>
      <c r="C400" s="1"/>
      <c r="D400" s="1"/>
      <c r="E400" s="9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>
      <c r="A401" s="1"/>
      <c r="B401" s="1"/>
      <c r="C401" s="1"/>
      <c r="D401" s="1"/>
      <c r="E401" s="9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>
      <c r="A402" s="1"/>
      <c r="B402" s="1"/>
      <c r="C402" s="1"/>
      <c r="D402" s="1"/>
      <c r="E402" s="9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>
      <c r="A403" s="1"/>
      <c r="B403" s="1"/>
      <c r="C403" s="1"/>
      <c r="D403" s="1"/>
      <c r="E403" s="9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>
      <c r="A404" s="1"/>
      <c r="B404" s="1"/>
      <c r="C404" s="1"/>
      <c r="D404" s="1"/>
      <c r="E404" s="9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>
      <c r="A405" s="1"/>
      <c r="B405" s="1"/>
      <c r="C405" s="1"/>
      <c r="D405" s="1"/>
      <c r="E405" s="9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>
      <c r="A406" s="1"/>
      <c r="B406" s="1"/>
      <c r="C406" s="1"/>
      <c r="D406" s="1"/>
      <c r="E406" s="9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>
      <c r="A407" s="1"/>
      <c r="B407" s="1"/>
      <c r="C407" s="1"/>
      <c r="D407" s="1"/>
      <c r="E407" s="9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>
      <c r="A408" s="1"/>
      <c r="B408" s="1"/>
      <c r="C408" s="1"/>
      <c r="D408" s="1"/>
      <c r="E408" s="9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>
      <c r="A409" s="1"/>
      <c r="B409" s="1"/>
      <c r="C409" s="1"/>
      <c r="D409" s="1"/>
      <c r="E409" s="9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>
      <c r="A410" s="1"/>
      <c r="B410" s="1"/>
      <c r="C410" s="1"/>
      <c r="D410" s="1"/>
      <c r="E410" s="9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>
      <c r="A411" s="1"/>
      <c r="B411" s="1"/>
      <c r="C411" s="1"/>
      <c r="D411" s="1"/>
      <c r="E411" s="9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>
      <c r="A412" s="1"/>
      <c r="B412" s="1"/>
      <c r="C412" s="1"/>
      <c r="D412" s="1"/>
      <c r="E412" s="9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>
      <c r="A413" s="1"/>
      <c r="B413" s="1"/>
      <c r="C413" s="1"/>
      <c r="D413" s="1"/>
      <c r="E413" s="9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>
      <c r="A414" s="1"/>
      <c r="B414" s="1"/>
      <c r="C414" s="1"/>
      <c r="D414" s="1"/>
      <c r="E414" s="9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>
      <c r="A415" s="1"/>
      <c r="B415" s="1"/>
      <c r="C415" s="1"/>
      <c r="D415" s="1"/>
      <c r="E415" s="9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>
      <c r="A416" s="1"/>
      <c r="B416" s="1"/>
      <c r="C416" s="1"/>
      <c r="D416" s="1"/>
      <c r="E416" s="9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>
      <c r="A417" s="1"/>
      <c r="B417" s="1"/>
      <c r="C417" s="1"/>
      <c r="D417" s="1"/>
      <c r="E417" s="9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>
      <c r="A418" s="1"/>
      <c r="B418" s="1"/>
      <c r="C418" s="1"/>
      <c r="D418" s="1"/>
      <c r="E418" s="9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>
      <c r="A419" s="1"/>
      <c r="B419" s="1"/>
      <c r="C419" s="1"/>
      <c r="D419" s="1"/>
      <c r="E419" s="9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>
      <c r="A420" s="1"/>
      <c r="B420" s="1"/>
      <c r="C420" s="1"/>
      <c r="D420" s="1"/>
      <c r="E420" s="9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>
      <c r="A421" s="1"/>
      <c r="B421" s="1"/>
      <c r="C421" s="1"/>
      <c r="D421" s="1"/>
      <c r="E421" s="9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>
      <c r="A422" s="1"/>
      <c r="B422" s="1"/>
      <c r="C422" s="1"/>
      <c r="D422" s="1"/>
      <c r="E422" s="9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>
      <c r="A423" s="1"/>
      <c r="B423" s="1"/>
      <c r="C423" s="1"/>
      <c r="D423" s="1"/>
      <c r="E423" s="9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>
      <c r="A424" s="1"/>
      <c r="B424" s="1"/>
      <c r="C424" s="1"/>
      <c r="D424" s="1"/>
      <c r="E424" s="9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>
      <c r="A425" s="1"/>
      <c r="B425" s="1"/>
      <c r="C425" s="1"/>
      <c r="D425" s="1"/>
      <c r="E425" s="9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>
      <c r="A426" s="1"/>
      <c r="B426" s="1"/>
      <c r="C426" s="1"/>
      <c r="D426" s="1"/>
      <c r="E426" s="9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>
      <c r="A427" s="1"/>
      <c r="B427" s="1"/>
      <c r="C427" s="1"/>
      <c r="D427" s="1"/>
      <c r="E427" s="9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>
      <c r="A428" s="1"/>
      <c r="B428" s="1"/>
      <c r="C428" s="1"/>
      <c r="D428" s="1"/>
      <c r="E428" s="9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>
      <c r="A429" s="1"/>
      <c r="B429" s="1"/>
      <c r="C429" s="1"/>
      <c r="D429" s="1"/>
      <c r="E429" s="9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>
      <c r="A430" s="1"/>
      <c r="B430" s="1"/>
      <c r="C430" s="1"/>
      <c r="D430" s="1"/>
      <c r="E430" s="9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>
      <c r="A431" s="1"/>
      <c r="B431" s="1"/>
      <c r="C431" s="1"/>
      <c r="D431" s="1"/>
      <c r="E431" s="9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>
      <c r="A432" s="1"/>
      <c r="B432" s="1"/>
      <c r="C432" s="1"/>
      <c r="D432" s="1"/>
      <c r="E432" s="9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>
      <c r="A433" s="1"/>
      <c r="B433" s="1"/>
      <c r="C433" s="1"/>
      <c r="D433" s="1"/>
      <c r="E433" s="9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>
      <c r="A434" s="1"/>
      <c r="B434" s="1"/>
      <c r="C434" s="1"/>
      <c r="D434" s="1"/>
      <c r="E434" s="9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>
      <c r="A435" s="1"/>
      <c r="B435" s="1"/>
      <c r="C435" s="1"/>
      <c r="D435" s="1"/>
      <c r="E435" s="9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>
      <c r="A436" s="1"/>
      <c r="B436" s="1"/>
      <c r="C436" s="1"/>
      <c r="D436" s="1"/>
      <c r="E436" s="9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>
      <c r="A437" s="1"/>
      <c r="B437" s="1"/>
      <c r="C437" s="1"/>
      <c r="D437" s="1"/>
      <c r="E437" s="9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>
      <c r="A438" s="1"/>
      <c r="B438" s="1"/>
      <c r="C438" s="1"/>
      <c r="D438" s="1"/>
      <c r="E438" s="9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>
      <c r="A439" s="1"/>
      <c r="B439" s="1"/>
      <c r="C439" s="1"/>
      <c r="D439" s="1"/>
      <c r="E439" s="9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>
      <c r="A440" s="1"/>
      <c r="B440" s="1"/>
      <c r="C440" s="1"/>
      <c r="D440" s="1"/>
      <c r="E440" s="9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>
      <c r="A441" s="1"/>
      <c r="B441" s="1"/>
      <c r="C441" s="1"/>
      <c r="D441" s="1"/>
      <c r="E441" s="9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>
      <c r="A442" s="1"/>
      <c r="B442" s="1"/>
      <c r="C442" s="1"/>
      <c r="D442" s="1"/>
      <c r="E442" s="9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>
      <c r="A443" s="1"/>
      <c r="B443" s="1"/>
      <c r="C443" s="1"/>
      <c r="D443" s="1"/>
      <c r="E443" s="9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>
      <c r="A444" s="1"/>
      <c r="B444" s="1"/>
      <c r="C444" s="1"/>
      <c r="D444" s="1"/>
      <c r="E444" s="9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>
      <c r="A445" s="1"/>
      <c r="B445" s="1"/>
      <c r="C445" s="1"/>
      <c r="D445" s="1"/>
      <c r="E445" s="9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>
      <c r="A446" s="1"/>
      <c r="B446" s="1"/>
      <c r="C446" s="1"/>
      <c r="D446" s="1"/>
      <c r="E446" s="9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>
      <c r="A447" s="1"/>
      <c r="B447" s="1"/>
      <c r="C447" s="1"/>
      <c r="D447" s="1"/>
      <c r="E447" s="9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>
      <c r="A448" s="1"/>
      <c r="B448" s="1"/>
      <c r="C448" s="1"/>
      <c r="D448" s="1"/>
      <c r="E448" s="9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>
      <c r="A449" s="1"/>
      <c r="B449" s="1"/>
      <c r="C449" s="1"/>
      <c r="D449" s="1"/>
      <c r="E449" s="9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>
      <c r="A450" s="1"/>
      <c r="B450" s="1"/>
      <c r="C450" s="1"/>
      <c r="D450" s="1"/>
      <c r="E450" s="9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>
      <c r="A451" s="1"/>
      <c r="B451" s="1"/>
      <c r="C451" s="1"/>
      <c r="D451" s="1"/>
      <c r="E451" s="9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>
      <c r="A452" s="1"/>
      <c r="B452" s="1"/>
      <c r="C452" s="1"/>
      <c r="D452" s="1"/>
      <c r="E452" s="9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>
      <c r="A453" s="1"/>
      <c r="B453" s="1"/>
      <c r="C453" s="1"/>
      <c r="D453" s="1"/>
      <c r="E453" s="9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>
      <c r="A454" s="1"/>
      <c r="B454" s="1"/>
      <c r="C454" s="1"/>
      <c r="D454" s="1"/>
      <c r="E454" s="9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>
      <c r="A455" s="1"/>
      <c r="B455" s="1"/>
      <c r="C455" s="1"/>
      <c r="D455" s="1"/>
      <c r="E455" s="9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>
      <c r="A456" s="1"/>
      <c r="B456" s="1"/>
      <c r="C456" s="1"/>
      <c r="D456" s="1"/>
      <c r="E456" s="9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>
      <c r="A457" s="1"/>
      <c r="B457" s="1"/>
      <c r="C457" s="1"/>
      <c r="D457" s="1"/>
      <c r="E457" s="9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>
      <c r="A458" s="1"/>
      <c r="B458" s="1"/>
      <c r="C458" s="1"/>
      <c r="D458" s="1"/>
      <c r="E458" s="9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>
      <c r="A459" s="1"/>
      <c r="B459" s="1"/>
      <c r="C459" s="1"/>
      <c r="D459" s="1"/>
      <c r="E459" s="9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>
      <c r="A460" s="1"/>
      <c r="B460" s="1"/>
      <c r="C460" s="1"/>
      <c r="D460" s="1"/>
      <c r="E460" s="9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>
      <c r="A461" s="1"/>
      <c r="B461" s="1"/>
      <c r="C461" s="1"/>
      <c r="D461" s="1"/>
      <c r="E461" s="9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>
      <c r="A462" s="1"/>
      <c r="B462" s="1"/>
      <c r="C462" s="1"/>
      <c r="D462" s="1"/>
      <c r="E462" s="9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>
      <c r="A463" s="1"/>
      <c r="B463" s="1"/>
      <c r="C463" s="1"/>
      <c r="D463" s="1"/>
      <c r="E463" s="9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>
      <c r="A464" s="1"/>
      <c r="B464" s="1"/>
      <c r="C464" s="1"/>
      <c r="D464" s="1"/>
      <c r="E464" s="9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>
      <c r="A465" s="1"/>
      <c r="B465" s="1"/>
      <c r="C465" s="1"/>
      <c r="D465" s="1"/>
      <c r="E465" s="9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>
      <c r="A466" s="1"/>
      <c r="B466" s="1"/>
      <c r="C466" s="1"/>
      <c r="D466" s="1"/>
      <c r="E466" s="9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>
      <c r="A467" s="1"/>
      <c r="B467" s="1"/>
      <c r="C467" s="1"/>
      <c r="D467" s="1"/>
      <c r="E467" s="9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>
      <c r="A468" s="1"/>
      <c r="B468" s="1"/>
      <c r="C468" s="1"/>
      <c r="D468" s="1"/>
      <c r="E468" s="9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>
      <c r="A469" s="1"/>
      <c r="B469" s="1"/>
      <c r="C469" s="1"/>
      <c r="D469" s="1"/>
      <c r="E469" s="9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>
      <c r="A470" s="1"/>
      <c r="B470" s="1"/>
      <c r="C470" s="1"/>
      <c r="D470" s="1"/>
      <c r="E470" s="9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>
      <c r="A471" s="1"/>
      <c r="B471" s="1"/>
      <c r="C471" s="1"/>
      <c r="D471" s="1"/>
      <c r="E471" s="9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>
      <c r="A472" s="1"/>
      <c r="B472" s="1"/>
      <c r="C472" s="1"/>
      <c r="D472" s="1"/>
      <c r="E472" s="9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>
      <c r="A473" s="1"/>
      <c r="B473" s="1"/>
      <c r="C473" s="1"/>
      <c r="D473" s="1"/>
      <c r="E473" s="9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>
      <c r="A474" s="1"/>
      <c r="B474" s="1"/>
      <c r="C474" s="1"/>
      <c r="D474" s="1"/>
      <c r="E474" s="9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>
      <c r="A475" s="1"/>
      <c r="B475" s="1"/>
      <c r="C475" s="1"/>
      <c r="D475" s="1"/>
      <c r="E475" s="9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>
      <c r="A476" s="1"/>
      <c r="B476" s="1"/>
      <c r="C476" s="1"/>
      <c r="D476" s="1"/>
      <c r="E476" s="9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>
      <c r="A477" s="1"/>
      <c r="B477" s="1"/>
      <c r="C477" s="1"/>
      <c r="D477" s="1"/>
      <c r="E477" s="9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>
      <c r="A478" s="1"/>
      <c r="B478" s="1"/>
      <c r="C478" s="1"/>
      <c r="D478" s="1"/>
      <c r="E478" s="9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>
      <c r="A479" s="1"/>
      <c r="B479" s="1"/>
      <c r="C479" s="1"/>
      <c r="D479" s="1"/>
      <c r="E479" s="9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>
      <c r="A480" s="1"/>
      <c r="B480" s="1"/>
      <c r="C480" s="1"/>
      <c r="D480" s="1"/>
      <c r="E480" s="9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>
      <c r="A481" s="1"/>
      <c r="B481" s="1"/>
      <c r="C481" s="1"/>
      <c r="D481" s="1"/>
      <c r="E481" s="9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4">
      <c r="A482" s="1"/>
      <c r="B482" s="1"/>
      <c r="C482" s="1"/>
      <c r="D482" s="1"/>
      <c r="E482" s="9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4">
      <c r="A483" s="1"/>
      <c r="B483" s="1"/>
      <c r="C483" s="1"/>
      <c r="D483" s="1"/>
      <c r="E483" s="9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4">
      <c r="A484" s="1"/>
      <c r="B484" s="1"/>
      <c r="C484" s="1"/>
      <c r="D484" s="1"/>
      <c r="E484" s="9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4">
      <c r="A485" s="1"/>
      <c r="B485" s="1"/>
      <c r="C485" s="1"/>
      <c r="D485" s="1"/>
      <c r="E485" s="9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4">
      <c r="A486" s="1"/>
      <c r="B486" s="1"/>
      <c r="C486" s="1"/>
      <c r="D486" s="1"/>
      <c r="E486" s="9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4">
      <c r="A487" s="1"/>
      <c r="B487" s="1"/>
      <c r="C487" s="1"/>
      <c r="D487" s="1"/>
      <c r="E487" s="9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4">
      <c r="A488" s="1"/>
      <c r="B488" s="1"/>
      <c r="C488" s="1"/>
      <c r="D488" s="1"/>
      <c r="E488" s="9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4">
      <c r="A489" s="1"/>
      <c r="B489" s="1"/>
      <c r="C489" s="1"/>
      <c r="D489" s="1"/>
      <c r="E489" s="9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4">
      <c r="A490" s="1"/>
      <c r="B490" s="1"/>
      <c r="C490" s="1"/>
      <c r="D490" s="1"/>
      <c r="E490" s="9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4">
      <c r="A491" s="1"/>
      <c r="B491" s="1"/>
      <c r="C491" s="1"/>
      <c r="D491" s="1"/>
      <c r="E491" s="9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4">
      <c r="A492" s="1"/>
      <c r="B492" s="1"/>
      <c r="C492" s="1"/>
      <c r="D492" s="1"/>
      <c r="E492" s="9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4">
      <c r="A493" s="1"/>
      <c r="B493" s="1"/>
      <c r="C493" s="1"/>
      <c r="D493" s="1"/>
      <c r="E493" s="9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4">
      <c r="A494" s="1"/>
      <c r="B494" s="1"/>
      <c r="C494" s="1"/>
      <c r="D494" s="1"/>
      <c r="E494" s="9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>
      <c r="A495" s="1"/>
      <c r="B495" s="1"/>
      <c r="C495" s="1"/>
      <c r="D495" s="1"/>
      <c r="E495" s="9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>
      <c r="A496" s="1"/>
      <c r="B496" s="1"/>
      <c r="C496" s="1"/>
      <c r="D496" s="1"/>
      <c r="E496" s="9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>
      <c r="A497" s="1"/>
      <c r="B497" s="1"/>
      <c r="C497" s="1"/>
      <c r="D497" s="1"/>
      <c r="E497" s="9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>
      <c r="A498" s="1"/>
      <c r="B498" s="1"/>
      <c r="C498" s="1"/>
      <c r="D498" s="1"/>
      <c r="E498" s="9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>
      <c r="A499" s="1"/>
      <c r="B499" s="1"/>
      <c r="C499" s="1"/>
      <c r="D499" s="1"/>
      <c r="E499" s="9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>
      <c r="A500" s="1"/>
      <c r="B500" s="1"/>
      <c r="C500" s="1"/>
      <c r="D500" s="1"/>
      <c r="E500" s="9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>
      <c r="A501" s="1"/>
      <c r="B501" s="1"/>
      <c r="C501" s="1"/>
      <c r="D501" s="1"/>
      <c r="E501" s="9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>
      <c r="A502" s="1"/>
      <c r="B502" s="1"/>
      <c r="C502" s="1"/>
      <c r="D502" s="1"/>
      <c r="E502" s="9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>
      <c r="A503" s="1"/>
      <c r="B503" s="1"/>
      <c r="C503" s="1"/>
      <c r="D503" s="1"/>
      <c r="E503" s="9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>
      <c r="A504" s="1"/>
      <c r="B504" s="1"/>
      <c r="C504" s="1"/>
      <c r="D504" s="1"/>
      <c r="E504" s="9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>
      <c r="A505" s="1"/>
      <c r="B505" s="1"/>
      <c r="C505" s="1"/>
      <c r="D505" s="1"/>
      <c r="E505" s="9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>
      <c r="A506" s="1"/>
      <c r="B506" s="1"/>
      <c r="C506" s="1"/>
      <c r="D506" s="1"/>
      <c r="E506" s="9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>
      <c r="A507" s="1"/>
      <c r="B507" s="1"/>
      <c r="C507" s="1"/>
      <c r="D507" s="1"/>
      <c r="E507" s="9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>
      <c r="A508" s="1"/>
      <c r="B508" s="1"/>
      <c r="C508" s="1"/>
      <c r="D508" s="1"/>
      <c r="E508" s="9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>
      <c r="A509" s="1"/>
      <c r="B509" s="1"/>
      <c r="C509" s="1"/>
      <c r="D509" s="1"/>
      <c r="E509" s="9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>
      <c r="A510" s="1"/>
      <c r="B510" s="1"/>
      <c r="C510" s="1"/>
      <c r="D510" s="1"/>
      <c r="E510" s="9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>
      <c r="A511" s="1"/>
      <c r="B511" s="1"/>
      <c r="C511" s="1"/>
      <c r="D511" s="1"/>
      <c r="E511" s="9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>
      <c r="A512" s="1"/>
      <c r="B512" s="1"/>
      <c r="C512" s="1"/>
      <c r="D512" s="1"/>
      <c r="E512" s="9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>
      <c r="A513" s="1"/>
      <c r="B513" s="1"/>
      <c r="C513" s="1"/>
      <c r="D513" s="1"/>
      <c r="E513" s="9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>
      <c r="A514" s="1"/>
      <c r="B514" s="1"/>
      <c r="C514" s="1"/>
      <c r="D514" s="1"/>
      <c r="E514" s="9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>
      <c r="A515" s="1"/>
      <c r="B515" s="1"/>
      <c r="C515" s="1"/>
      <c r="D515" s="1"/>
      <c r="E515" s="9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>
      <c r="A516" s="1"/>
      <c r="B516" s="1"/>
      <c r="C516" s="1"/>
      <c r="D516" s="1"/>
      <c r="E516" s="9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>
      <c r="A517" s="1"/>
      <c r="B517" s="1"/>
      <c r="C517" s="1"/>
      <c r="D517" s="1"/>
      <c r="E517" s="9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>
      <c r="A518" s="1"/>
      <c r="B518" s="1"/>
      <c r="C518" s="1"/>
      <c r="D518" s="1"/>
      <c r="E518" s="9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>
      <c r="A519" s="1"/>
      <c r="B519" s="1"/>
      <c r="C519" s="1"/>
      <c r="D519" s="1"/>
      <c r="E519" s="9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>
      <c r="A520" s="1"/>
      <c r="B520" s="1"/>
      <c r="C520" s="1"/>
      <c r="D520" s="1"/>
      <c r="E520" s="9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>
      <c r="A521" s="1"/>
      <c r="B521" s="1"/>
      <c r="C521" s="1"/>
      <c r="D521" s="1"/>
      <c r="E521" s="9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>
      <c r="A522" s="1"/>
      <c r="B522" s="1"/>
      <c r="C522" s="1"/>
      <c r="D522" s="1"/>
      <c r="E522" s="9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>
      <c r="A523" s="1"/>
      <c r="B523" s="1"/>
      <c r="C523" s="1"/>
      <c r="D523" s="1"/>
      <c r="E523" s="9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>
      <c r="A524" s="1"/>
      <c r="B524" s="1"/>
      <c r="C524" s="1"/>
      <c r="D524" s="1"/>
      <c r="E524" s="9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>
      <c r="A525" s="1"/>
      <c r="B525" s="1"/>
      <c r="C525" s="1"/>
      <c r="D525" s="1"/>
      <c r="E525" s="9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>
      <c r="A526" s="1"/>
      <c r="B526" s="1"/>
      <c r="C526" s="1"/>
      <c r="D526" s="1"/>
      <c r="E526" s="9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>
      <c r="A527" s="1"/>
      <c r="B527" s="1"/>
      <c r="C527" s="1"/>
      <c r="D527" s="1"/>
      <c r="E527" s="9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>
      <c r="A528" s="1"/>
      <c r="B528" s="1"/>
      <c r="C528" s="1"/>
      <c r="D528" s="1"/>
      <c r="E528" s="9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>
      <c r="A529" s="1"/>
      <c r="B529" s="1"/>
      <c r="C529" s="1"/>
      <c r="D529" s="1"/>
      <c r="E529" s="9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>
      <c r="A530" s="1"/>
      <c r="B530" s="1"/>
      <c r="C530" s="1"/>
      <c r="D530" s="1"/>
      <c r="E530" s="9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>
      <c r="A531" s="1"/>
      <c r="B531" s="1"/>
      <c r="C531" s="1"/>
      <c r="D531" s="1"/>
      <c r="E531" s="9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>
      <c r="A532" s="1"/>
      <c r="B532" s="1"/>
      <c r="C532" s="1"/>
      <c r="D532" s="1"/>
      <c r="E532" s="9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>
      <c r="A533" s="1"/>
      <c r="B533" s="1"/>
      <c r="C533" s="1"/>
      <c r="D533" s="1"/>
      <c r="E533" s="9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>
      <c r="A534" s="1"/>
      <c r="B534" s="1"/>
      <c r="C534" s="1"/>
      <c r="D534" s="1"/>
      <c r="E534" s="9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>
      <c r="A535" s="1"/>
      <c r="B535" s="1"/>
      <c r="C535" s="1"/>
      <c r="D535" s="1"/>
      <c r="E535" s="9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>
      <c r="A536" s="1"/>
      <c r="B536" s="1"/>
      <c r="C536" s="1"/>
      <c r="D536" s="1"/>
      <c r="E536" s="9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>
      <c r="A537" s="1"/>
      <c r="B537" s="1"/>
      <c r="C537" s="1"/>
      <c r="D537" s="1"/>
      <c r="E537" s="9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>
      <c r="A538" s="1"/>
      <c r="B538" s="1"/>
      <c r="C538" s="1"/>
      <c r="D538" s="1"/>
      <c r="E538" s="9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>
      <c r="A539" s="1"/>
      <c r="B539" s="1"/>
      <c r="C539" s="1"/>
      <c r="D539" s="1"/>
      <c r="E539" s="9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>
      <c r="A540" s="1"/>
      <c r="B540" s="1"/>
      <c r="C540" s="1"/>
      <c r="D540" s="1"/>
      <c r="E540" s="9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>
      <c r="A541" s="1"/>
      <c r="B541" s="1"/>
      <c r="C541" s="1"/>
      <c r="D541" s="1"/>
      <c r="E541" s="9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>
      <c r="A542" s="1"/>
      <c r="B542" s="1"/>
      <c r="C542" s="1"/>
      <c r="D542" s="1"/>
      <c r="E542" s="9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>
      <c r="A543" s="1"/>
      <c r="B543" s="1"/>
      <c r="C543" s="1"/>
      <c r="D543" s="1"/>
      <c r="E543" s="9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>
      <c r="A544" s="1"/>
      <c r="B544" s="1"/>
      <c r="C544" s="1"/>
      <c r="D544" s="1"/>
      <c r="E544" s="9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>
      <c r="A545" s="1"/>
      <c r="B545" s="1"/>
      <c r="C545" s="1"/>
      <c r="D545" s="1"/>
      <c r="E545" s="9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>
      <c r="A546" s="1"/>
      <c r="B546" s="1"/>
      <c r="C546" s="1"/>
      <c r="D546" s="1"/>
      <c r="E546" s="9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>
      <c r="A547" s="1"/>
      <c r="B547" s="1"/>
      <c r="C547" s="1"/>
      <c r="D547" s="1"/>
      <c r="E547" s="9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>
      <c r="A548" s="1"/>
      <c r="B548" s="1"/>
      <c r="C548" s="1"/>
      <c r="D548" s="1"/>
      <c r="E548" s="9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>
      <c r="A549" s="1"/>
      <c r="B549" s="1"/>
      <c r="C549" s="1"/>
      <c r="D549" s="1"/>
      <c r="E549" s="9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>
      <c r="A550" s="1"/>
      <c r="B550" s="1"/>
      <c r="C550" s="1"/>
      <c r="D550" s="1"/>
      <c r="E550" s="9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>
      <c r="A551" s="1"/>
      <c r="B551" s="1"/>
      <c r="C551" s="1"/>
      <c r="D551" s="1"/>
      <c r="E551" s="9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>
      <c r="A552" s="1"/>
      <c r="B552" s="1"/>
      <c r="C552" s="1"/>
      <c r="D552" s="1"/>
      <c r="E552" s="9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>
      <c r="A553" s="1"/>
      <c r="B553" s="1"/>
      <c r="C553" s="1"/>
      <c r="D553" s="1"/>
      <c r="E553" s="9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>
      <c r="A554" s="1"/>
      <c r="B554" s="1"/>
      <c r="C554" s="1"/>
      <c r="D554" s="1"/>
      <c r="E554" s="9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>
      <c r="A555" s="1"/>
      <c r="B555" s="1"/>
      <c r="C555" s="1"/>
      <c r="D555" s="1"/>
      <c r="E555" s="9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>
      <c r="A556" s="1"/>
      <c r="B556" s="1"/>
      <c r="C556" s="1"/>
      <c r="D556" s="1"/>
      <c r="E556" s="9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>
      <c r="A557" s="1"/>
      <c r="B557" s="1"/>
      <c r="C557" s="1"/>
      <c r="D557" s="1"/>
      <c r="E557" s="9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>
      <c r="A558" s="1"/>
      <c r="B558" s="1"/>
      <c r="C558" s="1"/>
      <c r="D558" s="1"/>
      <c r="E558" s="9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>
      <c r="A559" s="1"/>
      <c r="B559" s="1"/>
      <c r="C559" s="1"/>
      <c r="D559" s="1"/>
      <c r="E559" s="9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>
      <c r="A560" s="1"/>
      <c r="B560" s="1"/>
      <c r="C560" s="1"/>
      <c r="D560" s="1"/>
      <c r="E560" s="9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>
      <c r="A561" s="1"/>
      <c r="B561" s="1"/>
      <c r="C561" s="1"/>
      <c r="D561" s="1"/>
      <c r="E561" s="9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>
      <c r="A562" s="1"/>
      <c r="B562" s="1"/>
      <c r="C562" s="1"/>
      <c r="D562" s="1"/>
      <c r="E562" s="9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>
      <c r="A563" s="1"/>
      <c r="B563" s="1"/>
      <c r="C563" s="1"/>
      <c r="D563" s="1"/>
      <c r="E563" s="9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>
      <c r="A564" s="1"/>
      <c r="B564" s="1"/>
      <c r="C564" s="1"/>
      <c r="D564" s="1"/>
      <c r="E564" s="9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>
      <c r="A565" s="1"/>
      <c r="B565" s="1"/>
      <c r="C565" s="1"/>
      <c r="D565" s="1"/>
      <c r="E565" s="9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>
      <c r="A566" s="1"/>
      <c r="B566" s="1"/>
      <c r="C566" s="1"/>
      <c r="D566" s="1"/>
      <c r="E566" s="9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>
      <c r="A567" s="1"/>
      <c r="B567" s="1"/>
      <c r="C567" s="1"/>
      <c r="D567" s="1"/>
      <c r="E567" s="9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>
      <c r="A568" s="1"/>
      <c r="B568" s="1"/>
      <c r="C568" s="1"/>
      <c r="D568" s="1"/>
      <c r="E568" s="9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>
      <c r="A569" s="1"/>
      <c r="B569" s="1"/>
      <c r="C569" s="1"/>
      <c r="D569" s="1"/>
      <c r="E569" s="9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>
      <c r="A570" s="1"/>
      <c r="B570" s="1"/>
      <c r="C570" s="1"/>
      <c r="D570" s="1"/>
      <c r="E570" s="9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>
      <c r="A571" s="1"/>
      <c r="B571" s="1"/>
      <c r="C571" s="1"/>
      <c r="D571" s="1"/>
      <c r="E571" s="9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>
      <c r="A572" s="1"/>
      <c r="B572" s="1"/>
      <c r="C572" s="1"/>
      <c r="D572" s="1"/>
      <c r="E572" s="9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>
      <c r="A573" s="1"/>
      <c r="B573" s="1"/>
      <c r="C573" s="1"/>
      <c r="D573" s="1"/>
      <c r="E573" s="9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>
      <c r="A574" s="1"/>
      <c r="B574" s="1"/>
      <c r="C574" s="1"/>
      <c r="D574" s="1"/>
      <c r="E574" s="9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>
      <c r="A575" s="1"/>
      <c r="B575" s="1"/>
      <c r="C575" s="1"/>
      <c r="D575" s="1"/>
      <c r="E575" s="9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>
      <c r="A576" s="1"/>
      <c r="B576" s="1"/>
      <c r="C576" s="1"/>
      <c r="D576" s="1"/>
      <c r="E576" s="9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>
      <c r="A577" s="1"/>
      <c r="B577" s="1"/>
      <c r="C577" s="1"/>
      <c r="D577" s="1"/>
      <c r="E577" s="9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>
      <c r="A578" s="1"/>
      <c r="B578" s="1"/>
      <c r="C578" s="1"/>
      <c r="D578" s="1"/>
      <c r="E578" s="9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>
      <c r="A579" s="1"/>
      <c r="B579" s="1"/>
      <c r="C579" s="1"/>
      <c r="D579" s="1"/>
      <c r="E579" s="9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>
      <c r="A580" s="1"/>
      <c r="B580" s="1"/>
      <c r="C580" s="1"/>
      <c r="D580" s="1"/>
      <c r="E580" s="9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>
      <c r="A581" s="1"/>
      <c r="B581" s="1"/>
      <c r="C581" s="1"/>
      <c r="D581" s="1"/>
      <c r="E581" s="9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>
      <c r="A582" s="1"/>
      <c r="B582" s="1"/>
      <c r="C582" s="1"/>
      <c r="D582" s="1"/>
      <c r="E582" s="9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>
      <c r="A583" s="1"/>
      <c r="B583" s="1"/>
      <c r="C583" s="1"/>
      <c r="D583" s="1"/>
      <c r="E583" s="9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>
      <c r="A584" s="1"/>
      <c r="B584" s="1"/>
      <c r="C584" s="1"/>
      <c r="D584" s="1"/>
      <c r="E584" s="9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>
      <c r="A585" s="1"/>
      <c r="B585" s="1"/>
      <c r="C585" s="1"/>
      <c r="D585" s="1"/>
      <c r="E585" s="9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>
      <c r="A586" s="1"/>
      <c r="B586" s="1"/>
      <c r="C586" s="1"/>
      <c r="D586" s="1"/>
      <c r="E586" s="9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>
      <c r="A587" s="1"/>
      <c r="B587" s="1"/>
      <c r="C587" s="1"/>
      <c r="D587" s="1"/>
      <c r="E587" s="9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>
      <c r="A588" s="1"/>
      <c r="B588" s="1"/>
      <c r="C588" s="1"/>
      <c r="D588" s="1"/>
      <c r="E588" s="9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>
      <c r="A589" s="1"/>
      <c r="B589" s="1"/>
      <c r="C589" s="1"/>
      <c r="D589" s="1"/>
      <c r="E589" s="9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>
      <c r="A590" s="1"/>
      <c r="B590" s="1"/>
      <c r="C590" s="1"/>
      <c r="D590" s="1"/>
      <c r="E590" s="9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>
      <c r="A591" s="1"/>
      <c r="B591" s="1"/>
      <c r="C591" s="1"/>
      <c r="D591" s="1"/>
      <c r="E591" s="9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>
      <c r="A592" s="1"/>
      <c r="B592" s="1"/>
      <c r="C592" s="1"/>
      <c r="D592" s="1"/>
      <c r="E592" s="9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>
      <c r="A593" s="1"/>
      <c r="B593" s="1"/>
      <c r="C593" s="1"/>
      <c r="D593" s="1"/>
      <c r="E593" s="9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>
      <c r="A594" s="1"/>
      <c r="B594" s="1"/>
      <c r="C594" s="1"/>
      <c r="D594" s="1"/>
      <c r="E594" s="9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>
      <c r="A595" s="1"/>
      <c r="B595" s="1"/>
      <c r="C595" s="1"/>
      <c r="D595" s="1"/>
      <c r="E595" s="9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>
      <c r="A596" s="1"/>
      <c r="B596" s="1"/>
      <c r="C596" s="1"/>
      <c r="D596" s="1"/>
      <c r="E596" s="9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>
      <c r="A597" s="1"/>
      <c r="B597" s="1"/>
      <c r="C597" s="1"/>
      <c r="D597" s="1"/>
      <c r="E597" s="9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>
      <c r="A598" s="1"/>
      <c r="B598" s="1"/>
      <c r="C598" s="1"/>
      <c r="D598" s="1"/>
      <c r="E598" s="9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>
      <c r="A599" s="1"/>
      <c r="B599" s="1"/>
      <c r="C599" s="1"/>
      <c r="D599" s="1"/>
      <c r="E599" s="9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>
      <c r="A600" s="1"/>
      <c r="B600" s="1"/>
      <c r="C600" s="1"/>
      <c r="D600" s="1"/>
      <c r="E600" s="9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>
      <c r="A601" s="1"/>
      <c r="B601" s="1"/>
      <c r="C601" s="1"/>
      <c r="D601" s="1"/>
      <c r="E601" s="9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>
      <c r="A602" s="1"/>
      <c r="B602" s="1"/>
      <c r="C602" s="1"/>
      <c r="D602" s="1"/>
      <c r="E602" s="9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>
      <c r="A603" s="1"/>
      <c r="B603" s="1"/>
      <c r="C603" s="1"/>
      <c r="D603" s="1"/>
      <c r="E603" s="9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>
      <c r="A604" s="1"/>
      <c r="B604" s="1"/>
      <c r="C604" s="1"/>
      <c r="D604" s="1"/>
      <c r="E604" s="9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>
      <c r="A605" s="1"/>
      <c r="B605" s="1"/>
      <c r="C605" s="1"/>
      <c r="D605" s="1"/>
      <c r="E605" s="9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>
      <c r="A606" s="1"/>
      <c r="B606" s="1"/>
      <c r="C606" s="1"/>
      <c r="D606" s="1"/>
      <c r="E606" s="9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>
      <c r="A607" s="1"/>
      <c r="B607" s="1"/>
      <c r="C607" s="1"/>
      <c r="D607" s="1"/>
      <c r="E607" s="9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>
      <c r="A608" s="1"/>
      <c r="B608" s="1"/>
      <c r="C608" s="1"/>
      <c r="D608" s="1"/>
      <c r="E608" s="9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>
      <c r="A609" s="1"/>
      <c r="B609" s="1"/>
      <c r="C609" s="1"/>
      <c r="D609" s="1"/>
      <c r="E609" s="9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>
      <c r="A610" s="1"/>
      <c r="B610" s="1"/>
      <c r="C610" s="1"/>
      <c r="D610" s="1"/>
      <c r="E610" s="9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>
      <c r="A611" s="1"/>
      <c r="B611" s="1"/>
      <c r="C611" s="1"/>
      <c r="D611" s="1"/>
      <c r="E611" s="9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>
      <c r="A612" s="1"/>
      <c r="B612" s="1"/>
      <c r="C612" s="1"/>
      <c r="D612" s="1"/>
      <c r="E612" s="9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>
      <c r="A613" s="1"/>
      <c r="B613" s="1"/>
      <c r="C613" s="1"/>
      <c r="D613" s="1"/>
      <c r="E613" s="9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>
      <c r="A614" s="1"/>
      <c r="B614" s="1"/>
      <c r="C614" s="1"/>
      <c r="D614" s="1"/>
      <c r="E614" s="9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>
      <c r="A615" s="1"/>
      <c r="B615" s="1"/>
      <c r="C615" s="1"/>
      <c r="D615" s="1"/>
      <c r="E615" s="9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>
      <c r="A616" s="1"/>
      <c r="B616" s="1"/>
      <c r="C616" s="1"/>
      <c r="D616" s="1"/>
      <c r="E616" s="9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>
      <c r="A617" s="1"/>
      <c r="B617" s="1"/>
      <c r="C617" s="1"/>
      <c r="D617" s="1"/>
      <c r="E617" s="9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>
      <c r="A618" s="1"/>
      <c r="B618" s="1"/>
      <c r="C618" s="1"/>
      <c r="D618" s="1"/>
      <c r="E618" s="9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>
      <c r="A619" s="1"/>
      <c r="B619" s="1"/>
      <c r="C619" s="1"/>
      <c r="D619" s="1"/>
      <c r="E619" s="9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>
      <c r="A620" s="1"/>
      <c r="B620" s="1"/>
      <c r="C620" s="1"/>
      <c r="D620" s="1"/>
      <c r="E620" s="9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>
      <c r="A621" s="1"/>
      <c r="B621" s="1"/>
      <c r="C621" s="1"/>
      <c r="D621" s="1"/>
      <c r="E621" s="9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>
      <c r="A622" s="1"/>
      <c r="B622" s="1"/>
      <c r="C622" s="1"/>
      <c r="D622" s="1"/>
      <c r="E622" s="9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>
      <c r="A623" s="1"/>
      <c r="B623" s="1"/>
      <c r="C623" s="1"/>
      <c r="D623" s="1"/>
      <c r="E623" s="9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>
      <c r="A624" s="1"/>
      <c r="B624" s="1"/>
      <c r="C624" s="1"/>
      <c r="D624" s="1"/>
      <c r="E624" s="9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>
      <c r="A625" s="1"/>
      <c r="B625" s="1"/>
      <c r="C625" s="1"/>
      <c r="D625" s="1"/>
      <c r="E625" s="9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>
      <c r="A626" s="1"/>
      <c r="B626" s="1"/>
      <c r="C626" s="1"/>
      <c r="D626" s="1"/>
      <c r="E626" s="9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>
      <c r="A627" s="1"/>
      <c r="B627" s="1"/>
      <c r="C627" s="1"/>
      <c r="D627" s="1"/>
      <c r="E627" s="9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>
      <c r="A628" s="1"/>
      <c r="B628" s="1"/>
      <c r="C628" s="1"/>
      <c r="D628" s="1"/>
      <c r="E628" s="9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>
      <c r="A629" s="1"/>
      <c r="B629" s="1"/>
      <c r="C629" s="1"/>
      <c r="D629" s="1"/>
      <c r="E629" s="9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>
      <c r="A630" s="1"/>
      <c r="B630" s="1"/>
      <c r="C630" s="1"/>
      <c r="D630" s="1"/>
      <c r="E630" s="9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>
      <c r="A631" s="1"/>
      <c r="B631" s="1"/>
      <c r="C631" s="1"/>
      <c r="D631" s="1"/>
      <c r="E631" s="9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>
      <c r="A632" s="1"/>
      <c r="B632" s="1"/>
      <c r="C632" s="1"/>
      <c r="D632" s="1"/>
      <c r="E632" s="9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>
      <c r="A633" s="1"/>
      <c r="B633" s="1"/>
      <c r="C633" s="1"/>
      <c r="D633" s="1"/>
      <c r="E633" s="9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>
      <c r="A634" s="1"/>
      <c r="B634" s="1"/>
      <c r="C634" s="1"/>
      <c r="D634" s="1"/>
      <c r="E634" s="9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>
      <c r="A635" s="1"/>
      <c r="B635" s="1"/>
      <c r="C635" s="1"/>
      <c r="D635" s="1"/>
      <c r="E635" s="9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>
      <c r="A636" s="1"/>
      <c r="B636" s="1"/>
      <c r="C636" s="1"/>
      <c r="D636" s="1"/>
      <c r="E636" s="9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>
      <c r="A637" s="1"/>
      <c r="B637" s="1"/>
      <c r="C637" s="1"/>
      <c r="D637" s="1"/>
      <c r="E637" s="9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>
      <c r="A638" s="1"/>
      <c r="B638" s="1"/>
      <c r="C638" s="1"/>
      <c r="D638" s="1"/>
      <c r="E638" s="9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>
      <c r="A639" s="1"/>
      <c r="B639" s="1"/>
      <c r="C639" s="1"/>
      <c r="D639" s="1"/>
      <c r="E639" s="9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>
      <c r="A640" s="1"/>
      <c r="B640" s="1"/>
      <c r="C640" s="1"/>
      <c r="D640" s="1"/>
      <c r="E640" s="9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>
      <c r="A641" s="1"/>
      <c r="B641" s="1"/>
      <c r="C641" s="1"/>
      <c r="D641" s="1"/>
      <c r="E641" s="9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>
      <c r="A642" s="1"/>
      <c r="B642" s="1"/>
      <c r="C642" s="1"/>
      <c r="D642" s="1"/>
      <c r="E642" s="9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>
      <c r="A643" s="1"/>
      <c r="B643" s="1"/>
      <c r="C643" s="1"/>
      <c r="D643" s="1"/>
      <c r="E643" s="9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>
      <c r="A644" s="1"/>
      <c r="B644" s="1"/>
      <c r="C644" s="1"/>
      <c r="D644" s="1"/>
      <c r="E644" s="9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>
      <c r="A645" s="1"/>
      <c r="B645" s="1"/>
      <c r="C645" s="1"/>
      <c r="D645" s="1"/>
      <c r="E645" s="9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>
      <c r="A646" s="1"/>
      <c r="B646" s="1"/>
      <c r="C646" s="1"/>
      <c r="D646" s="1"/>
      <c r="E646" s="9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>
      <c r="A647" s="1"/>
      <c r="B647" s="1"/>
      <c r="C647" s="1"/>
      <c r="D647" s="1"/>
      <c r="E647" s="9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>
      <c r="A648" s="1"/>
      <c r="B648" s="1"/>
      <c r="C648" s="1"/>
      <c r="D648" s="1"/>
      <c r="E648" s="9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>
      <c r="A649" s="1"/>
      <c r="B649" s="1"/>
      <c r="C649" s="1"/>
      <c r="D649" s="1"/>
      <c r="E649" s="9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>
      <c r="A650" s="1"/>
      <c r="B650" s="1"/>
      <c r="C650" s="1"/>
      <c r="D650" s="1"/>
      <c r="E650" s="9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>
      <c r="A651" s="1"/>
      <c r="B651" s="1"/>
      <c r="C651" s="1"/>
      <c r="D651" s="1"/>
      <c r="E651" s="9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>
      <c r="A652" s="1"/>
      <c r="B652" s="1"/>
      <c r="C652" s="1"/>
      <c r="D652" s="1"/>
      <c r="E652" s="9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>
      <c r="A653" s="1"/>
      <c r="B653" s="1"/>
      <c r="C653" s="1"/>
      <c r="D653" s="1"/>
      <c r="E653" s="9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>
      <c r="A654" s="1"/>
      <c r="B654" s="1"/>
      <c r="C654" s="1"/>
      <c r="D654" s="1"/>
      <c r="E654" s="9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>
      <c r="A655" s="1"/>
      <c r="B655" s="1"/>
      <c r="C655" s="1"/>
      <c r="D655" s="1"/>
      <c r="E655" s="9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>
      <c r="A656" s="1"/>
      <c r="B656" s="1"/>
      <c r="C656" s="1"/>
      <c r="D656" s="1"/>
      <c r="E656" s="9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>
      <c r="A657" s="1"/>
      <c r="B657" s="1"/>
      <c r="C657" s="1"/>
      <c r="D657" s="1"/>
      <c r="E657" s="9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>
      <c r="A658" s="1"/>
      <c r="B658" s="1"/>
      <c r="C658" s="1"/>
      <c r="D658" s="1"/>
      <c r="E658" s="9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>
      <c r="A659" s="1"/>
      <c r="B659" s="1"/>
      <c r="C659" s="1"/>
      <c r="D659" s="1"/>
      <c r="E659" s="9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>
      <c r="A660" s="1"/>
      <c r="B660" s="1"/>
      <c r="C660" s="1"/>
      <c r="D660" s="1"/>
      <c r="E660" s="9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>
      <c r="A661" s="1"/>
      <c r="B661" s="1"/>
      <c r="C661" s="1"/>
      <c r="D661" s="1"/>
      <c r="E661" s="9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>
      <c r="A662" s="1"/>
      <c r="B662" s="1"/>
      <c r="C662" s="1"/>
      <c r="D662" s="1"/>
      <c r="E662" s="9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>
      <c r="A663" s="1"/>
      <c r="B663" s="1"/>
      <c r="C663" s="1"/>
      <c r="D663" s="1"/>
      <c r="E663" s="9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>
      <c r="A664" s="1"/>
      <c r="B664" s="1"/>
      <c r="C664" s="1"/>
      <c r="D664" s="1"/>
      <c r="E664" s="9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>
      <c r="A665" s="1"/>
      <c r="B665" s="1"/>
      <c r="C665" s="1"/>
      <c r="D665" s="1"/>
      <c r="E665" s="9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>
      <c r="A666" s="1"/>
      <c r="B666" s="1"/>
      <c r="C666" s="1"/>
      <c r="D666" s="1"/>
      <c r="E666" s="9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>
      <c r="A667" s="1"/>
      <c r="B667" s="1"/>
      <c r="C667" s="1"/>
      <c r="D667" s="1"/>
      <c r="E667" s="9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>
      <c r="A668" s="1"/>
      <c r="B668" s="1"/>
      <c r="C668" s="1"/>
      <c r="D668" s="1"/>
      <c r="E668" s="9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>
      <c r="A669" s="1"/>
      <c r="B669" s="1"/>
      <c r="C669" s="1"/>
      <c r="D669" s="1"/>
      <c r="E669" s="9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>
      <c r="A670" s="1"/>
      <c r="B670" s="1"/>
      <c r="C670" s="1"/>
      <c r="D670" s="1"/>
      <c r="E670" s="9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>
      <c r="A671" s="1"/>
      <c r="B671" s="1"/>
      <c r="C671" s="1"/>
      <c r="D671" s="1"/>
      <c r="E671" s="9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>
      <c r="A672" s="1"/>
      <c r="B672" s="1"/>
      <c r="C672" s="1"/>
      <c r="D672" s="1"/>
      <c r="E672" s="9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>
      <c r="A673" s="1"/>
      <c r="B673" s="1"/>
      <c r="C673" s="1"/>
      <c r="D673" s="1"/>
      <c r="E673" s="9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>
      <c r="A674" s="1"/>
      <c r="B674" s="1"/>
      <c r="C674" s="1"/>
      <c r="D674" s="1"/>
      <c r="E674" s="9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>
      <c r="A675" s="1"/>
      <c r="B675" s="1"/>
      <c r="C675" s="1"/>
      <c r="D675" s="1"/>
      <c r="E675" s="9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>
      <c r="A676" s="1"/>
      <c r="B676" s="1"/>
      <c r="C676" s="1"/>
      <c r="D676" s="1"/>
      <c r="E676" s="9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>
      <c r="A677" s="1"/>
      <c r="B677" s="1"/>
      <c r="C677" s="1"/>
      <c r="D677" s="1"/>
      <c r="E677" s="9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>
      <c r="A678" s="1"/>
      <c r="B678" s="1"/>
      <c r="C678" s="1"/>
      <c r="D678" s="1"/>
      <c r="E678" s="9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>
      <c r="A679" s="1"/>
      <c r="B679" s="1"/>
      <c r="C679" s="1"/>
      <c r="D679" s="1"/>
      <c r="E679" s="9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>
      <c r="A680" s="1"/>
      <c r="B680" s="1"/>
      <c r="C680" s="1"/>
      <c r="D680" s="1"/>
      <c r="E680" s="9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>
      <c r="A681" s="1"/>
      <c r="B681" s="1"/>
      <c r="C681" s="1"/>
      <c r="D681" s="1"/>
      <c r="E681" s="9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>
      <c r="A682" s="1"/>
      <c r="B682" s="1"/>
      <c r="C682" s="1"/>
      <c r="D682" s="1"/>
      <c r="E682" s="9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>
      <c r="A683" s="1"/>
      <c r="B683" s="1"/>
      <c r="C683" s="1"/>
      <c r="D683" s="1"/>
      <c r="E683" s="9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>
      <c r="A684" s="1"/>
      <c r="B684" s="1"/>
      <c r="C684" s="1"/>
      <c r="D684" s="1"/>
      <c r="E684" s="9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>
      <c r="A685" s="1"/>
      <c r="B685" s="1"/>
      <c r="C685" s="1"/>
      <c r="D685" s="1"/>
      <c r="E685" s="9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>
      <c r="A686" s="1"/>
      <c r="B686" s="1"/>
      <c r="C686" s="1"/>
      <c r="D686" s="1"/>
      <c r="E686" s="9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>
      <c r="A687" s="1"/>
      <c r="B687" s="1"/>
      <c r="C687" s="1"/>
      <c r="D687" s="1"/>
      <c r="E687" s="9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>
      <c r="A688" s="1"/>
      <c r="B688" s="1"/>
      <c r="C688" s="1"/>
      <c r="D688" s="1"/>
      <c r="E688" s="9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>
      <c r="A689" s="1"/>
      <c r="B689" s="1"/>
      <c r="C689" s="1"/>
      <c r="D689" s="1"/>
      <c r="E689" s="9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>
      <c r="A690" s="1"/>
      <c r="B690" s="1"/>
      <c r="C690" s="1"/>
      <c r="D690" s="1"/>
      <c r="E690" s="9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>
      <c r="A691" s="1"/>
      <c r="B691" s="1"/>
      <c r="C691" s="1"/>
      <c r="D691" s="1"/>
      <c r="E691" s="9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>
      <c r="A692" s="1"/>
      <c r="B692" s="1"/>
      <c r="C692" s="1"/>
      <c r="D692" s="1"/>
      <c r="E692" s="9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>
      <c r="A693" s="1"/>
      <c r="B693" s="1"/>
      <c r="C693" s="1"/>
      <c r="D693" s="1"/>
      <c r="E693" s="9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>
      <c r="A694" s="1"/>
      <c r="B694" s="1"/>
      <c r="C694" s="1"/>
      <c r="D694" s="1"/>
      <c r="E694" s="9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>
      <c r="A695" s="1"/>
      <c r="B695" s="1"/>
      <c r="C695" s="1"/>
      <c r="D695" s="1"/>
      <c r="E695" s="9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>
      <c r="A696" s="1"/>
      <c r="B696" s="1"/>
      <c r="C696" s="1"/>
      <c r="D696" s="1"/>
      <c r="E696" s="9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>
      <c r="A697" s="1"/>
      <c r="B697" s="1"/>
      <c r="C697" s="1"/>
      <c r="D697" s="1"/>
      <c r="E697" s="9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>
      <c r="A698" s="1"/>
      <c r="B698" s="1"/>
      <c r="C698" s="1"/>
      <c r="D698" s="1"/>
      <c r="E698" s="9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>
      <c r="A699" s="1"/>
      <c r="B699" s="1"/>
      <c r="C699" s="1"/>
      <c r="D699" s="1"/>
      <c r="E699" s="9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>
      <c r="A700" s="1"/>
      <c r="B700" s="1"/>
      <c r="C700" s="1"/>
      <c r="D700" s="1"/>
      <c r="E700" s="9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>
      <c r="A701" s="1"/>
      <c r="B701" s="1"/>
      <c r="C701" s="1"/>
      <c r="D701" s="1"/>
      <c r="E701" s="9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>
      <c r="A702" s="1"/>
      <c r="B702" s="1"/>
      <c r="C702" s="1"/>
      <c r="D702" s="1"/>
      <c r="E702" s="9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>
      <c r="A703" s="1"/>
      <c r="B703" s="1"/>
      <c r="C703" s="1"/>
      <c r="D703" s="1"/>
      <c r="E703" s="9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>
      <c r="A704" s="1"/>
      <c r="B704" s="1"/>
      <c r="C704" s="1"/>
      <c r="D704" s="1"/>
      <c r="E704" s="9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>
      <c r="A705" s="1"/>
      <c r="B705" s="1"/>
      <c r="C705" s="1"/>
      <c r="D705" s="1"/>
      <c r="E705" s="9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>
      <c r="A706" s="1"/>
      <c r="B706" s="1"/>
      <c r="C706" s="1"/>
      <c r="D706" s="1"/>
      <c r="E706" s="9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>
      <c r="A707" s="1"/>
      <c r="B707" s="1"/>
      <c r="C707" s="1"/>
      <c r="D707" s="1"/>
      <c r="E707" s="9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>
      <c r="A708" s="1"/>
      <c r="B708" s="1"/>
      <c r="C708" s="1"/>
      <c r="D708" s="1"/>
      <c r="E708" s="9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>
      <c r="A709" s="1"/>
      <c r="B709" s="1"/>
      <c r="C709" s="1"/>
      <c r="D709" s="1"/>
      <c r="E709" s="9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>
      <c r="A710" s="1"/>
      <c r="B710" s="1"/>
      <c r="C710" s="1"/>
      <c r="D710" s="1"/>
      <c r="E710" s="9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>
      <c r="A711" s="1"/>
      <c r="B711" s="1"/>
      <c r="C711" s="1"/>
      <c r="D711" s="1"/>
      <c r="E711" s="9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>
      <c r="A712" s="1"/>
      <c r="B712" s="1"/>
      <c r="C712" s="1"/>
      <c r="D712" s="1"/>
      <c r="E712" s="9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>
      <c r="A713" s="1"/>
      <c r="B713" s="1"/>
      <c r="C713" s="1"/>
      <c r="D713" s="1"/>
      <c r="E713" s="9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>
      <c r="A714" s="1"/>
      <c r="B714" s="1"/>
      <c r="C714" s="1"/>
      <c r="D714" s="1"/>
      <c r="E714" s="9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>
      <c r="A715" s="1"/>
      <c r="B715" s="1"/>
      <c r="C715" s="1"/>
      <c r="D715" s="1"/>
      <c r="E715" s="9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>
      <c r="A716" s="1"/>
      <c r="B716" s="1"/>
      <c r="C716" s="1"/>
      <c r="D716" s="1"/>
      <c r="E716" s="9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>
      <c r="A717" s="1"/>
      <c r="B717" s="1"/>
      <c r="C717" s="1"/>
      <c r="D717" s="1"/>
      <c r="E717" s="9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>
      <c r="A718" s="1"/>
      <c r="B718" s="1"/>
      <c r="C718" s="1"/>
      <c r="D718" s="1"/>
      <c r="E718" s="9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>
      <c r="A719" s="1"/>
      <c r="B719" s="1"/>
      <c r="C719" s="1"/>
      <c r="D719" s="1"/>
      <c r="E719" s="9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>
      <c r="A720" s="1"/>
      <c r="B720" s="1"/>
      <c r="C720" s="1"/>
      <c r="D720" s="1"/>
      <c r="E720" s="9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>
      <c r="A721" s="1"/>
      <c r="B721" s="1"/>
      <c r="C721" s="1"/>
      <c r="D721" s="1"/>
      <c r="E721" s="9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>
      <c r="A722" s="1"/>
      <c r="B722" s="1"/>
      <c r="C722" s="1"/>
      <c r="D722" s="1"/>
      <c r="E722" s="9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>
      <c r="A723" s="1"/>
      <c r="B723" s="1"/>
      <c r="C723" s="1"/>
      <c r="D723" s="1"/>
      <c r="E723" s="9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>
      <c r="A724" s="1"/>
      <c r="B724" s="1"/>
      <c r="C724" s="1"/>
      <c r="D724" s="1"/>
      <c r="E724" s="9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>
      <c r="A725" s="1"/>
      <c r="B725" s="1"/>
      <c r="C725" s="1"/>
      <c r="D725" s="1"/>
      <c r="E725" s="9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>
      <c r="A726" s="1"/>
      <c r="B726" s="1"/>
      <c r="C726" s="1"/>
      <c r="D726" s="1"/>
      <c r="E726" s="9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>
      <c r="A727" s="1"/>
      <c r="B727" s="1"/>
      <c r="C727" s="1"/>
      <c r="D727" s="1"/>
      <c r="E727" s="9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>
      <c r="A728" s="1"/>
      <c r="B728" s="1"/>
      <c r="C728" s="1"/>
      <c r="D728" s="1"/>
      <c r="E728" s="9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>
      <c r="A729" s="1"/>
      <c r="B729" s="1"/>
      <c r="C729" s="1"/>
      <c r="D729" s="1"/>
      <c r="E729" s="9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>
      <c r="A730" s="1"/>
      <c r="B730" s="1"/>
      <c r="C730" s="1"/>
      <c r="D730" s="1"/>
      <c r="E730" s="9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>
      <c r="A731" s="1"/>
      <c r="B731" s="1"/>
      <c r="C731" s="1"/>
      <c r="D731" s="1"/>
      <c r="E731" s="9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>
      <c r="A732" s="1"/>
      <c r="B732" s="1"/>
      <c r="C732" s="1"/>
      <c r="D732" s="1"/>
      <c r="E732" s="9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>
      <c r="A733" s="1"/>
      <c r="B733" s="1"/>
      <c r="C733" s="1"/>
      <c r="D733" s="1"/>
      <c r="E733" s="9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>
      <c r="A734" s="1"/>
      <c r="B734" s="1"/>
      <c r="C734" s="1"/>
      <c r="D734" s="1"/>
      <c r="E734" s="9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>
      <c r="A735" s="1"/>
      <c r="B735" s="1"/>
      <c r="C735" s="1"/>
      <c r="D735" s="1"/>
      <c r="E735" s="9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>
      <c r="A736" s="1"/>
      <c r="B736" s="1"/>
      <c r="C736" s="1"/>
      <c r="D736" s="1"/>
      <c r="E736" s="9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>
      <c r="A737" s="1"/>
      <c r="B737" s="1"/>
      <c r="C737" s="1"/>
      <c r="D737" s="1"/>
      <c r="E737" s="9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>
      <c r="A738" s="1"/>
      <c r="B738" s="1"/>
      <c r="C738" s="1"/>
      <c r="D738" s="1"/>
      <c r="E738" s="9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>
      <c r="A739" s="1"/>
      <c r="B739" s="1"/>
      <c r="C739" s="1"/>
      <c r="D739" s="1"/>
      <c r="E739" s="9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>
      <c r="A740" s="1"/>
      <c r="B740" s="1"/>
      <c r="C740" s="1"/>
      <c r="D740" s="1"/>
      <c r="E740" s="9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>
      <c r="A741" s="1"/>
      <c r="B741" s="1"/>
      <c r="C741" s="1"/>
      <c r="D741" s="1"/>
      <c r="E741" s="9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>
      <c r="A742" s="1"/>
      <c r="B742" s="1"/>
      <c r="C742" s="1"/>
      <c r="D742" s="1"/>
      <c r="E742" s="9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>
      <c r="A743" s="1"/>
      <c r="B743" s="1"/>
      <c r="C743" s="1"/>
      <c r="D743" s="1"/>
      <c r="E743" s="9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>
      <c r="A744" s="1"/>
      <c r="B744" s="1"/>
      <c r="C744" s="1"/>
      <c r="D744" s="1"/>
      <c r="E744" s="9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>
      <c r="A745" s="1"/>
      <c r="B745" s="1"/>
      <c r="C745" s="1"/>
      <c r="D745" s="1"/>
      <c r="E745" s="9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>
      <c r="A746" s="1"/>
      <c r="B746" s="1"/>
      <c r="C746" s="1"/>
      <c r="D746" s="1"/>
      <c r="E746" s="9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>
      <c r="A747" s="1"/>
      <c r="B747" s="1"/>
      <c r="C747" s="1"/>
      <c r="D747" s="1"/>
      <c r="E747" s="9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>
      <c r="A748" s="1"/>
      <c r="B748" s="1"/>
      <c r="C748" s="1"/>
      <c r="D748" s="1"/>
      <c r="E748" s="9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>
      <c r="A749" s="1"/>
      <c r="B749" s="1"/>
      <c r="C749" s="1"/>
      <c r="D749" s="1"/>
      <c r="E749" s="9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>
      <c r="A750" s="1"/>
      <c r="B750" s="1"/>
      <c r="C750" s="1"/>
      <c r="D750" s="1"/>
      <c r="E750" s="9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>
      <c r="A751" s="1"/>
      <c r="B751" s="1"/>
      <c r="C751" s="1"/>
      <c r="D751" s="1"/>
      <c r="E751" s="9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>
      <c r="A752" s="1"/>
      <c r="B752" s="1"/>
      <c r="C752" s="1"/>
      <c r="D752" s="1"/>
      <c r="E752" s="9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>
      <c r="A753" s="1"/>
      <c r="B753" s="1"/>
      <c r="C753" s="1"/>
      <c r="D753" s="1"/>
      <c r="E753" s="9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>
      <c r="A754" s="1"/>
      <c r="B754" s="1"/>
      <c r="C754" s="1"/>
      <c r="D754" s="1"/>
      <c r="E754" s="9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>
      <c r="A755" s="1"/>
      <c r="B755" s="1"/>
      <c r="C755" s="1"/>
      <c r="D755" s="1"/>
      <c r="E755" s="9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>
      <c r="A756" s="1"/>
      <c r="B756" s="1"/>
      <c r="C756" s="1"/>
      <c r="D756" s="1"/>
      <c r="E756" s="9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>
      <c r="A757" s="1"/>
      <c r="B757" s="1"/>
      <c r="C757" s="1"/>
      <c r="D757" s="1"/>
      <c r="E757" s="9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>
      <c r="A758" s="1"/>
      <c r="B758" s="1"/>
      <c r="C758" s="1"/>
      <c r="D758" s="1"/>
      <c r="E758" s="9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>
      <c r="A759" s="1"/>
      <c r="B759" s="1"/>
      <c r="C759" s="1"/>
      <c r="D759" s="1"/>
      <c r="E759" s="9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>
      <c r="A760" s="1"/>
      <c r="B760" s="1"/>
      <c r="C760" s="1"/>
      <c r="D760" s="1"/>
      <c r="E760" s="9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>
      <c r="A761" s="1"/>
      <c r="B761" s="1"/>
      <c r="C761" s="1"/>
      <c r="D761" s="1"/>
      <c r="E761" s="9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>
      <c r="A762" s="1"/>
      <c r="B762" s="1"/>
      <c r="C762" s="1"/>
      <c r="D762" s="1"/>
      <c r="E762" s="9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>
      <c r="A763" s="1"/>
      <c r="B763" s="1"/>
      <c r="C763" s="1"/>
      <c r="D763" s="1"/>
      <c r="E763" s="9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>
      <c r="A764" s="1"/>
      <c r="B764" s="1"/>
      <c r="C764" s="1"/>
      <c r="D764" s="1"/>
      <c r="E764" s="9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>
      <c r="A765" s="1"/>
      <c r="B765" s="1"/>
      <c r="C765" s="1"/>
      <c r="D765" s="1"/>
      <c r="E765" s="9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>
      <c r="A766" s="1"/>
      <c r="B766" s="1"/>
      <c r="C766" s="1"/>
      <c r="D766" s="1"/>
      <c r="E766" s="9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>
      <c r="A767" s="1"/>
      <c r="B767" s="1"/>
      <c r="C767" s="1"/>
      <c r="D767" s="1"/>
      <c r="E767" s="9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>
      <c r="A768" s="1"/>
      <c r="B768" s="1"/>
      <c r="C768" s="1"/>
      <c r="D768" s="1"/>
      <c r="E768" s="9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>
      <c r="A769" s="1"/>
      <c r="B769" s="1"/>
      <c r="C769" s="1"/>
      <c r="D769" s="1"/>
      <c r="E769" s="9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>
      <c r="A770" s="1"/>
      <c r="B770" s="1"/>
      <c r="C770" s="1"/>
      <c r="D770" s="1"/>
      <c r="E770" s="9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>
      <c r="A771" s="1"/>
      <c r="B771" s="1"/>
      <c r="C771" s="1"/>
      <c r="D771" s="1"/>
      <c r="E771" s="9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>
      <c r="A772" s="1"/>
      <c r="B772" s="1"/>
      <c r="C772" s="1"/>
      <c r="D772" s="1"/>
      <c r="E772" s="9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>
      <c r="A773" s="1"/>
      <c r="B773" s="1"/>
      <c r="C773" s="1"/>
      <c r="D773" s="1"/>
      <c r="E773" s="9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>
      <c r="A774" s="1"/>
      <c r="B774" s="1"/>
      <c r="C774" s="1"/>
      <c r="D774" s="1"/>
      <c r="E774" s="9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>
      <c r="A775" s="1"/>
      <c r="B775" s="1"/>
      <c r="C775" s="1"/>
      <c r="D775" s="1"/>
      <c r="E775" s="9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>
      <c r="A776" s="1"/>
      <c r="B776" s="1"/>
      <c r="C776" s="1"/>
      <c r="D776" s="1"/>
      <c r="E776" s="9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>
      <c r="A777" s="1"/>
      <c r="B777" s="1"/>
      <c r="C777" s="1"/>
      <c r="D777" s="1"/>
      <c r="E777" s="9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>
      <c r="A778" s="1"/>
      <c r="B778" s="1"/>
      <c r="C778" s="1"/>
      <c r="D778" s="1"/>
      <c r="E778" s="9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>
      <c r="A779" s="1"/>
      <c r="B779" s="1"/>
      <c r="C779" s="1"/>
      <c r="D779" s="1"/>
      <c r="E779" s="9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>
      <c r="A780" s="1"/>
      <c r="B780" s="1"/>
      <c r="C780" s="1"/>
      <c r="D780" s="1"/>
      <c r="E780" s="9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>
      <c r="A781" s="1"/>
      <c r="B781" s="1"/>
      <c r="C781" s="1"/>
      <c r="D781" s="1"/>
      <c r="E781" s="9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>
      <c r="A782" s="1"/>
      <c r="B782" s="1"/>
      <c r="C782" s="1"/>
      <c r="D782" s="1"/>
      <c r="E782" s="9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>
      <c r="A783" s="1"/>
      <c r="B783" s="1"/>
      <c r="C783" s="1"/>
      <c r="D783" s="1"/>
      <c r="E783" s="9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>
      <c r="A784" s="1"/>
      <c r="B784" s="1"/>
      <c r="C784" s="1"/>
      <c r="D784" s="1"/>
      <c r="E784" s="9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>
      <c r="A785" s="1"/>
      <c r="B785" s="1"/>
      <c r="C785" s="1"/>
      <c r="D785" s="1"/>
      <c r="E785" s="9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>
      <c r="A786" s="1"/>
      <c r="B786" s="1"/>
      <c r="C786" s="1"/>
      <c r="D786" s="1"/>
      <c r="E786" s="9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>
      <c r="A787" s="1"/>
      <c r="B787" s="1"/>
      <c r="C787" s="1"/>
      <c r="D787" s="1"/>
      <c r="E787" s="9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>
      <c r="A788" s="1"/>
      <c r="B788" s="1"/>
      <c r="C788" s="1"/>
      <c r="D788" s="1"/>
      <c r="E788" s="9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>
      <c r="A789" s="1"/>
      <c r="B789" s="1"/>
      <c r="C789" s="1"/>
      <c r="D789" s="1"/>
      <c r="E789" s="9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>
      <c r="A790" s="1"/>
      <c r="B790" s="1"/>
      <c r="C790" s="1"/>
      <c r="D790" s="1"/>
      <c r="E790" s="9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>
      <c r="A791" s="1"/>
      <c r="B791" s="1"/>
      <c r="C791" s="1"/>
      <c r="D791" s="1"/>
      <c r="E791" s="9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>
      <c r="A792" s="1"/>
      <c r="B792" s="1"/>
      <c r="C792" s="1"/>
      <c r="D792" s="1"/>
      <c r="E792" s="9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>
      <c r="A793" s="1"/>
      <c r="B793" s="1"/>
      <c r="C793" s="1"/>
      <c r="D793" s="1"/>
      <c r="E793" s="9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>
      <c r="A794" s="1"/>
      <c r="B794" s="1"/>
      <c r="C794" s="1"/>
      <c r="D794" s="1"/>
      <c r="E794" s="9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>
      <c r="A795" s="1"/>
      <c r="B795" s="1"/>
      <c r="C795" s="1"/>
      <c r="D795" s="1"/>
      <c r="E795" s="9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>
      <c r="A796" s="1"/>
      <c r="B796" s="1"/>
      <c r="C796" s="1"/>
      <c r="D796" s="1"/>
      <c r="E796" s="9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>
      <c r="A797" s="1"/>
      <c r="B797" s="1"/>
      <c r="C797" s="1"/>
      <c r="D797" s="1"/>
      <c r="E797" s="9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>
      <c r="A798" s="1"/>
      <c r="B798" s="1"/>
      <c r="C798" s="1"/>
      <c r="D798" s="1"/>
      <c r="E798" s="9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>
      <c r="A799" s="1"/>
      <c r="B799" s="1"/>
      <c r="C799" s="1"/>
      <c r="D799" s="1"/>
      <c r="E799" s="9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>
      <c r="A800" s="1"/>
      <c r="B800" s="1"/>
      <c r="C800" s="1"/>
      <c r="D800" s="1"/>
      <c r="E800" s="9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>
      <c r="A801" s="1"/>
      <c r="B801" s="1"/>
      <c r="C801" s="1"/>
      <c r="D801" s="1"/>
      <c r="E801" s="9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>
      <c r="A802" s="1"/>
      <c r="B802" s="1"/>
      <c r="C802" s="1"/>
      <c r="D802" s="1"/>
      <c r="E802" s="9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>
      <c r="A803" s="1"/>
      <c r="B803" s="1"/>
      <c r="C803" s="1"/>
      <c r="D803" s="1"/>
      <c r="E803" s="9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>
      <c r="A804" s="1"/>
      <c r="B804" s="1"/>
      <c r="C804" s="1"/>
      <c r="D804" s="1"/>
      <c r="E804" s="9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>
      <c r="A805" s="1"/>
      <c r="B805" s="1"/>
      <c r="C805" s="1"/>
      <c r="D805" s="1"/>
      <c r="E805" s="9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>
      <c r="A806" s="1"/>
      <c r="B806" s="1"/>
      <c r="C806" s="1"/>
      <c r="D806" s="1"/>
      <c r="E806" s="9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>
      <c r="A807" s="1"/>
      <c r="B807" s="1"/>
      <c r="C807" s="1"/>
      <c r="D807" s="1"/>
      <c r="E807" s="9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>
      <c r="A808" s="1"/>
      <c r="B808" s="1"/>
      <c r="C808" s="1"/>
      <c r="D808" s="1"/>
      <c r="E808" s="9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>
      <c r="A809" s="1"/>
      <c r="B809" s="1"/>
      <c r="C809" s="1"/>
      <c r="D809" s="1"/>
      <c r="E809" s="9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>
      <c r="A810" s="1"/>
      <c r="B810" s="1"/>
      <c r="C810" s="1"/>
      <c r="D810" s="1"/>
      <c r="E810" s="9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>
      <c r="A811" s="1"/>
      <c r="B811" s="1"/>
      <c r="C811" s="1"/>
      <c r="D811" s="1"/>
      <c r="E811" s="9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>
      <c r="A812" s="1"/>
      <c r="B812" s="1"/>
      <c r="C812" s="1"/>
      <c r="D812" s="1"/>
      <c r="E812" s="9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>
      <c r="A813" s="1"/>
      <c r="B813" s="1"/>
      <c r="C813" s="1"/>
      <c r="D813" s="1"/>
      <c r="E813" s="9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>
      <c r="A814" s="1"/>
      <c r="B814" s="1"/>
      <c r="C814" s="1"/>
      <c r="D814" s="1"/>
      <c r="E814" s="9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>
      <c r="A815" s="1"/>
      <c r="B815" s="1"/>
      <c r="C815" s="1"/>
      <c r="D815" s="1"/>
      <c r="E815" s="9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>
      <c r="A816" s="1"/>
      <c r="B816" s="1"/>
      <c r="C816" s="1"/>
      <c r="D816" s="1"/>
      <c r="E816" s="9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>
      <c r="A817" s="1"/>
      <c r="B817" s="1"/>
      <c r="C817" s="1"/>
      <c r="D817" s="1"/>
      <c r="E817" s="9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>
      <c r="A818" s="1"/>
      <c r="B818" s="1"/>
      <c r="C818" s="1"/>
      <c r="D818" s="1"/>
      <c r="E818" s="9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>
      <c r="A819" s="1"/>
      <c r="B819" s="1"/>
      <c r="C819" s="1"/>
      <c r="D819" s="1"/>
      <c r="E819" s="9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>
      <c r="A820" s="1"/>
      <c r="B820" s="1"/>
      <c r="C820" s="1"/>
      <c r="D820" s="1"/>
      <c r="E820" s="9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>
      <c r="A821" s="1"/>
      <c r="B821" s="1"/>
      <c r="C821" s="1"/>
      <c r="D821" s="1"/>
      <c r="E821" s="9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>
      <c r="A822" s="1"/>
      <c r="B822" s="1"/>
      <c r="C822" s="1"/>
      <c r="D822" s="1"/>
      <c r="E822" s="9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>
      <c r="A823" s="1"/>
      <c r="B823" s="1"/>
      <c r="C823" s="1"/>
      <c r="D823" s="1"/>
      <c r="E823" s="9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>
      <c r="A824" s="1"/>
      <c r="B824" s="1"/>
      <c r="C824" s="1"/>
      <c r="D824" s="1"/>
      <c r="E824" s="9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>
      <c r="A825" s="1"/>
      <c r="B825" s="1"/>
      <c r="C825" s="1"/>
      <c r="D825" s="1"/>
      <c r="E825" s="9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>
      <c r="A826" s="1"/>
      <c r="B826" s="1"/>
      <c r="C826" s="1"/>
      <c r="D826" s="1"/>
      <c r="E826" s="9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>
      <c r="A827" s="1"/>
      <c r="B827" s="1"/>
      <c r="C827" s="1"/>
      <c r="D827" s="1"/>
      <c r="E827" s="9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>
      <c r="A828" s="1"/>
      <c r="B828" s="1"/>
      <c r="C828" s="1"/>
      <c r="D828" s="1"/>
      <c r="E828" s="9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>
      <c r="A829" s="1"/>
      <c r="B829" s="1"/>
      <c r="C829" s="1"/>
      <c r="D829" s="1"/>
      <c r="E829" s="9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>
      <c r="A830" s="1"/>
      <c r="B830" s="1"/>
      <c r="C830" s="1"/>
      <c r="D830" s="1"/>
      <c r="E830" s="9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>
      <c r="A831" s="1"/>
      <c r="B831" s="1"/>
      <c r="C831" s="1"/>
      <c r="D831" s="1"/>
      <c r="E831" s="9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>
      <c r="A832" s="1"/>
      <c r="B832" s="1"/>
      <c r="C832" s="1"/>
      <c r="D832" s="1"/>
      <c r="E832" s="9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>
      <c r="A833" s="1"/>
      <c r="B833" s="1"/>
      <c r="C833" s="1"/>
      <c r="D833" s="1"/>
      <c r="E833" s="9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>
      <c r="A834" s="1"/>
      <c r="B834" s="1"/>
      <c r="C834" s="1"/>
      <c r="D834" s="1"/>
      <c r="E834" s="9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>
      <c r="A835" s="1"/>
      <c r="B835" s="1"/>
      <c r="C835" s="1"/>
      <c r="D835" s="1"/>
      <c r="E835" s="9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>
      <c r="A836" s="1"/>
      <c r="B836" s="1"/>
      <c r="C836" s="1"/>
      <c r="D836" s="1"/>
      <c r="E836" s="9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>
      <c r="A837" s="1"/>
      <c r="B837" s="1"/>
      <c r="C837" s="1"/>
      <c r="D837" s="1"/>
      <c r="E837" s="9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>
      <c r="A838" s="1"/>
      <c r="B838" s="1"/>
      <c r="C838" s="1"/>
      <c r="D838" s="1"/>
      <c r="E838" s="9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>
      <c r="A839" s="1"/>
      <c r="B839" s="1"/>
      <c r="C839" s="1"/>
      <c r="D839" s="1"/>
      <c r="E839" s="9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>
      <c r="A840" s="1"/>
      <c r="B840" s="1"/>
      <c r="C840" s="1"/>
      <c r="D840" s="1"/>
      <c r="E840" s="9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>
      <c r="A841" s="1"/>
      <c r="B841" s="1"/>
      <c r="C841" s="1"/>
      <c r="D841" s="1"/>
      <c r="E841" s="9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>
      <c r="A842" s="1"/>
      <c r="B842" s="1"/>
      <c r="C842" s="1"/>
      <c r="D842" s="1"/>
      <c r="E842" s="9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>
      <c r="A843" s="1"/>
      <c r="B843" s="1"/>
      <c r="C843" s="1"/>
      <c r="D843" s="1"/>
      <c r="E843" s="9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>
      <c r="A844" s="1"/>
      <c r="B844" s="1"/>
      <c r="C844" s="1"/>
      <c r="D844" s="1"/>
      <c r="E844" s="9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>
      <c r="A845" s="1"/>
      <c r="B845" s="1"/>
      <c r="C845" s="1"/>
      <c r="D845" s="1"/>
      <c r="E845" s="9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>
      <c r="A846" s="1"/>
      <c r="B846" s="1"/>
      <c r="C846" s="1"/>
      <c r="D846" s="1"/>
      <c r="E846" s="9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>
      <c r="A847" s="1"/>
      <c r="B847" s="1"/>
      <c r="C847" s="1"/>
      <c r="D847" s="1"/>
      <c r="E847" s="9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>
      <c r="A848" s="1"/>
      <c r="B848" s="1"/>
      <c r="C848" s="1"/>
      <c r="D848" s="1"/>
      <c r="E848" s="9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>
      <c r="A849" s="1"/>
      <c r="B849" s="1"/>
      <c r="C849" s="1"/>
      <c r="D849" s="1"/>
      <c r="E849" s="9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>
      <c r="A850" s="1"/>
      <c r="B850" s="1"/>
      <c r="C850" s="1"/>
      <c r="D850" s="1"/>
      <c r="E850" s="9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>
      <c r="A851" s="1"/>
      <c r="B851" s="1"/>
      <c r="C851" s="1"/>
      <c r="D851" s="1"/>
      <c r="E851" s="9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>
      <c r="A852" s="1"/>
      <c r="B852" s="1"/>
      <c r="C852" s="1"/>
      <c r="D852" s="1"/>
      <c r="E852" s="9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>
      <c r="A853" s="1"/>
      <c r="B853" s="1"/>
      <c r="C853" s="1"/>
      <c r="D853" s="1"/>
      <c r="E853" s="9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>
      <c r="A854" s="1"/>
      <c r="B854" s="1"/>
      <c r="C854" s="1"/>
      <c r="D854" s="1"/>
      <c r="E854" s="9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>
      <c r="A855" s="1"/>
      <c r="B855" s="1"/>
      <c r="C855" s="1"/>
      <c r="D855" s="1"/>
      <c r="E855" s="9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>
      <c r="A856" s="1"/>
      <c r="B856" s="1"/>
      <c r="C856" s="1"/>
      <c r="D856" s="1"/>
      <c r="E856" s="9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>
      <c r="A857" s="1"/>
      <c r="B857" s="1"/>
      <c r="C857" s="1"/>
      <c r="D857" s="1"/>
      <c r="E857" s="9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>
      <c r="A858" s="1"/>
      <c r="B858" s="1"/>
      <c r="C858" s="1"/>
      <c r="D858" s="1"/>
      <c r="E858" s="9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>
      <c r="A859" s="1"/>
      <c r="B859" s="1"/>
      <c r="C859" s="1"/>
      <c r="D859" s="1"/>
      <c r="E859" s="9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>
      <c r="A860" s="1"/>
      <c r="B860" s="1"/>
      <c r="C860" s="1"/>
      <c r="D860" s="1"/>
      <c r="E860" s="9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>
      <c r="A861" s="1"/>
      <c r="B861" s="1"/>
      <c r="C861" s="1"/>
      <c r="D861" s="1"/>
      <c r="E861" s="9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>
      <c r="A862" s="1"/>
      <c r="B862" s="1"/>
      <c r="C862" s="1"/>
      <c r="D862" s="1"/>
      <c r="E862" s="9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>
      <c r="A863" s="1"/>
      <c r="B863" s="1"/>
      <c r="C863" s="1"/>
      <c r="D863" s="1"/>
      <c r="E863" s="9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>
      <c r="A864" s="1"/>
      <c r="B864" s="1"/>
      <c r="C864" s="1"/>
      <c r="D864" s="1"/>
      <c r="E864" s="9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>
      <c r="A865" s="1"/>
      <c r="B865" s="1"/>
      <c r="C865" s="1"/>
      <c r="D865" s="1"/>
      <c r="E865" s="9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>
      <c r="A866" s="1"/>
      <c r="B866" s="1"/>
      <c r="C866" s="1"/>
      <c r="D866" s="1"/>
      <c r="E866" s="9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>
      <c r="A867" s="1"/>
      <c r="B867" s="1"/>
      <c r="C867" s="1"/>
      <c r="D867" s="1"/>
      <c r="E867" s="9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>
      <c r="A868" s="1"/>
      <c r="B868" s="1"/>
      <c r="C868" s="1"/>
      <c r="D868" s="1"/>
      <c r="E868" s="9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>
      <c r="A869" s="1"/>
      <c r="B869" s="1"/>
      <c r="C869" s="1"/>
      <c r="D869" s="1"/>
      <c r="E869" s="9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>
      <c r="A870" s="1"/>
      <c r="B870" s="1"/>
      <c r="C870" s="1"/>
      <c r="D870" s="1"/>
      <c r="E870" s="9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>
      <c r="A871" s="1"/>
      <c r="B871" s="1"/>
      <c r="C871" s="1"/>
      <c r="D871" s="1"/>
      <c r="E871" s="9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>
      <c r="A872" s="1"/>
      <c r="B872" s="1"/>
      <c r="C872" s="1"/>
      <c r="D872" s="1"/>
      <c r="E872" s="9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>
      <c r="A873" s="1"/>
      <c r="B873" s="1"/>
      <c r="C873" s="1"/>
      <c r="D873" s="1"/>
      <c r="E873" s="9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>
      <c r="A874" s="1"/>
      <c r="B874" s="1"/>
      <c r="C874" s="1"/>
      <c r="D874" s="1"/>
      <c r="E874" s="9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>
      <c r="A875" s="1"/>
      <c r="B875" s="1"/>
      <c r="C875" s="1"/>
      <c r="D875" s="1"/>
      <c r="E875" s="9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>
      <c r="A876" s="1"/>
      <c r="B876" s="1"/>
      <c r="C876" s="1"/>
      <c r="D876" s="1"/>
      <c r="E876" s="9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>
      <c r="A877" s="1"/>
      <c r="B877" s="1"/>
      <c r="C877" s="1"/>
      <c r="D877" s="1"/>
      <c r="E877" s="9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>
      <c r="A878" s="1"/>
      <c r="B878" s="1"/>
      <c r="C878" s="1"/>
      <c r="D878" s="1"/>
      <c r="E878" s="9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>
      <c r="A879" s="1"/>
      <c r="B879" s="1"/>
      <c r="C879" s="1"/>
      <c r="D879" s="1"/>
      <c r="E879" s="9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>
      <c r="A880" s="1"/>
      <c r="B880" s="1"/>
      <c r="C880" s="1"/>
      <c r="D880" s="1"/>
      <c r="E880" s="9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>
      <c r="A881" s="1"/>
      <c r="B881" s="1"/>
      <c r="C881" s="1"/>
      <c r="D881" s="1"/>
      <c r="E881" s="9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>
      <c r="A882" s="1"/>
      <c r="B882" s="1"/>
      <c r="C882" s="1"/>
      <c r="D882" s="1"/>
      <c r="E882" s="9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>
      <c r="A883" s="1"/>
      <c r="B883" s="1"/>
      <c r="C883" s="1"/>
      <c r="D883" s="1"/>
      <c r="E883" s="9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>
      <c r="A884" s="1"/>
      <c r="B884" s="1"/>
      <c r="C884" s="1"/>
      <c r="D884" s="1"/>
      <c r="E884" s="9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>
      <c r="A885" s="1"/>
      <c r="B885" s="1"/>
      <c r="C885" s="1"/>
      <c r="D885" s="1"/>
      <c r="E885" s="9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>
      <c r="A886" s="1"/>
      <c r="B886" s="1"/>
      <c r="C886" s="1"/>
      <c r="D886" s="1"/>
      <c r="E886" s="9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>
      <c r="A887" s="1"/>
      <c r="B887" s="1"/>
      <c r="C887" s="1"/>
      <c r="D887" s="1"/>
      <c r="E887" s="9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>
      <c r="A888" s="1"/>
      <c r="B888" s="1"/>
      <c r="C888" s="1"/>
      <c r="D888" s="1"/>
      <c r="E888" s="9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>
      <c r="A889" s="1"/>
      <c r="B889" s="1"/>
      <c r="C889" s="1"/>
      <c r="D889" s="1"/>
      <c r="E889" s="9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>
      <c r="A890" s="1"/>
      <c r="B890" s="1"/>
      <c r="C890" s="1"/>
      <c r="D890" s="1"/>
      <c r="E890" s="9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>
      <c r="A891" s="1"/>
      <c r="B891" s="1"/>
      <c r="C891" s="1"/>
      <c r="D891" s="1"/>
      <c r="E891" s="9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>
      <c r="A892" s="1"/>
      <c r="B892" s="1"/>
      <c r="C892" s="1"/>
      <c r="D892" s="1"/>
      <c r="E892" s="9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>
      <c r="A893" s="1"/>
      <c r="B893" s="1"/>
      <c r="C893" s="1"/>
      <c r="D893" s="1"/>
      <c r="E893" s="9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>
      <c r="A894" s="1"/>
      <c r="B894" s="1"/>
      <c r="C894" s="1"/>
      <c r="D894" s="1"/>
      <c r="E894" s="9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>
      <c r="A895" s="1"/>
      <c r="B895" s="1"/>
      <c r="C895" s="1"/>
      <c r="D895" s="1"/>
      <c r="E895" s="9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>
      <c r="A896" s="1"/>
      <c r="B896" s="1"/>
      <c r="C896" s="1"/>
      <c r="D896" s="1"/>
      <c r="E896" s="9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>
      <c r="A897" s="1"/>
      <c r="B897" s="1"/>
      <c r="C897" s="1"/>
      <c r="D897" s="1"/>
      <c r="E897" s="9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>
      <c r="A898" s="1"/>
      <c r="B898" s="1"/>
      <c r="C898" s="1"/>
      <c r="D898" s="1"/>
      <c r="E898" s="9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>
      <c r="A899" s="1"/>
      <c r="B899" s="1"/>
      <c r="C899" s="1"/>
      <c r="D899" s="1"/>
      <c r="E899" s="9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>
      <c r="A900" s="1"/>
      <c r="B900" s="1"/>
      <c r="C900" s="1"/>
      <c r="D900" s="1"/>
      <c r="E900" s="9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>
      <c r="A901" s="1"/>
      <c r="B901" s="1"/>
      <c r="C901" s="1"/>
      <c r="D901" s="1"/>
      <c r="E901" s="9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>
      <c r="A902" s="1"/>
      <c r="B902" s="1"/>
      <c r="C902" s="1"/>
      <c r="D902" s="1"/>
      <c r="E902" s="9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>
      <c r="A903" s="1"/>
      <c r="B903" s="1"/>
      <c r="C903" s="1"/>
      <c r="D903" s="1"/>
      <c r="E903" s="9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>
      <c r="A904" s="1"/>
      <c r="B904" s="1"/>
      <c r="C904" s="1"/>
      <c r="D904" s="1"/>
      <c r="E904" s="9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>
      <c r="A905" s="1"/>
      <c r="B905" s="1"/>
      <c r="C905" s="1"/>
      <c r="D905" s="1"/>
      <c r="E905" s="9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>
      <c r="A906" s="1"/>
      <c r="B906" s="1"/>
      <c r="C906" s="1"/>
      <c r="D906" s="1"/>
      <c r="E906" s="9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>
      <c r="A907" s="1"/>
      <c r="B907" s="1"/>
      <c r="C907" s="1"/>
      <c r="D907" s="1"/>
      <c r="E907" s="9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>
      <c r="A908" s="1"/>
      <c r="B908" s="1"/>
      <c r="C908" s="1"/>
      <c r="D908" s="1"/>
      <c r="E908" s="9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>
      <c r="A909" s="1"/>
      <c r="B909" s="1"/>
      <c r="C909" s="1"/>
      <c r="D909" s="1"/>
      <c r="E909" s="9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>
      <c r="A910" s="1"/>
      <c r="B910" s="1"/>
      <c r="C910" s="1"/>
      <c r="D910" s="1"/>
      <c r="E910" s="9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>
      <c r="A911" s="1"/>
      <c r="B911" s="1"/>
      <c r="C911" s="1"/>
      <c r="D911" s="1"/>
      <c r="E911" s="9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>
      <c r="A912" s="1"/>
      <c r="B912" s="1"/>
      <c r="C912" s="1"/>
      <c r="D912" s="1"/>
      <c r="E912" s="9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>
      <c r="A913" s="1"/>
      <c r="B913" s="1"/>
      <c r="C913" s="1"/>
      <c r="D913" s="1"/>
      <c r="E913" s="9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>
      <c r="A914" s="1"/>
      <c r="B914" s="1"/>
      <c r="C914" s="1"/>
      <c r="D914" s="1"/>
      <c r="E914" s="9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>
      <c r="A915" s="1"/>
      <c r="B915" s="1"/>
      <c r="C915" s="1"/>
      <c r="D915" s="1"/>
      <c r="E915" s="9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>
      <c r="A916" s="1"/>
      <c r="B916" s="1"/>
      <c r="C916" s="1"/>
      <c r="D916" s="1"/>
      <c r="E916" s="9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>
      <c r="A917" s="1"/>
      <c r="B917" s="1"/>
      <c r="C917" s="1"/>
      <c r="D917" s="1"/>
      <c r="E917" s="9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>
      <c r="A918" s="1"/>
      <c r="B918" s="1"/>
      <c r="C918" s="1"/>
      <c r="D918" s="1"/>
      <c r="E918" s="9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>
      <c r="A919" s="1"/>
      <c r="B919" s="1"/>
      <c r="C919" s="1"/>
      <c r="D919" s="1"/>
      <c r="E919" s="9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>
      <c r="A920" s="1"/>
      <c r="B920" s="1"/>
      <c r="C920" s="1"/>
      <c r="D920" s="1"/>
      <c r="E920" s="9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>
      <c r="A921" s="1"/>
      <c r="B921" s="1"/>
      <c r="C921" s="1"/>
      <c r="D921" s="1"/>
      <c r="E921" s="9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>
      <c r="A922" s="1"/>
      <c r="B922" s="1"/>
      <c r="C922" s="1"/>
      <c r="D922" s="1"/>
      <c r="E922" s="9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>
      <c r="A923" s="1"/>
      <c r="B923" s="1"/>
      <c r="C923" s="1"/>
      <c r="D923" s="1"/>
      <c r="E923" s="9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>
      <c r="A924" s="1"/>
      <c r="B924" s="1"/>
      <c r="C924" s="1"/>
      <c r="D924" s="1"/>
      <c r="E924" s="9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>
      <c r="A925" s="1"/>
      <c r="B925" s="1"/>
      <c r="C925" s="1"/>
      <c r="D925" s="1"/>
      <c r="E925" s="9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>
      <c r="A926" s="1"/>
      <c r="B926" s="1"/>
      <c r="C926" s="1"/>
      <c r="D926" s="1"/>
      <c r="E926" s="9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>
      <c r="A927" s="1"/>
      <c r="B927" s="1"/>
      <c r="C927" s="1"/>
      <c r="D927" s="1"/>
      <c r="E927" s="9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>
      <c r="A928" s="1"/>
      <c r="B928" s="1"/>
      <c r="C928" s="1"/>
      <c r="D928" s="1"/>
      <c r="E928" s="9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>
      <c r="A929" s="1"/>
      <c r="B929" s="1"/>
      <c r="C929" s="1"/>
      <c r="D929" s="1"/>
      <c r="E929" s="9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>
      <c r="A930" s="1"/>
      <c r="B930" s="1"/>
      <c r="C930" s="1"/>
      <c r="D930" s="1"/>
      <c r="E930" s="9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>
      <c r="A931" s="1"/>
      <c r="B931" s="1"/>
      <c r="C931" s="1"/>
      <c r="D931" s="1"/>
      <c r="E931" s="9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>
      <c r="A932" s="1"/>
      <c r="B932" s="1"/>
      <c r="C932" s="1"/>
      <c r="D932" s="1"/>
      <c r="E932" s="9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>
      <c r="A933" s="1"/>
      <c r="B933" s="1"/>
      <c r="C933" s="1"/>
      <c r="D933" s="1"/>
      <c r="E933" s="9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>
      <c r="A934" s="1"/>
      <c r="B934" s="1"/>
      <c r="C934" s="1"/>
      <c r="D934" s="1"/>
      <c r="E934" s="9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>
      <c r="A935" s="1"/>
      <c r="B935" s="1"/>
      <c r="C935" s="1"/>
      <c r="D935" s="1"/>
      <c r="E935" s="9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>
      <c r="A936" s="1"/>
      <c r="B936" s="1"/>
      <c r="C936" s="1"/>
      <c r="D936" s="1"/>
      <c r="E936" s="9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>
      <c r="A937" s="1"/>
      <c r="B937" s="1"/>
      <c r="C937" s="1"/>
      <c r="D937" s="1"/>
      <c r="E937" s="9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>
      <c r="A938" s="1"/>
      <c r="B938" s="1"/>
      <c r="C938" s="1"/>
      <c r="D938" s="1"/>
      <c r="E938" s="9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>
      <c r="A939" s="1"/>
      <c r="B939" s="1"/>
      <c r="C939" s="1"/>
      <c r="D939" s="1"/>
      <c r="E939" s="9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>
      <c r="A940" s="1"/>
      <c r="B940" s="1"/>
      <c r="C940" s="1"/>
      <c r="D940" s="1"/>
      <c r="E940" s="9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>
      <c r="A941" s="1"/>
      <c r="B941" s="1"/>
      <c r="C941" s="1"/>
      <c r="D941" s="1"/>
      <c r="E941" s="9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>
      <c r="A942" s="1"/>
      <c r="B942" s="1"/>
      <c r="C942" s="1"/>
      <c r="D942" s="1"/>
      <c r="E942" s="9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>
      <c r="A943" s="1"/>
      <c r="B943" s="1"/>
      <c r="C943" s="1"/>
      <c r="D943" s="1"/>
      <c r="E943" s="9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>
      <c r="A944" s="1"/>
      <c r="B944" s="1"/>
      <c r="C944" s="1"/>
      <c r="D944" s="1"/>
      <c r="E944" s="9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>
      <c r="A945" s="1"/>
      <c r="B945" s="1"/>
      <c r="C945" s="1"/>
      <c r="D945" s="1"/>
      <c r="E945" s="9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>
      <c r="A946" s="1"/>
      <c r="B946" s="1"/>
      <c r="C946" s="1"/>
      <c r="D946" s="1"/>
      <c r="E946" s="9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>
      <c r="A947" s="1"/>
      <c r="B947" s="1"/>
      <c r="C947" s="1"/>
      <c r="D947" s="1"/>
      <c r="E947" s="9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>
      <c r="A948" s="1"/>
      <c r="B948" s="1"/>
      <c r="C948" s="1"/>
      <c r="D948" s="1"/>
      <c r="E948" s="9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>
      <c r="A949" s="1"/>
      <c r="B949" s="1"/>
      <c r="C949" s="1"/>
      <c r="D949" s="1"/>
      <c r="E949" s="9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>
      <c r="A950" s="1"/>
      <c r="B950" s="1"/>
      <c r="C950" s="1"/>
      <c r="D950" s="1"/>
      <c r="E950" s="9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>
      <c r="A951" s="1"/>
      <c r="B951" s="1"/>
      <c r="C951" s="1"/>
      <c r="D951" s="1"/>
      <c r="E951" s="9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>
      <c r="A952" s="1"/>
      <c r="B952" s="1"/>
      <c r="C952" s="1"/>
      <c r="D952" s="1"/>
      <c r="E952" s="9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>
      <c r="A953" s="1"/>
      <c r="B953" s="1"/>
      <c r="C953" s="1"/>
      <c r="D953" s="1"/>
      <c r="E953" s="9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>
      <c r="A954" s="1"/>
      <c r="B954" s="1"/>
      <c r="C954" s="1"/>
      <c r="D954" s="1"/>
      <c r="E954" s="9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>
      <c r="A955" s="1"/>
      <c r="B955" s="1"/>
      <c r="C955" s="1"/>
      <c r="D955" s="1"/>
      <c r="E955" s="9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>
      <c r="A956" s="1"/>
      <c r="B956" s="1"/>
      <c r="C956" s="1"/>
      <c r="D956" s="1"/>
      <c r="E956" s="9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>
      <c r="A957" s="1"/>
      <c r="B957" s="1"/>
      <c r="C957" s="1"/>
      <c r="D957" s="1"/>
      <c r="E957" s="9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>
      <c r="A958" s="1"/>
      <c r="B958" s="1"/>
      <c r="C958" s="1"/>
      <c r="D958" s="1"/>
      <c r="E958" s="9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>
      <c r="A959" s="1"/>
      <c r="B959" s="1"/>
      <c r="C959" s="1"/>
      <c r="D959" s="1"/>
      <c r="E959" s="9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>
      <c r="A960" s="1"/>
      <c r="B960" s="1"/>
      <c r="C960" s="1"/>
      <c r="D960" s="1"/>
      <c r="E960" s="9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>
      <c r="A961" s="1"/>
      <c r="B961" s="1"/>
      <c r="C961" s="1"/>
      <c r="D961" s="1"/>
      <c r="E961" s="9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>
      <c r="A962" s="1"/>
      <c r="B962" s="1"/>
      <c r="C962" s="1"/>
      <c r="D962" s="1"/>
      <c r="E962" s="9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>
      <c r="A963" s="1"/>
      <c r="B963" s="1"/>
      <c r="C963" s="1"/>
      <c r="D963" s="1"/>
      <c r="E963" s="9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>
      <c r="A964" s="1"/>
      <c r="B964" s="1"/>
      <c r="C964" s="1"/>
      <c r="D964" s="1"/>
      <c r="E964" s="9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>
      <c r="A965" s="1"/>
      <c r="B965" s="1"/>
      <c r="C965" s="1"/>
      <c r="D965" s="1"/>
      <c r="E965" s="9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>
      <c r="A966" s="1"/>
      <c r="B966" s="1"/>
      <c r="C966" s="1"/>
      <c r="D966" s="1"/>
      <c r="E966" s="9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>
      <c r="A967" s="1"/>
      <c r="B967" s="1"/>
      <c r="C967" s="1"/>
      <c r="D967" s="1"/>
      <c r="E967" s="9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>
      <c r="A968" s="1"/>
      <c r="B968" s="1"/>
      <c r="C968" s="1"/>
      <c r="D968" s="1"/>
      <c r="E968" s="9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>
      <c r="A969" s="1"/>
      <c r="B969" s="1"/>
      <c r="C969" s="1"/>
      <c r="D969" s="1"/>
      <c r="E969" s="9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>
      <c r="A970" s="1"/>
      <c r="B970" s="1"/>
      <c r="C970" s="1"/>
      <c r="D970" s="1"/>
      <c r="E970" s="9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>
      <c r="A971" s="1"/>
      <c r="B971" s="1"/>
      <c r="C971" s="1"/>
      <c r="D971" s="1"/>
      <c r="E971" s="9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>
      <c r="A972" s="1"/>
      <c r="B972" s="1"/>
      <c r="C972" s="1"/>
      <c r="D972" s="1"/>
      <c r="E972" s="9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>
      <c r="A973" s="1"/>
      <c r="B973" s="1"/>
      <c r="C973" s="1"/>
      <c r="D973" s="1"/>
      <c r="E973" s="9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>
      <c r="A974" s="1"/>
      <c r="B974" s="1"/>
      <c r="C974" s="1"/>
      <c r="D974" s="1"/>
      <c r="E974" s="9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>
      <c r="A975" s="1"/>
      <c r="B975" s="1"/>
      <c r="C975" s="1"/>
      <c r="D975" s="1"/>
      <c r="E975" s="9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>
      <c r="A976" s="1"/>
      <c r="B976" s="1"/>
      <c r="C976" s="1"/>
      <c r="D976" s="1"/>
      <c r="E976" s="9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>
      <c r="A977" s="1"/>
      <c r="B977" s="1"/>
      <c r="C977" s="1"/>
      <c r="D977" s="1"/>
      <c r="E977" s="9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>
      <c r="A978" s="1"/>
      <c r="B978" s="1"/>
      <c r="C978" s="1"/>
      <c r="D978" s="1"/>
      <c r="E978" s="9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>
      <c r="A979" s="1"/>
      <c r="B979" s="1"/>
      <c r="C979" s="1"/>
      <c r="D979" s="1"/>
      <c r="E979" s="9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>
      <c r="A980" s="1"/>
      <c r="B980" s="1"/>
      <c r="C980" s="1"/>
      <c r="D980" s="1"/>
      <c r="E980" s="9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>
      <c r="A981" s="1"/>
      <c r="B981" s="1"/>
      <c r="C981" s="1"/>
      <c r="D981" s="1"/>
      <c r="E981" s="9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>
      <c r="A982" s="1"/>
      <c r="B982" s="1"/>
      <c r="C982" s="1"/>
      <c r="D982" s="1"/>
      <c r="E982" s="9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>
      <c r="A983" s="1"/>
      <c r="B983" s="1"/>
      <c r="C983" s="1"/>
      <c r="D983" s="1"/>
      <c r="E983" s="9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>
      <c r="A984" s="1"/>
      <c r="B984" s="1"/>
      <c r="C984" s="1"/>
      <c r="D984" s="1"/>
      <c r="E984" s="9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>
      <c r="A985" s="1"/>
      <c r="B985" s="1"/>
      <c r="C985" s="1"/>
      <c r="D985" s="1"/>
      <c r="E985" s="9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>
      <c r="A986" s="1"/>
      <c r="B986" s="1"/>
      <c r="C986" s="1"/>
      <c r="D986" s="1"/>
      <c r="E986" s="9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>
      <c r="A987" s="1"/>
      <c r="B987" s="1"/>
      <c r="C987" s="1"/>
      <c r="D987" s="1"/>
      <c r="E987" s="9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>
      <c r="A988" s="1"/>
      <c r="B988" s="1"/>
      <c r="C988" s="1"/>
      <c r="D988" s="1"/>
      <c r="E988" s="9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>
      <c r="A989" s="1"/>
      <c r="B989" s="1"/>
      <c r="C989" s="1"/>
      <c r="D989" s="1"/>
      <c r="E989" s="9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>
      <c r="A990" s="1"/>
      <c r="B990" s="1"/>
      <c r="C990" s="1"/>
      <c r="D990" s="1"/>
      <c r="E990" s="9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>
      <c r="A991" s="1"/>
      <c r="B991" s="1"/>
      <c r="C991" s="1"/>
      <c r="D991" s="1"/>
      <c r="E991" s="9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>
      <c r="A992" s="1"/>
      <c r="B992" s="1"/>
      <c r="C992" s="1"/>
      <c r="D992" s="1"/>
      <c r="E992" s="9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>
      <c r="A993" s="1"/>
      <c r="B993" s="1"/>
      <c r="C993" s="1"/>
      <c r="D993" s="1"/>
      <c r="E993" s="9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>
      <c r="A994" s="1"/>
      <c r="B994" s="1"/>
      <c r="C994" s="1"/>
      <c r="D994" s="1"/>
      <c r="E994" s="9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>
      <c r="A995" s="1"/>
      <c r="B995" s="1"/>
      <c r="C995" s="1"/>
      <c r="D995" s="1"/>
      <c r="E995" s="9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>
      <c r="A996" s="1"/>
      <c r="B996" s="1"/>
      <c r="C996" s="1"/>
      <c r="D996" s="1"/>
      <c r="E996" s="9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>
      <c r="A997" s="1"/>
      <c r="B997" s="1"/>
      <c r="C997" s="1"/>
      <c r="D997" s="1"/>
      <c r="E997" s="9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>
      <c r="A998" s="1"/>
      <c r="B998" s="1"/>
      <c r="C998" s="1"/>
      <c r="D998" s="1"/>
      <c r="E998" s="9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>
      <c r="A999" s="1"/>
      <c r="B999" s="1"/>
      <c r="C999" s="1"/>
      <c r="D999" s="1"/>
      <c r="E999" s="9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>
      <c r="A1000" s="1"/>
      <c r="B1000" s="1"/>
      <c r="C1000" s="1"/>
      <c r="D1000" s="1"/>
      <c r="E1000" s="9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Links</vt:lpstr>
      <vt:lpstr>Calculated Fields</vt:lpstr>
      <vt:lpstr>Department_KPIs</vt:lpstr>
      <vt:lpstr>Agent_wise</vt:lpstr>
      <vt:lpstr>Daily_KPI</vt:lpstr>
      <vt:lpstr>RingCentral - Office</vt:lpstr>
      <vt:lpstr>Gate Statistics</vt:lpstr>
      <vt:lpstr>Agent Activity</vt:lpstr>
      <vt:lpstr>Sales  Returns</vt:lpstr>
      <vt:lpstr>Y2Y sales</vt:lpstr>
      <vt:lpstr>Inventory Lookup</vt:lpstr>
      <vt:lpstr>Emp.Lookup</vt:lpstr>
      <vt:lpstr>Audits</vt:lpstr>
      <vt:lpstr>WO &amp; Quote</vt:lpstr>
      <vt:lpstr>Agents</vt:lpstr>
      <vt:lpstr>DIGITAL_Department_Agents</vt:lpstr>
      <vt:lpstr>INDIA_Department_Agents</vt:lpstr>
      <vt:lpstr>MANAGED_Department_Agents</vt:lpstr>
      <vt:lpstr>OTHER_Department_Agents</vt:lpstr>
      <vt:lpstr>USA_Department_Agents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bansal</dc:creator>
  <cp:lastModifiedBy>Nitin bansal</cp:lastModifiedBy>
  <dcterms:created xsi:type="dcterms:W3CDTF">2024-09-01T12:14:42Z</dcterms:created>
  <dcterms:modified xsi:type="dcterms:W3CDTF">2024-09-01T13:17:08Z</dcterms:modified>
</cp:coreProperties>
</file>