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Nitin N\Downloads\"/>
    </mc:Choice>
  </mc:AlternateContent>
  <xr:revisionPtr revIDLastSave="0" documentId="13_ncr:1_{5377BFEB-E178-4152-8521-63721732CF04}" xr6:coauthVersionLast="47" xr6:coauthVersionMax="47" xr10:uidLastSave="{00000000-0000-0000-0000-000000000000}"/>
  <bookViews>
    <workbookView xWindow="28680" yWindow="-120" windowWidth="29040" windowHeight="15720" tabRatio="1000" activeTab="10" xr2:uid="{8A22698F-937C-4E35-82D8-20DE6E185F88}"/>
  </bookViews>
  <sheets>
    <sheet name="Valuation--&gt;" sheetId="23" r:id="rId1"/>
    <sheet name="PB_CACHE" sheetId="28" state="veryHidden" r:id="rId2"/>
    <sheet name="Summary" sheetId="6" r:id="rId3"/>
    <sheet name="Assumptions" sheetId="25" r:id="rId4"/>
    <sheet name="Financials" sheetId="27" r:id="rId5"/>
    <sheet name="DCF" sheetId="3" r:id="rId6"/>
    <sheet name="DCF (H-Model for TV)" sheetId="33" r:id="rId7"/>
    <sheet name="PE Multiples" sheetId="18" r:id="rId8"/>
    <sheet name="EV-Sales Multiples" sheetId="29" r:id="rId9"/>
    <sheet name="DDM" sheetId="14" r:id="rId10"/>
    <sheet name="IS Summary" sheetId="5" r:id="rId11"/>
  </sheets>
  <definedNames>
    <definedName name="Annual_Periods">OFFSET(Financials!$E$6,0,1):OFFSET(Financials!$O$6,0,-1)</definedName>
    <definedName name="BS_End">Financials!$B$99</definedName>
    <definedName name="BS_Start">Financials!$B$53</definedName>
    <definedName name="CIQWBGuid" hidden="1">"Project Friend - Projections and Model.xlsx"</definedName>
    <definedName name="Comp_Name">Assumptions!$B$2</definedName>
    <definedName name="Cost_of_Debt">Assumptions!$B$15</definedName>
    <definedName name="Cost_of_Equity">Assumptions!$B$22</definedName>
    <definedName name="Country_RP">Assumptions!$B$19</definedName>
    <definedName name="Current_Price">Assumptions!$B$4</definedName>
    <definedName name="DCF_Enterprise_Value" localSheetId="6">'DCF (H-Model for TV)'!$C$55</definedName>
    <definedName name="DCF_Enterprise_Value">DCF!$C$52</definedName>
    <definedName name="DCF_Enterprise_Value_PerShare" localSheetId="6">'DCF (H-Model for TV)'!$D$55</definedName>
    <definedName name="DCF_Enterprise_Value_PerShare">DCF!$D$52</definedName>
    <definedName name="DCF_Equity_Value" localSheetId="6">'DCF (H-Model for TV)'!$C$57</definedName>
    <definedName name="DCF_Equity_Value">DCF!$C$54</definedName>
    <definedName name="DCF_Equity_Value_PerShare" localSheetId="6">'DCF (H-Model for TV)'!$D$57</definedName>
    <definedName name="DCF_Equity_Value_PerShare">DCF!$D$54</definedName>
    <definedName name="Debt_Adj_Factor">Assumptions!$B$13</definedName>
    <definedName name="Debt_MV">Assumptions!$B$28</definedName>
    <definedName name="Equity_Beta">Assumptions!$B$21</definedName>
    <definedName name="Equity_MV">Assumptions!$B$27</definedName>
    <definedName name="Equity_Risk_Premium">Assumptions!$B$18</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44280.7903587963</definedName>
    <definedName name="IQ_QTD" hidden="1">750000</definedName>
    <definedName name="IQ_TODAY" hidden="1">0</definedName>
    <definedName name="IQ_YTDMONTH" hidden="1">130000</definedName>
    <definedName name="_xlnm.Print_Area" localSheetId="5">DCF!$A$1:$I$54</definedName>
    <definedName name="_xlnm.Print_Area" localSheetId="6">'DCF (H-Model for TV)'!$A$1:$I$57</definedName>
    <definedName name="_xlnm.Print_Area" localSheetId="9">DDM!$A$1:$F$15</definedName>
    <definedName name="_xlnm.Print_Area" localSheetId="8">'EV-Sales Multiples'!$A$1:$T$30</definedName>
    <definedName name="_xlnm.Print_Area" localSheetId="10">'IS Summary'!$A$1:$J$17</definedName>
    <definedName name="_xlnm.Print_Area" localSheetId="7">'PE Multiples'!$A$1:$Z$30</definedName>
    <definedName name="_xlnm.Print_Area" localSheetId="2">Summary!$A$1:$L$31</definedName>
    <definedName name="Risk_Free_Rate">Assumptions!$B$12</definedName>
    <definedName name="Scale_Symbol">Assumptions!$D$6</definedName>
    <definedName name="Scaler">Assumptions!$C$6</definedName>
    <definedName name="Shares_Out">Assumptions!$B$25</definedName>
    <definedName name="Size_RP">Assumptions!$B$20</definedName>
    <definedName name="Tax_Rate">Assumptions!$B$14</definedName>
    <definedName name="Terminal_Rate">Assumptions!$B$33</definedName>
    <definedName name="Total_Capitalization">Assumptions!$B$29</definedName>
    <definedName name="WACC">Assumptions!$C$30</definedName>
    <definedName name="WACC_Override" localSheetId="6">'DCF (H-Model for TV)'!$L$27</definedName>
    <definedName name="WACC_Override">DCF!$L$27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9" i="33" l="1"/>
  <c r="D27" i="33"/>
  <c r="C46" i="3"/>
  <c r="D27" i="3"/>
  <c r="S131" i="27"/>
  <c r="Q10" i="29" l="1"/>
  <c r="P10" i="29"/>
  <c r="P14" i="29"/>
  <c r="P13" i="29"/>
  <c r="P12" i="29"/>
  <c r="M13" i="29"/>
  <c r="M12" i="29"/>
  <c r="M14" i="29"/>
  <c r="J93" i="27"/>
  <c r="K93" i="27" s="1"/>
  <c r="L93" i="27" s="1"/>
  <c r="M93" i="27" s="1"/>
  <c r="N93" i="27" s="1"/>
  <c r="L126" i="27"/>
  <c r="M126" i="27" s="1"/>
  <c r="N126" i="27" s="1"/>
  <c r="K126" i="27"/>
  <c r="B25" i="25" a="1"/>
  <c r="B25" i="25" s="1"/>
  <c r="B12" i="25" a="1"/>
  <c r="B12" i="25" s="1"/>
  <c r="L66" i="27"/>
  <c r="M66" i="27"/>
  <c r="N66" i="27"/>
  <c r="J126" i="27" l="1"/>
  <c r="K96" i="27"/>
  <c r="L96" i="27" s="1"/>
  <c r="J96" i="27"/>
  <c r="G187" i="27"/>
  <c r="G188" i="27" s="1"/>
  <c r="L127" i="27"/>
  <c r="K127" i="27"/>
  <c r="M127" i="27" s="1"/>
  <c r="J127" i="27"/>
  <c r="B2" i="25" a="1"/>
  <c r="B2" i="25" s="1"/>
  <c r="J10" i="27"/>
  <c r="M96" i="27" l="1"/>
  <c r="N96" i="27" s="1"/>
  <c r="N127" i="27"/>
  <c r="M94" i="27" l="1"/>
  <c r="N94" i="27" s="1"/>
  <c r="L94" i="27"/>
  <c r="K94" i="27"/>
  <c r="J94" i="27"/>
  <c r="T67" i="27"/>
  <c r="U67" i="27" s="1"/>
  <c r="S67" i="27"/>
  <c r="R67" i="27"/>
  <c r="Q67" i="27"/>
  <c r="P67" i="27"/>
  <c r="J66" i="27"/>
  <c r="N45" i="27"/>
  <c r="M45" i="27"/>
  <c r="L45" i="27"/>
  <c r="K45" i="27"/>
  <c r="J45" i="27"/>
  <c r="O45" i="27"/>
  <c r="V67" i="27" l="1"/>
  <c r="I16" i="27"/>
  <c r="H16" i="27"/>
  <c r="G16" i="27"/>
  <c r="F16" i="27"/>
  <c r="J12" i="27"/>
  <c r="J188" i="27" s="1"/>
  <c r="I128" i="27"/>
  <c r="H128" i="27"/>
  <c r="G128" i="27"/>
  <c r="F128" i="27"/>
  <c r="I119" i="27"/>
  <c r="H119" i="27"/>
  <c r="G119" i="27"/>
  <c r="F119" i="27"/>
  <c r="C3" i="25" a="1"/>
  <c r="C3" i="25" s="1"/>
  <c r="C48" i="33"/>
  <c r="E60" i="33"/>
  <c r="F60" i="33" s="1"/>
  <c r="G60" i="33" s="1"/>
  <c r="D60" i="33"/>
  <c r="C25" i="33"/>
  <c r="C22" i="33"/>
  <c r="C18" i="33"/>
  <c r="C17" i="33"/>
  <c r="C13" i="33"/>
  <c r="C12" i="33"/>
  <c r="C11" i="33"/>
  <c r="C10" i="33"/>
  <c r="C9" i="33"/>
  <c r="B3" i="33"/>
  <c r="J67" i="27" l="1"/>
  <c r="W67" i="27"/>
  <c r="X67" i="27" s="1"/>
  <c r="D223" i="27"/>
  <c r="D224" i="27" s="1"/>
  <c r="D225" i="27" s="1"/>
  <c r="B9" i="14"/>
  <c r="C9" i="14" s="1"/>
  <c r="F200" i="27"/>
  <c r="F192" i="27"/>
  <c r="G198" i="27"/>
  <c r="H195" i="27" s="1"/>
  <c r="D239" i="27"/>
  <c r="D240" i="27" s="1"/>
  <c r="D241" i="27" s="1"/>
  <c r="D231" i="27"/>
  <c r="D230" i="27" s="1"/>
  <c r="D229" i="27" s="1"/>
  <c r="H197" i="27"/>
  <c r="I197" i="27"/>
  <c r="G197" i="27"/>
  <c r="H189" i="27"/>
  <c r="I189" i="27"/>
  <c r="G189" i="27"/>
  <c r="E57" i="3"/>
  <c r="K125" i="27"/>
  <c r="L125" i="27"/>
  <c r="M125" i="27"/>
  <c r="N125" i="27"/>
  <c r="J125" i="27"/>
  <c r="K123" i="27"/>
  <c r="L123" i="27"/>
  <c r="M123" i="27"/>
  <c r="N123" i="27"/>
  <c r="J123" i="27"/>
  <c r="I198" i="27"/>
  <c r="J195" i="27" s="1"/>
  <c r="H198" i="27"/>
  <c r="I195" i="27" s="1"/>
  <c r="F198" i="27"/>
  <c r="G195" i="27" s="1"/>
  <c r="J11" i="27"/>
  <c r="K11" i="27" s="1"/>
  <c r="L11" i="27" s="1"/>
  <c r="M11" i="27" s="1"/>
  <c r="N11" i="27" s="1"/>
  <c r="B36" i="6"/>
  <c r="C3" i="6"/>
  <c r="B34" i="6"/>
  <c r="B35" i="6"/>
  <c r="D3" i="29"/>
  <c r="F6" i="27"/>
  <c r="G6" i="27" s="1"/>
  <c r="H6" i="27" s="1"/>
  <c r="A2" i="5"/>
  <c r="B4" i="14"/>
  <c r="D3" i="18"/>
  <c r="F57" i="3"/>
  <c r="G57" i="3"/>
  <c r="D57" i="3"/>
  <c r="C25" i="3"/>
  <c r="C22" i="3"/>
  <c r="C18" i="3"/>
  <c r="C17" i="3"/>
  <c r="C13" i="3"/>
  <c r="C12" i="3"/>
  <c r="C11" i="3"/>
  <c r="C10" i="3"/>
  <c r="C9" i="3"/>
  <c r="B3" i="3"/>
  <c r="I216" i="27"/>
  <c r="J214" i="27" s="1"/>
  <c r="J216" i="27" s="1"/>
  <c r="K214" i="27" s="1"/>
  <c r="K216" i="27" s="1"/>
  <c r="L214" i="27" s="1"/>
  <c r="L216" i="27" s="1"/>
  <c r="M214" i="27" s="1"/>
  <c r="M216" i="27" s="1"/>
  <c r="N214" i="27" s="1"/>
  <c r="N216" i="27" s="1"/>
  <c r="N84" i="27" s="1"/>
  <c r="H216" i="27"/>
  <c r="I214" i="27" s="1"/>
  <c r="G216" i="27"/>
  <c r="H214" i="27" s="1"/>
  <c r="F216" i="27"/>
  <c r="F215" i="27" s="1"/>
  <c r="I211" i="27"/>
  <c r="J209" i="27" s="1"/>
  <c r="H211" i="27"/>
  <c r="I209" i="27" s="1"/>
  <c r="G211" i="27"/>
  <c r="H209" i="27" s="1"/>
  <c r="F211" i="27"/>
  <c r="G209" i="27" s="1"/>
  <c r="I206" i="27"/>
  <c r="J204" i="27" s="1"/>
  <c r="J206" i="27" s="1"/>
  <c r="J77" i="27" s="1"/>
  <c r="H206" i="27"/>
  <c r="I204" i="27" s="1"/>
  <c r="G206" i="27"/>
  <c r="H204" i="27" s="1"/>
  <c r="F206" i="27"/>
  <c r="G204" i="27" s="1"/>
  <c r="J187" i="27"/>
  <c r="I187" i="27"/>
  <c r="H187" i="27"/>
  <c r="I182" i="27"/>
  <c r="J180" i="27" s="1"/>
  <c r="H182" i="27"/>
  <c r="I180" i="27" s="1"/>
  <c r="G182" i="27"/>
  <c r="H180" i="27" s="1"/>
  <c r="F182" i="27"/>
  <c r="G180" i="27" s="1"/>
  <c r="I176" i="27"/>
  <c r="J174" i="27" s="1"/>
  <c r="H176" i="27"/>
  <c r="I174" i="27" s="1"/>
  <c r="G176" i="27"/>
  <c r="H174" i="27" s="1"/>
  <c r="F176" i="27"/>
  <c r="F175" i="27" s="1"/>
  <c r="I170" i="27"/>
  <c r="J168" i="27" s="1"/>
  <c r="H170" i="27"/>
  <c r="I168" i="27" s="1"/>
  <c r="G170" i="27"/>
  <c r="H168" i="27" s="1"/>
  <c r="F170" i="27"/>
  <c r="G168" i="27" s="1"/>
  <c r="I164" i="27"/>
  <c r="J162" i="27" s="1"/>
  <c r="H164" i="27"/>
  <c r="I162" i="27" s="1"/>
  <c r="G164" i="27"/>
  <c r="H162" i="27" s="1"/>
  <c r="F164" i="27"/>
  <c r="F163" i="27" s="1"/>
  <c r="I158" i="27"/>
  <c r="J156" i="27" s="1"/>
  <c r="H158" i="27"/>
  <c r="I156" i="27" s="1"/>
  <c r="G158" i="27"/>
  <c r="H156" i="27" s="1"/>
  <c r="F158" i="27"/>
  <c r="G156" i="27" s="1"/>
  <c r="I152" i="27"/>
  <c r="J150" i="27" s="1"/>
  <c r="H152" i="27"/>
  <c r="I150" i="27" s="1"/>
  <c r="G152" i="27"/>
  <c r="H150" i="27" s="1"/>
  <c r="F152" i="27"/>
  <c r="G150" i="27" s="1"/>
  <c r="I146" i="27"/>
  <c r="J144" i="27" s="1"/>
  <c r="H146" i="27"/>
  <c r="I144" i="27" s="1"/>
  <c r="G146" i="27"/>
  <c r="H144" i="27" s="1"/>
  <c r="F146" i="27"/>
  <c r="G144" i="27" s="1"/>
  <c r="I132" i="27"/>
  <c r="J130" i="27" s="1"/>
  <c r="H132" i="27"/>
  <c r="G132" i="27"/>
  <c r="F132" i="27"/>
  <c r="I104" i="27"/>
  <c r="H104" i="27"/>
  <c r="G104" i="27"/>
  <c r="F104" i="27"/>
  <c r="F105" i="27" s="1"/>
  <c r="I97" i="27"/>
  <c r="H97" i="27"/>
  <c r="G97" i="27"/>
  <c r="F97" i="27"/>
  <c r="I88" i="27"/>
  <c r="H88" i="27"/>
  <c r="G88" i="27"/>
  <c r="F88" i="27"/>
  <c r="I81" i="27"/>
  <c r="H81" i="27"/>
  <c r="G81" i="27"/>
  <c r="F81" i="27"/>
  <c r="I69" i="27"/>
  <c r="H69" i="27"/>
  <c r="G69" i="27"/>
  <c r="F69" i="27"/>
  <c r="I62" i="27"/>
  <c r="H62" i="27"/>
  <c r="G62" i="27"/>
  <c r="F62" i="27"/>
  <c r="I51" i="27"/>
  <c r="J48" i="27" s="1"/>
  <c r="H51" i="27"/>
  <c r="I48" i="27" s="1"/>
  <c r="G51" i="27"/>
  <c r="H48" i="27" s="1"/>
  <c r="F51" i="27"/>
  <c r="G48" i="27" s="1"/>
  <c r="I38" i="27"/>
  <c r="H38" i="27"/>
  <c r="G38" i="27"/>
  <c r="F38" i="27"/>
  <c r="I18" i="27"/>
  <c r="H18" i="27"/>
  <c r="G18" i="27"/>
  <c r="F18" i="27"/>
  <c r="I12" i="27"/>
  <c r="H12" i="27"/>
  <c r="G12" i="27"/>
  <c r="F12" i="27"/>
  <c r="D33" i="25"/>
  <c r="C33" i="25"/>
  <c r="B22" i="25"/>
  <c r="B15" i="25"/>
  <c r="AF35" i="27" s="1"/>
  <c r="D6" i="25"/>
  <c r="B29" i="33" s="1"/>
  <c r="I8" i="33"/>
  <c r="H26" i="6"/>
  <c r="B11" i="14" l="1"/>
  <c r="S118" i="27"/>
  <c r="D15" i="29"/>
  <c r="R118" i="27"/>
  <c r="D14" i="29"/>
  <c r="Q118" i="27"/>
  <c r="D13" i="29"/>
  <c r="P79" i="27"/>
  <c r="D12" i="29"/>
  <c r="P111" i="27"/>
  <c r="P118" i="27"/>
  <c r="Q87" i="27"/>
  <c r="Q111" i="27"/>
  <c r="R87" i="27"/>
  <c r="R111" i="27"/>
  <c r="S87" i="27"/>
  <c r="S111" i="27"/>
  <c r="C19" i="3"/>
  <c r="P87" i="27"/>
  <c r="F19" i="27"/>
  <c r="Q85" i="27"/>
  <c r="Q86" i="27"/>
  <c r="R85" i="27"/>
  <c r="R86" i="27"/>
  <c r="S85" i="27"/>
  <c r="S86" i="27"/>
  <c r="P85" i="27"/>
  <c r="P86" i="27"/>
  <c r="Q68" i="27"/>
  <c r="Q79" i="27"/>
  <c r="R68" i="27"/>
  <c r="R79" i="27"/>
  <c r="S68" i="27"/>
  <c r="S79" i="27"/>
  <c r="P68" i="27"/>
  <c r="F13" i="27"/>
  <c r="C11" i="14"/>
  <c r="D9" i="14"/>
  <c r="A1" i="5"/>
  <c r="B29" i="3"/>
  <c r="A26" i="25"/>
  <c r="B23" i="3" s="1"/>
  <c r="A25" i="25"/>
  <c r="B22" i="3" s="1"/>
  <c r="AG12" i="27"/>
  <c r="F151" i="27"/>
  <c r="I163" i="27"/>
  <c r="F181" i="27"/>
  <c r="H215" i="27"/>
  <c r="F169" i="27"/>
  <c r="I181" i="27"/>
  <c r="H210" i="27"/>
  <c r="G174" i="27"/>
  <c r="G175" i="27" s="1"/>
  <c r="G214" i="27"/>
  <c r="G215" i="27" s="1"/>
  <c r="H169" i="27"/>
  <c r="D238" i="27"/>
  <c r="D237" i="27" s="1"/>
  <c r="I151" i="27"/>
  <c r="G181" i="27"/>
  <c r="I205" i="27"/>
  <c r="H175" i="27"/>
  <c r="F157" i="27"/>
  <c r="G210" i="27"/>
  <c r="I157" i="27"/>
  <c r="H151" i="27"/>
  <c r="G151" i="27"/>
  <c r="B7" i="29" a="1"/>
  <c r="B7" i="29" s="1"/>
  <c r="B8" i="29" s="1"/>
  <c r="C19" i="33"/>
  <c r="C14" i="33"/>
  <c r="B22" i="33"/>
  <c r="B23" i="33"/>
  <c r="C14" i="3"/>
  <c r="B3" i="14"/>
  <c r="K10" i="27"/>
  <c r="L10" i="27" s="1"/>
  <c r="G162" i="27"/>
  <c r="G163" i="27" s="1"/>
  <c r="D222" i="27"/>
  <c r="D221" i="27" s="1"/>
  <c r="G205" i="27"/>
  <c r="I175" i="27"/>
  <c r="F205" i="27"/>
  <c r="I210" i="27"/>
  <c r="F210" i="27"/>
  <c r="D232" i="27"/>
  <c r="D233" i="27" s="1"/>
  <c r="B7" i="18" a="1"/>
  <c r="B7" i="18" s="1"/>
  <c r="B8" i="18" s="1"/>
  <c r="B18" i="18" s="1"/>
  <c r="I169" i="27"/>
  <c r="G145" i="27"/>
  <c r="F177" i="27"/>
  <c r="G169" i="27"/>
  <c r="F145" i="27"/>
  <c r="G157" i="27"/>
  <c r="I215" i="27"/>
  <c r="H205" i="27"/>
  <c r="M84" i="27"/>
  <c r="L84" i="27"/>
  <c r="K84" i="27"/>
  <c r="J84" i="27"/>
  <c r="I196" i="27"/>
  <c r="I200" i="27" s="1"/>
  <c r="I188" i="27"/>
  <c r="H196" i="27"/>
  <c r="H200" i="27" s="1"/>
  <c r="G196" i="27"/>
  <c r="G200" i="27" s="1"/>
  <c r="F71" i="27"/>
  <c r="G105" i="27"/>
  <c r="I105" i="27"/>
  <c r="G71" i="27"/>
  <c r="H90" i="27"/>
  <c r="H99" i="27" s="1"/>
  <c r="I153" i="27"/>
  <c r="H71" i="27"/>
  <c r="I71" i="27"/>
  <c r="G13" i="27"/>
  <c r="H159" i="27"/>
  <c r="G147" i="27"/>
  <c r="H147" i="27"/>
  <c r="H165" i="27"/>
  <c r="H157" i="27"/>
  <c r="F159" i="27"/>
  <c r="F191" i="27"/>
  <c r="G153" i="27"/>
  <c r="H163" i="27"/>
  <c r="I147" i="27"/>
  <c r="F153" i="27"/>
  <c r="G90" i="27"/>
  <c r="G99" i="27" s="1"/>
  <c r="H183" i="27"/>
  <c r="F171" i="27"/>
  <c r="G159" i="27"/>
  <c r="I165" i="27"/>
  <c r="F183" i="27"/>
  <c r="H171" i="27"/>
  <c r="F90" i="27"/>
  <c r="F99" i="27" s="1"/>
  <c r="G171" i="27"/>
  <c r="I145" i="27"/>
  <c r="I13" i="27"/>
  <c r="H188" i="27"/>
  <c r="G19" i="27"/>
  <c r="I90" i="27"/>
  <c r="I99" i="27" s="1"/>
  <c r="H145" i="27"/>
  <c r="H177" i="27"/>
  <c r="H13" i="27"/>
  <c r="I171" i="27"/>
  <c r="I159" i="27"/>
  <c r="K204" i="27"/>
  <c r="K206" i="27" s="1"/>
  <c r="F28" i="6"/>
  <c r="I8" i="3"/>
  <c r="B27" i="25"/>
  <c r="G192" i="27"/>
  <c r="I6" i="27"/>
  <c r="I183" i="27"/>
  <c r="I19" i="27"/>
  <c r="I177" i="27"/>
  <c r="H105" i="27"/>
  <c r="H181" i="27"/>
  <c r="F147" i="27"/>
  <c r="F199" i="27"/>
  <c r="F165" i="27"/>
  <c r="H19" i="27"/>
  <c r="G183" i="27"/>
  <c r="H153" i="27"/>
  <c r="J153" i="27" l="1"/>
  <c r="K153" i="27" s="1"/>
  <c r="I192" i="27"/>
  <c r="T118" i="27"/>
  <c r="J118" i="27" s="1"/>
  <c r="K183" i="27"/>
  <c r="L183" i="27"/>
  <c r="J210" i="27"/>
  <c r="K210" i="27" s="1"/>
  <c r="L210" i="27" s="1"/>
  <c r="M210" i="27" s="1"/>
  <c r="N210" i="27" s="1"/>
  <c r="H192" i="27"/>
  <c r="H191" i="27"/>
  <c r="M183" i="27"/>
  <c r="N183" i="27"/>
  <c r="J183" i="27"/>
  <c r="J146" i="27"/>
  <c r="K144" i="27" s="1"/>
  <c r="V118" i="27"/>
  <c r="U118" i="27"/>
  <c r="X118" i="27"/>
  <c r="W118" i="27"/>
  <c r="AA36" i="27"/>
  <c r="AD36" i="27"/>
  <c r="AC36" i="27"/>
  <c r="AB36" i="27"/>
  <c r="Z36" i="27"/>
  <c r="T86" i="27"/>
  <c r="J86" i="27" s="1"/>
  <c r="T79" i="27"/>
  <c r="T68" i="27"/>
  <c r="U68" i="27" s="1"/>
  <c r="J171" i="27"/>
  <c r="E9" i="14"/>
  <c r="D11" i="14"/>
  <c r="F20" i="27"/>
  <c r="G177" i="27"/>
  <c r="J177" i="27" s="1"/>
  <c r="B17" i="29"/>
  <c r="B12" i="29"/>
  <c r="D31" i="33"/>
  <c r="C56" i="33" s="1"/>
  <c r="D56" i="33" s="1"/>
  <c r="C24" i="33"/>
  <c r="J196" i="27"/>
  <c r="J197" i="27" s="1"/>
  <c r="J28" i="27" s="1"/>
  <c r="M10" i="27"/>
  <c r="L12" i="27"/>
  <c r="K12" i="27"/>
  <c r="B13" i="18"/>
  <c r="G165" i="27"/>
  <c r="B9" i="18"/>
  <c r="B19" i="18" s="1"/>
  <c r="B17" i="18"/>
  <c r="B12" i="18"/>
  <c r="H199" i="27"/>
  <c r="G199" i="27"/>
  <c r="I199" i="27"/>
  <c r="L204" i="27"/>
  <c r="L206" i="27" s="1"/>
  <c r="K77" i="27"/>
  <c r="I191" i="27"/>
  <c r="G191" i="27"/>
  <c r="J17" i="27"/>
  <c r="F101" i="27"/>
  <c r="I101" i="27"/>
  <c r="G101" i="27"/>
  <c r="H101" i="27"/>
  <c r="F26" i="27"/>
  <c r="G20" i="27"/>
  <c r="G26" i="27"/>
  <c r="B18" i="29"/>
  <c r="B9" i="29"/>
  <c r="B13" i="29"/>
  <c r="C24" i="3"/>
  <c r="B29" i="25"/>
  <c r="J13" i="27"/>
  <c r="D28" i="29"/>
  <c r="J158" i="27"/>
  <c r="J60" i="27" s="1"/>
  <c r="I20" i="27"/>
  <c r="I26" i="27"/>
  <c r="D31" i="3"/>
  <c r="J6" i="27"/>
  <c r="H20" i="27"/>
  <c r="H26" i="27"/>
  <c r="J192" i="27" l="1"/>
  <c r="N192" i="27"/>
  <c r="M192" i="27"/>
  <c r="K192" i="27"/>
  <c r="L192" i="27"/>
  <c r="Q18" i="29"/>
  <c r="P18" i="29"/>
  <c r="Q17" i="29"/>
  <c r="P17" i="29"/>
  <c r="K177" i="27"/>
  <c r="L177" i="27"/>
  <c r="M177" i="27"/>
  <c r="N177" i="27"/>
  <c r="J111" i="27"/>
  <c r="F29" i="27"/>
  <c r="F30" i="27" s="1"/>
  <c r="U85" i="27"/>
  <c r="K85" i="27" s="1"/>
  <c r="J85" i="27"/>
  <c r="J124" i="27"/>
  <c r="J211" i="27"/>
  <c r="G18" i="29"/>
  <c r="K118" i="27"/>
  <c r="L118" i="27"/>
  <c r="K111" i="27"/>
  <c r="K16" i="27"/>
  <c r="U86" i="27"/>
  <c r="T87" i="27"/>
  <c r="U79" i="27"/>
  <c r="K79" i="27" s="1"/>
  <c r="J79" i="27"/>
  <c r="J68" i="27"/>
  <c r="K67" i="27"/>
  <c r="L67" i="27"/>
  <c r="V68" i="27"/>
  <c r="L68" i="27" s="1"/>
  <c r="K68" i="27"/>
  <c r="K171" i="27"/>
  <c r="J165" i="27"/>
  <c r="K165" i="27" s="1"/>
  <c r="L165" i="27" s="1"/>
  <c r="M165" i="27" s="1"/>
  <c r="N165" i="27" s="1"/>
  <c r="F9" i="14"/>
  <c r="F10" i="14" s="1"/>
  <c r="F11" i="14" s="1"/>
  <c r="E11" i="14"/>
  <c r="F13" i="14" s="1"/>
  <c r="K196" i="27"/>
  <c r="L196" i="27"/>
  <c r="W18" i="18"/>
  <c r="W17" i="18"/>
  <c r="V17" i="18"/>
  <c r="V18" i="18"/>
  <c r="T18" i="18"/>
  <c r="T17" i="18"/>
  <c r="S17" i="18"/>
  <c r="S18" i="18"/>
  <c r="Q18" i="18"/>
  <c r="Q17" i="18"/>
  <c r="P17" i="18"/>
  <c r="P18" i="18"/>
  <c r="E18" i="29"/>
  <c r="G29" i="27"/>
  <c r="G30" i="27" s="1"/>
  <c r="D17" i="29"/>
  <c r="G17" i="29"/>
  <c r="H17" i="29"/>
  <c r="N17" i="29"/>
  <c r="M17" i="29"/>
  <c r="C54" i="33"/>
  <c r="D54" i="33" s="1"/>
  <c r="E31" i="33"/>
  <c r="F31" i="33" s="1"/>
  <c r="D36" i="33"/>
  <c r="D38" i="33"/>
  <c r="D37" i="33"/>
  <c r="C27" i="25"/>
  <c r="C26" i="33"/>
  <c r="L158" i="27"/>
  <c r="L60" i="27" s="1"/>
  <c r="K25" i="27"/>
  <c r="L13" i="27"/>
  <c r="K17" i="27"/>
  <c r="L146" i="27"/>
  <c r="L58" i="27" s="1"/>
  <c r="L17" i="27"/>
  <c r="K146" i="27"/>
  <c r="L25" i="27"/>
  <c r="K158" i="27"/>
  <c r="K60" i="27" s="1"/>
  <c r="M12" i="27"/>
  <c r="N10" i="27"/>
  <c r="N12" i="27" s="1"/>
  <c r="AF12" i="27" s="1"/>
  <c r="L16" i="27"/>
  <c r="K13" i="27"/>
  <c r="N17" i="18"/>
  <c r="H17" i="18"/>
  <c r="M17" i="18"/>
  <c r="K17" i="18"/>
  <c r="G17" i="18"/>
  <c r="K18" i="18"/>
  <c r="J17" i="18"/>
  <c r="E18" i="18"/>
  <c r="J18" i="18"/>
  <c r="G18" i="18"/>
  <c r="N18" i="18"/>
  <c r="M18" i="18"/>
  <c r="D18" i="18"/>
  <c r="H18" i="18"/>
  <c r="B14" i="18"/>
  <c r="K19" i="18" s="1"/>
  <c r="B10" i="18"/>
  <c r="B15" i="18" s="1"/>
  <c r="M204" i="27"/>
  <c r="M206" i="27" s="1"/>
  <c r="L77" i="27"/>
  <c r="J58" i="27"/>
  <c r="F31" i="27"/>
  <c r="G31" i="27"/>
  <c r="I29" i="27"/>
  <c r="I30" i="27" s="1"/>
  <c r="I31" i="27"/>
  <c r="K156" i="27"/>
  <c r="J157" i="27"/>
  <c r="E31" i="3"/>
  <c r="D36" i="3"/>
  <c r="D38" i="3"/>
  <c r="C51" i="3"/>
  <c r="D51" i="3" s="1"/>
  <c r="C53" i="3"/>
  <c r="D53" i="3" s="1"/>
  <c r="D37" i="3"/>
  <c r="J145" i="27"/>
  <c r="B14" i="29"/>
  <c r="B10" i="29"/>
  <c r="B19" i="29"/>
  <c r="H29" i="27"/>
  <c r="H30" i="27" s="1"/>
  <c r="H31" i="27"/>
  <c r="N18" i="29"/>
  <c r="M18" i="29"/>
  <c r="H18" i="29"/>
  <c r="K6" i="27"/>
  <c r="L6" i="27" s="1"/>
  <c r="M6" i="27" s="1"/>
  <c r="N6" i="27" s="1"/>
  <c r="Z6" i="27" a="1"/>
  <c r="Z6" i="27" s="1"/>
  <c r="AA6" i="27" s="1"/>
  <c r="AB6" i="27" s="1"/>
  <c r="AC6" i="27" s="1"/>
  <c r="AD6" i="27" s="1"/>
  <c r="C28" i="25"/>
  <c r="C26" i="3"/>
  <c r="D25" i="3" s="1"/>
  <c r="Z18" i="18" l="1"/>
  <c r="Z17" i="18"/>
  <c r="Y18" i="18"/>
  <c r="Y17" i="18"/>
  <c r="T18" i="29"/>
  <c r="T17" i="29"/>
  <c r="S18" i="29"/>
  <c r="S17" i="29"/>
  <c r="Q19" i="29"/>
  <c r="P19" i="29"/>
  <c r="J19" i="29"/>
  <c r="M111" i="27"/>
  <c r="L111" i="27"/>
  <c r="V79" i="27"/>
  <c r="W79" i="27" s="1"/>
  <c r="X79" i="27" s="1"/>
  <c r="K124" i="27"/>
  <c r="K209" i="27"/>
  <c r="K211" i="27" s="1"/>
  <c r="D30" i="29"/>
  <c r="J78" i="27"/>
  <c r="J36" i="27" s="1"/>
  <c r="E17" i="29"/>
  <c r="N118" i="27"/>
  <c r="M118" i="27"/>
  <c r="V86" i="27"/>
  <c r="K86" i="27"/>
  <c r="J87" i="27"/>
  <c r="J88" i="27" s="1"/>
  <c r="U87" i="27"/>
  <c r="K87" i="27" s="1"/>
  <c r="N67" i="27"/>
  <c r="M67" i="27"/>
  <c r="W68" i="27"/>
  <c r="L171" i="27"/>
  <c r="M171" i="27" s="1"/>
  <c r="J164" i="27"/>
  <c r="J61" i="27" s="1"/>
  <c r="F14" i="14"/>
  <c r="V19" i="18"/>
  <c r="W19" i="18"/>
  <c r="S19" i="18"/>
  <c r="T19" i="18"/>
  <c r="P19" i="18"/>
  <c r="Q19" i="18"/>
  <c r="D18" i="29"/>
  <c r="C30" i="25"/>
  <c r="E41" i="33"/>
  <c r="F41" i="33" s="1"/>
  <c r="G41" i="33" s="1"/>
  <c r="H41" i="33" s="1"/>
  <c r="I41" i="33" s="1"/>
  <c r="G31" i="33"/>
  <c r="D33" i="3"/>
  <c r="D33" i="33"/>
  <c r="D25" i="33"/>
  <c r="D24" i="33"/>
  <c r="K18" i="27"/>
  <c r="K176" i="27" s="1"/>
  <c r="K76" i="27" s="1"/>
  <c r="L18" i="27"/>
  <c r="M156" i="27"/>
  <c r="M144" i="27"/>
  <c r="K145" i="27"/>
  <c r="K58" i="27"/>
  <c r="L144" i="27"/>
  <c r="L145" i="27" s="1"/>
  <c r="L156" i="27"/>
  <c r="L157" i="27" s="1"/>
  <c r="N196" i="27"/>
  <c r="N13" i="27"/>
  <c r="N146" i="27"/>
  <c r="N158" i="27"/>
  <c r="N60" i="27" s="1"/>
  <c r="N17" i="27"/>
  <c r="N25" i="27"/>
  <c r="N16" i="27"/>
  <c r="M196" i="27"/>
  <c r="M146" i="27"/>
  <c r="M25" i="27"/>
  <c r="M13" i="27"/>
  <c r="M16" i="27"/>
  <c r="M17" i="27"/>
  <c r="M158" i="27"/>
  <c r="K157" i="27"/>
  <c r="B20" i="18"/>
  <c r="G19" i="18"/>
  <c r="J19" i="18"/>
  <c r="N19" i="18"/>
  <c r="D19" i="18"/>
  <c r="H19" i="18"/>
  <c r="M19" i="18"/>
  <c r="N204" i="27"/>
  <c r="N206" i="27" s="1"/>
  <c r="N77" i="27" s="1"/>
  <c r="M77" i="27"/>
  <c r="C29" i="25"/>
  <c r="D24" i="3"/>
  <c r="D26" i="3" s="1"/>
  <c r="B3" i="5" a="1"/>
  <c r="P6" i="27" a="1"/>
  <c r="F39" i="27"/>
  <c r="F32" i="27"/>
  <c r="G32" i="27"/>
  <c r="G39" i="27"/>
  <c r="I39" i="27"/>
  <c r="I32" i="27"/>
  <c r="E41" i="3"/>
  <c r="K21" i="6"/>
  <c r="F31" i="3"/>
  <c r="H32" i="27"/>
  <c r="H39" i="27"/>
  <c r="N19" i="29"/>
  <c r="M19" i="29"/>
  <c r="E19" i="29"/>
  <c r="D19" i="29"/>
  <c r="H19" i="29"/>
  <c r="G19" i="29"/>
  <c r="B15" i="29"/>
  <c r="B20" i="29"/>
  <c r="B61" i="3" l="1"/>
  <c r="B62" i="3" s="1"/>
  <c r="B63" i="3" s="1"/>
  <c r="B64" i="3" s="1"/>
  <c r="E40" i="3"/>
  <c r="I40" i="33"/>
  <c r="Z19" i="18"/>
  <c r="Y19" i="18"/>
  <c r="T19" i="29"/>
  <c r="S19" i="29"/>
  <c r="Q20" i="29"/>
  <c r="Q21" i="29" s="1"/>
  <c r="P20" i="29"/>
  <c r="P21" i="29" s="1"/>
  <c r="K20" i="29"/>
  <c r="K21" i="29" s="1"/>
  <c r="J20" i="29"/>
  <c r="J21" i="29" s="1"/>
  <c r="J116" i="27"/>
  <c r="N111" i="27"/>
  <c r="M124" i="27"/>
  <c r="D34" i="3"/>
  <c r="D35" i="3" s="1"/>
  <c r="D39" i="3" s="1"/>
  <c r="L79" i="27"/>
  <c r="K22" i="6"/>
  <c r="L22" i="6" s="1"/>
  <c r="L124" i="27"/>
  <c r="N124" i="27"/>
  <c r="L209" i="27"/>
  <c r="L211" i="27" s="1"/>
  <c r="K78" i="27"/>
  <c r="K36" i="27" s="1"/>
  <c r="L188" i="27"/>
  <c r="K164" i="27"/>
  <c r="L162" i="27" s="1"/>
  <c r="M188" i="27"/>
  <c r="M116" i="27" s="1"/>
  <c r="K188" i="27"/>
  <c r="W86" i="27"/>
  <c r="M86" i="27" s="1"/>
  <c r="L86" i="27"/>
  <c r="K88" i="27"/>
  <c r="M85" i="27"/>
  <c r="L85" i="27"/>
  <c r="V87" i="27"/>
  <c r="L87" i="27" s="1"/>
  <c r="M79" i="27"/>
  <c r="X68" i="27"/>
  <c r="N68" i="27" s="1"/>
  <c r="M68" i="27"/>
  <c r="L170" i="27"/>
  <c r="L75" i="27" s="1"/>
  <c r="N171" i="27"/>
  <c r="J163" i="27"/>
  <c r="K162" i="27"/>
  <c r="F41" i="3"/>
  <c r="G41" i="3" s="1"/>
  <c r="H41" i="3" s="1"/>
  <c r="I41" i="3" s="1"/>
  <c r="I43" i="27"/>
  <c r="I109" i="27" s="1"/>
  <c r="I113" i="27" s="1"/>
  <c r="I45" i="27"/>
  <c r="G43" i="27"/>
  <c r="G109" i="27" s="1"/>
  <c r="G113" i="27" s="1"/>
  <c r="G45" i="27"/>
  <c r="H43" i="27"/>
  <c r="H109" i="27" s="1"/>
  <c r="H113" i="27" s="1"/>
  <c r="H45" i="27"/>
  <c r="F43" i="27"/>
  <c r="F49" i="27" s="1"/>
  <c r="F50" i="27" s="1"/>
  <c r="F45" i="27"/>
  <c r="W20" i="18"/>
  <c r="W21" i="18" s="1"/>
  <c r="V20" i="18"/>
  <c r="V21" i="18" s="1"/>
  <c r="T20" i="18"/>
  <c r="S20" i="18"/>
  <c r="S21" i="18" s="1"/>
  <c r="H20" i="18"/>
  <c r="Q20" i="18"/>
  <c r="Q21" i="18" s="1"/>
  <c r="P20" i="18"/>
  <c r="P21" i="18" s="1"/>
  <c r="B35" i="25"/>
  <c r="D35" i="25" s="1"/>
  <c r="B64" i="33"/>
  <c r="B65" i="33" s="1"/>
  <c r="B66" i="33" s="1"/>
  <c r="B67" i="33" s="1"/>
  <c r="D26" i="33"/>
  <c r="D34" i="33"/>
  <c r="D35" i="33" s="1"/>
  <c r="D39" i="33" s="1"/>
  <c r="H31" i="33"/>
  <c r="K182" i="27"/>
  <c r="K170" i="27"/>
  <c r="K75" i="27" s="1"/>
  <c r="L174" i="27"/>
  <c r="K152" i="27"/>
  <c r="K59" i="27" s="1"/>
  <c r="K19" i="27"/>
  <c r="L176" i="27"/>
  <c r="L76" i="27" s="1"/>
  <c r="L152" i="27"/>
  <c r="L59" i="27" s="1"/>
  <c r="L182" i="27"/>
  <c r="L80" i="27" s="1"/>
  <c r="L19" i="27"/>
  <c r="L20" i="27" s="1"/>
  <c r="M157" i="27"/>
  <c r="M60" i="27"/>
  <c r="N156" i="27"/>
  <c r="N157" i="27" s="1"/>
  <c r="N58" i="27"/>
  <c r="M58" i="27"/>
  <c r="N144" i="27"/>
  <c r="N145" i="27" s="1"/>
  <c r="M18" i="27"/>
  <c r="M145" i="27"/>
  <c r="N18" i="27"/>
  <c r="N20" i="18"/>
  <c r="N21" i="18" s="1"/>
  <c r="K20" i="18"/>
  <c r="K21" i="18" s="1"/>
  <c r="D20" i="18"/>
  <c r="D21" i="18" s="1"/>
  <c r="J20" i="18"/>
  <c r="J21" i="18" s="1"/>
  <c r="E20" i="18"/>
  <c r="E21" i="18" s="1"/>
  <c r="M20" i="18"/>
  <c r="M21" i="18" s="1"/>
  <c r="G20" i="18"/>
  <c r="B3" i="5"/>
  <c r="B8" i="5" s="1"/>
  <c r="P6" i="27"/>
  <c r="H20" i="29"/>
  <c r="G20" i="29"/>
  <c r="E20" i="29"/>
  <c r="E21" i="29" s="1"/>
  <c r="D20" i="29"/>
  <c r="D21" i="29" s="1"/>
  <c r="N20" i="29"/>
  <c r="N21" i="29" s="1"/>
  <c r="M20" i="29"/>
  <c r="M21" i="29" s="1"/>
  <c r="G31" i="3"/>
  <c r="E38" i="3" l="1"/>
  <c r="B60" i="3"/>
  <c r="B59" i="3" s="1"/>
  <c r="B58" i="3" s="1"/>
  <c r="E38" i="33"/>
  <c r="D25" i="18"/>
  <c r="H21" i="18"/>
  <c r="Z20" i="18"/>
  <c r="Z21" i="18" s="1"/>
  <c r="G21" i="18"/>
  <c r="Y20" i="18"/>
  <c r="Y21" i="18" s="1"/>
  <c r="H21" i="29"/>
  <c r="T20" i="29"/>
  <c r="T21" i="29" s="1"/>
  <c r="S20" i="29"/>
  <c r="P50" i="27"/>
  <c r="K116" i="27"/>
  <c r="F38" i="3" s="1"/>
  <c r="L116" i="27"/>
  <c r="G38" i="33" s="1"/>
  <c r="M209" i="27"/>
  <c r="M211" i="27" s="1"/>
  <c r="L78" i="27"/>
  <c r="L36" i="27" s="1"/>
  <c r="T21" i="18"/>
  <c r="K163" i="27"/>
  <c r="K61" i="27"/>
  <c r="L164" i="27"/>
  <c r="N188" i="27"/>
  <c r="N116" i="27" s="1"/>
  <c r="X86" i="27"/>
  <c r="N86" i="27" s="1"/>
  <c r="N85" i="27"/>
  <c r="W87" i="27"/>
  <c r="M87" i="27" s="1"/>
  <c r="L88" i="27"/>
  <c r="N79" i="27"/>
  <c r="P35" i="27"/>
  <c r="M168" i="27"/>
  <c r="I49" i="27"/>
  <c r="I50" i="27" s="1"/>
  <c r="S50" i="27" s="1"/>
  <c r="H44" i="27"/>
  <c r="H49" i="27"/>
  <c r="H50" i="27" s="1"/>
  <c r="R50" i="27" s="1"/>
  <c r="I44" i="27"/>
  <c r="G44" i="27"/>
  <c r="F109" i="27"/>
  <c r="F113" i="27" s="1"/>
  <c r="G49" i="27"/>
  <c r="G50" i="27" s="1"/>
  <c r="F44" i="27"/>
  <c r="P43" i="27"/>
  <c r="P12" i="27"/>
  <c r="P39" i="27"/>
  <c r="P42" i="27"/>
  <c r="P37" i="27"/>
  <c r="P38" i="27"/>
  <c r="P36" i="27"/>
  <c r="P29" i="27"/>
  <c r="P30" i="27"/>
  <c r="P26" i="27"/>
  <c r="P27" i="27"/>
  <c r="P24" i="27"/>
  <c r="P25" i="27"/>
  <c r="P19" i="27"/>
  <c r="P23" i="27"/>
  <c r="P16" i="27"/>
  <c r="P18" i="27"/>
  <c r="C35" i="25"/>
  <c r="F40" i="3"/>
  <c r="G40" i="3"/>
  <c r="I40" i="3"/>
  <c r="H40" i="3"/>
  <c r="D40" i="3"/>
  <c r="B63" i="33"/>
  <c r="B62" i="33" s="1"/>
  <c r="B61" i="33" s="1"/>
  <c r="G40" i="33"/>
  <c r="D40" i="33"/>
  <c r="F40" i="33"/>
  <c r="E40" i="33"/>
  <c r="H40" i="33"/>
  <c r="I31" i="33"/>
  <c r="H38" i="33"/>
  <c r="M150" i="27"/>
  <c r="L180" i="27"/>
  <c r="L181" i="27" s="1"/>
  <c r="L150" i="27"/>
  <c r="L151" i="27" s="1"/>
  <c r="M180" i="27"/>
  <c r="L168" i="27"/>
  <c r="L169" i="27" s="1"/>
  <c r="K20" i="27"/>
  <c r="K80" i="27"/>
  <c r="M174" i="27"/>
  <c r="L175" i="27"/>
  <c r="N170" i="27"/>
  <c r="N75" i="27" s="1"/>
  <c r="N176" i="27"/>
  <c r="N76" i="27" s="1"/>
  <c r="N152" i="27"/>
  <c r="N19" i="27"/>
  <c r="N182" i="27"/>
  <c r="M152" i="27"/>
  <c r="M170" i="27"/>
  <c r="M75" i="27" s="1"/>
  <c r="M19" i="27"/>
  <c r="M176" i="27"/>
  <c r="M182" i="27"/>
  <c r="B5" i="5"/>
  <c r="B16" i="5"/>
  <c r="B12" i="5"/>
  <c r="B6" i="5"/>
  <c r="B7" i="5"/>
  <c r="B9" i="5" s="1"/>
  <c r="P28" i="27" a="1"/>
  <c r="P28" i="27" s="1"/>
  <c r="P17" i="27" a="1"/>
  <c r="P17" i="27" s="1"/>
  <c r="D25" i="29"/>
  <c r="G21" i="29"/>
  <c r="H31" i="3"/>
  <c r="H38" i="3" s="1"/>
  <c r="K50" i="27" l="1"/>
  <c r="G38" i="3"/>
  <c r="F38" i="33"/>
  <c r="D24" i="18"/>
  <c r="D27" i="18" s="1"/>
  <c r="S21" i="29"/>
  <c r="D24" i="29" s="1"/>
  <c r="D27" i="29" s="1"/>
  <c r="D29" i="29" s="1"/>
  <c r="Q50" i="27"/>
  <c r="T50" i="27" s="1"/>
  <c r="L81" i="27"/>
  <c r="L90" i="27" s="1"/>
  <c r="N209" i="27"/>
  <c r="N211" i="27" s="1"/>
  <c r="N78" i="27" s="1"/>
  <c r="N36" i="27" s="1"/>
  <c r="M78" i="27"/>
  <c r="M36" i="27" s="1"/>
  <c r="M162" i="27"/>
  <c r="L61" i="27"/>
  <c r="L104" i="27" s="1"/>
  <c r="L163" i="27"/>
  <c r="N164" i="27"/>
  <c r="N61" i="27" s="1"/>
  <c r="M164" i="27"/>
  <c r="M88" i="27"/>
  <c r="X87" i="27"/>
  <c r="I38" i="33"/>
  <c r="M151" i="27"/>
  <c r="K81" i="27"/>
  <c r="K90" i="27" s="1"/>
  <c r="M181" i="27"/>
  <c r="N168" i="27"/>
  <c r="N169" i="27" s="1"/>
  <c r="K104" i="27"/>
  <c r="M175" i="27"/>
  <c r="N180" i="27"/>
  <c r="N181" i="27" s="1"/>
  <c r="M80" i="27"/>
  <c r="M20" i="27"/>
  <c r="M59" i="27"/>
  <c r="N150" i="27"/>
  <c r="N151" i="27" s="1"/>
  <c r="N80" i="27"/>
  <c r="N20" i="27"/>
  <c r="N59" i="27"/>
  <c r="M169" i="27"/>
  <c r="N174" i="27"/>
  <c r="N175" i="27" s="1"/>
  <c r="M76" i="27"/>
  <c r="B13" i="5"/>
  <c r="B14" i="5" s="1"/>
  <c r="B17" i="5"/>
  <c r="B10" i="5"/>
  <c r="I31" i="3"/>
  <c r="I38" i="3" s="1"/>
  <c r="L50" i="27" l="1"/>
  <c r="J50" i="27"/>
  <c r="N81" i="27"/>
  <c r="L105" i="27"/>
  <c r="L110" i="27" s="1"/>
  <c r="G36" i="3" s="1"/>
  <c r="M163" i="27"/>
  <c r="N162" i="27"/>
  <c r="N163" i="27" s="1"/>
  <c r="M61" i="27"/>
  <c r="M104" i="27" s="1"/>
  <c r="M105" i="27" s="1"/>
  <c r="M110" i="27" s="1"/>
  <c r="N87" i="27"/>
  <c r="N88" i="27" s="1"/>
  <c r="N104" i="27"/>
  <c r="M81" i="27"/>
  <c r="M90" i="27" s="1"/>
  <c r="B7" i="14" a="1"/>
  <c r="B7" i="14" s="1"/>
  <c r="N50" i="27" l="1"/>
  <c r="M50" i="27"/>
  <c r="N90" i="27"/>
  <c r="G36" i="33"/>
  <c r="H36" i="3"/>
  <c r="H36" i="33"/>
  <c r="N105" i="27"/>
  <c r="N110" i="27" s="1"/>
  <c r="I36" i="3" l="1"/>
  <c r="I36" i="33"/>
  <c r="J198" i="27" l="1"/>
  <c r="J119" i="27" l="1"/>
  <c r="K195" i="27"/>
  <c r="K197" i="27" s="1"/>
  <c r="K28" i="27" s="1"/>
  <c r="K198" i="27" l="1"/>
  <c r="K119" i="27" l="1"/>
  <c r="L195" i="27"/>
  <c r="L197" i="27" l="1"/>
  <c r="L28" i="27" s="1"/>
  <c r="L198" i="27" l="1"/>
  <c r="L119" i="27" l="1"/>
  <c r="M195" i="27"/>
  <c r="M197" i="27" l="1"/>
  <c r="M28" i="27" s="1"/>
  <c r="M198" i="27" l="1"/>
  <c r="M119" i="27" s="1"/>
  <c r="N195" i="27" l="1"/>
  <c r="N197" i="27" s="1"/>
  <c r="N28" i="27" s="1"/>
  <c r="N198" i="27" l="1"/>
  <c r="N119" i="27" l="1"/>
  <c r="X12" i="27" l="1"/>
  <c r="W12" i="27"/>
  <c r="V12" i="27"/>
  <c r="U12" i="27"/>
  <c r="R30" i="27"/>
  <c r="R12" i="27"/>
  <c r="Q30" i="27"/>
  <c r="Q12" i="27"/>
  <c r="X25" i="27"/>
  <c r="W25" i="27"/>
  <c r="V25" i="27"/>
  <c r="U25" i="27"/>
  <c r="S29" i="27"/>
  <c r="S30" i="27"/>
  <c r="S26" i="27"/>
  <c r="S27" i="27"/>
  <c r="S24" i="27"/>
  <c r="S25" i="27"/>
  <c r="S43" i="27"/>
  <c r="S23" i="27"/>
  <c r="R27" i="27"/>
  <c r="R29" i="27"/>
  <c r="R25" i="27"/>
  <c r="R26" i="27"/>
  <c r="R23" i="27"/>
  <c r="R24" i="27"/>
  <c r="Q27" i="27"/>
  <c r="Q29" i="27"/>
  <c r="Q25" i="27"/>
  <c r="Q26" i="27"/>
  <c r="Q23" i="27"/>
  <c r="Q24" i="27"/>
  <c r="X19" i="27"/>
  <c r="W19" i="27"/>
  <c r="V19" i="27"/>
  <c r="U19" i="27"/>
  <c r="S39" i="27"/>
  <c r="S42" i="27"/>
  <c r="S37" i="27"/>
  <c r="S38" i="27"/>
  <c r="S35" i="27"/>
  <c r="S36" i="27"/>
  <c r="R42" i="27"/>
  <c r="R43" i="27"/>
  <c r="R38" i="27"/>
  <c r="R39" i="27"/>
  <c r="R36" i="27"/>
  <c r="R37" i="27"/>
  <c r="R19" i="27"/>
  <c r="R35" i="27"/>
  <c r="Q42" i="27"/>
  <c r="Q43" i="27"/>
  <c r="Q38" i="27"/>
  <c r="Q39" i="27"/>
  <c r="Q36" i="27"/>
  <c r="Q37" i="27"/>
  <c r="Q19" i="27"/>
  <c r="Q35" i="27"/>
  <c r="X16" i="27"/>
  <c r="X18" i="27"/>
  <c r="W16" i="27"/>
  <c r="W18" i="27"/>
  <c r="V16" i="27"/>
  <c r="V18" i="27"/>
  <c r="U16" i="27"/>
  <c r="U18" i="27"/>
  <c r="S19" i="27"/>
  <c r="S16" i="27"/>
  <c r="S18" i="27"/>
  <c r="R16" i="27"/>
  <c r="R18" i="27"/>
  <c r="Q16" i="27"/>
  <c r="Q18" i="27"/>
  <c r="S17" i="27" a="1"/>
  <c r="S17" i="27" s="1"/>
  <c r="S28" i="27" a="1"/>
  <c r="S28" i="27" s="1"/>
  <c r="U17" i="27" a="1"/>
  <c r="U17" i="27" s="1"/>
  <c r="U28" i="27" a="1"/>
  <c r="U28" i="27" s="1"/>
  <c r="Q17" i="27" a="1"/>
  <c r="Q17" i="27" s="1"/>
  <c r="Q28" i="27" a="1"/>
  <c r="Q28" i="27" s="1"/>
  <c r="W17" i="27" a="1"/>
  <c r="W17" i="27" s="1"/>
  <c r="W28" i="27" a="1"/>
  <c r="W28" i="27" s="1"/>
  <c r="C7" i="5"/>
  <c r="C16" i="5"/>
  <c r="C6" i="5"/>
  <c r="C12" i="5"/>
  <c r="C5" i="5"/>
  <c r="C8" i="5"/>
  <c r="I6" i="5"/>
  <c r="I5" i="5"/>
  <c r="I7" i="5"/>
  <c r="I8" i="5"/>
  <c r="R17" i="27" a="1"/>
  <c r="R17" i="27" s="1"/>
  <c r="R28" i="27" a="1"/>
  <c r="R28" i="27" s="1"/>
  <c r="X17" i="27" a="1"/>
  <c r="X17" i="27" s="1"/>
  <c r="X28" i="27" a="1"/>
  <c r="X28" i="27" s="1"/>
  <c r="D12" i="5"/>
  <c r="D7" i="5"/>
  <c r="D16" i="5"/>
  <c r="D8" i="5"/>
  <c r="D6" i="5"/>
  <c r="D5" i="5"/>
  <c r="J6" i="5"/>
  <c r="J5" i="5"/>
  <c r="J7" i="5"/>
  <c r="J8" i="5"/>
  <c r="E8" i="5"/>
  <c r="E16" i="5"/>
  <c r="E5" i="5"/>
  <c r="E12" i="5"/>
  <c r="E6" i="5"/>
  <c r="E7" i="5"/>
  <c r="T17" i="27" a="1"/>
  <c r="T17" i="27" s="1"/>
  <c r="T28" i="27" a="1"/>
  <c r="T28" i="27" s="1"/>
  <c r="F6" i="5"/>
  <c r="F5" i="5"/>
  <c r="L5" i="5" s="1"/>
  <c r="F7" i="5"/>
  <c r="G7" i="5"/>
  <c r="G8" i="5"/>
  <c r="G6" i="5"/>
  <c r="G5" i="5"/>
  <c r="V17" i="27" a="1"/>
  <c r="V17" i="27" s="1"/>
  <c r="V28" i="27" a="1"/>
  <c r="V28" i="27" s="1"/>
  <c r="H7" i="5"/>
  <c r="H6" i="5"/>
  <c r="H8" i="5"/>
  <c r="H5" i="5"/>
  <c r="AC37" i="27" l="1"/>
  <c r="AB37" i="27"/>
  <c r="AD37" i="27"/>
  <c r="AA37" i="27"/>
  <c r="Z37" i="27"/>
  <c r="J37" i="27" s="1"/>
  <c r="T37" i="27" s="1"/>
  <c r="Z23" i="27"/>
  <c r="J23" i="27" s="1"/>
  <c r="T23" i="27" s="1"/>
  <c r="Z24" i="27"/>
  <c r="J24" i="27" s="1"/>
  <c r="T24" i="27" s="1"/>
  <c r="AA24" i="27" s="1"/>
  <c r="K24" i="27" s="1"/>
  <c r="Z35" i="27"/>
  <c r="D17" i="5"/>
  <c r="I9" i="5"/>
  <c r="I10" i="5" s="1"/>
  <c r="G9" i="5"/>
  <c r="G10" i="5" s="1"/>
  <c r="C9" i="5"/>
  <c r="C13" i="5" s="1"/>
  <c r="C14" i="5" s="1"/>
  <c r="H9" i="5"/>
  <c r="H10" i="5" s="1"/>
  <c r="L7" i="5"/>
  <c r="E9" i="5"/>
  <c r="J9" i="5"/>
  <c r="J10" i="5" s="1"/>
  <c r="C17" i="5"/>
  <c r="E17" i="5"/>
  <c r="D9" i="5"/>
  <c r="J25" i="27" l="1"/>
  <c r="T25" i="27" s="1"/>
  <c r="J16" i="27"/>
  <c r="T16" i="27" s="1"/>
  <c r="K23" i="27"/>
  <c r="U23" i="27" s="1"/>
  <c r="U24" i="27"/>
  <c r="AB24" i="27" s="1"/>
  <c r="L24" i="27" s="1"/>
  <c r="K37" i="27"/>
  <c r="U37" i="27" s="1"/>
  <c r="L37" i="27" s="1"/>
  <c r="V37" i="27" s="1"/>
  <c r="J35" i="27"/>
  <c r="J38" i="27" s="1"/>
  <c r="T38" i="27" s="1"/>
  <c r="T36" i="27"/>
  <c r="C10" i="5"/>
  <c r="E13" i="5"/>
  <c r="E14" i="5" s="1"/>
  <c r="E10" i="5"/>
  <c r="D13" i="5"/>
  <c r="D14" i="5" s="1"/>
  <c r="D10" i="5"/>
  <c r="J18" i="27" l="1"/>
  <c r="F8" i="5" s="1"/>
  <c r="F9" i="5" s="1"/>
  <c r="F10" i="5" s="1"/>
  <c r="L23" i="27"/>
  <c r="V23" i="27" s="1"/>
  <c r="K26" i="27"/>
  <c r="V24" i="27"/>
  <c r="T35" i="27"/>
  <c r="AA35" i="27" l="1"/>
  <c r="K35" i="27" s="1"/>
  <c r="K38" i="27" s="1"/>
  <c r="T18" i="27"/>
  <c r="AF18" i="27" s="1"/>
  <c r="J152" i="27"/>
  <c r="K150" i="27" s="1"/>
  <c r="K151" i="27" s="1"/>
  <c r="J170" i="27"/>
  <c r="J75" i="27" s="1"/>
  <c r="J182" i="27"/>
  <c r="J80" i="27" s="1"/>
  <c r="J176" i="27"/>
  <c r="J76" i="27" s="1"/>
  <c r="J19" i="27"/>
  <c r="K23" i="6" s="1"/>
  <c r="U26" i="27"/>
  <c r="K31" i="27"/>
  <c r="M23" i="27"/>
  <c r="W23" i="27" s="1"/>
  <c r="N23" i="27" s="1"/>
  <c r="X23" i="27" s="1"/>
  <c r="L26" i="27"/>
  <c r="AC24" i="27"/>
  <c r="M24" i="27" s="1"/>
  <c r="M37" i="27"/>
  <c r="W37" i="27" s="1"/>
  <c r="U36" i="27"/>
  <c r="K168" i="27" l="1"/>
  <c r="K169" i="27" s="1"/>
  <c r="J26" i="27"/>
  <c r="J31" i="27" s="1"/>
  <c r="J181" i="27"/>
  <c r="K180" i="27"/>
  <c r="K181" i="27" s="1"/>
  <c r="T19" i="27"/>
  <c r="J81" i="27"/>
  <c r="J90" i="27" s="1"/>
  <c r="J169" i="27"/>
  <c r="J175" i="27"/>
  <c r="K174" i="27"/>
  <c r="K175" i="27" s="1"/>
  <c r="J59" i="27"/>
  <c r="J151" i="27"/>
  <c r="J20" i="27"/>
  <c r="L23" i="6" s="1"/>
  <c r="V26" i="27"/>
  <c r="L31" i="27"/>
  <c r="M26" i="27"/>
  <c r="W24" i="27"/>
  <c r="AD24" i="27" s="1"/>
  <c r="N24" i="27" s="1"/>
  <c r="N37" i="27"/>
  <c r="X37" i="27" s="1"/>
  <c r="U35" i="27"/>
  <c r="U38" i="27"/>
  <c r="J104" i="27" l="1"/>
  <c r="K105" i="27" s="1"/>
  <c r="K110" i="27" s="1"/>
  <c r="AB35" i="27"/>
  <c r="L35" i="27" s="1"/>
  <c r="T26" i="27"/>
  <c r="N26" i="27"/>
  <c r="X24" i="27"/>
  <c r="M31" i="27"/>
  <c r="W26" i="27"/>
  <c r="V36" i="27"/>
  <c r="F36" i="3" l="1"/>
  <c r="F36" i="33"/>
  <c r="J105" i="27"/>
  <c r="J110" i="27" s="1"/>
  <c r="E36" i="33" s="1"/>
  <c r="N31" i="27"/>
  <c r="X26" i="27"/>
  <c r="L38" i="27"/>
  <c r="V35" i="27"/>
  <c r="E36" i="3" l="1"/>
  <c r="AC35" i="27"/>
  <c r="M35" i="27" s="1"/>
  <c r="W35" i="27" s="1"/>
  <c r="AD35" i="27" s="1"/>
  <c r="V38" i="27"/>
  <c r="M38" i="27" l="1"/>
  <c r="W36" i="27"/>
  <c r="X36" i="27" s="1"/>
  <c r="N35" i="27"/>
  <c r="X35" i="27" s="1"/>
  <c r="W38" i="27" l="1"/>
  <c r="N38" i="27"/>
  <c r="X38" i="27" l="1"/>
  <c r="T12" i="27" l="1"/>
  <c r="S12" i="27" s="1"/>
  <c r="M122" i="27" l="1"/>
  <c r="M128" i="27" s="1"/>
  <c r="K122" i="27"/>
  <c r="K128" i="27" s="1"/>
  <c r="N122" i="27"/>
  <c r="N128" i="27" s="1"/>
  <c r="L122" i="27"/>
  <c r="L128" i="27" s="1"/>
  <c r="J122" i="27"/>
  <c r="J128" i="27" s="1"/>
  <c r="J189" i="27"/>
  <c r="J112" i="27" s="1"/>
  <c r="J190" i="27" l="1"/>
  <c r="K187" i="27" s="1"/>
  <c r="K189" i="27" s="1"/>
  <c r="K190" i="27" s="1"/>
  <c r="E37" i="3"/>
  <c r="E37" i="33"/>
  <c r="J27" i="27"/>
  <c r="J65" i="27" l="1"/>
  <c r="J69" i="27" s="1"/>
  <c r="K65" i="27"/>
  <c r="K69" i="27" s="1"/>
  <c r="L187" i="27"/>
  <c r="T27" i="27"/>
  <c r="J29" i="27"/>
  <c r="K27" i="27"/>
  <c r="K112" i="27"/>
  <c r="K29" i="27" l="1"/>
  <c r="U27" i="27"/>
  <c r="T29" i="27"/>
  <c r="J30" i="27"/>
  <c r="F12" i="5"/>
  <c r="F13" i="5" s="1"/>
  <c r="F14" i="5" s="1"/>
  <c r="F37" i="33"/>
  <c r="F37" i="3"/>
  <c r="L189" i="27"/>
  <c r="L112" i="27" l="1"/>
  <c r="L27" i="27"/>
  <c r="L190" i="27"/>
  <c r="J32" i="27"/>
  <c r="J39" i="27"/>
  <c r="K24" i="6"/>
  <c r="L24" i="6" s="1"/>
  <c r="E33" i="3"/>
  <c r="E33" i="33"/>
  <c r="T30" i="27"/>
  <c r="K30" i="27"/>
  <c r="U29" i="27"/>
  <c r="G12" i="5"/>
  <c r="G13" i="5" s="1"/>
  <c r="G14" i="5" s="1"/>
  <c r="J42" i="27" l="1"/>
  <c r="J43" i="27" s="1"/>
  <c r="F33" i="3"/>
  <c r="U30" i="27"/>
  <c r="K32" i="27"/>
  <c r="F33" i="33"/>
  <c r="K39" i="27"/>
  <c r="E34" i="3"/>
  <c r="E35" i="3" s="1"/>
  <c r="E39" i="3" s="1"/>
  <c r="E43" i="3" s="1"/>
  <c r="T39" i="27"/>
  <c r="E34" i="33"/>
  <c r="E35" i="33" s="1"/>
  <c r="E39" i="33" s="1"/>
  <c r="E43" i="33" s="1"/>
  <c r="L65" i="27"/>
  <c r="L69" i="27" s="1"/>
  <c r="M187" i="27"/>
  <c r="L29" i="27"/>
  <c r="V27" i="27"/>
  <c r="G37" i="3"/>
  <c r="G37" i="33"/>
  <c r="T42" i="27" l="1"/>
  <c r="J109" i="27"/>
  <c r="J113" i="27" s="1"/>
  <c r="K42" i="27"/>
  <c r="U42" i="27" s="1"/>
  <c r="U39" i="27"/>
  <c r="F34" i="33"/>
  <c r="F35" i="33" s="1"/>
  <c r="F39" i="33" s="1"/>
  <c r="F43" i="33" s="1"/>
  <c r="L30" i="27"/>
  <c r="V29" i="27"/>
  <c r="H12" i="5"/>
  <c r="H13" i="5" s="1"/>
  <c r="H14" i="5" s="1"/>
  <c r="F34" i="3"/>
  <c r="F35" i="3" s="1"/>
  <c r="F39" i="3" s="1"/>
  <c r="F43" i="3" s="1"/>
  <c r="M189" i="27"/>
  <c r="M190" i="27" s="1"/>
  <c r="K25" i="6" l="1"/>
  <c r="L25" i="6" s="1"/>
  <c r="D28" i="18" s="1"/>
  <c r="D30" i="18" s="1"/>
  <c r="F23" i="6" s="1"/>
  <c r="G23" i="6" s="1"/>
  <c r="F16" i="5"/>
  <c r="F17" i="5" s="1"/>
  <c r="J44" i="27"/>
  <c r="T43" i="27"/>
  <c r="J49" i="27"/>
  <c r="J51" i="27" s="1"/>
  <c r="J95" i="27" s="1"/>
  <c r="K43" i="27"/>
  <c r="K109" i="27" s="1"/>
  <c r="K113" i="27" s="1"/>
  <c r="J136" i="27"/>
  <c r="J137" i="27" s="1"/>
  <c r="J138" i="27" s="1"/>
  <c r="J131" i="27"/>
  <c r="J132" i="27" s="1"/>
  <c r="M27" i="27"/>
  <c r="M112" i="27"/>
  <c r="M65" i="27"/>
  <c r="M69" i="27" s="1"/>
  <c r="N187" i="27"/>
  <c r="G33" i="33"/>
  <c r="V30" i="27"/>
  <c r="L32" i="27"/>
  <c r="G33" i="3"/>
  <c r="L39" i="27"/>
  <c r="J97" i="27" l="1"/>
  <c r="J99" i="27" s="1"/>
  <c r="U43" i="27"/>
  <c r="K49" i="27"/>
  <c r="G16" i="5"/>
  <c r="G17" i="5" s="1"/>
  <c r="E23" i="6"/>
  <c r="D35" i="6" s="1"/>
  <c r="E35" i="6" s="1"/>
  <c r="K48" i="27"/>
  <c r="K44" i="27"/>
  <c r="V39" i="27"/>
  <c r="L42" i="27"/>
  <c r="V42" i="27" s="1"/>
  <c r="H37" i="33"/>
  <c r="H37" i="3"/>
  <c r="W27" i="27"/>
  <c r="M29" i="27"/>
  <c r="K131" i="27"/>
  <c r="K136" i="27"/>
  <c r="K137" i="27" s="1"/>
  <c r="K138" i="27" s="1"/>
  <c r="J56" i="27"/>
  <c r="K130" i="27"/>
  <c r="G34" i="3"/>
  <c r="G35" i="3" s="1"/>
  <c r="G39" i="3" s="1"/>
  <c r="G43" i="3" s="1"/>
  <c r="G34" i="33"/>
  <c r="G35" i="33" s="1"/>
  <c r="G39" i="33" s="1"/>
  <c r="G43" i="33" s="1"/>
  <c r="N189" i="27"/>
  <c r="N190" i="27" s="1"/>
  <c r="N65" i="27" s="1"/>
  <c r="N69" i="27" s="1"/>
  <c r="K51" i="27" l="1"/>
  <c r="K132" i="27"/>
  <c r="K56" i="27" s="1"/>
  <c r="J62" i="27"/>
  <c r="J71" i="27" s="1"/>
  <c r="J101" i="27" s="1"/>
  <c r="D31" i="29"/>
  <c r="D32" i="29" s="1"/>
  <c r="D34" i="29" s="1"/>
  <c r="F24" i="6" s="1"/>
  <c r="J133" i="27"/>
  <c r="W29" i="27"/>
  <c r="M30" i="27"/>
  <c r="I12" i="5"/>
  <c r="I13" i="5" s="1"/>
  <c r="I14" i="5" s="1"/>
  <c r="N27" i="27"/>
  <c r="N112" i="27"/>
  <c r="L43" i="27"/>
  <c r="K95" i="27" l="1"/>
  <c r="K97" i="27" s="1"/>
  <c r="K99" i="27" s="1"/>
  <c r="L48" i="27"/>
  <c r="L130" i="27"/>
  <c r="H33" i="33"/>
  <c r="M39" i="27"/>
  <c r="M32" i="27"/>
  <c r="W30" i="27"/>
  <c r="H33" i="3"/>
  <c r="L109" i="27"/>
  <c r="L113" i="27" s="1"/>
  <c r="L49" i="27"/>
  <c r="L44" i="27"/>
  <c r="V43" i="27"/>
  <c r="H16" i="5"/>
  <c r="H17" i="5" s="1"/>
  <c r="K133" i="27"/>
  <c r="K62" i="27"/>
  <c r="K71" i="27" s="1"/>
  <c r="E24" i="6"/>
  <c r="D36" i="6" s="1"/>
  <c r="E36" i="6" s="1"/>
  <c r="G24" i="6"/>
  <c r="I37" i="3"/>
  <c r="I37" i="33"/>
  <c r="N29" i="27"/>
  <c r="X27" i="27"/>
  <c r="K101" i="27" l="1"/>
  <c r="L51" i="27"/>
  <c r="L95" i="27" s="1"/>
  <c r="H34" i="3"/>
  <c r="H35" i="3" s="1"/>
  <c r="H39" i="3" s="1"/>
  <c r="H43" i="3" s="1"/>
  <c r="L136" i="27"/>
  <c r="L137" i="27" s="1"/>
  <c r="L138" i="27" s="1"/>
  <c r="L131" i="27"/>
  <c r="L132" i="27" s="1"/>
  <c r="L56" i="27" s="1"/>
  <c r="M42" i="27"/>
  <c r="W42" i="27" s="1"/>
  <c r="W39" i="27"/>
  <c r="X29" i="27"/>
  <c r="AF29" i="27" s="1"/>
  <c r="N30" i="27"/>
  <c r="J12" i="5"/>
  <c r="J13" i="5" s="1"/>
  <c r="J14" i="5" s="1"/>
  <c r="H34" i="33"/>
  <c r="H35" i="33" s="1"/>
  <c r="H39" i="33" s="1"/>
  <c r="H43" i="33" s="1"/>
  <c r="L97" i="27" l="1"/>
  <c r="L99" i="27" s="1"/>
  <c r="M48" i="27"/>
  <c r="X30" i="27"/>
  <c r="N39" i="27"/>
  <c r="I33" i="33"/>
  <c r="I33" i="3"/>
  <c r="N32" i="27"/>
  <c r="M43" i="27"/>
  <c r="M130" i="27"/>
  <c r="I34" i="3" l="1"/>
  <c r="I35" i="3" s="1"/>
  <c r="I39" i="3" s="1"/>
  <c r="I34" i="33"/>
  <c r="I35" i="33" s="1"/>
  <c r="I39" i="33" s="1"/>
  <c r="N42" i="27"/>
  <c r="X42" i="27" s="1"/>
  <c r="X39" i="27"/>
  <c r="L133" i="27"/>
  <c r="L62" i="27"/>
  <c r="L71" i="27" s="1"/>
  <c r="L101" i="27" s="1"/>
  <c r="M49" i="27"/>
  <c r="M51" i="27" s="1"/>
  <c r="M95" i="27" s="1"/>
  <c r="W43" i="27"/>
  <c r="M44" i="27"/>
  <c r="M109" i="27"/>
  <c r="M113" i="27" s="1"/>
  <c r="I16" i="5"/>
  <c r="I17" i="5" s="1"/>
  <c r="N48" i="27" l="1"/>
  <c r="I43" i="33"/>
  <c r="C52" i="33" s="1"/>
  <c r="D52" i="33" s="1"/>
  <c r="C50" i="33"/>
  <c r="C47" i="3"/>
  <c r="I43" i="3"/>
  <c r="N43" i="27"/>
  <c r="M131" i="27"/>
  <c r="M132" i="27" s="1"/>
  <c r="M56" i="27" s="1"/>
  <c r="M136" i="27"/>
  <c r="M137" i="27" s="1"/>
  <c r="M138" i="27" s="1"/>
  <c r="M97" i="27"/>
  <c r="M99" i="27" s="1"/>
  <c r="C49" i="3" l="1"/>
  <c r="D49" i="3" s="1"/>
  <c r="N44" i="27"/>
  <c r="N49" i="27"/>
  <c r="N51" i="27" s="1"/>
  <c r="N95" i="27" s="1"/>
  <c r="X43" i="27"/>
  <c r="N109" i="27"/>
  <c r="N113" i="27" s="1"/>
  <c r="N131" i="27" s="1"/>
  <c r="J16" i="5"/>
  <c r="J17" i="5" s="1"/>
  <c r="D47" i="3"/>
  <c r="C48" i="3"/>
  <c r="N130" i="27"/>
  <c r="C51" i="33"/>
  <c r="D50" i="33"/>
  <c r="N97" i="27" l="1"/>
  <c r="N99" i="27" s="1"/>
  <c r="C53" i="33"/>
  <c r="C55" i="33" s="1"/>
  <c r="C57" i="33" s="1"/>
  <c r="D57" i="33" s="1"/>
  <c r="B60" i="33" s="1"/>
  <c r="D51" i="33"/>
  <c r="D53" i="33" s="1"/>
  <c r="D55" i="33" s="1"/>
  <c r="M133" i="27"/>
  <c r="M62" i="27"/>
  <c r="M71" i="27" s="1"/>
  <c r="M101" i="27" s="1"/>
  <c r="D48" i="3"/>
  <c r="D50" i="3" s="1"/>
  <c r="D52" i="3" s="1"/>
  <c r="C50" i="3"/>
  <c r="C52" i="3" s="1"/>
  <c r="N132" i="27"/>
  <c r="N56" i="27" s="1"/>
  <c r="N136" i="27"/>
  <c r="N137" i="27" s="1"/>
  <c r="N138" i="27" s="1"/>
  <c r="N62" i="27" l="1"/>
  <c r="N71" i="27" s="1"/>
  <c r="N101" i="27" s="1"/>
  <c r="N133" i="27"/>
  <c r="H228" i="27"/>
  <c r="H220" i="27"/>
  <c r="H236" i="27"/>
  <c r="C54" i="3"/>
  <c r="F228" i="27"/>
  <c r="F220" i="27"/>
  <c r="F236" i="27"/>
  <c r="G220" i="27" l="1"/>
  <c r="D54" i="3"/>
  <c r="G236" i="27"/>
  <c r="G228" i="27"/>
  <c r="I236" i="27" l="1"/>
  <c r="I220" i="27"/>
  <c r="F22" i="6"/>
  <c r="I228" i="27"/>
  <c r="B57" i="3"/>
  <c r="F26" i="6" l="1"/>
  <c r="G22" i="6"/>
  <c r="E22" i="6"/>
  <c r="E26" i="6" l="1"/>
  <c r="D34" i="6"/>
  <c r="E34" i="6" s="1"/>
  <c r="G26" i="6"/>
  <c r="H36" i="6"/>
  <c r="F34" i="6"/>
  <c r="F29" i="6"/>
  <c r="F30" i="6" s="1"/>
  <c r="H34" i="6"/>
  <c r="H35" i="6"/>
  <c r="F35" i="6" l="1"/>
  <c r="G35" i="6" s="1"/>
  <c r="F36" i="6"/>
  <c r="G36" i="6" s="1"/>
  <c r="G3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tc={7FAE66BA-6DB7-4ECD-8697-67FEA1C66A05}</author>
    <author>tc={15B8CD1C-1384-4DEC-BF82-9A81D31E3F1E}</author>
    <author>tc={316ADEF6-917B-40F7-9D79-EA5550114E09}</author>
    <author>tc={9C2A2920-93A4-4062-AF7C-FCCB88F09983}</author>
    <author>tc={D5373565-6335-450B-8BDA-6DD0C3779410}</author>
    <author>tc={EB1327CE-AD20-47FC-B9DB-2B74E2E4052B}</author>
  </authors>
  <commentList>
    <comment ref="B13" authorId="0" shapeId="0" xr:uid="{7FAE66BA-6DB7-4ECD-8697-67FEA1C66A05}">
      <text>
        <t>[Threaded comment]
Your version of Excel allows you to read this threaded comment; however, any edits to it will get removed if the file is opened in a newer version of Excel. Learn more: https://go.microsoft.com/fwlink/?linkid=870924
Comment:
    Use WACC function on Bloomberg. Expand details on cost of debt and use the "debt adjustment factor".</t>
      </text>
    </comment>
    <comment ref="B14" authorId="1" shapeId="0" xr:uid="{15B8CD1C-1384-4DEC-BF82-9A81D31E3F1E}">
      <text>
        <t>[Threaded comment]
Your version of Excel allows you to read this threaded comment; however, any edits to it will get removed if the file is opened in a newer version of Excel. Learn more: https://go.microsoft.com/fwlink/?linkid=870924
Comment:
    Based on assumption from company fillings &amp; historical average.
Bloomberg's WACC function can also give insight on the approximate value.</t>
      </text>
    </comment>
    <comment ref="B19" authorId="2" shapeId="0" xr:uid="{316ADEF6-917B-40F7-9D79-EA5550114E09}">
      <text>
        <t>[Threaded comment]
Your version of Excel allows you to read this threaded comment; however, any edits to it will get removed if the file is opened in a newer version of Excel. Learn more: https://go.microsoft.com/fwlink/?linkid=870924
Comment:
    Note: This is an extra risk premium on top of the US Equity Risk Premium.
In most cases, this will be 0% (since we invest in US Equities). If a US company has significant international sales, we may consider adding in an additional risk premium here.</t>
      </text>
    </comment>
    <comment ref="B20" authorId="3" shapeId="0" xr:uid="{9C2A2920-93A4-4062-AF7C-FCCB88F09983}">
      <text>
        <t>[Threaded comment]
Your version of Excel allows you to read this threaded comment; however, any edits to it will get removed if the file is opened in a newer version of Excel. Learn more: https://go.microsoft.com/fwlink/?linkid=870924
Comment:
    Additional risk premium for smaller companies.</t>
      </text>
    </comment>
    <comment ref="B21" authorId="4" shapeId="0" xr:uid="{D5373565-6335-450B-8BDA-6DD0C3779410}">
      <text>
        <t>[Threaded comment]
Your version of Excel allows you to read this threaded comment; however, any edits to it will get removed if the file is opened in a newer version of Excel. Learn more: https://go.microsoft.com/fwlink/?linkid=870924
Comment:
    Regression (levered) beta vs. the Russell 3000 Index.
We use the Russell 3K as the base, since this is our portfolio's benchmark.</t>
      </text>
    </comment>
    <comment ref="B25" authorId="5" shapeId="0" xr:uid="{EB1327CE-AD20-47FC-B9DB-2B74E2E4052B}">
      <text>
        <t>[Threaded comment]
Your version of Excel allows you to read this threaded comment; however, any edits to it will get removed if the file is opened in a newer version of Excel. Learn more: https://go.microsoft.com/fwlink/?linkid=870924
Comment:
    Must be entered in the same units as the underlying financial data (i.e. all in Thousands, Millions, etc.)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tc={87B44FF1-835F-48CD-B211-BFDC197E6CB1}</author>
    <author>tc={11394B89-6184-493B-A994-925B563D6BE7}</author>
    <author>tc={5CFCEE4F-7429-41A3-83E2-0C18054E8187}</author>
    <author>tc={AA4273B6-B36C-4843-A5C3-1F8ABB9647EC}</author>
    <author>tc={01147EA1-6C3A-476A-9986-B69F7B6D379B}</author>
    <author>tc={4E17A871-140C-4F0B-B35F-794DEF022E8D}</author>
    <author>tc={4E17A871-140C-4F0C-B35F-794DEF022E8D}</author>
    <author>tc={DDB6D32A-1D69-4747-9A3C-AA893F7AFDBC}</author>
    <author>tc={C4D6E49F-DC36-4918-BF23-B21CA80AC212}</author>
    <author>tc={853F5B4C-D235-4988-BAA7-D95C8946A5D0}</author>
    <author>tc={19FE354D-3205-410F-AC58-A6565A20CF70}</author>
    <author>tc={C9943A49-1176-4FEE-8E76-B475E00BACA2}</author>
    <author>tc={ADA871E5-AC8A-447D-9CBC-3015753144D3}</author>
    <author>tc={08BA35F0-BB4E-4194-95D7-842FB1605926}</author>
    <author>tc={519FF375-419A-4751-BC9C-4B95849EFDE8}</author>
    <author>tc={274F6EC3-88BB-4936-AD46-D2B9EE76D1B4}</author>
    <author>tc={BC890B23-27E8-4968-BBD2-4303C2FDE162}</author>
    <author>tc={0FDBC501-8AE6-4D05-9032-7073B6F0490E}</author>
    <author>tc={778F1D4F-5238-4D63-B6FB-A65BB1B812C6}</author>
    <author>tc={23539609-81A9-46E2-9142-AA485C480600}</author>
    <author>tc={A095366A-69C9-48CE-92F2-10E9A24067B5}</author>
    <author>tc={FAE78D81-EF7C-4D3C-AA6A-80EAD8F622E8}</author>
    <author>tc={AABFFF60-289F-4A8D-9FD0-5FE5967A174B}</author>
    <author>tc={2487323F-B302-42FB-8A9F-665EBA57D50C}</author>
    <author>tc={C6693425-A34B-45DF-BA50-F97E57E8C13A}</author>
    <author>tc={0FC46834-0EE0-4E6B-9AF8-BF553D880585}</author>
    <author>tc={511F60FC-6802-4CB3-9AD6-216549A00F42}</author>
    <author>tc={E5E1F79C-3076-46C1-A83E-029D69AA99A5}</author>
    <author>tc={011630FE-28A9-4AC4-AE83-859471B1DCC9}</author>
    <author>tc={59121CB9-C33E-4C62-909C-438DB382DF5E}</author>
    <author>tc={515052DB-371D-45A2-AB28-41AA8739BE13}</author>
    <author>tc={4E6C9C25-D677-4E89-A424-96BDC8DAE370}</author>
    <author>tc={0277329B-D894-4E4A-9B79-7DDD20783211}</author>
    <author>tc={A63E2080-0A3F-480C-B3EC-E466F4842BFD}</author>
    <author>tc={8350ADA5-BD3A-4897-B28D-E2E4E3CA84D5}</author>
    <author>tc={8287B55F-0CD3-45F8-A3F4-6A1325977465}</author>
  </authors>
  <commentList>
    <comment ref="D6" authorId="0" shapeId="0" xr:uid="{87B44FF1-835F-48CD-B211-BFDC197E6CB1}">
      <text>
        <t>[Threaded comment]
Your version of Excel allows you to read this threaded comment; however, any edits to it will get removed if the file is opened in a newer version of Excel. Learn more: https://go.microsoft.com/fwlink/?linkid=870924
Comment:
    Analyst may need to add or delete rows to reflect company-specific financial statements. As along as summation rows are not adjusted, the template will work.</t>
      </text>
    </comment>
    <comment ref="E6" authorId="1" shapeId="0" xr:uid="{11394B89-6184-493B-A994-925B563D6BE7}">
      <text>
        <t>[Threaded comment]
Your version of Excel allows you to read this threaded comment; however, any edits to it will get removed if the file is opened in a newer version of Excel. Learn more: https://go.microsoft.com/fwlink/?linkid=870924
Comment:
    NEVER DELETE THIS COLUMN
(It is structural for workbook automation).</t>
      </text>
    </comment>
    <comment ref="F6" authorId="2" shapeId="0" xr:uid="{5CFCEE4F-7429-41A3-83E2-0C18054E8187}">
      <text>
        <t>[Threaded comment]
Your version of Excel allows you to read this threaded comment; however, any edits to it will get removed if the file is opened in a newer version of Excel. Learn more: https://go.microsoft.com/fwlink/?linkid=870924
Comment:
    First Historical Date</t>
      </text>
    </comment>
    <comment ref="J6" authorId="3" shapeId="0" xr:uid="{AA4273B6-B36C-4843-A5C3-1F8ABB9647EC}">
      <text>
        <t>[Threaded comment]
Your version of Excel allows you to read this threaded comment; however, any edits to it will get removed if the file is opened in a newer version of Excel. Learn more: https://go.microsoft.com/fwlink/?linkid=870924
Comment:
    Change the forecasting years if the annual reports are already out. The expectation is at least 5 years of forecasts</t>
      </text>
    </comment>
    <comment ref="O6" authorId="4" shapeId="0" xr:uid="{01147EA1-6C3A-476A-9986-B69F7B6D379B}">
      <text>
        <t>[Threaded comment]
Your version of Excel allows you to read this threaded comment; however, any edits to it will get removed if the file is opened in a newer version of Excel. Learn more: https://go.microsoft.com/fwlink/?linkid=870924
Comment:
    NEVER DELETE THIS COLUMN
(It is structural for workbook automation).</t>
      </text>
    </comment>
    <comment ref="AF12" authorId="5" shapeId="0" xr:uid="{4E17A871-140C-4F0B-B35F-794DEF022E8D}">
      <text>
        <t>[Threaded comment]
Your version of Excel allows you to read this threaded comment; however, any edits to it will get removed if the file is opened in a newer version of Excel. Learn more: https://go.microsoft.com/fwlink/?linkid=870924
Comment:
    Use this as the median case for sensitivity analysis to sales growth rate. Let there be a smoother scaling from last value to terminal value.</t>
      </text>
    </comment>
    <comment ref="AG12" authorId="6" shapeId="0" xr:uid="{285325FA-FA44-40FF-B7A9-B484CDCA5FFA}">
      <text>
        <t>[Threaded comment]
Your version of Excel allows you to read this threaded comment; however, any edits to it will get removed if the file is opened in a newer version of Excel. Learn more: https://go.microsoft.com/fwlink/?linkid=870924
Comment:
    Use this as the median case for sensitivity analysis to sales growth rate. Let there be a smoother scaling from last value to terminal value.</t>
      </text>
    </comment>
    <comment ref="D15" authorId="7" shapeId="0" xr:uid="{DDB6D32A-1D69-4747-9A3C-AA893F7AFDBC}">
      <text>
        <t xml:space="preserve">[Threaded comment]
Your version of Excel allows you to read this threaded comment; however, any edits to it will get removed if the file is opened in a newer version of Excel. Learn more: https://go.microsoft.com/fwlink/?linkid=870924
Comment:
    You can remove COGS 2, if the company only has one COGS segment. </t>
      </text>
    </comment>
    <comment ref="Z16" authorId="8" shapeId="0" xr:uid="{C4D6E49F-DC36-4918-BF23-B21CA80AC212}">
      <text>
        <t>[Threaded comment]
Your version of Excel allows you to read this threaded comment; however, any edits to it will get removed if the file is opened in a newer version of Excel. Learn more: https://go.microsoft.com/fwlink/?linkid=870924
Comment:
    This is percent of total revenues. 
COGS/Net Revenue</t>
      </text>
    </comment>
    <comment ref="AF18" authorId="9" shapeId="0" xr:uid="{853F5B4C-D235-4988-BAA7-D95C8946A5D0}">
      <text>
        <t>[Threaded comment]
Your version of Excel allows you to read this threaded comment; however, any edits to it will get removed if the file is opened in a newer version of Excel. Learn more: https://go.microsoft.com/fwlink/?linkid=870924
Comment:
    Use this as the median case for sensitivity analysis for COGS% change</t>
      </text>
    </comment>
    <comment ref="Z23" authorId="10" shapeId="0" xr:uid="{19FE354D-3205-410F-AC58-A6565A20CF70}">
      <text>
        <t xml:space="preserve">[Threaded comment]
Your version of Excel allows you to read this threaded comment; however, any edits to it will get removed if the file is opened in a newer version of Excel. Learn more: https://go.microsoft.com/fwlink/?linkid=870924
Comment:
    This is percent of total revenues. 
Opex1/Net Revenue
</t>
      </text>
    </comment>
    <comment ref="AF29" authorId="11" shapeId="0" xr:uid="{C9943A49-1176-4FEE-8E76-B475E00BACA2}">
      <text>
        <t>[Threaded comment]
Your version of Excel allows you to read this threaded comment; however, any edits to it will get removed if the file is opened in a newer version of Excel. Learn more: https://go.microsoft.com/fwlink/?linkid=870924
Comment:
    Use this as the median case for sensitivity analysis for opex% change</t>
      </text>
    </comment>
    <comment ref="AF35" authorId="12" shapeId="0" xr:uid="{ADA871E5-AC8A-447D-9CBC-3015753144D3}">
      <text>
        <t>[Threaded comment]
Your version of Excel allows you to read this threaded comment; however, any edits to it will get removed if the file is opened in a newer version of Excel. Learn more: https://go.microsoft.com/fwlink/?linkid=870924
Comment:
    Use this as the median case for sensitivity analysis for opex% change</t>
      </text>
    </comment>
    <comment ref="J50" authorId="13" shapeId="0" xr:uid="{08BA35F0-BB4E-4194-95D7-842FB1605926}">
      <text>
        <t>[Threaded comment]
Your version of Excel allows you to read this threaded comment; however, any edits to it will get removed if the file is opened in a newer version of Excel. Learn more: https://go.microsoft.com/fwlink/?linkid=870924
Comment:
    See how the company derives the adjusted Ebitda. Or use dividend payout ratio. Use your creativity</t>
      </text>
    </comment>
    <comment ref="K50" authorId="14" shapeId="0" xr:uid="{519FF375-419A-4751-BC9C-4B95849EFDE8}">
      <text>
        <t>[Threaded comment]
Your version of Excel allows you to read this threaded comment; however, any edits to it will get removed if the file is opened in a newer version of Excel. Learn more: https://go.microsoft.com/fwlink/?linkid=870924
Comment:
    See how the company derives the adjusted Ebitda. Or use dividend payout ratio. Use your creativity</t>
      </text>
    </comment>
    <comment ref="L50" authorId="15" shapeId="0" xr:uid="{274F6EC3-88BB-4936-AD46-D2B9EE76D1B4}">
      <text>
        <t>[Threaded comment]
Your version of Excel allows you to read this threaded comment; however, any edits to it will get removed if the file is opened in a newer version of Excel. Learn more: https://go.microsoft.com/fwlink/?linkid=870924
Comment:
    See how the company derives the adjusted Ebitda. Or use dividend payout ratio. Use your creativity</t>
      </text>
    </comment>
    <comment ref="M50" authorId="16" shapeId="0" xr:uid="{BC890B23-27E8-4968-BBD2-4303C2FDE162}">
      <text>
        <t>[Threaded comment]
Your version of Excel allows you to read this threaded comment; however, any edits to it will get removed if the file is opened in a newer version of Excel. Learn more: https://go.microsoft.com/fwlink/?linkid=870924
Comment:
    See how the company derives the adjusted Ebitda. Or use dividend payout ratio. Use your creativity</t>
      </text>
    </comment>
    <comment ref="N50" authorId="17" shapeId="0" xr:uid="{0FDBC501-8AE6-4D05-9032-7073B6F0490E}">
      <text>
        <t>[Threaded comment]
Your version of Excel allows you to read this threaded comment; however, any edits to it will get removed if the file is opened in a newer version of Excel. Learn more: https://go.microsoft.com/fwlink/?linkid=870924
Comment:
    See how the company derives the adjusted Ebitda. Or use dividend payout ratio. Use your creativity</t>
      </text>
    </comment>
    <comment ref="D51" authorId="18" shapeId="0" xr:uid="{778F1D4F-5238-4D63-B6FB-A65BB1B812C6}">
      <text>
        <t>[Threaded comment]
Your version of Excel allows you to read this threaded comment; however, any edits to it will get removed if the file is opened in a newer version of Excel. Learn more: https://go.microsoft.com/fwlink/?linkid=870924
Comment:
    Historicals: Pull from Balance Sheet
Projections: Calculate and link back to Balance Sheet.</t>
      </text>
    </comment>
    <comment ref="B53" authorId="19" shapeId="0" xr:uid="{23539609-81A9-46E2-9142-AA485C480600}">
      <text>
        <t>[Threaded comment]
Your version of Excel allows you to read this threaded comment; however, any edits to it will get removed if the file is opened in a newer version of Excel. Learn more: https://go.microsoft.com/fwlink/?linkid=870924
Comment:
    ST = Short Term
LT = Long Term
NO = "Non-Operating"
FC = "Financial Claims"</t>
      </text>
    </comment>
    <comment ref="D53" authorId="20" shapeId="0" xr:uid="{A095366A-69C9-48CE-92F2-10E9A24067B5}">
      <text>
        <t>[Threaded comment]
Your version of Excel allows you to read this threaded comment; however, any edits to it will get removed if the file is opened in a newer version of Excel. Learn more: https://go.microsoft.com/fwlink/?linkid=870924
Comment:
    Recommendation:
Enter historicals here, and link historical schedules (below) back to here. Then, use schedules to project future balances, and link projections back to the balance sheet.
Working Capital and other operating items should be projected line by line (via the "Supplementary Schedules" section below), and linked back to this balance sheet.
Non-operating items or items that cannot be reasonably predicted should be entered here directly. OK to hold at value, but any change in value must be reconciled in Owner's Equity or the Statement of Cash Flows!</t>
      </text>
    </comment>
    <comment ref="D105" authorId="21" shapeId="0" xr:uid="{FAE78D81-EF7C-4D3C-AA6A-80EAD8F622E8}">
      <text>
        <t>[Threaded comment]
Your version of Excel allows you to read this threaded comment; however, any edits to it will get removed if the file is opened in a newer version of Excel. Learn more: https://go.microsoft.com/fwlink/?linkid=870924
Comment:
    Increase = Use of Cash</t>
      </text>
    </comment>
    <comment ref="D107" authorId="22" shapeId="0" xr:uid="{AABFFF60-289F-4A8D-9FD0-5FE5967A174B}">
      <text>
        <t>[Threaded comment]
Your version of Excel allows you to read this threaded comment; however, any edits to it will get removed if the file is opened in a newer version of Excel. Learn more: https://go.microsoft.com/fwlink/?linkid=870924
Comment:
    Does not need to be reproduced historically.</t>
      </text>
    </comment>
    <comment ref="D140" authorId="23" shapeId="0" xr:uid="{2487323F-B302-42FB-8A9F-665EBA57D50C}">
      <text>
        <t>[Threaded comment]
Your version of Excel allows you to read this threaded comment; however, any edits to it will get removed if the file is opened in a newer version of Excel. Learn more: https://go.microsoft.com/fwlink/?linkid=870924
Comment:
    Can add or remove new sections as needed, but remember to link to the Balance Sheet and Statement of Cash Flows.</t>
      </text>
    </comment>
    <comment ref="D147" authorId="24" shapeId="0" xr:uid="{C6693425-A34B-45DF-BA50-F97E57E8C13A}">
      <text>
        <t>[Threaded comment]
Your version of Excel allows you to read this threaded comment; however, any edits to it will get removed if the file is opened in a newer version of Excel. Learn more: https://go.microsoft.com/fwlink/?linkid=870924
Comment:
    = Average Balance / Sales * 365
Calculate based off of historical values, and then use this to project future periods (by inverting the formula).</t>
      </text>
    </comment>
    <comment ref="D153" authorId="25" shapeId="0" xr:uid="{0FC46834-0EE0-4E6B-9AF8-BF553D880585}">
      <text>
        <t>[Threaded comment]
Your version of Excel allows you to read this threaded comment; however, any edits to it will get removed if the file is opened in a newer version of Excel. Learn more: https://go.microsoft.com/fwlink/?linkid=870924
Comment:
    = Average Balance / ABS(COGS) * 365
Calculate based off of historical values, and then use this to project future periods (by inverting the formula).</t>
      </text>
    </comment>
    <comment ref="D159" authorId="26" shapeId="0" xr:uid="{511F60FC-6802-4CB3-9AD6-216549A00F42}">
      <text>
        <t>[Threaded comment]
Your version of Excel allows you to read this threaded comment; however, any edits to it will get removed if the file is opened in a newer version of Excel. Learn more: https://go.microsoft.com/fwlink/?linkid=870924
Comment:
    = Average Balance / Sales
Calculate based off of historical values, and then use this to project future periods (by inverting the formula).</t>
      </text>
    </comment>
    <comment ref="D165" authorId="27" shapeId="0" xr:uid="{E5E1F79C-3076-46C1-A83E-029D69AA99A5}">
      <text>
        <t>[Threaded comment]
Your version of Excel allows you to read this threaded comment; however, any edits to it will get removed if the file is opened in a newer version of Excel. Learn more: https://go.microsoft.com/fwlink/?linkid=870924
Comment:
    = Average Balance / Sales
Calculate based off of historical values, and then use this to project future periods (by inverting the formula).</t>
      </text>
    </comment>
    <comment ref="D171" authorId="28" shapeId="0" xr:uid="{011630FE-28A9-4AC4-AE83-859471B1DCC9}">
      <text>
        <t>[Threaded comment]
Your version of Excel allows you to read this threaded comment; however, any edits to it will get removed if the file is opened in a newer version of Excel. Learn more: https://go.microsoft.com/fwlink/?linkid=870924
Comment:
    = Average Balance / ABS(COGS) * 365
Calculate based off of historical values, and then use this to project future periods (by inverting the formula).</t>
      </text>
    </comment>
    <comment ref="D177" authorId="29" shapeId="0" xr:uid="{59121CB9-C33E-4C62-909C-438DB382DF5E}">
      <text>
        <t>[Threaded comment]
Your version of Excel allows you to read this threaded comment; however, any edits to it will get removed if the file is opened in a newer version of Excel. Learn more: https://go.microsoft.com/fwlink/?linkid=870924
Comment:
    = Average Balance / ABS(COGS) * 365
Calculate based off of historical values, and then use this to project future periods (by inverting the formula).</t>
      </text>
    </comment>
    <comment ref="D183" authorId="30" shapeId="0" xr:uid="{515052DB-371D-45A2-AB28-41AA8739BE13}">
      <text>
        <t>[Threaded comment]
Your version of Excel allows you to read this threaded comment; however, any edits to it will get removed if the file is opened in a newer version of Excel. Learn more: https://go.microsoft.com/fwlink/?linkid=870924
Comment:
    = Average Balance / ABS(COGS) * 365
Calculate based off of historical values, and then use this to project future periods (by inverting the formula).</t>
      </text>
    </comment>
    <comment ref="D186" authorId="31" shapeId="0" xr:uid="{4E6C9C25-D677-4E89-A424-96BDC8DAE370}">
      <text>
        <t>[Threaded comment]
Your version of Excel allows you to read this threaded comment; however, any edits to it will get removed if the file is opened in a newer version of Excel. Learn more: https://go.microsoft.com/fwlink/?linkid=870924
Comment:
    General Check: For mature businesses, Capex and depreciation should be reasonably close.
For Growth businesses, Capex likely to be higher.</t>
      </text>
    </comment>
    <comment ref="D197" authorId="32" shapeId="0" xr:uid="{0277329B-D894-4E4A-9B79-7DDD20783211}">
      <text>
        <t>[Threaded comment]
Your version of Excel allows you to read this threaded comment; however, any edits to it will get removed if the file is opened in a newer version of Excel. Learn more: https://go.microsoft.com/fwlink/?linkid=870924
Comment:
    Add the impairment charges along with amortization for companies that have large impairment. Goodwill is usually considered to have no amortization, and only impaired</t>
      </text>
    </comment>
    <comment ref="D223" authorId="33" shapeId="0" xr:uid="{A63E2080-0A3F-480C-B3EC-E466F4842BFD}">
      <text>
        <t>[Threaded comment]
Your version of Excel allows you to read this threaded comment; however, any edits to it will get removed if the file is opened in a newer version of Excel. Learn more: https://go.microsoft.com/fwlink/?linkid=870924
Comment:
    Enter the number you get for Sales growth CAGR</t>
      </text>
    </comment>
    <comment ref="D231" authorId="34" shapeId="0" xr:uid="{8350ADA5-BD3A-4897-B28D-E2E4E3CA84D5}">
      <text>
        <t xml:space="preserve">[Threaded comment]
Your version of Excel allows you to read this threaded comment; however, any edits to it will get removed if the file is opened in a newer version of Excel. Learn more: https://go.microsoft.com/fwlink/?linkid=870924
Comment:
    Enter the average COGS% of sales </t>
      </text>
    </comment>
    <comment ref="D239" authorId="35" shapeId="0" xr:uid="{8287B55F-0CD3-45F8-A3F4-6A1325977465}">
      <text>
        <t>[Threaded comment]
Your version of Excel allows you to read this threaded comment; however, any edits to it will get removed if the file is opened in a newer version of Excel. Learn more: https://go.microsoft.com/fwlink/?linkid=870924
Comment:
    Enter the average OPEX% of sales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tc={ABFD7733-55D4-42D2-B0E0-55D0AEA37538}</author>
    <author>Nick Douglas</author>
  </authors>
  <commentList>
    <comment ref="L27" authorId="0" shapeId="0" xr:uid="{ABFD7733-55D4-42D2-B0E0-55D0AEA37538}">
      <text>
        <t>[Threaded comment]
Your version of Excel allows you to read this threaded comment; however, any edits to it will get removed if the file is opened in a newer version of Excel. Learn more: https://go.microsoft.com/fwlink/?linkid=870924
Comment:
    Use to test impact of different WACC rates.</t>
      </text>
    </comment>
    <comment ref="E41" authorId="1" shapeId="0" xr:uid="{D9D991EF-ADC5-4C97-A20B-619677BC614F}">
      <text>
        <r>
          <rPr>
            <b/>
            <sz val="9"/>
            <color indexed="81"/>
            <rFont val="Tahoma"/>
            <family val="2"/>
          </rPr>
          <t>Nick Douglas:</t>
        </r>
        <r>
          <rPr>
            <sz val="9"/>
            <color indexed="81"/>
            <rFont val="Tahoma"/>
            <family val="2"/>
          </rPr>
          <t xml:space="preserve">
=YEARFRAC(TODAY(),EOMONTH(TODAY(),12-MONTH(TODAY())))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tc={FBACC716-A198-4C71-B204-243078287F77}</author>
    <author>Nick Douglas</author>
    <author>tc={6DF238B5-94A0-4F46-9B03-20DD2BA70741}</author>
  </authors>
  <commentList>
    <comment ref="L27" authorId="0" shapeId="0" xr:uid="{FBACC716-A198-4C71-B204-243078287F77}">
      <text>
        <t>[Threaded comment]
Your version of Excel allows you to read this threaded comment; however, any edits to it will get removed if the file is opened in a newer version of Excel. Learn more: https://go.microsoft.com/fwlink/?linkid=870924
Comment:
    Use to test impact of different WACC rates.</t>
      </text>
    </comment>
    <comment ref="E41" authorId="1" shapeId="0" xr:uid="{7B547EC5-CFF7-4A21-91FF-0CA3604F4CD3}">
      <text>
        <r>
          <rPr>
            <b/>
            <sz val="9"/>
            <color indexed="81"/>
            <rFont val="Tahoma"/>
            <family val="2"/>
          </rPr>
          <t>Nick Douglas:</t>
        </r>
        <r>
          <rPr>
            <sz val="9"/>
            <color indexed="81"/>
            <rFont val="Tahoma"/>
            <family val="2"/>
          </rPr>
          <t xml:space="preserve">
=YEARFRAC(TODAY(),EOMONTH(TODAY(),12-MONTH(TODAY())))</t>
        </r>
      </text>
    </comment>
    <comment ref="B47" authorId="2" shapeId="0" xr:uid="{6DF238B5-94A0-4F46-9B03-20DD2BA70741}">
      <text>
        <t>[Threaded comment]
Your version of Excel allows you to read this threaded comment; however, any edits to it will get removed if the file is opened in a newer version of Excel. Learn more: https://go.microsoft.com/fwlink/?linkid=870924
Comment:
    This period only considers the period beyond your years of projection. For eg., if your high growth period starting today is 12 years, the input value here will be 6 years.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KILIAN Bendjaballah</author>
  </authors>
  <commentList>
    <comment ref="A1" authorId="0" shapeId="0" xr:uid="{A90B30E1-E5B0-4624-A92B-50D8EF95821C}">
      <text>
        <r>
          <rPr>
            <b/>
            <sz val="10.5"/>
            <color rgb="FF000000"/>
            <rFont val="Verdana"/>
            <family val="2"/>
          </rPr>
          <t xml:space="preserve">Thought Questions for determining an Appropriate Comparable Group:
</t>
        </r>
        <r>
          <rPr>
            <b/>
            <sz val="10.5"/>
            <color rgb="FF000000"/>
            <rFont val="Verdana"/>
            <family val="2"/>
          </rPr>
          <t xml:space="preserve">
</t>
        </r>
        <r>
          <rPr>
            <b/>
            <sz val="10.5"/>
            <color rgb="FF000000"/>
            <rFont val="Verdana"/>
            <family val="2"/>
          </rPr>
          <t>Industry:</t>
        </r>
        <r>
          <rPr>
            <sz val="10.5"/>
            <color rgb="FF000000"/>
            <rFont val="Verdana"/>
            <family val="2"/>
          </rPr>
          <t xml:space="preserve">
</t>
        </r>
        <r>
          <rPr>
            <sz val="10.5"/>
            <color rgb="FF000000"/>
            <rFont val="Verdana"/>
            <family val="2"/>
          </rPr>
          <t xml:space="preserve">- Same product? 
</t>
        </r>
        <r>
          <rPr>
            <sz val="10.5"/>
            <color rgb="FF000000"/>
            <rFont val="Verdana"/>
            <family val="2"/>
          </rPr>
          <t xml:space="preserve">- Same customers?
</t>
        </r>
        <r>
          <rPr>
            <sz val="10.5"/>
            <color rgb="FF000000"/>
            <rFont val="Verdana"/>
            <family val="2"/>
          </rPr>
          <t xml:space="preserve">- Business model similarity?
</t>
        </r>
        <r>
          <rPr>
            <sz val="10.5"/>
            <color rgb="FF000000"/>
            <rFont val="Verdana"/>
            <family val="2"/>
          </rPr>
          <t xml:space="preserve">
</t>
        </r>
        <r>
          <rPr>
            <b/>
            <sz val="10.5"/>
            <color rgb="FF000000"/>
            <rFont val="Verdana"/>
            <family val="2"/>
          </rPr>
          <t xml:space="preserve">Financial Criteria: </t>
        </r>
        <r>
          <rPr>
            <sz val="10.5"/>
            <color rgb="FF000000"/>
            <rFont val="Verdana"/>
            <family val="2"/>
          </rPr>
          <t xml:space="preserve">
</t>
        </r>
        <r>
          <rPr>
            <sz val="10.5"/>
            <color rgb="FF000000"/>
            <rFont val="Verdana"/>
            <family val="2"/>
          </rPr>
          <t xml:space="preserve">- Same scale (revenue, EBITDA, etc.)?
</t>
        </r>
        <r>
          <rPr>
            <sz val="10.5"/>
            <color rgb="FF000000"/>
            <rFont val="Verdana"/>
            <family val="2"/>
          </rPr>
          <t xml:space="preserve">- Capital structure similarity? 
</t>
        </r>
        <r>
          <rPr>
            <sz val="10.5"/>
            <color rgb="FF000000"/>
            <rFont val="Verdana"/>
            <family val="2"/>
          </rPr>
          <t xml:space="preserve">- Note: Avoid private companies
</t>
        </r>
        <r>
          <rPr>
            <sz val="10.5"/>
            <color rgb="FF000000"/>
            <rFont val="Verdana"/>
            <family val="2"/>
          </rPr>
          <t xml:space="preserve">
</t>
        </r>
        <r>
          <rPr>
            <b/>
            <sz val="10.5"/>
            <color rgb="FF000000"/>
            <rFont val="Verdana"/>
            <family val="2"/>
          </rPr>
          <t>Geography:</t>
        </r>
        <r>
          <rPr>
            <sz val="10.5"/>
            <color rgb="FF000000"/>
            <rFont val="Verdana"/>
            <family val="2"/>
          </rPr>
          <t xml:space="preserve">
</t>
        </r>
        <r>
          <rPr>
            <sz val="10.5"/>
            <color rgb="FF000000"/>
            <rFont val="Verdana"/>
            <family val="2"/>
          </rPr>
          <t xml:space="preserve">- Significant geopolitical differences?
</t>
        </r>
        <r>
          <rPr>
            <sz val="10.5"/>
            <color rgb="FF000000"/>
            <rFont val="Verdana"/>
            <family val="2"/>
          </rPr>
          <t xml:space="preserve">- Significant geographical regulation differences
</t>
        </r>
        <r>
          <rPr>
            <sz val="10.5"/>
            <color rgb="FF000000"/>
            <rFont val="Verdana"/>
            <family val="2"/>
          </rPr>
          <t xml:space="preserve">- Overlaping customers?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KILIAN Bendjaballah</author>
    <author>Yan Ling</author>
  </authors>
  <commentList>
    <comment ref="A1" authorId="0" shapeId="0" xr:uid="{BD1E9D34-4F00-42B1-B1C4-7A87B14FBFE7}">
      <text>
        <r>
          <rPr>
            <b/>
            <sz val="10.5"/>
            <color rgb="FF000000"/>
            <rFont val="Verdana"/>
            <family val="2"/>
          </rPr>
          <t xml:space="preserve">Thought Questions for determining an Appropriate Comparable Group:
</t>
        </r>
        <r>
          <rPr>
            <b/>
            <sz val="10.5"/>
            <color rgb="FF000000"/>
            <rFont val="Verdana"/>
            <family val="2"/>
          </rPr>
          <t xml:space="preserve">
</t>
        </r>
        <r>
          <rPr>
            <b/>
            <sz val="10.5"/>
            <color rgb="FF000000"/>
            <rFont val="Verdana"/>
            <family val="2"/>
          </rPr>
          <t>Industry:</t>
        </r>
        <r>
          <rPr>
            <sz val="10.5"/>
            <color rgb="FF000000"/>
            <rFont val="Verdana"/>
            <family val="2"/>
          </rPr>
          <t xml:space="preserve">
</t>
        </r>
        <r>
          <rPr>
            <sz val="10.5"/>
            <color rgb="FF000000"/>
            <rFont val="Verdana"/>
            <family val="2"/>
          </rPr>
          <t xml:space="preserve">- Same product? 
</t>
        </r>
        <r>
          <rPr>
            <sz val="10.5"/>
            <color rgb="FF000000"/>
            <rFont val="Verdana"/>
            <family val="2"/>
          </rPr>
          <t xml:space="preserve">- Same customers?
</t>
        </r>
        <r>
          <rPr>
            <sz val="10.5"/>
            <color rgb="FF000000"/>
            <rFont val="Verdana"/>
            <family val="2"/>
          </rPr>
          <t xml:space="preserve">- Business model similarity?
</t>
        </r>
        <r>
          <rPr>
            <sz val="10.5"/>
            <color rgb="FF000000"/>
            <rFont val="Verdana"/>
            <family val="2"/>
          </rPr>
          <t xml:space="preserve">
</t>
        </r>
        <r>
          <rPr>
            <b/>
            <sz val="10.5"/>
            <color rgb="FF000000"/>
            <rFont val="Verdana"/>
            <family val="2"/>
          </rPr>
          <t xml:space="preserve">Financial Criteria: </t>
        </r>
        <r>
          <rPr>
            <sz val="10.5"/>
            <color rgb="FF000000"/>
            <rFont val="Verdana"/>
            <family val="2"/>
          </rPr>
          <t xml:space="preserve">
</t>
        </r>
        <r>
          <rPr>
            <sz val="10.5"/>
            <color rgb="FF000000"/>
            <rFont val="Verdana"/>
            <family val="2"/>
          </rPr>
          <t xml:space="preserve">- Same scale (revenue, EBITDA, etc.)?
</t>
        </r>
        <r>
          <rPr>
            <sz val="10.5"/>
            <color rgb="FF000000"/>
            <rFont val="Verdana"/>
            <family val="2"/>
          </rPr>
          <t xml:space="preserve">- Capital structure similarity? 
</t>
        </r>
        <r>
          <rPr>
            <sz val="10.5"/>
            <color rgb="FF000000"/>
            <rFont val="Verdana"/>
            <family val="2"/>
          </rPr>
          <t xml:space="preserve">- Note: Avoid private companies
</t>
        </r>
        <r>
          <rPr>
            <sz val="10.5"/>
            <color rgb="FF000000"/>
            <rFont val="Verdana"/>
            <family val="2"/>
          </rPr>
          <t xml:space="preserve">
</t>
        </r>
        <r>
          <rPr>
            <b/>
            <sz val="10.5"/>
            <color rgb="FF000000"/>
            <rFont val="Verdana"/>
            <family val="2"/>
          </rPr>
          <t>Geography:</t>
        </r>
        <r>
          <rPr>
            <sz val="10.5"/>
            <color rgb="FF000000"/>
            <rFont val="Verdana"/>
            <family val="2"/>
          </rPr>
          <t xml:space="preserve">
</t>
        </r>
        <r>
          <rPr>
            <sz val="10.5"/>
            <color rgb="FF000000"/>
            <rFont val="Verdana"/>
            <family val="2"/>
          </rPr>
          <t xml:space="preserve">- Significant geopolitical differences?
</t>
        </r>
        <r>
          <rPr>
            <sz val="10.5"/>
            <color rgb="FF000000"/>
            <rFont val="Verdana"/>
            <family val="2"/>
          </rPr>
          <t xml:space="preserve">- Significant geographical regulation differences
</t>
        </r>
        <r>
          <rPr>
            <sz val="10.5"/>
            <color rgb="FF000000"/>
            <rFont val="Verdana"/>
            <family val="2"/>
          </rPr>
          <t xml:space="preserve">- Overlaping customers?
</t>
        </r>
      </text>
    </comment>
    <comment ref="A7" authorId="1" shapeId="0" xr:uid="{111A8183-2EF7-4A34-B3F4-05293D5301CF}">
      <text>
        <r>
          <rPr>
            <sz val="11"/>
            <color theme="1"/>
            <rFont val="Calibri"/>
            <family val="2"/>
            <scheme val="minor"/>
          </rPr>
          <t>EV can be obtained from PitchBook (Financials -&gt; Multiples) or other resources. 
The lowest EV amongst the 4 quarterly reports can be used as an estimate for the lowest annual EV. The same can be repeated for highest annual EV.</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<sst xmlns="http://schemas.openxmlformats.org/spreadsheetml/2006/main" count="526" uniqueCount="323">
  <si>
    <t>General Guidelines</t>
  </si>
  <si>
    <t>1)</t>
  </si>
  <si>
    <t>Use all in-cell notes where possible. They are intended to be helpful.</t>
  </si>
  <si>
    <t>2)</t>
  </si>
  <si>
    <t>Color coding is important Excel modeling practice:</t>
  </si>
  <si>
    <t>Purple = Historical Data</t>
  </si>
  <si>
    <t>Blue = Assumptions &amp; Projections</t>
  </si>
  <si>
    <t>Black = Formulas</t>
  </si>
  <si>
    <t>Green = Links to Other Sheets</t>
  </si>
  <si>
    <t>User Input Cells</t>
  </si>
  <si>
    <t>H4sIAAAAAAAEAM2QQUvDMBTHu1Wxoh8id0toa+fcoRerKLjDpMXLGDMNDxuWJjVJhe5j+IU1KZ0ePHj1BfJeAv/f+/P3Jp7nfdpy3dX51F5PK2ZofSPlDpV9CxotWaWI6kP0DEozKbIkShKc4hhHIco7bjoFmYDOKMJDtOoqzugj9KXcgchEx/mx4xff2O2A3Y5YXIBihLM9qTjkhNbw++eilO0S3oEPr1tGjbVhtb7lnoyuglw2LVGgggei64LtwfO94GNS9NpAg3PJOQw6je9B2A300O/eOrvN9AfAS7xej6rCKCZeQ9RoKhVn1U8GKY7c+TuAaj4nMzq7iheXKUTXi80mmI5xn/rjcOSG/2jVmTv7At67jZonAgAA</t>
  </si>
  <si>
    <t>General Information:</t>
  </si>
  <si>
    <t>Entity Name</t>
  </si>
  <si>
    <t>Ticker Symbol (for Excel API)</t>
  </si>
  <si>
    <t>Current Share Price</t>
  </si>
  <si>
    <t>Currency</t>
  </si>
  <si>
    <t>USD</t>
  </si>
  <si>
    <t>Numeral Scaling</t>
  </si>
  <si>
    <t>For the numeral system to work please divide with "decimal" (cell highlighted in blue) while adding values</t>
  </si>
  <si>
    <t>Start Period</t>
  </si>
  <si>
    <t>Cost of Capital Assumptions</t>
  </si>
  <si>
    <t>Cost of Debt</t>
  </si>
  <si>
    <t>Risk-Free Rate (10 Year T-Bill)</t>
  </si>
  <si>
    <t>Debt Adjustment Factor</t>
  </si>
  <si>
    <t>Assumed Effective Tax Rate</t>
  </si>
  <si>
    <t>After-Tax Cost of Debt</t>
  </si>
  <si>
    <t>Cost of Equity</t>
  </si>
  <si>
    <t>Equity Risk Premium</t>
  </si>
  <si>
    <t>Equity Risk Premium (S&amp;P 500 US)</t>
  </si>
  <si>
    <t>Country Risk Premium</t>
  </si>
  <si>
    <t>Size Risk Premium</t>
  </si>
  <si>
    <t>Company Equity Beta</t>
  </si>
  <si>
    <t>Industry Betas</t>
  </si>
  <si>
    <t>CAPM Cost of Equity</t>
  </si>
  <si>
    <t>Company Capitalization &amp; WACC</t>
  </si>
  <si>
    <t>Market Value of Equity</t>
  </si>
  <si>
    <t>Market Value of Debt</t>
  </si>
  <si>
    <t>Total Capitalization</t>
  </si>
  <si>
    <t>WACC</t>
  </si>
  <si>
    <t>Sentivity Matrix</t>
  </si>
  <si>
    <t xml:space="preserve">Normal </t>
  </si>
  <si>
    <t>Lower</t>
  </si>
  <si>
    <t>Higher</t>
  </si>
  <si>
    <t>Perpetuity Growth Rate</t>
  </si>
  <si>
    <r>
      <rPr>
        <sz val="9"/>
        <color theme="1"/>
        <rFont val="Calibri"/>
        <family val="2"/>
      </rPr>
      <t>∆ (+/-)</t>
    </r>
    <r>
      <rPr>
        <i/>
        <sz val="9"/>
        <color theme="1"/>
        <rFont val="Calibri"/>
        <family val="2"/>
      </rPr>
      <t xml:space="preserve"> in Perpetuity Growth Rate</t>
    </r>
  </si>
  <si>
    <t>WACC Range</t>
  </si>
  <si>
    <t>∆ (+/-) WACC</t>
  </si>
  <si>
    <r>
      <t xml:space="preserve">360 Huntington Fund
</t>
    </r>
    <r>
      <rPr>
        <b/>
        <sz val="11"/>
        <color theme="1" tint="0.34998626667073579"/>
        <rFont val="Calibri"/>
        <family val="2"/>
        <scheme val="minor"/>
      </rPr>
      <t>Free Cash Flow Model</t>
    </r>
  </si>
  <si>
    <t>Historical</t>
  </si>
  <si>
    <t>Projected</t>
  </si>
  <si>
    <t>Common Size</t>
  </si>
  <si>
    <t>Key Assumptions</t>
  </si>
  <si>
    <t>TTM based on:</t>
  </si>
  <si>
    <t>X</t>
  </si>
  <si>
    <t>Consolidated Income Statement</t>
  </si>
  <si>
    <t>Revenues</t>
  </si>
  <si>
    <t>[Revenue Segment 2]</t>
  </si>
  <si>
    <t>Total Net Revenue</t>
  </si>
  <si>
    <t>CAGR</t>
  </si>
  <si>
    <t>Net Revenue Growth %</t>
  </si>
  <si>
    <r>
      <t>COGS</t>
    </r>
    <r>
      <rPr>
        <i/>
        <sz val="9"/>
        <color theme="1"/>
        <rFont val="Calibri"/>
        <family val="2"/>
        <scheme val="minor"/>
      </rPr>
      <t xml:space="preserve"> (Enter as Negative)</t>
    </r>
  </si>
  <si>
    <t>[COGS Segment 2]</t>
  </si>
  <si>
    <t>Total COGS</t>
  </si>
  <si>
    <t>Avg COGS% of Sales</t>
  </si>
  <si>
    <t>Gross Profit</t>
  </si>
  <si>
    <t>Total Gross Margin %</t>
  </si>
  <si>
    <r>
      <t>Operating Expenses</t>
    </r>
    <r>
      <rPr>
        <sz val="9"/>
        <color theme="1"/>
        <rFont val="Calibri"/>
        <family val="2"/>
        <scheme val="minor"/>
      </rPr>
      <t xml:space="preserve"> </t>
    </r>
    <r>
      <rPr>
        <i/>
        <sz val="9"/>
        <color theme="1"/>
        <rFont val="Calibri"/>
        <family val="2"/>
        <scheme val="minor"/>
      </rPr>
      <t>(Enter as Positive)</t>
    </r>
  </si>
  <si>
    <t>EBITDA</t>
  </si>
  <si>
    <t>Depreciation</t>
  </si>
  <si>
    <t>Amortization</t>
  </si>
  <si>
    <t>Total Operating Expenses</t>
  </si>
  <si>
    <t>Avg Opex% of Sales</t>
  </si>
  <si>
    <t>Operating Income (EBIT)</t>
  </si>
  <si>
    <t>EBITDA Margin %</t>
  </si>
  <si>
    <t>Total Operating (EBIT) Margin %</t>
  </si>
  <si>
    <t>Other Income (Expense)</t>
  </si>
  <si>
    <t>Interest Income (Positive)</t>
  </si>
  <si>
    <t>Interest Expense (Negative)</t>
  </si>
  <si>
    <t>Total Other Income (Expense)</t>
  </si>
  <si>
    <t>EBT</t>
  </si>
  <si>
    <t>Taxation</t>
  </si>
  <si>
    <r>
      <t xml:space="preserve">Taxes </t>
    </r>
    <r>
      <rPr>
        <i/>
        <sz val="9"/>
        <color theme="1"/>
        <rFont val="Calibri"/>
        <family val="2"/>
        <scheme val="minor"/>
      </rPr>
      <t>(Enter as Negative for Taxes Paid)</t>
    </r>
  </si>
  <si>
    <t>Net Income from Continuing Operations</t>
  </si>
  <si>
    <t>Profit Margin %</t>
  </si>
  <si>
    <t>Retained Earnings</t>
  </si>
  <si>
    <t>Beginning of Period</t>
  </si>
  <si>
    <t>Net Income</t>
  </si>
  <si>
    <t>PLUG (Dividends, Other Adj, Etc.)</t>
  </si>
  <si>
    <t>End of Period</t>
  </si>
  <si>
    <t>Balance Sheet Toggles</t>
  </si>
  <si>
    <t>Balance Sheet</t>
  </si>
  <si>
    <t>Assets</t>
  </si>
  <si>
    <t>Current Assets</t>
  </si>
  <si>
    <t>CASH</t>
  </si>
  <si>
    <t>Cash</t>
  </si>
  <si>
    <t>Marketable Securities</t>
  </si>
  <si>
    <t>STA</t>
  </si>
  <si>
    <t>Accounts Receivable (Net of Doubtful)</t>
  </si>
  <si>
    <t>Inventory</t>
  </si>
  <si>
    <t>Prepaid Expenses</t>
  </si>
  <si>
    <t>Other Current Assets</t>
  </si>
  <si>
    <t>Total Current Assets</t>
  </si>
  <si>
    <t>Long-Term Assets</t>
  </si>
  <si>
    <t>LTA</t>
  </si>
  <si>
    <t>Net PP&amp;E</t>
  </si>
  <si>
    <t>Goodwill &amp; Intangibles</t>
  </si>
  <si>
    <t>NOA</t>
  </si>
  <si>
    <t>Deferred Tax Assets</t>
  </si>
  <si>
    <t>Other Non-Current Assets</t>
  </si>
  <si>
    <t>Total Long-Term Assets</t>
  </si>
  <si>
    <t>Total Assets</t>
  </si>
  <si>
    <t>Liabilities</t>
  </si>
  <si>
    <t>Current Liabilities</t>
  </si>
  <si>
    <t>STL</t>
  </si>
  <si>
    <t>Accounts Payable</t>
  </si>
  <si>
    <t>Accrued Expenses</t>
  </si>
  <si>
    <t>FC</t>
  </si>
  <si>
    <t>Notes Payable</t>
  </si>
  <si>
    <t>Current Debt</t>
  </si>
  <si>
    <t>Current Income Tax Payable</t>
  </si>
  <si>
    <t>Other Current Liabilities</t>
  </si>
  <si>
    <t>Total Current Liabilities</t>
  </si>
  <si>
    <t>Long-Term Liabilities</t>
  </si>
  <si>
    <t>Long-Term Debt</t>
  </si>
  <si>
    <t>Long-Term Leases</t>
  </si>
  <si>
    <t>NOL</t>
  </si>
  <si>
    <t>Deferred Tax Liability</t>
  </si>
  <si>
    <t>Other Non-Current Liabilities</t>
  </si>
  <si>
    <t>Total Long-Term Liabilities</t>
  </si>
  <si>
    <t>Total Liabilities</t>
  </si>
  <si>
    <t>Equity</t>
  </si>
  <si>
    <t>Capital/Common Stock</t>
  </si>
  <si>
    <t>Preferred Stock</t>
  </si>
  <si>
    <t>Other Comprehensive Income</t>
  </si>
  <si>
    <t>Total Equity</t>
  </si>
  <si>
    <t>Total Liabilities &amp; Equity</t>
  </si>
  <si>
    <t>Balance Check</t>
  </si>
  <si>
    <t>Addendum Items</t>
  </si>
  <si>
    <t>Net Working Capital</t>
  </si>
  <si>
    <t>∆ Net Working Capital</t>
  </si>
  <si>
    <t>Statement of Cash Flows</t>
  </si>
  <si>
    <t>Cash Flow from Operations</t>
  </si>
  <si>
    <t>Depreciation &amp; Amortization</t>
  </si>
  <si>
    <t>Net Cash Flow from Operating Activities</t>
  </si>
  <si>
    <t>Cash Flow from Investing Activities</t>
  </si>
  <si>
    <t>Capex</t>
  </si>
  <si>
    <t>Net Cash Flow from Investing Activities</t>
  </si>
  <si>
    <t>Cash Flow from Financing Activities</t>
  </si>
  <si>
    <t>Dividends / Ownership Distributions</t>
  </si>
  <si>
    <t>Note Issuance (Payments)</t>
  </si>
  <si>
    <t>Current Debt Issuance (Payments)</t>
  </si>
  <si>
    <t>Long-Term Debt Financing (Payments)</t>
  </si>
  <si>
    <t>Net Cash Flow from Financing Activities</t>
  </si>
  <si>
    <t>Beginning Balance</t>
  </si>
  <si>
    <t>∆ in Cash</t>
  </si>
  <si>
    <t>Ending Balance</t>
  </si>
  <si>
    <t>Additional Cash Flow Calculations</t>
  </si>
  <si>
    <t>Operating Cash Flow (OCF)</t>
  </si>
  <si>
    <t>Free Cash Flow (FCF)</t>
  </si>
  <si>
    <t>Free Cash Flow to Equity (FCFE)</t>
  </si>
  <si>
    <t>Supplementary Schedules:</t>
  </si>
  <si>
    <t>Use to Project Working Capital Requirements &amp; Other Balance Sheet Accounts</t>
  </si>
  <si>
    <t>Working Capital Schedule</t>
  </si>
  <si>
    <t>Accounts Receivable</t>
  </si>
  <si>
    <t>Increase (Decrease)</t>
  </si>
  <si>
    <t>Days Sales Outstanding</t>
  </si>
  <si>
    <t>Inventories</t>
  </si>
  <si>
    <t>Days Inventory Outstanding</t>
  </si>
  <si>
    <t>% of Sales</t>
  </si>
  <si>
    <t>Days Payables Outstanding</t>
  </si>
  <si>
    <t>Days Accruals Outstanding</t>
  </si>
  <si>
    <t>Days Other Liabilities Outstanding</t>
  </si>
  <si>
    <t>Capex Schedule</t>
  </si>
  <si>
    <t>PPE</t>
  </si>
  <si>
    <t>Addition</t>
  </si>
  <si>
    <t>Addition as % Sales</t>
  </si>
  <si>
    <t>Depreciation as % total PPE</t>
  </si>
  <si>
    <t>Goodwill &amp; Intangible Assets</t>
  </si>
  <si>
    <t>Amortization as % total Intangibles</t>
  </si>
  <si>
    <t>Debt Schedule</t>
  </si>
  <si>
    <t>Additional Lending (Payments)</t>
  </si>
  <si>
    <t>Sensitivity Analysis of Operating Assumptions</t>
  </si>
  <si>
    <t>Enterprise Value</t>
  </si>
  <si>
    <t>Equity Value</t>
  </si>
  <si>
    <t>Enterprise Value (Per Share)</t>
  </si>
  <si>
    <t>Equity Value (Per Share)</t>
  </si>
  <si>
    <t>Sales Growth Rate</t>
  </si>
  <si>
    <t>DCF Applied Case</t>
  </si>
  <si>
    <t>COGS% of Sales</t>
  </si>
  <si>
    <t>Opex% of Sales</t>
  </si>
  <si>
    <t>| Discounted Cash Flow Analysis</t>
  </si>
  <si>
    <t xml:space="preserve">WACC Assumptions </t>
  </si>
  <si>
    <t xml:space="preserve">Cost of Equity (CAPM) </t>
  </si>
  <si>
    <t>Current Share Price:</t>
  </si>
  <si>
    <t>10 Year T-Bill Rate</t>
  </si>
  <si>
    <t>WACC Calculation</t>
  </si>
  <si>
    <t>WACC Override:</t>
  </si>
  <si>
    <t>Historic</t>
  </si>
  <si>
    <t>Fiscal Year Ending</t>
  </si>
  <si>
    <t>Est. Cash Taxes</t>
  </si>
  <si>
    <t>NOPAT*</t>
  </si>
  <si>
    <t>Change in Working Capital (-)</t>
  </si>
  <si>
    <t>D&amp;A (+)</t>
  </si>
  <si>
    <t>Capex (-)</t>
  </si>
  <si>
    <t>Free Cash Flow (FCFF)</t>
  </si>
  <si>
    <t>Discount Factor</t>
  </si>
  <si>
    <t>Discount Period</t>
  </si>
  <si>
    <t>Discounted Free Cash Flow</t>
  </si>
  <si>
    <t>*NOPAT = Net Operating Profit After Tax</t>
  </si>
  <si>
    <t>Perpetuity Growth Methodology</t>
  </si>
  <si>
    <t>Total</t>
  </si>
  <si>
    <t>per Share</t>
  </si>
  <si>
    <t>Terminal Value</t>
  </si>
  <si>
    <t>Discounted Terminal Value</t>
  </si>
  <si>
    <t>Sum of DCFs</t>
  </si>
  <si>
    <t>VOPS</t>
  </si>
  <si>
    <t>Net Non-Operating Assets (Liabilities)</t>
  </si>
  <si>
    <t>Net Out: Financial Claims (Net of Cash)</t>
  </si>
  <si>
    <t>Equity Value (Present Value)</t>
  </si>
  <si>
    <t>Sensitivity Analysis: Perpetuity Growth Rate vs. WACC</t>
  </si>
  <si>
    <t>Initial High Growth Rate</t>
  </si>
  <si>
    <t>Life of High Growth Period</t>
  </si>
  <si>
    <t>Half Life of High Growth Period</t>
  </si>
  <si>
    <t>P/E Market Multiples Model</t>
  </si>
  <si>
    <t>Peer Group:</t>
  </si>
  <si>
    <t>Peer Group Average</t>
  </si>
  <si>
    <t>Year</t>
  </si>
  <si>
    <t>Low</t>
  </si>
  <si>
    <t>High</t>
  </si>
  <si>
    <t>Market Price</t>
  </si>
  <si>
    <t>Annual  EPS</t>
  </si>
  <si>
    <t>P/E Ratio</t>
  </si>
  <si>
    <t>Average</t>
  </si>
  <si>
    <t>Using Historical Averages</t>
  </si>
  <si>
    <t>Historical Peer Group Hi-Low Avg.</t>
  </si>
  <si>
    <t>Historical Target Firm Hi-Low Avg.</t>
  </si>
  <si>
    <t>Average P/E</t>
  </si>
  <si>
    <t>Projected Forward EPS</t>
  </si>
  <si>
    <t>Relative P/E Target Price</t>
  </si>
  <si>
    <t>Helpful Notes:</t>
  </si>
  <si>
    <t>Check the note in the cell "Historical Relative P/E" on the top left corner in Yellow</t>
  </si>
  <si>
    <t>Be sure to check your data for outliers that may be skewing the results of the model and delete them.</t>
  </si>
  <si>
    <t xml:space="preserve"> If you are not sure about a value, consult your SM</t>
  </si>
  <si>
    <t>EV/Sales Market Multiples Model</t>
  </si>
  <si>
    <t>Enterprise Value (EV)</t>
  </si>
  <si>
    <t>Historical Peer Group</t>
  </si>
  <si>
    <t>Historical Target Firm</t>
  </si>
  <si>
    <t>x Projected Forward Sales</t>
  </si>
  <si>
    <t>Relative EV</t>
  </si>
  <si>
    <t>- Projected Interest-Bearing Debt</t>
  </si>
  <si>
    <t>+ Projected Cash and Cash Equivalents</t>
  </si>
  <si>
    <t>Relative Market Value of Equity</t>
  </si>
  <si>
    <t>Check the note in the cell "Historical Relative" on the top left corner in Yellow</t>
  </si>
  <si>
    <t>Dividend Discount Model</t>
  </si>
  <si>
    <t>Cost of Equity (r)</t>
  </si>
  <si>
    <t>Terminal Growth Rate (g)</t>
  </si>
  <si>
    <r>
      <t>D</t>
    </r>
    <r>
      <rPr>
        <b/>
        <vertAlign val="subscript"/>
        <sz val="11"/>
        <color theme="1"/>
        <rFont val="Calibri"/>
        <family val="2"/>
        <scheme val="minor"/>
      </rPr>
      <t>0</t>
    </r>
  </si>
  <si>
    <t>Calendar Year</t>
  </si>
  <si>
    <t>Dividend Growth Rate (YoY)</t>
  </si>
  <si>
    <t>Dividend per Share</t>
  </si>
  <si>
    <t>Total Cash Flow</t>
  </si>
  <si>
    <t>Present Value of Cash Flows</t>
  </si>
  <si>
    <t>12-Month Target Price</t>
  </si>
  <si>
    <t>| Per Share Valuation Summary</t>
  </si>
  <si>
    <t>Models</t>
  </si>
  <si>
    <t>Valuation Methodology</t>
  </si>
  <si>
    <t>Low (-10%)</t>
  </si>
  <si>
    <t>Median</t>
  </si>
  <si>
    <t>High (+10%)</t>
  </si>
  <si>
    <t>Weights</t>
  </si>
  <si>
    <t>Baseline Metrics ($B):</t>
  </si>
  <si>
    <t>Per Share</t>
  </si>
  <si>
    <t>Discounted Cash Flow</t>
  </si>
  <si>
    <t>Revenue</t>
  </si>
  <si>
    <t>Market Multiples: Price to Earnings</t>
  </si>
  <si>
    <t>Gross Margin</t>
  </si>
  <si>
    <t>Operating Income</t>
  </si>
  <si>
    <t>Target Price (12-Month)</t>
  </si>
  <si>
    <t>Current Price</t>
  </si>
  <si>
    <r>
      <t xml:space="preserve">Upside from Current Price </t>
    </r>
    <r>
      <rPr>
        <b/>
        <i/>
        <sz val="11"/>
        <rFont val="Calibri"/>
        <family val="2"/>
        <scheme val="minor"/>
      </rPr>
      <t>(12 Month)</t>
    </r>
  </si>
  <si>
    <r>
      <t xml:space="preserve">Expected Alpha </t>
    </r>
    <r>
      <rPr>
        <b/>
        <i/>
        <sz val="11"/>
        <rFont val="Calibri"/>
        <family val="2"/>
        <scheme val="minor"/>
      </rPr>
      <t>(12 Month)</t>
    </r>
  </si>
  <si>
    <t>Graph Options -- Do Not Change!</t>
  </si>
  <si>
    <t>Extra</t>
  </si>
  <si>
    <t>EV</t>
  </si>
  <si>
    <t>Automated Page for Reference Only</t>
  </si>
  <si>
    <t>Fiscal Year:</t>
  </si>
  <si>
    <t>Gross Shipments</t>
  </si>
  <si>
    <t>Less: Deductions &amp; Allowances</t>
  </si>
  <si>
    <t>Net Sales</t>
  </si>
  <si>
    <t>Less: COGS</t>
  </si>
  <si>
    <t>Gross Margin %</t>
  </si>
  <si>
    <t>Less: Operating Expense</t>
  </si>
  <si>
    <t>Operating Margin %</t>
  </si>
  <si>
    <t>SG&amp;A</t>
  </si>
  <si>
    <t>R&amp;D</t>
  </si>
  <si>
    <t>Other Operating Expenses</t>
  </si>
  <si>
    <t>Current Debt (Lease liabilities)</t>
  </si>
  <si>
    <t>// Current debt includes only the short term lease liabilities</t>
  </si>
  <si>
    <t>Non-Cash Items</t>
  </si>
  <si>
    <t>Other Investing Activities</t>
  </si>
  <si>
    <t>Cash from Acquisition &amp; Divestitures</t>
  </si>
  <si>
    <t>Repurchase of Equity</t>
  </si>
  <si>
    <t>Other Financing Activities</t>
  </si>
  <si>
    <t>Shares O/S</t>
  </si>
  <si>
    <t>Under Armor</t>
  </si>
  <si>
    <t>Cost of Goods Sold</t>
  </si>
  <si>
    <t>Nike</t>
  </si>
  <si>
    <t>Adidas</t>
  </si>
  <si>
    <t>Columbia Sportswear</t>
  </si>
  <si>
    <t>Millions</t>
  </si>
  <si>
    <t>Tax rate %</t>
  </si>
  <si>
    <t>&lt;----- Forecasted as a percentage of Revenue</t>
  </si>
  <si>
    <t>Sales</t>
  </si>
  <si>
    <t>Net Debt</t>
  </si>
  <si>
    <t>NM</t>
  </si>
  <si>
    <t>EV/Sales Ratio</t>
  </si>
  <si>
    <t>Average EV/Sales</t>
  </si>
  <si>
    <t>Relative EV/Sales Target Price</t>
  </si>
  <si>
    <t>VF Corp</t>
  </si>
  <si>
    <t>EUR to USD</t>
  </si>
  <si>
    <t>Market Multiples: EV to Sales</t>
  </si>
  <si>
    <t>Explicit Period</t>
  </si>
  <si>
    <t>Historical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</si>
</sst>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0">
    <numFmt numFmtId="164" formatCode="_(* #,##0.00_);_(* \(#,##0.00\);_(* &quot;-&quot;??_);_(@_)"/>
    <numFmt numFmtId="165" formatCode="&quot;$&quot;#,##0_);[Red]\(&quot;$&quot;#,##0\)"/>
    <numFmt numFmtId="166" formatCode="&quot;$&quot;#,##0.00_);[Red]\(&quot;$&quot;#,##0.00\)"/>
    <numFmt numFmtId="167" formatCode="_(&quot;$&quot;* #,##0.00_);_(&quot;$&quot;* \(#,##0.00\);_(&quot;$&quot;* &quot;-&quot;??_);_(@_)"/>
    <numFmt numFmtId="168" formatCode="[$-409]d\-mmm\-yy;@"/>
    <numFmt numFmtId="169" formatCode="#,##0_);\(#,##0\);\-\-"/>
    <numFmt numFmtId="170" formatCode="#,##0_);[Red]\(#,##0\);\-\-"/>
    <numFmt numFmtId="171" formatCode="0.0%;[Red]\-0.0%;\-\-"/>
    <numFmt numFmtId="172" formatCode="[$-409]mmm\-yy;@"/>
    <numFmt numFmtId="173" formatCode="0.0%"/>
    <numFmt numFmtId="174" formatCode="0.00%;[Red]\-0.00%;\-\-"/>
    <numFmt numFmtId="175" formatCode="_(* #,##0_);_(* \(#,##0\);_(* &quot;-&quot;??_);_(@_)"/>
    <numFmt numFmtId="176" formatCode="_(* #,##0_);[Red]_(* \(#,##0\);_(* &quot;-&quot;??_);_(@_)"/>
    <numFmt numFmtId="177" formatCode="_(* #,##0.0_);_(* \(#,##0.0\);_(* &quot;-&quot;??_);_(@_)"/>
    <numFmt numFmtId="178" formatCode="&quot;$&quot;#,##0.00_);[Red]\(&quot;$&quot;#,##0.00\);\-"/>
    <numFmt numFmtId="179" formatCode="0000\ &quot;Revenue&quot;"/>
    <numFmt numFmtId="180" formatCode="&quot;$&quot;#,##0.0_);[Red]\(&quot;$&quot;#,##0.0\)"/>
    <numFmt numFmtId="181" formatCode="0000\ &quot;EBITDA&quot;"/>
    <numFmt numFmtId="182" formatCode="0.0\x;[Red]\-0.0\x;\-\-"/>
    <numFmt numFmtId="183" formatCode="0%;[Red]\-0%;\-\-"/>
    <numFmt numFmtId="184" formatCode="_(#,##0_);[Red]_(\(#,##0\);_(* &quot;-&quot;??_);_(@_)"/>
    <numFmt numFmtId="185" formatCode="_(* #,##0.00_);[Red]_(* \(#,##0.00\);_(* &quot;-&quot;??_);_(@_)"/>
    <numFmt numFmtId="186" formatCode="&quot;$&quot;#,##0.00"/>
    <numFmt numFmtId="187" formatCode="0.0"/>
    <numFmt numFmtId="188" formatCode="_([$$-409]* #,##0.00_);_([$$-409]* \(#,##0.00\);_([$$-409]* &quot;-&quot;??_);_(@_)"/>
    <numFmt numFmtId="189" formatCode="yyyy"/>
    <numFmt numFmtId="190" formatCode="&quot;$&quot;#,##0"/>
    <numFmt numFmtId="191" formatCode="0.00_);[Red]\(0.00\)"/>
    <numFmt numFmtId="192" formatCode="#,##0.0_);[Red]\(#,##0.0\)"/>
    <numFmt numFmtId="193" formatCode="0_);[Red]\(0\)"/>
  </numFmts>
  <fonts count="100" x14ac:knownFonts="1">
    <font>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9"/>
      <color theme="1"/>
      <name val="Calibri"/>
      <family val="2"/>
      <scheme val="minor"/>
    </font>
    <font>
      <u/>
      <sz val="9"/>
      <color theme="1"/>
      <name val="Calibri"/>
      <family val="2"/>
      <scheme val="minor"/>
    </font>
    <font>
      <sz val="9"/>
      <color rgb="FF7030A0"/>
      <name val="Calibri"/>
      <family val="2"/>
      <scheme val="minor"/>
    </font>
    <font>
      <b/>
      <sz val="9"/>
      <name val="Calibri"/>
      <family val="2"/>
      <scheme val="minor"/>
    </font>
    <font>
      <b/>
      <sz val="16"/>
      <color theme="1" tint="0.34998626667073579"/>
      <name val="Calibri"/>
      <family val="2"/>
      <scheme val="minor"/>
    </font>
    <font>
      <i/>
      <sz val="9"/>
      <color theme="1"/>
      <name val="Calibri"/>
      <family val="2"/>
      <scheme val="minor"/>
    </font>
    <font>
      <sz val="9"/>
      <name val="Calibri"/>
      <family val="2"/>
      <scheme val="minor"/>
    </font>
    <font>
      <sz val="10"/>
      <name val="Arial"/>
      <family val="2"/>
    </font>
    <font>
      <b/>
      <u/>
      <sz val="9"/>
      <name val="Calibri"/>
      <family val="2"/>
      <scheme val="minor"/>
    </font>
    <font>
      <sz val="9"/>
      <color rgb="FF0000FF"/>
      <name val="Calibri"/>
      <family val="2"/>
      <scheme val="minor"/>
    </font>
    <font>
      <i/>
      <sz val="9"/>
      <name val="Calibri"/>
      <family val="2"/>
      <scheme val="minor"/>
    </font>
    <font>
      <b/>
      <i/>
      <sz val="16"/>
      <color theme="1" tint="0.34998626667073579"/>
      <name val="Calibri"/>
      <family val="2"/>
      <scheme val="minor"/>
    </font>
    <font>
      <b/>
      <sz val="9"/>
      <color theme="0"/>
      <name val="Calibri"/>
      <family val="2"/>
      <scheme val="minor"/>
    </font>
    <font>
      <b/>
      <i/>
      <sz val="9"/>
      <color theme="0"/>
      <name val="Calibri"/>
      <family val="2"/>
      <scheme val="minor"/>
    </font>
    <font>
      <b/>
      <i/>
      <sz val="9"/>
      <color rgb="FF0000FF"/>
      <name val="Calibri"/>
      <family val="2"/>
      <scheme val="minor"/>
    </font>
    <font>
      <b/>
      <sz val="11"/>
      <color theme="1" tint="0.34998626667073579"/>
      <name val="Calibri"/>
      <family val="2"/>
      <scheme val="minor"/>
    </font>
    <font>
      <u/>
      <sz val="11"/>
      <color theme="10"/>
      <name val="Calibri"/>
      <family val="2"/>
      <scheme val="minor"/>
    </font>
    <font>
      <sz val="10"/>
      <color theme="1"/>
      <name val="Arial Narrow"/>
      <family val="2"/>
    </font>
    <font>
      <sz val="10"/>
      <color theme="0" tint="-0.499984740745262"/>
      <name val="Arial Narrow"/>
      <family val="2"/>
    </font>
    <font>
      <sz val="10"/>
      <name val="Arial Narrow"/>
      <family val="2"/>
    </font>
    <font>
      <sz val="10"/>
      <color theme="0"/>
      <name val="Arial Narrow"/>
      <family val="2"/>
    </font>
    <font>
      <b/>
      <sz val="10"/>
      <color theme="0"/>
      <name val="Arial Narrow"/>
      <family val="2"/>
    </font>
    <font>
      <sz val="10"/>
      <color rgb="FF0000FF"/>
      <name val="Arial Narrow"/>
      <family val="2"/>
    </font>
    <font>
      <b/>
      <u/>
      <sz val="10"/>
      <name val="Arial"/>
      <family val="2"/>
    </font>
    <font>
      <b/>
      <sz val="10"/>
      <color theme="1"/>
      <name val="Arial Narrow"/>
      <family val="2"/>
    </font>
    <font>
      <b/>
      <sz val="10"/>
      <name val="Arial Narrow"/>
      <family val="2"/>
    </font>
    <font>
      <sz val="10"/>
      <color theme="0"/>
      <name val="Arial"/>
      <family val="2"/>
    </font>
    <font>
      <b/>
      <u val="singleAccounting"/>
      <sz val="10"/>
      <color theme="1"/>
      <name val="Calibri"/>
      <family val="2"/>
      <scheme val="minor"/>
    </font>
    <font>
      <b/>
      <u val="singleAccounting"/>
      <sz val="10"/>
      <color theme="1"/>
      <name val="Arial Narrow"/>
      <family val="2"/>
    </font>
    <font>
      <i/>
      <sz val="10"/>
      <color theme="1"/>
      <name val="Arial Narrow"/>
      <family val="2"/>
    </font>
    <font>
      <b/>
      <i/>
      <sz val="10"/>
      <name val="Arial Narrow"/>
      <family val="2"/>
    </font>
    <font>
      <b/>
      <sz val="20"/>
      <color theme="1" tint="0.34998626667073579"/>
      <name val="Arial Narrow"/>
      <family val="2"/>
    </font>
    <font>
      <b/>
      <sz val="9"/>
      <color rgb="FFFF6600"/>
      <name val="Calibri"/>
      <family val="2"/>
      <scheme val="minor"/>
    </font>
    <font>
      <i/>
      <sz val="9"/>
      <color rgb="FF0000FF"/>
      <name val="Calibri"/>
      <family val="2"/>
      <scheme val="minor"/>
    </font>
    <font>
      <b/>
      <i/>
      <sz val="9"/>
      <color rgb="FFFF0000"/>
      <name val="Calibri"/>
      <family val="2"/>
      <scheme val="minor"/>
    </font>
    <font>
      <b/>
      <sz val="10"/>
      <name val="Arial"/>
      <family val="2"/>
    </font>
    <font>
      <b/>
      <sz val="10"/>
      <color rgb="FF0000FF"/>
      <name val="Arial"/>
      <family val="2"/>
    </font>
    <font>
      <b/>
      <sz val="11"/>
      <color theme="0"/>
      <name val="Calibri"/>
      <family val="2"/>
      <scheme val="minor"/>
    </font>
    <font>
      <b/>
      <sz val="11"/>
      <color theme="1"/>
      <name val="Calibri"/>
      <family val="2"/>
      <scheme val="minor"/>
    </font>
    <font>
      <sz val="11"/>
      <color theme="0"/>
      <name val="Calibri"/>
      <family val="2"/>
      <scheme val="minor"/>
    </font>
    <font>
      <b/>
      <sz val="6"/>
      <color theme="1"/>
      <name val="Calibri"/>
      <family val="2"/>
      <scheme val="minor"/>
    </font>
    <font>
      <b/>
      <i/>
      <sz val="9"/>
      <color theme="0"/>
      <name val="Arial Narrow"/>
      <family val="2"/>
    </font>
    <font>
      <b/>
      <i/>
      <u val="singleAccounting"/>
      <sz val="10"/>
      <color theme="1"/>
      <name val="Calibri"/>
      <family val="2"/>
      <scheme val="minor"/>
    </font>
    <font>
      <b/>
      <i/>
      <sz val="9"/>
      <name val="Arial Narrow"/>
      <family val="2"/>
    </font>
    <font>
      <sz val="4"/>
      <color theme="1"/>
      <name val="Arial Narrow"/>
      <family val="2"/>
    </font>
    <font>
      <sz val="4"/>
      <name val="Arial Narrow"/>
      <family val="2"/>
    </font>
    <font>
      <sz val="4"/>
      <color theme="1"/>
      <name val="Calibri"/>
      <family val="2"/>
      <scheme val="minor"/>
    </font>
    <font>
      <i/>
      <sz val="10"/>
      <name val="Arial Narrow"/>
      <family val="2"/>
    </font>
    <font>
      <i/>
      <sz val="4"/>
      <color theme="1"/>
      <name val="Arial Narrow"/>
      <family val="2"/>
    </font>
    <font>
      <i/>
      <sz val="4"/>
      <name val="Arial Narrow"/>
      <family val="2"/>
    </font>
    <font>
      <sz val="10"/>
      <color theme="0"/>
      <name val="Calibri"/>
      <family val="2"/>
      <scheme val="minor"/>
    </font>
    <font>
      <sz val="10"/>
      <color theme="1"/>
      <name val="Calibri"/>
      <family val="2"/>
      <scheme val="minor"/>
    </font>
    <font>
      <b/>
      <sz val="12"/>
      <color theme="0"/>
      <name val="Calibri"/>
      <family val="2"/>
      <scheme val="minor"/>
    </font>
    <font>
      <i/>
      <sz val="11"/>
      <color theme="1"/>
      <name val="Calibri"/>
      <family val="2"/>
      <scheme val="minor"/>
    </font>
    <font>
      <b/>
      <i/>
      <sz val="11"/>
      <color theme="0"/>
      <name val="Calibri"/>
      <family val="2"/>
      <scheme val="minor"/>
    </font>
    <font>
      <sz val="11"/>
      <name val="Calibri"/>
      <family val="2"/>
      <scheme val="minor"/>
    </font>
    <font>
      <b/>
      <i/>
      <sz val="11"/>
      <color theme="1"/>
      <name val="Calibri"/>
      <family val="2"/>
      <scheme val="minor"/>
    </font>
    <font>
      <b/>
      <sz val="11"/>
      <name val="Calibri"/>
      <family val="2"/>
      <scheme val="minor"/>
    </font>
    <font>
      <b/>
      <sz val="11"/>
      <color rgb="FF0000FF"/>
      <name val="Calibri"/>
      <family val="2"/>
      <scheme val="minor"/>
    </font>
    <font>
      <sz val="9"/>
      <color indexed="81"/>
      <name val="Tahoma"/>
      <family val="2"/>
    </font>
    <font>
      <sz val="10"/>
      <color rgb="FF0000FF"/>
      <name val="Arial"/>
      <family val="2"/>
    </font>
    <font>
      <b/>
      <sz val="20"/>
      <color theme="1" tint="0.34998626667073579"/>
      <name val="Calibri"/>
      <family val="2"/>
      <scheme val="minor"/>
    </font>
    <font>
      <b/>
      <sz val="10"/>
      <color theme="0"/>
      <name val="Calibri"/>
      <family val="2"/>
      <scheme val="minor"/>
    </font>
    <font>
      <b/>
      <sz val="10"/>
      <color theme="1"/>
      <name val="Calibri"/>
      <family val="2"/>
      <scheme val="minor"/>
    </font>
    <font>
      <b/>
      <i/>
      <sz val="11"/>
      <color rgb="FF0000FF"/>
      <name val="Calibri"/>
      <family val="2"/>
      <scheme val="minor"/>
    </font>
    <font>
      <b/>
      <i/>
      <sz val="10"/>
      <color theme="0"/>
      <name val="Calibri"/>
      <family val="2"/>
      <scheme val="minor"/>
    </font>
    <font>
      <sz val="11"/>
      <color rgb="FF006600"/>
      <name val="Calibri"/>
      <family val="2"/>
      <scheme val="minor"/>
    </font>
    <font>
      <sz val="10"/>
      <name val="Calibri"/>
      <family val="2"/>
      <scheme val="minor"/>
    </font>
    <font>
      <b/>
      <sz val="10"/>
      <name val="Calibri"/>
      <family val="2"/>
      <scheme val="minor"/>
    </font>
    <font>
      <b/>
      <vertAlign val="subscript"/>
      <sz val="11"/>
      <color theme="1"/>
      <name val="Calibri"/>
      <family val="2"/>
      <scheme val="minor"/>
    </font>
    <font>
      <b/>
      <i/>
      <sz val="11"/>
      <name val="Calibri"/>
      <family val="2"/>
      <scheme val="minor"/>
    </font>
    <font>
      <b/>
      <i/>
      <sz val="14"/>
      <color rgb="FFFF0000"/>
      <name val="Calibri"/>
      <family val="2"/>
      <scheme val="minor"/>
    </font>
    <font>
      <sz val="11"/>
      <color indexed="8"/>
      <name val="Calibri"/>
      <family val="2"/>
    </font>
    <font>
      <b/>
      <sz val="10"/>
      <color indexed="8"/>
      <name val="Calibri"/>
      <family val="2"/>
      <scheme val="minor"/>
    </font>
    <font>
      <sz val="10"/>
      <color indexed="8"/>
      <name val="Calibri"/>
      <family val="2"/>
      <scheme val="minor"/>
    </font>
    <font>
      <b/>
      <sz val="10.5"/>
      <color rgb="FF000000"/>
      <name val="Verdana"/>
      <family val="2"/>
    </font>
    <font>
      <sz val="10.5"/>
      <color rgb="FF000000"/>
      <name val="Verdana"/>
      <family val="2"/>
    </font>
    <font>
      <sz val="10"/>
      <color rgb="FF7030A0"/>
      <name val="Calibri"/>
      <family val="2"/>
      <scheme val="minor"/>
    </font>
    <font>
      <b/>
      <sz val="14"/>
      <color theme="0"/>
      <name val="Calibri"/>
      <family val="2"/>
      <scheme val="minor"/>
    </font>
    <font>
      <b/>
      <u/>
      <sz val="10"/>
      <color theme="0"/>
      <name val="Calibri"/>
      <family val="2"/>
      <scheme val="minor"/>
    </font>
    <font>
      <b/>
      <sz val="10"/>
      <color rgb="FF0000FF"/>
      <name val="Calibri"/>
      <family val="2"/>
      <scheme val="minor"/>
    </font>
    <font>
      <i/>
      <sz val="10"/>
      <name val="Arial"/>
      <family val="2"/>
    </font>
    <font>
      <sz val="10"/>
      <color rgb="FF0000FF"/>
      <name val="Calibri"/>
      <family val="2"/>
      <scheme val="minor"/>
    </font>
    <font>
      <i/>
      <sz val="10"/>
      <color theme="1"/>
      <name val="Calibri"/>
      <family val="2"/>
      <scheme val="minor"/>
    </font>
    <font>
      <u/>
      <sz val="10"/>
      <color theme="10"/>
      <name val="Calibri"/>
      <family val="2"/>
      <scheme val="minor"/>
    </font>
    <font>
      <u/>
      <sz val="9"/>
      <color theme="10"/>
      <name val="Calibri"/>
      <family val="2"/>
      <scheme val="minor"/>
    </font>
    <font>
      <sz val="9"/>
      <color theme="1"/>
      <name val="Calibri"/>
      <family val="2"/>
    </font>
    <font>
      <i/>
      <sz val="9"/>
      <color theme="1"/>
      <name val="Calibri"/>
      <family val="2"/>
    </font>
    <font>
      <b/>
      <i/>
      <u/>
      <sz val="14"/>
      <color theme="1" tint="0.34998626667073579"/>
      <name val="Calibri"/>
      <family val="2"/>
      <scheme val="minor"/>
    </font>
    <font>
      <b/>
      <u/>
      <sz val="14"/>
      <color theme="1"/>
      <name val="Calibri"/>
      <family val="2"/>
      <scheme val="minor"/>
    </font>
    <font>
      <sz val="11"/>
      <color rgb="FF7030A0"/>
      <name val="Calibri"/>
      <family val="2"/>
      <scheme val="minor"/>
    </font>
    <font>
      <sz val="11"/>
      <color rgb="FF0000FF"/>
      <name val="Calibri"/>
      <family val="2"/>
      <scheme val="minor"/>
    </font>
    <font>
      <i/>
      <sz val="9"/>
      <color theme="1" tint="0.14999847407452621"/>
      <name val="Calibri"/>
      <family val="2"/>
      <scheme val="minor"/>
    </font>
    <font>
      <sz val="9"/>
      <color theme="0"/>
      <name val="Calibri"/>
      <family val="2"/>
      <scheme val="minor"/>
    </font>
    <font>
      <b/>
      <sz val="9"/>
      <color indexed="81"/>
      <name val="Tahoma"/>
      <family val="2"/>
    </font>
    <font>
      <sz val="9"/>
      <color theme="9"/>
      <name val="Calibri"/>
      <family val="2"/>
      <scheme val="minor"/>
    </font>
  </fonts>
  <fills count="32">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3"/>
        <bgColor indexed="64"/>
      </patternFill>
    </fill>
    <fill>
      <patternFill patternType="solid">
        <fgColor theme="1"/>
        <bgColor indexed="64"/>
      </patternFill>
    </fill>
    <fill>
      <patternFill patternType="solid">
        <fgColor theme="2"/>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499984740745262"/>
        <bgColor indexed="64"/>
      </patternFill>
    </fill>
    <fill>
      <patternFill patternType="solid">
        <fgColor theme="9"/>
        <bgColor indexed="64"/>
      </patternFill>
    </fill>
    <fill>
      <patternFill patternType="solid">
        <fgColor theme="9" tint="0.39997558519241921"/>
        <bgColor indexed="64"/>
      </patternFill>
    </fill>
    <fill>
      <patternFill patternType="solid">
        <fgColor theme="0"/>
        <bgColor indexed="64"/>
      </patternFill>
    </fill>
    <fill>
      <patternFill patternType="solid">
        <fgColor rgb="FFD0232B"/>
        <bgColor indexed="64"/>
      </patternFill>
    </fill>
    <fill>
      <patternFill patternType="solid">
        <fgColor theme="0" tint="-4.9989318521683403E-2"/>
        <bgColor indexed="64"/>
      </patternFill>
    </fill>
    <fill>
      <patternFill patternType="solid">
        <fgColor theme="8"/>
        <bgColor indexed="64"/>
      </patternFill>
    </fill>
    <fill>
      <patternFill patternType="solid">
        <fgColor theme="4" tint="0.59999389629810485"/>
        <bgColor indexed="64"/>
      </patternFill>
    </fill>
    <fill>
      <patternFill patternType="solid">
        <fgColor rgb="FF333437"/>
        <bgColor indexed="64"/>
      </patternFill>
    </fill>
    <fill>
      <patternFill patternType="solid">
        <fgColor theme="0" tint="-0.49998474074526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5"/>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3" tint="-0.49998474074526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249977111117893"/>
        <bgColor indexed="64"/>
      </patternFill>
    </fill>
  </fills>
  <borders count="69">
    <border>
      <left/>
      <right/>
      <top/>
      <bottom/>
      <diagonal/>
    </border>
    <border>
      <left/>
      <right/>
      <top style="hair">
        <color auto="1"/>
      </top>
      <bottom style="hair">
        <color auto="1"/>
      </bottom>
      <diagonal/>
    </border>
    <border>
      <left/>
      <right/>
      <top/>
      <bottom style="hair">
        <color auto="1"/>
      </bottom>
      <diagonal/>
    </border>
    <border>
      <left/>
      <right/>
      <top style="dotted">
        <color auto="1"/>
      </top>
      <bottom style="dotted">
        <color auto="1"/>
      </bottom>
      <diagonal/>
    </border>
    <border>
      <left/>
      <right/>
      <top/>
      <bottom style="medium">
        <color indexed="64"/>
      </bottom>
      <diagonal/>
    </border>
    <border>
      <left style="thin">
        <color auto="1"/>
      </left>
      <right/>
      <top/>
      <bottom/>
      <diagonal/>
    </border>
    <border>
      <left/>
      <right style="thin">
        <color auto="1"/>
      </right>
      <top/>
      <bottom/>
      <diagonal/>
    </border>
    <border>
      <left style="thin">
        <color auto="1"/>
      </left>
      <right/>
      <top style="dotted">
        <color auto="1"/>
      </top>
      <bottom style="dotted">
        <color auto="1"/>
      </bottom>
      <diagonal/>
    </border>
    <border>
      <left/>
      <right style="thin">
        <color auto="1"/>
      </right>
      <top style="dotted">
        <color auto="1"/>
      </top>
      <bottom style="dotted">
        <color auto="1"/>
      </bottom>
      <diagonal/>
    </border>
    <border>
      <left/>
      <right style="thin">
        <color auto="1"/>
      </right>
      <top style="dotted">
        <color auto="1"/>
      </top>
      <bottom/>
      <diagonal/>
    </border>
    <border>
      <left/>
      <right/>
      <top style="thin">
        <color auto="1"/>
      </top>
      <bottom/>
      <diagonal/>
    </border>
    <border>
      <left/>
      <right/>
      <top/>
      <bottom style="thin">
        <color indexed="64"/>
      </bottom>
      <diagonal/>
    </border>
    <border>
      <left/>
      <right/>
      <top style="medium">
        <color theme="3" tint="-0.24994659260841701"/>
      </top>
      <bottom/>
      <diagonal/>
    </border>
    <border>
      <left/>
      <right/>
      <top/>
      <bottom style="medium">
        <color theme="3" tint="-0.24994659260841701"/>
      </bottom>
      <diagonal/>
    </border>
    <border>
      <left style="thin">
        <color auto="1"/>
      </left>
      <right/>
      <top style="dotted">
        <color auto="1"/>
      </top>
      <bottom style="thin">
        <color indexed="64"/>
      </bottom>
      <diagonal/>
    </border>
    <border>
      <left style="thin">
        <color auto="1"/>
      </left>
      <right/>
      <top style="dotted">
        <color auto="1"/>
      </top>
      <bottom/>
      <diagonal/>
    </border>
    <border>
      <left/>
      <right/>
      <top/>
      <bottom style="medium">
        <color theme="0"/>
      </bottom>
      <diagonal/>
    </border>
    <border>
      <left/>
      <right/>
      <top style="thin">
        <color theme="0" tint="-0.499984740745262"/>
      </top>
      <bottom style="thin">
        <color theme="0" tint="-0.499984740745262"/>
      </bottom>
      <diagonal/>
    </border>
    <border>
      <left/>
      <right/>
      <top style="thin">
        <color theme="0" tint="-0.499984740745262"/>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dotted">
        <color auto="1"/>
      </top>
      <bottom/>
      <diagonal/>
    </border>
    <border>
      <left/>
      <right/>
      <top style="dotted">
        <color auto="1"/>
      </top>
      <bottom style="thin">
        <color indexed="64"/>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
      <left style="thick">
        <color theme="3"/>
      </left>
      <right style="thick">
        <color theme="3"/>
      </right>
      <top style="thick">
        <color theme="3"/>
      </top>
      <bottom style="thick">
        <color theme="3"/>
      </bottom>
      <diagonal/>
    </border>
    <border>
      <left/>
      <right/>
      <top style="thin">
        <color theme="0" tint="-0.34998626667073579"/>
      </top>
      <bottom style="thin">
        <color theme="0" tint="-0.34998626667073579"/>
      </bottom>
      <diagonal/>
    </border>
    <border>
      <left style="medium">
        <color theme="3"/>
      </left>
      <right style="medium">
        <color theme="3"/>
      </right>
      <top style="medium">
        <color theme="3"/>
      </top>
      <bottom style="medium">
        <color theme="3"/>
      </bottom>
      <diagonal/>
    </border>
    <border>
      <left/>
      <right/>
      <top style="thin">
        <color theme="0" tint="-0.34998626667073579"/>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right/>
      <top style="medium">
        <color theme="0" tint="-0.34998626667073579"/>
      </top>
      <bottom style="dotted">
        <color theme="0" tint="-0.34998626667073579"/>
      </bottom>
      <diagonal/>
    </border>
    <border>
      <left/>
      <right/>
      <top style="dotted">
        <color theme="0" tint="-0.34998626667073579"/>
      </top>
      <bottom style="dotted">
        <color theme="0" tint="-0.34998626667073579"/>
      </bottom>
      <diagonal/>
    </border>
    <border>
      <left/>
      <right/>
      <top style="dotted">
        <color theme="0" tint="-0.34998626667073579"/>
      </top>
      <bottom style="medium">
        <color theme="0" tint="-0.34998626667073579"/>
      </bottom>
      <diagonal/>
    </border>
    <border>
      <left/>
      <right/>
      <top style="medium">
        <color theme="0" tint="-0.499984740745262"/>
      </top>
      <bottom style="medium">
        <color theme="0" tint="-0.499984740745262"/>
      </bottom>
      <diagonal/>
    </border>
    <border>
      <left/>
      <right/>
      <top style="medium">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top style="dotted">
        <color theme="0" tint="-0.499984740745262"/>
      </top>
      <bottom style="medium">
        <color theme="0" tint="-0.499984740745262"/>
      </bottom>
      <diagonal/>
    </border>
    <border>
      <left style="medium">
        <color theme="3" tint="-0.24994659260841701"/>
      </left>
      <right/>
      <top style="medium">
        <color theme="3" tint="-0.24994659260841701"/>
      </top>
      <bottom style="dotted">
        <color theme="0" tint="-0.499984740745262"/>
      </bottom>
      <diagonal/>
    </border>
    <border>
      <left/>
      <right style="medium">
        <color theme="3" tint="-0.24994659260841701"/>
      </right>
      <top style="medium">
        <color theme="3" tint="-0.24994659260841701"/>
      </top>
      <bottom style="dotted">
        <color theme="0" tint="-0.499984740745262"/>
      </bottom>
      <diagonal/>
    </border>
    <border>
      <left style="medium">
        <color theme="3" tint="-0.24994659260841701"/>
      </left>
      <right/>
      <top style="dotted">
        <color theme="0" tint="-0.499984740745262"/>
      </top>
      <bottom style="dotted">
        <color theme="0" tint="-0.499984740745262"/>
      </bottom>
      <diagonal/>
    </border>
    <border>
      <left/>
      <right style="medium">
        <color theme="3" tint="-0.24994659260841701"/>
      </right>
      <top style="dotted">
        <color theme="0" tint="-0.499984740745262"/>
      </top>
      <bottom style="dotted">
        <color theme="0" tint="-0.499984740745262"/>
      </bottom>
      <diagonal/>
    </border>
    <border>
      <left style="medium">
        <color theme="3" tint="-0.24994659260841701"/>
      </left>
      <right/>
      <top style="dotted">
        <color theme="0" tint="-0.499984740745262"/>
      </top>
      <bottom style="medium">
        <color theme="3" tint="-0.24994659260841701"/>
      </bottom>
      <diagonal/>
    </border>
    <border>
      <left/>
      <right style="medium">
        <color theme="3" tint="-0.24994659260841701"/>
      </right>
      <top style="dotted">
        <color theme="0" tint="-0.499984740745262"/>
      </top>
      <bottom style="medium">
        <color theme="3" tint="-0.24994659260841701"/>
      </bottom>
      <diagonal/>
    </border>
    <border>
      <left/>
      <right style="medium">
        <color theme="3" tint="-0.24994659260841701"/>
      </right>
      <top/>
      <bottom/>
      <diagonal/>
    </border>
    <border>
      <left/>
      <right/>
      <top style="medium">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dotted">
        <color indexed="64"/>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indexed="64"/>
      </right>
      <top/>
      <bottom/>
      <diagonal/>
    </border>
    <border>
      <left style="dotted">
        <color indexed="64"/>
      </left>
      <right/>
      <top/>
      <bottom style="dotted">
        <color indexed="64"/>
      </bottom>
      <diagonal/>
    </border>
    <border>
      <left/>
      <right style="dotted">
        <color indexed="64"/>
      </right>
      <top/>
      <bottom style="dotted">
        <color indexed="64"/>
      </bottom>
      <diagonal/>
    </border>
    <border>
      <left/>
      <right/>
      <top/>
      <bottom style="dotted">
        <color indexed="64"/>
      </bottom>
      <diagonal/>
    </border>
    <border>
      <left style="medium">
        <color rgb="FFFF0000"/>
      </left>
      <right style="medium">
        <color rgb="FFFF0000"/>
      </right>
      <top style="medium">
        <color rgb="FFFF0000"/>
      </top>
      <bottom style="medium">
        <color rgb="FFFF0000"/>
      </bottom>
      <diagonal/>
    </border>
    <border>
      <left style="dotted">
        <color rgb="FFFF0000"/>
      </left>
      <right style="dotted">
        <color rgb="FFFF0000"/>
      </right>
      <top style="dotted">
        <color rgb="FFFF0000"/>
      </top>
      <bottom style="dotted">
        <color rgb="FFFF0000"/>
      </bottom>
      <diagonal/>
    </border>
    <border>
      <left/>
      <right/>
      <top/>
      <bottom style="dotted">
        <color theme="0" tint="-0.34998626667073579"/>
      </bottom>
      <diagonal/>
    </border>
    <border>
      <left/>
      <right/>
      <top style="dotted">
        <color theme="0" tint="-0.34998626667073579"/>
      </top>
      <bottom style="thin">
        <color theme="0" tint="-0.34998626667073579"/>
      </bottom>
      <diagonal/>
    </border>
    <border>
      <left/>
      <right/>
      <top style="thin">
        <color theme="0" tint="-0.34998626667073579"/>
      </top>
      <bottom style="dotted">
        <color theme="0" tint="-0.34998626667073579"/>
      </bottom>
      <diagonal/>
    </border>
    <border>
      <left/>
      <right/>
      <top style="hair">
        <color auto="1"/>
      </top>
      <bottom/>
      <diagonal/>
    </border>
    <border>
      <left style="medium">
        <color theme="1" tint="0.249977111117893"/>
      </left>
      <right style="medium">
        <color theme="1" tint="0.249977111117893"/>
      </right>
      <top style="medium">
        <color theme="1" tint="0.249977111117893"/>
      </top>
      <bottom style="medium">
        <color theme="1" tint="0.249977111117893"/>
      </bottom>
      <diagonal/>
    </border>
  </borders>
  <cellStyleXfs count="11">
    <xf numFmtId="0" fontId="0" fillId="0" borderId="0"/>
    <xf numFmtId="9" fontId="2" fillId="0" borderId="0" applyFont="0" applyFill="0" applyBorder="0" applyAlignment="0" applyProtection="0"/>
    <xf numFmtId="0" fontId="11" fillId="0" borderId="0"/>
    <xf numFmtId="0" fontId="20" fillId="0" borderId="0" applyNumberFormat="0" applyFill="0" applyBorder="0" applyAlignment="0" applyProtection="0"/>
    <xf numFmtId="9" fontId="11" fillId="0" borderId="0" applyFont="0" applyFill="0" applyBorder="0" applyAlignment="0" applyProtection="0"/>
    <xf numFmtId="0" fontId="11" fillId="0" borderId="0"/>
    <xf numFmtId="164" fontId="11" fillId="0" borderId="0" applyFont="0" applyFill="0" applyBorder="0" applyAlignment="0" applyProtection="0"/>
    <xf numFmtId="0" fontId="2" fillId="0" borderId="0"/>
    <xf numFmtId="164" fontId="2" fillId="0" borderId="0" applyFont="0" applyFill="0" applyBorder="0" applyAlignment="0" applyProtection="0"/>
    <xf numFmtId="167" fontId="2" fillId="0" borderId="0" applyFont="0" applyFill="0" applyBorder="0" applyAlignment="0" applyProtection="0"/>
    <xf numFmtId="0" fontId="76" fillId="0" borderId="0"/>
  </cellStyleXfs>
  <cellXfs count="542">
    <xf numFmtId="0" fontId="0" fillId="0" borderId="0" xfId="0"/>
    <xf numFmtId="0" fontId="3" fillId="3" borderId="0" xfId="0" applyFont="1" applyFill="1" applyAlignment="1">
      <alignment vertical="center"/>
    </xf>
    <xf numFmtId="0" fontId="4" fillId="0" borderId="0" xfId="0" applyFont="1"/>
    <xf numFmtId="0" fontId="3" fillId="0" borderId="0" xfId="0" applyFont="1"/>
    <xf numFmtId="0" fontId="4" fillId="4" borderId="0" xfId="0" applyFont="1" applyFill="1"/>
    <xf numFmtId="0" fontId="4" fillId="5" borderId="0" xfId="0" applyFont="1" applyFill="1"/>
    <xf numFmtId="0" fontId="3" fillId="0" borderId="1" xfId="0" applyFont="1" applyBorder="1" applyAlignment="1">
      <alignment vertical="center"/>
    </xf>
    <xf numFmtId="0" fontId="4" fillId="0" borderId="0" xfId="0" applyFont="1" applyAlignment="1">
      <alignment horizontal="left" vertical="center" indent="1"/>
    </xf>
    <xf numFmtId="0" fontId="9" fillId="0" borderId="0" xfId="0" applyFont="1" applyAlignment="1">
      <alignment horizontal="left" indent="1"/>
    </xf>
    <xf numFmtId="170" fontId="3" fillId="0" borderId="1" xfId="0" applyNumberFormat="1" applyFont="1" applyBorder="1"/>
    <xf numFmtId="0" fontId="3" fillId="6" borderId="0" xfId="0" applyFont="1" applyFill="1" applyAlignment="1">
      <alignment vertical="center"/>
    </xf>
    <xf numFmtId="0" fontId="4" fillId="6" borderId="0" xfId="0" applyFont="1" applyFill="1"/>
    <xf numFmtId="171" fontId="9" fillId="0" borderId="0" xfId="1" applyNumberFormat="1" applyFont="1" applyAlignment="1">
      <alignment horizontal="right"/>
    </xf>
    <xf numFmtId="0" fontId="7" fillId="0" borderId="0" xfId="2" applyFont="1" applyAlignment="1">
      <alignment horizontal="left" indent="1"/>
    </xf>
    <xf numFmtId="0" fontId="10" fillId="0" borderId="0" xfId="2" applyFont="1" applyAlignment="1">
      <alignment horizontal="left" indent="2"/>
    </xf>
    <xf numFmtId="0" fontId="7" fillId="0" borderId="1" xfId="2" applyFont="1" applyBorder="1" applyAlignment="1">
      <alignment horizontal="left" indent="1"/>
    </xf>
    <xf numFmtId="0" fontId="10" fillId="0" borderId="0" xfId="2" applyFont="1" applyAlignment="1">
      <alignment horizontal="left" indent="1"/>
    </xf>
    <xf numFmtId="0" fontId="7" fillId="0" borderId="1" xfId="2" applyFont="1" applyBorder="1"/>
    <xf numFmtId="0" fontId="3" fillId="0" borderId="0" xfId="2" applyFont="1" applyAlignment="1">
      <alignment horizontal="left" indent="1"/>
    </xf>
    <xf numFmtId="0" fontId="5" fillId="9" borderId="0" xfId="0" applyFont="1" applyFill="1" applyAlignment="1">
      <alignment vertical="center"/>
    </xf>
    <xf numFmtId="0" fontId="4" fillId="9" borderId="0" xfId="0" applyFont="1" applyFill="1"/>
    <xf numFmtId="0" fontId="5" fillId="9" borderId="0" xfId="0" applyFont="1" applyFill="1"/>
    <xf numFmtId="0" fontId="12" fillId="9" borderId="0" xfId="2" applyFont="1" applyFill="1"/>
    <xf numFmtId="170" fontId="9" fillId="8" borderId="0" xfId="0" applyNumberFormat="1" applyFont="1" applyFill="1"/>
    <xf numFmtId="0" fontId="13" fillId="7" borderId="0" xfId="0" applyFont="1" applyFill="1" applyAlignment="1">
      <alignment horizontal="center" vertical="center"/>
    </xf>
    <xf numFmtId="0" fontId="10" fillId="0" borderId="1" xfId="2" applyFont="1" applyBorder="1" applyAlignment="1">
      <alignment horizontal="left" indent="1"/>
    </xf>
    <xf numFmtId="0" fontId="3" fillId="11" borderId="0" xfId="0" applyFont="1" applyFill="1"/>
    <xf numFmtId="0" fontId="4" fillId="11" borderId="0" xfId="0" applyFont="1" applyFill="1"/>
    <xf numFmtId="0" fontId="14" fillId="0" borderId="1" xfId="2" applyFont="1" applyBorder="1" applyAlignment="1">
      <alignment horizontal="left" indent="1"/>
    </xf>
    <xf numFmtId="171" fontId="4" fillId="0" borderId="0" xfId="1" applyNumberFormat="1" applyFont="1" applyAlignment="1">
      <alignment horizontal="right"/>
    </xf>
    <xf numFmtId="171" fontId="3" fillId="0" borderId="0" xfId="1" applyNumberFormat="1" applyFont="1" applyAlignment="1">
      <alignment horizontal="right"/>
    </xf>
    <xf numFmtId="0" fontId="15" fillId="0" borderId="0" xfId="0" applyFont="1" applyAlignment="1">
      <alignment horizontal="left" vertical="center" indent="1"/>
    </xf>
    <xf numFmtId="171" fontId="3" fillId="0" borderId="1" xfId="1" applyNumberFormat="1" applyFont="1" applyBorder="1" applyAlignment="1">
      <alignment horizontal="right"/>
    </xf>
    <xf numFmtId="169" fontId="6" fillId="7" borderId="0" xfId="0" applyNumberFormat="1" applyFont="1" applyFill="1" applyAlignment="1" applyProtection="1">
      <alignment horizontal="right" vertical="center"/>
      <protection locked="0"/>
    </xf>
    <xf numFmtId="169" fontId="13" fillId="7" borderId="0" xfId="0" applyNumberFormat="1" applyFont="1" applyFill="1" applyAlignment="1" applyProtection="1">
      <alignment horizontal="right" vertical="center"/>
      <protection locked="0"/>
    </xf>
    <xf numFmtId="0" fontId="8" fillId="0" borderId="0" xfId="0" applyFont="1" applyAlignment="1">
      <alignment horizontal="left" vertical="center" wrapText="1" indent="1"/>
    </xf>
    <xf numFmtId="0" fontId="21" fillId="16" borderId="0" xfId="2" applyFont="1" applyFill="1" applyAlignment="1">
      <alignment vertical="center"/>
    </xf>
    <xf numFmtId="0" fontId="22" fillId="16" borderId="0" xfId="2" applyFont="1" applyFill="1" applyAlignment="1">
      <alignment horizontal="center" vertical="center"/>
    </xf>
    <xf numFmtId="0" fontId="23" fillId="16" borderId="0" xfId="2" applyFont="1" applyFill="1"/>
    <xf numFmtId="0" fontId="21" fillId="16" borderId="0" xfId="2" applyFont="1" applyFill="1"/>
    <xf numFmtId="0" fontId="24" fillId="16" borderId="0" xfId="2" applyFont="1" applyFill="1" applyAlignment="1">
      <alignment vertical="center"/>
    </xf>
    <xf numFmtId="0" fontId="11" fillId="16" borderId="0" xfId="2" applyFill="1"/>
    <xf numFmtId="0" fontId="23" fillId="16" borderId="0" xfId="2" applyFont="1" applyFill="1" applyAlignment="1">
      <alignment horizontal="left" vertical="center"/>
    </xf>
    <xf numFmtId="0" fontId="21" fillId="16" borderId="2" xfId="2" applyFont="1" applyFill="1" applyBorder="1"/>
    <xf numFmtId="0" fontId="23" fillId="16" borderId="0" xfId="2" applyFont="1" applyFill="1" applyAlignment="1">
      <alignment vertical="center"/>
    </xf>
    <xf numFmtId="0" fontId="28" fillId="16" borderId="0" xfId="2" applyFont="1" applyFill="1"/>
    <xf numFmtId="173" fontId="28" fillId="16" borderId="0" xfId="2" applyNumberFormat="1" applyFont="1" applyFill="1"/>
    <xf numFmtId="0" fontId="29" fillId="16" borderId="0" xfId="2" applyFont="1" applyFill="1" applyAlignment="1">
      <alignment horizontal="left" vertical="top"/>
    </xf>
    <xf numFmtId="0" fontId="29" fillId="16" borderId="0" xfId="2" applyFont="1" applyFill="1" applyAlignment="1">
      <alignment horizontal="center"/>
    </xf>
    <xf numFmtId="0" fontId="30" fillId="16" borderId="0" xfId="2" applyFont="1" applyFill="1"/>
    <xf numFmtId="9" fontId="24" fillId="16" borderId="0" xfId="4" applyFont="1" applyFill="1"/>
    <xf numFmtId="0" fontId="21" fillId="16" borderId="0" xfId="2" applyFont="1" applyFill="1" applyAlignment="1">
      <alignment horizontal="left" indent="1"/>
    </xf>
    <xf numFmtId="175" fontId="23" fillId="16" borderId="0" xfId="6" applyNumberFormat="1" applyFont="1" applyFill="1"/>
    <xf numFmtId="9" fontId="29" fillId="16" borderId="0" xfId="4" applyFont="1" applyFill="1"/>
    <xf numFmtId="0" fontId="28" fillId="16" borderId="0" xfId="2" applyFont="1" applyFill="1" applyAlignment="1">
      <alignment vertical="center"/>
    </xf>
    <xf numFmtId="0" fontId="28" fillId="16" borderId="0" xfId="2" applyFont="1" applyFill="1" applyAlignment="1">
      <alignment horizontal="center" vertical="center"/>
    </xf>
    <xf numFmtId="0" fontId="31" fillId="16" borderId="0" xfId="0" applyFont="1" applyFill="1" applyAlignment="1">
      <alignment horizontal="center" vertical="center"/>
    </xf>
    <xf numFmtId="0" fontId="32" fillId="16" borderId="0" xfId="2" applyFont="1" applyFill="1" applyAlignment="1">
      <alignment horizontal="centerContinuous" vertical="center"/>
    </xf>
    <xf numFmtId="0" fontId="29" fillId="8" borderId="4" xfId="2" applyFont="1" applyFill="1" applyBorder="1" applyAlignment="1">
      <alignment vertical="center"/>
    </xf>
    <xf numFmtId="0" fontId="23" fillId="8" borderId="4" xfId="2" applyFont="1" applyFill="1" applyBorder="1" applyAlignment="1">
      <alignment horizontal="center" vertical="center"/>
    </xf>
    <xf numFmtId="173" fontId="28" fillId="16" borderId="3" xfId="4" applyNumberFormat="1" applyFont="1" applyFill="1" applyBorder="1" applyAlignment="1">
      <alignment vertical="center"/>
    </xf>
    <xf numFmtId="0" fontId="23" fillId="16" borderId="3" xfId="2" applyFont="1" applyFill="1" applyBorder="1"/>
    <xf numFmtId="176" fontId="23" fillId="16" borderId="3" xfId="6" applyNumberFormat="1" applyFont="1" applyFill="1" applyBorder="1" applyAlignment="1">
      <alignment vertical="center"/>
    </xf>
    <xf numFmtId="0" fontId="21" fillId="16" borderId="0" xfId="2" applyFont="1" applyFill="1" applyAlignment="1">
      <alignment horizontal="left" vertical="center" indent="1"/>
    </xf>
    <xf numFmtId="173" fontId="21" fillId="16" borderId="2" xfId="4" applyNumberFormat="1" applyFont="1" applyFill="1" applyBorder="1" applyAlignment="1">
      <alignment horizontal="left" vertical="center" indent="1"/>
    </xf>
    <xf numFmtId="176" fontId="23" fillId="16" borderId="0" xfId="6" applyNumberFormat="1" applyFont="1" applyFill="1" applyAlignment="1">
      <alignment vertical="center"/>
    </xf>
    <xf numFmtId="0" fontId="28" fillId="16" borderId="3" xfId="2" applyFont="1" applyFill="1" applyBorder="1" applyAlignment="1">
      <alignment horizontal="left" vertical="center"/>
    </xf>
    <xf numFmtId="0" fontId="33" fillId="16" borderId="0" xfId="2" applyFont="1" applyFill="1" applyAlignment="1">
      <alignment horizontal="left" vertical="center" indent="1"/>
    </xf>
    <xf numFmtId="175" fontId="23" fillId="16" borderId="0" xfId="6" applyNumberFormat="1" applyFont="1" applyFill="1" applyAlignment="1">
      <alignment vertical="center"/>
    </xf>
    <xf numFmtId="0" fontId="28" fillId="16" borderId="3" xfId="2" applyFont="1" applyFill="1" applyBorder="1" applyAlignment="1">
      <alignment vertical="center"/>
    </xf>
    <xf numFmtId="176" fontId="29" fillId="16" borderId="3" xfId="6" applyNumberFormat="1" applyFont="1" applyFill="1" applyBorder="1" applyAlignment="1">
      <alignment vertical="center"/>
    </xf>
    <xf numFmtId="175" fontId="0" fillId="16" borderId="0" xfId="6" applyNumberFormat="1" applyFont="1" applyFill="1"/>
    <xf numFmtId="0" fontId="33" fillId="16" borderId="0" xfId="2" applyFont="1" applyFill="1" applyAlignment="1">
      <alignment horizontal="right"/>
    </xf>
    <xf numFmtId="0" fontId="21" fillId="18" borderId="5" xfId="2" applyFont="1" applyFill="1" applyBorder="1" applyAlignment="1">
      <alignment horizontal="left" vertical="center"/>
    </xf>
    <xf numFmtId="173" fontId="26" fillId="18" borderId="6" xfId="4" applyNumberFormat="1" applyFont="1" applyFill="1" applyBorder="1" applyAlignment="1">
      <alignment horizontal="right" vertical="center"/>
    </xf>
    <xf numFmtId="0" fontId="28" fillId="18" borderId="7" xfId="2" applyFont="1" applyFill="1" applyBorder="1" applyAlignment="1">
      <alignment horizontal="left" vertical="center"/>
    </xf>
    <xf numFmtId="0" fontId="35" fillId="16" borderId="0" xfId="2" applyFont="1" applyFill="1" applyAlignment="1">
      <alignment horizontal="left" vertical="center" indent="1"/>
    </xf>
    <xf numFmtId="0" fontId="24" fillId="4" borderId="0" xfId="2" applyFont="1" applyFill="1" applyAlignment="1">
      <alignment vertical="center"/>
    </xf>
    <xf numFmtId="0" fontId="21" fillId="5" borderId="0" xfId="2" applyFont="1" applyFill="1" applyAlignment="1">
      <alignment vertical="center"/>
    </xf>
    <xf numFmtId="0" fontId="25" fillId="4" borderId="0" xfId="2" applyFont="1" applyFill="1" applyAlignment="1">
      <alignment vertical="center"/>
    </xf>
    <xf numFmtId="0" fontId="24" fillId="4" borderId="0" xfId="2" applyFont="1" applyFill="1" applyAlignment="1">
      <alignment horizontal="center" vertical="center"/>
    </xf>
    <xf numFmtId="0" fontId="24" fillId="4" borderId="0" xfId="2" applyFont="1" applyFill="1" applyAlignment="1">
      <alignment horizontal="right" vertical="center"/>
    </xf>
    <xf numFmtId="0" fontId="23" fillId="4" borderId="0" xfId="2" applyFont="1" applyFill="1"/>
    <xf numFmtId="0" fontId="28" fillId="11" borderId="3" xfId="2" applyFont="1" applyFill="1" applyBorder="1"/>
    <xf numFmtId="173" fontId="28" fillId="11" borderId="3" xfId="2" applyNumberFormat="1" applyFont="1" applyFill="1" applyBorder="1"/>
    <xf numFmtId="170" fontId="4" fillId="0" borderId="0" xfId="0" applyNumberFormat="1" applyFont="1"/>
    <xf numFmtId="0" fontId="4" fillId="0" borderId="0" xfId="0" applyFont="1" applyAlignment="1">
      <alignment horizontal="left" indent="1"/>
    </xf>
    <xf numFmtId="0" fontId="3" fillId="0" borderId="1" xfId="0" applyFont="1" applyBorder="1"/>
    <xf numFmtId="170" fontId="9" fillId="0" borderId="0" xfId="0" applyNumberFormat="1" applyFont="1"/>
    <xf numFmtId="0" fontId="3" fillId="11" borderId="13" xfId="0" applyFont="1" applyFill="1" applyBorder="1"/>
    <xf numFmtId="170" fontId="3" fillId="11" borderId="13" xfId="0" applyNumberFormat="1" applyFont="1" applyFill="1" applyBorder="1"/>
    <xf numFmtId="0" fontId="3" fillId="0" borderId="12" xfId="0" applyFont="1" applyBorder="1"/>
    <xf numFmtId="0" fontId="3" fillId="0" borderId="1" xfId="0" applyFont="1" applyBorder="1" applyAlignment="1">
      <alignment horizontal="left" indent="1"/>
    </xf>
    <xf numFmtId="170" fontId="4" fillId="0" borderId="12" xfId="0" applyNumberFormat="1" applyFont="1" applyBorder="1"/>
    <xf numFmtId="0" fontId="36" fillId="0" borderId="0" xfId="0" applyFont="1" applyAlignment="1">
      <alignment horizontal="center" vertical="center"/>
    </xf>
    <xf numFmtId="0" fontId="3" fillId="0" borderId="1" xfId="0" applyFont="1" applyBorder="1" applyAlignment="1">
      <alignment horizontal="left" vertical="center" indent="1"/>
    </xf>
    <xf numFmtId="0" fontId="9" fillId="20" borderId="0" xfId="0" applyFont="1" applyFill="1" applyAlignment="1">
      <alignment horizontal="left" indent="2"/>
    </xf>
    <xf numFmtId="171" fontId="9" fillId="20" borderId="0" xfId="1" applyNumberFormat="1" applyFont="1" applyFill="1" applyAlignment="1">
      <alignment horizontal="right"/>
    </xf>
    <xf numFmtId="170" fontId="9" fillId="0" borderId="1" xfId="0" applyNumberFormat="1" applyFont="1" applyBorder="1"/>
    <xf numFmtId="169" fontId="7" fillId="0" borderId="1" xfId="0" applyNumberFormat="1" applyFont="1" applyBorder="1" applyAlignment="1" applyProtection="1">
      <alignment horizontal="right" vertical="center"/>
      <protection locked="0"/>
    </xf>
    <xf numFmtId="171" fontId="37" fillId="7" borderId="0" xfId="1" applyNumberFormat="1" applyFont="1" applyFill="1" applyAlignment="1">
      <alignment horizontal="right"/>
    </xf>
    <xf numFmtId="171" fontId="18" fillId="7" borderId="0" xfId="1" applyNumberFormat="1" applyFont="1" applyFill="1" applyAlignment="1">
      <alignment horizontal="right"/>
    </xf>
    <xf numFmtId="1" fontId="18" fillId="7" borderId="0" xfId="0" applyNumberFormat="1" applyFont="1" applyFill="1" applyAlignment="1">
      <alignment horizontal="right"/>
    </xf>
    <xf numFmtId="0" fontId="38" fillId="8" borderId="0" xfId="2" applyFont="1" applyFill="1"/>
    <xf numFmtId="171" fontId="13" fillId="7" borderId="0" xfId="0" applyNumberFormat="1" applyFont="1" applyFill="1" applyAlignment="1" applyProtection="1">
      <alignment horizontal="center" vertical="center"/>
      <protection locked="0"/>
    </xf>
    <xf numFmtId="0" fontId="28" fillId="18" borderId="14" xfId="2" applyFont="1" applyFill="1" applyBorder="1" applyAlignment="1">
      <alignment horizontal="left" vertical="center"/>
    </xf>
    <xf numFmtId="0" fontId="21" fillId="18" borderId="15" xfId="2" applyFont="1" applyFill="1" applyBorder="1" applyAlignment="1">
      <alignment horizontal="left" vertical="center" indent="1"/>
    </xf>
    <xf numFmtId="0" fontId="25" fillId="17" borderId="0" xfId="2" applyFont="1" applyFill="1" applyAlignment="1">
      <alignment vertical="center"/>
    </xf>
    <xf numFmtId="0" fontId="24" fillId="17" borderId="0" xfId="2" applyFont="1" applyFill="1" applyAlignment="1">
      <alignment vertical="center"/>
    </xf>
    <xf numFmtId="0" fontId="24" fillId="17" borderId="0" xfId="2" applyFont="1" applyFill="1" applyAlignment="1">
      <alignment horizontal="right" vertical="center"/>
    </xf>
    <xf numFmtId="0" fontId="45" fillId="16" borderId="0" xfId="2" applyFont="1" applyFill="1" applyAlignment="1">
      <alignment vertical="center" wrapText="1"/>
    </xf>
    <xf numFmtId="0" fontId="46" fillId="16" borderId="0" xfId="0" applyFont="1" applyFill="1" applyAlignment="1">
      <alignment horizontal="centerContinuous" vertical="center"/>
    </xf>
    <xf numFmtId="0" fontId="47" fillId="8" borderId="4" xfId="2" applyFont="1" applyFill="1" applyBorder="1" applyAlignment="1">
      <alignment horizontal="center" vertical="center" wrapText="1"/>
    </xf>
    <xf numFmtId="0" fontId="48" fillId="16" borderId="0" xfId="2" applyFont="1" applyFill="1" applyAlignment="1">
      <alignment vertical="center"/>
    </xf>
    <xf numFmtId="0" fontId="49" fillId="16" borderId="0" xfId="2" applyFont="1" applyFill="1" applyAlignment="1">
      <alignment vertical="center"/>
    </xf>
    <xf numFmtId="173" fontId="28" fillId="18" borderId="3" xfId="4" applyNumberFormat="1" applyFont="1" applyFill="1" applyBorder="1" applyAlignment="1">
      <alignment vertical="center"/>
    </xf>
    <xf numFmtId="176" fontId="29" fillId="18" borderId="3" xfId="6" applyNumberFormat="1" applyFont="1" applyFill="1" applyBorder="1" applyAlignment="1">
      <alignment vertical="center"/>
    </xf>
    <xf numFmtId="171" fontId="34" fillId="18" borderId="3" xfId="1" applyNumberFormat="1" applyFont="1" applyFill="1" applyBorder="1" applyAlignment="1">
      <alignment vertical="center"/>
    </xf>
    <xf numFmtId="173" fontId="21" fillId="16" borderId="3" xfId="4" applyNumberFormat="1" applyFont="1" applyFill="1" applyBorder="1" applyAlignment="1">
      <alignment horizontal="left" vertical="center"/>
    </xf>
    <xf numFmtId="173" fontId="33" fillId="16" borderId="3" xfId="4" applyNumberFormat="1" applyFont="1" applyFill="1" applyBorder="1" applyAlignment="1">
      <alignment horizontal="left" vertical="center"/>
    </xf>
    <xf numFmtId="171" fontId="51" fillId="16" borderId="3" xfId="6" applyNumberFormat="1" applyFont="1" applyFill="1" applyBorder="1" applyAlignment="1">
      <alignment horizontal="right" vertical="center"/>
    </xf>
    <xf numFmtId="171" fontId="51" fillId="16" borderId="3" xfId="6" applyNumberFormat="1" applyFont="1" applyFill="1" applyBorder="1" applyAlignment="1">
      <alignment vertical="center"/>
    </xf>
    <xf numFmtId="173" fontId="52" fillId="16" borderId="3" xfId="4" applyNumberFormat="1" applyFont="1" applyFill="1" applyBorder="1" applyAlignment="1">
      <alignment horizontal="left" vertical="center"/>
    </xf>
    <xf numFmtId="171" fontId="53" fillId="16" borderId="3" xfId="6" applyNumberFormat="1" applyFont="1" applyFill="1" applyBorder="1" applyAlignment="1">
      <alignment horizontal="right" vertical="center"/>
    </xf>
    <xf numFmtId="171" fontId="53" fillId="16" borderId="3" xfId="6" applyNumberFormat="1" applyFont="1" applyFill="1" applyBorder="1" applyAlignment="1">
      <alignment vertical="center"/>
    </xf>
    <xf numFmtId="9" fontId="0" fillId="0" borderId="0" xfId="0" applyNumberFormat="1"/>
    <xf numFmtId="0" fontId="2" fillId="16" borderId="0" xfId="7" applyFill="1"/>
    <xf numFmtId="0" fontId="54" fillId="17" borderId="0" xfId="7" applyFont="1" applyFill="1" applyAlignment="1">
      <alignment vertical="center"/>
    </xf>
    <xf numFmtId="0" fontId="54" fillId="16" borderId="16" xfId="7" applyFont="1" applyFill="1" applyBorder="1" applyAlignment="1">
      <alignment vertical="center"/>
    </xf>
    <xf numFmtId="0" fontId="55" fillId="21" borderId="0" xfId="7" applyFont="1" applyFill="1" applyAlignment="1">
      <alignment vertical="center"/>
    </xf>
    <xf numFmtId="0" fontId="56" fillId="17" borderId="0" xfId="7" applyFont="1" applyFill="1" applyAlignment="1">
      <alignment vertical="center"/>
    </xf>
    <xf numFmtId="0" fontId="41" fillId="17" borderId="0" xfId="7" applyFont="1" applyFill="1" applyAlignment="1">
      <alignment horizontal="center" vertical="center"/>
    </xf>
    <xf numFmtId="0" fontId="43" fillId="17" borderId="0" xfId="7" applyFont="1" applyFill="1" applyAlignment="1">
      <alignment vertical="center"/>
    </xf>
    <xf numFmtId="0" fontId="41" fillId="17" borderId="0" xfId="7" applyFont="1" applyFill="1" applyAlignment="1">
      <alignment vertical="center"/>
    </xf>
    <xf numFmtId="0" fontId="57" fillId="16" borderId="0" xfId="7" applyFont="1" applyFill="1" applyAlignment="1">
      <alignment vertical="center"/>
    </xf>
    <xf numFmtId="0" fontId="42" fillId="16" borderId="0" xfId="7" applyFont="1" applyFill="1" applyAlignment="1">
      <alignment vertical="center"/>
    </xf>
    <xf numFmtId="0" fontId="42" fillId="16" borderId="0" xfId="7" applyFont="1" applyFill="1" applyAlignment="1">
      <alignment horizontal="center" vertical="center"/>
    </xf>
    <xf numFmtId="0" fontId="43" fillId="16" borderId="0" xfId="7" applyFont="1" applyFill="1" applyAlignment="1">
      <alignment vertical="center"/>
    </xf>
    <xf numFmtId="0" fontId="41" fillId="22" borderId="17" xfId="7" applyFont="1" applyFill="1" applyBorder="1" applyAlignment="1">
      <alignment vertical="center"/>
    </xf>
    <xf numFmtId="0" fontId="59" fillId="16" borderId="18" xfId="7" applyFont="1" applyFill="1" applyBorder="1" applyAlignment="1">
      <alignment horizontal="left" vertical="center" indent="1"/>
    </xf>
    <xf numFmtId="0" fontId="42" fillId="16" borderId="18" xfId="7" applyFont="1" applyFill="1" applyBorder="1" applyAlignment="1">
      <alignment horizontal="left" vertical="center" indent="1"/>
    </xf>
    <xf numFmtId="0" fontId="42" fillId="16" borderId="18" xfId="7" applyFont="1" applyFill="1" applyBorder="1" applyAlignment="1">
      <alignment vertical="center"/>
    </xf>
    <xf numFmtId="178" fontId="59" fillId="16" borderId="0" xfId="7" applyNumberFormat="1" applyFont="1" applyFill="1" applyAlignment="1">
      <alignment horizontal="right" vertical="center"/>
    </xf>
    <xf numFmtId="180" fontId="61" fillId="16" borderId="0" xfId="7" applyNumberFormat="1" applyFont="1" applyFill="1" applyAlignment="1">
      <alignment vertical="center"/>
    </xf>
    <xf numFmtId="0" fontId="43" fillId="16" borderId="0" xfId="7" applyFont="1" applyFill="1" applyAlignment="1">
      <alignment horizontal="left" vertical="center" indent="1"/>
    </xf>
    <xf numFmtId="0" fontId="42" fillId="16" borderId="0" xfId="7" applyFont="1" applyFill="1" applyAlignment="1">
      <alignment horizontal="left" vertical="center" indent="1"/>
    </xf>
    <xf numFmtId="0" fontId="2" fillId="16" borderId="0" xfId="7" applyFill="1" applyAlignment="1">
      <alignment vertical="center"/>
    </xf>
    <xf numFmtId="0" fontId="42" fillId="8" borderId="17" xfId="7" applyFont="1" applyFill="1" applyBorder="1" applyAlignment="1">
      <alignment vertical="center"/>
    </xf>
    <xf numFmtId="0" fontId="2" fillId="8" borderId="17" xfId="7" applyFill="1" applyBorder="1" applyAlignment="1">
      <alignment vertical="center"/>
    </xf>
    <xf numFmtId="166" fontId="61" fillId="8" borderId="17" xfId="7" applyNumberFormat="1" applyFont="1" applyFill="1" applyBorder="1" applyAlignment="1">
      <alignment horizontal="right" vertical="center"/>
    </xf>
    <xf numFmtId="183" fontId="60" fillId="8" borderId="17" xfId="7" applyNumberFormat="1" applyFont="1" applyFill="1" applyBorder="1" applyAlignment="1">
      <alignment vertical="center"/>
    </xf>
    <xf numFmtId="0" fontId="56" fillId="17" borderId="0" xfId="7" applyFont="1" applyFill="1"/>
    <xf numFmtId="0" fontId="41" fillId="17" borderId="0" xfId="7" applyFont="1" applyFill="1" applyAlignment="1">
      <alignment horizontal="center"/>
    </xf>
    <xf numFmtId="0" fontId="43" fillId="17" borderId="0" xfId="7" applyFont="1" applyFill="1"/>
    <xf numFmtId="0" fontId="57" fillId="8" borderId="0" xfId="7" applyFont="1" applyFill="1"/>
    <xf numFmtId="0" fontId="2" fillId="8" borderId="0" xfId="7" applyFill="1"/>
    <xf numFmtId="0" fontId="42" fillId="8" borderId="0" xfId="7" applyFont="1" applyFill="1"/>
    <xf numFmtId="0" fontId="0" fillId="0" borderId="0" xfId="0" applyAlignment="1">
      <alignment horizontal="left" indent="1"/>
    </xf>
    <xf numFmtId="0" fontId="42" fillId="16" borderId="0" xfId="7" applyFont="1" applyFill="1" applyAlignment="1">
      <alignment horizontal="left"/>
    </xf>
    <xf numFmtId="0" fontId="42" fillId="16" borderId="0" xfId="7" applyFont="1" applyFill="1" applyAlignment="1">
      <alignment horizontal="center"/>
    </xf>
    <xf numFmtId="0" fontId="0" fillId="16" borderId="0" xfId="0" applyFill="1" applyAlignment="1">
      <alignment vertical="center"/>
    </xf>
    <xf numFmtId="177" fontId="2" fillId="8" borderId="0" xfId="7" applyNumberFormat="1" applyFill="1" applyAlignment="1">
      <alignment horizontal="right" vertical="center"/>
    </xf>
    <xf numFmtId="0" fontId="42" fillId="8" borderId="0" xfId="7" applyFont="1" applyFill="1" applyAlignment="1">
      <alignment horizontal="right"/>
    </xf>
    <xf numFmtId="184" fontId="29" fillId="18" borderId="3" xfId="6" applyNumberFormat="1" applyFont="1" applyFill="1" applyBorder="1" applyAlignment="1">
      <alignment horizontal="right" vertical="center"/>
    </xf>
    <xf numFmtId="184" fontId="23" fillId="16" borderId="3" xfId="6" applyNumberFormat="1" applyFont="1" applyFill="1" applyBorder="1" applyAlignment="1">
      <alignment horizontal="right" vertical="center"/>
    </xf>
    <xf numFmtId="176" fontId="11" fillId="16" borderId="0" xfId="2" applyNumberFormat="1" applyFill="1"/>
    <xf numFmtId="0" fontId="34" fillId="8" borderId="4" xfId="2" applyFont="1" applyFill="1" applyBorder="1" applyAlignment="1">
      <alignment vertical="center"/>
    </xf>
    <xf numFmtId="0" fontId="21" fillId="18" borderId="5" xfId="2" applyFont="1" applyFill="1" applyBorder="1" applyAlignment="1">
      <alignment horizontal="left" vertical="center" indent="1"/>
    </xf>
    <xf numFmtId="0" fontId="28" fillId="18" borderId="19" xfId="2" applyFont="1" applyFill="1" applyBorder="1" applyAlignment="1">
      <alignment horizontal="left" vertical="center"/>
    </xf>
    <xf numFmtId="0" fontId="50" fillId="16" borderId="0" xfId="0" applyFont="1" applyFill="1" applyAlignment="1">
      <alignment vertical="center"/>
    </xf>
    <xf numFmtId="0" fontId="39" fillId="16" borderId="0" xfId="2" applyFont="1" applyFill="1" applyAlignment="1">
      <alignment horizontal="right" indent="1"/>
    </xf>
    <xf numFmtId="173" fontId="29" fillId="16" borderId="0" xfId="4" applyNumberFormat="1" applyFont="1" applyFill="1"/>
    <xf numFmtId="176" fontId="23" fillId="18" borderId="0" xfId="6" applyNumberFormat="1" applyFont="1" applyFill="1" applyBorder="1" applyAlignment="1">
      <alignment horizontal="right" vertical="center"/>
    </xf>
    <xf numFmtId="176" fontId="29" fillId="18" borderId="3" xfId="6" applyNumberFormat="1" applyFont="1" applyFill="1" applyBorder="1" applyAlignment="1">
      <alignment horizontal="right" vertical="center"/>
    </xf>
    <xf numFmtId="176" fontId="23" fillId="18" borderId="21" xfId="6" applyNumberFormat="1" applyFont="1" applyFill="1" applyBorder="1" applyAlignment="1">
      <alignment horizontal="right" vertical="center"/>
    </xf>
    <xf numFmtId="176" fontId="29" fillId="18" borderId="1" xfId="6" applyNumberFormat="1" applyFont="1" applyFill="1" applyBorder="1" applyAlignment="1">
      <alignment horizontal="right" vertical="center"/>
    </xf>
    <xf numFmtId="176" fontId="29" fillId="18" borderId="22" xfId="6" applyNumberFormat="1" applyFont="1" applyFill="1" applyBorder="1" applyAlignment="1">
      <alignment horizontal="right" vertical="center"/>
    </xf>
    <xf numFmtId="0" fontId="25" fillId="19" borderId="23" xfId="2" applyFont="1" applyFill="1" applyBorder="1" applyAlignment="1">
      <alignment horizontal="left" vertical="center"/>
    </xf>
    <xf numFmtId="0" fontId="25" fillId="19" borderId="24" xfId="2" applyFont="1" applyFill="1" applyBorder="1" applyAlignment="1">
      <alignment horizontal="centerContinuous" vertical="center"/>
    </xf>
    <xf numFmtId="0" fontId="25" fillId="19" borderId="25" xfId="2" applyFont="1" applyFill="1" applyBorder="1" applyAlignment="1">
      <alignment horizontal="centerContinuous" vertical="center"/>
    </xf>
    <xf numFmtId="0" fontId="65" fillId="16" borderId="16" xfId="7" applyFont="1" applyFill="1" applyBorder="1" applyAlignment="1">
      <alignment vertical="center"/>
    </xf>
    <xf numFmtId="0" fontId="0" fillId="16" borderId="0" xfId="7" applyFont="1" applyFill="1" applyAlignment="1">
      <alignment horizontal="left" vertical="center" indent="1"/>
    </xf>
    <xf numFmtId="0" fontId="59" fillId="0" borderId="0" xfId="7" applyFont="1" applyAlignment="1">
      <alignment vertical="center"/>
    </xf>
    <xf numFmtId="0" fontId="66" fillId="22" borderId="0" xfId="7" applyFont="1" applyFill="1" applyAlignment="1">
      <alignment horizontal="left" vertical="center"/>
    </xf>
    <xf numFmtId="179" fontId="67" fillId="16" borderId="0" xfId="7" applyNumberFormat="1" applyFont="1" applyFill="1" applyAlignment="1">
      <alignment horizontal="left" vertical="center"/>
    </xf>
    <xf numFmtId="181" fontId="67" fillId="16" borderId="0" xfId="7" applyNumberFormat="1" applyFont="1" applyFill="1" applyAlignment="1">
      <alignment horizontal="left" vertical="center"/>
    </xf>
    <xf numFmtId="165" fontId="29" fillId="16" borderId="0" xfId="4" applyNumberFormat="1" applyFont="1" applyFill="1"/>
    <xf numFmtId="184" fontId="23" fillId="16" borderId="0" xfId="4" applyNumberFormat="1" applyFont="1" applyFill="1"/>
    <xf numFmtId="185" fontId="23" fillId="18" borderId="6" xfId="6" applyNumberFormat="1" applyFont="1" applyFill="1" applyBorder="1" applyAlignment="1">
      <alignment horizontal="right" vertical="center"/>
    </xf>
    <xf numFmtId="185" fontId="29" fillId="18" borderId="8" xfId="6" applyNumberFormat="1" applyFont="1" applyFill="1" applyBorder="1" applyAlignment="1">
      <alignment horizontal="right" vertical="center"/>
    </xf>
    <xf numFmtId="185" fontId="23" fillId="18" borderId="9" xfId="6" applyNumberFormat="1" applyFont="1" applyFill="1" applyBorder="1" applyAlignment="1">
      <alignment horizontal="right" vertical="center"/>
    </xf>
    <xf numFmtId="185" fontId="29" fillId="18" borderId="20" xfId="6" applyNumberFormat="1" applyFont="1" applyFill="1" applyBorder="1" applyAlignment="1">
      <alignment horizontal="right" vertical="center"/>
    </xf>
    <xf numFmtId="167" fontId="29" fillId="6" borderId="26" xfId="9" applyFont="1" applyFill="1" applyBorder="1" applyAlignment="1">
      <alignment horizontal="right" vertical="center"/>
    </xf>
    <xf numFmtId="0" fontId="59" fillId="0" borderId="0" xfId="7" applyFont="1"/>
    <xf numFmtId="171" fontId="68" fillId="7" borderId="0" xfId="7" applyNumberFormat="1" applyFont="1" applyFill="1" applyAlignment="1">
      <alignment vertical="center"/>
    </xf>
    <xf numFmtId="0" fontId="66" fillId="22" borderId="17" xfId="7" applyFont="1" applyFill="1" applyBorder="1" applyAlignment="1">
      <alignment horizontal="right" vertical="center"/>
    </xf>
    <xf numFmtId="0" fontId="66" fillId="22" borderId="17" xfId="7" applyFont="1" applyFill="1" applyBorder="1" applyAlignment="1">
      <alignment horizontal="center" vertical="center"/>
    </xf>
    <xf numFmtId="0" fontId="66" fillId="22" borderId="17" xfId="7" applyFont="1" applyFill="1" applyBorder="1" applyAlignment="1">
      <alignment horizontal="left" vertical="center"/>
    </xf>
    <xf numFmtId="0" fontId="69" fillId="22" borderId="17" xfId="7" applyFont="1" applyFill="1" applyBorder="1" applyAlignment="1">
      <alignment horizontal="center" vertical="center"/>
    </xf>
    <xf numFmtId="185" fontId="0" fillId="0" borderId="0" xfId="0" applyNumberFormat="1" applyAlignment="1">
      <alignment horizontal="right" vertical="center"/>
    </xf>
    <xf numFmtId="0" fontId="41" fillId="4" borderId="0" xfId="0" applyFont="1" applyFill="1"/>
    <xf numFmtId="0" fontId="43" fillId="4" borderId="0" xfId="0" applyFont="1" applyFill="1"/>
    <xf numFmtId="0" fontId="42" fillId="0" borderId="27" xfId="0" applyFont="1" applyBorder="1" applyAlignment="1">
      <alignment horizontal="left" vertical="center" indent="1"/>
    </xf>
    <xf numFmtId="174" fontId="70" fillId="0" borderId="27" xfId="0" applyNumberFormat="1" applyFont="1" applyBorder="1"/>
    <xf numFmtId="0" fontId="0" fillId="0" borderId="27" xfId="0" applyBorder="1"/>
    <xf numFmtId="0" fontId="58" fillId="22" borderId="0" xfId="7" applyFont="1" applyFill="1" applyAlignment="1">
      <alignment horizontal="center" vertical="center"/>
    </xf>
    <xf numFmtId="180" fontId="74" fillId="16" borderId="0" xfId="7" applyNumberFormat="1" applyFont="1" applyFill="1" applyAlignment="1">
      <alignment vertical="center"/>
    </xf>
    <xf numFmtId="166" fontId="42" fillId="6" borderId="28" xfId="0" applyNumberFormat="1" applyFont="1" applyFill="1" applyBorder="1"/>
    <xf numFmtId="174" fontId="62" fillId="7" borderId="0" xfId="0" applyNumberFormat="1" applyFont="1" applyFill="1" applyAlignment="1">
      <alignment horizontal="right" vertical="center"/>
    </xf>
    <xf numFmtId="167" fontId="62" fillId="7" borderId="27" xfId="0" applyNumberFormat="1" applyFont="1" applyFill="1" applyBorder="1"/>
    <xf numFmtId="0" fontId="42" fillId="23" borderId="1" xfId="0" applyFont="1" applyFill="1" applyBorder="1" applyAlignment="1">
      <alignment horizontal="left"/>
    </xf>
    <xf numFmtId="185" fontId="42" fillId="23" borderId="1" xfId="0" applyNumberFormat="1" applyFont="1" applyFill="1" applyBorder="1" applyAlignment="1">
      <alignment horizontal="right" vertical="center"/>
    </xf>
    <xf numFmtId="0" fontId="42" fillId="11" borderId="27" xfId="0" applyFont="1" applyFill="1" applyBorder="1" applyAlignment="1">
      <alignment horizontal="left"/>
    </xf>
    <xf numFmtId="0" fontId="0" fillId="11" borderId="27" xfId="0" applyFill="1" applyBorder="1"/>
    <xf numFmtId="0" fontId="75" fillId="0" borderId="0" xfId="0" applyFont="1" applyAlignment="1">
      <alignment vertical="center"/>
    </xf>
    <xf numFmtId="178" fontId="61" fillId="16" borderId="18" xfId="7" applyNumberFormat="1" applyFont="1" applyFill="1" applyBorder="1" applyAlignment="1">
      <alignment horizontal="right" vertical="center"/>
    </xf>
    <xf numFmtId="178" fontId="61" fillId="16" borderId="0" xfId="7" applyNumberFormat="1" applyFont="1" applyFill="1" applyAlignment="1">
      <alignment horizontal="right" vertical="center"/>
    </xf>
    <xf numFmtId="178" fontId="61" fillId="0" borderId="0" xfId="7" applyNumberFormat="1" applyFont="1" applyAlignment="1">
      <alignment horizontal="right" vertical="center"/>
    </xf>
    <xf numFmtId="166" fontId="59" fillId="8" borderId="17" xfId="7" applyNumberFormat="1" applyFont="1" applyFill="1" applyBorder="1" applyAlignment="1">
      <alignment horizontal="right" vertical="center"/>
    </xf>
    <xf numFmtId="166" fontId="42" fillId="11" borderId="29" xfId="0" applyNumberFormat="1" applyFont="1" applyFill="1" applyBorder="1"/>
    <xf numFmtId="0" fontId="78" fillId="0" borderId="0" xfId="10" applyFont="1"/>
    <xf numFmtId="0" fontId="78" fillId="0" borderId="0" xfId="10" applyFont="1" applyAlignment="1">
      <alignment horizontal="right"/>
    </xf>
    <xf numFmtId="0" fontId="82" fillId="4" borderId="0" xfId="10" applyFont="1" applyFill="1" applyAlignment="1">
      <alignment vertical="center"/>
    </xf>
    <xf numFmtId="0" fontId="0" fillId="4" borderId="0" xfId="0" applyFill="1"/>
    <xf numFmtId="0" fontId="77" fillId="0" borderId="0" xfId="10" applyFont="1"/>
    <xf numFmtId="0" fontId="72" fillId="16" borderId="0" xfId="10" applyFont="1" applyFill="1" applyAlignment="1">
      <alignment horizontal="center"/>
    </xf>
    <xf numFmtId="0" fontId="0" fillId="16" borderId="0" xfId="0" applyFill="1"/>
    <xf numFmtId="0" fontId="78" fillId="16" borderId="0" xfId="10" applyFont="1" applyFill="1"/>
    <xf numFmtId="186" fontId="78" fillId="16" borderId="0" xfId="10" applyNumberFormat="1" applyFont="1" applyFill="1" applyAlignment="1">
      <alignment horizontal="center"/>
    </xf>
    <xf numFmtId="186" fontId="81" fillId="8" borderId="0" xfId="10" applyNumberFormat="1" applyFont="1" applyFill="1" applyAlignment="1">
      <alignment horizontal="center" vertical="center"/>
    </xf>
    <xf numFmtId="186" fontId="78" fillId="8" borderId="0" xfId="10" applyNumberFormat="1" applyFont="1" applyFill="1" applyAlignment="1">
      <alignment horizontal="center"/>
    </xf>
    <xf numFmtId="0" fontId="78" fillId="11" borderId="0" xfId="10" applyFont="1" applyFill="1"/>
    <xf numFmtId="0" fontId="0" fillId="11" borderId="0" xfId="0" applyFill="1"/>
    <xf numFmtId="0" fontId="83" fillId="19" borderId="0" xfId="10" applyFont="1" applyFill="1" applyAlignment="1">
      <alignment horizontal="left"/>
    </xf>
    <xf numFmtId="0" fontId="54" fillId="19" borderId="0" xfId="10" applyFont="1" applyFill="1"/>
    <xf numFmtId="0" fontId="43" fillId="19" borderId="0" xfId="0" applyFont="1" applyFill="1"/>
    <xf numFmtId="0" fontId="72" fillId="0" borderId="0" xfId="10" applyFont="1" applyAlignment="1">
      <alignment horizontal="left"/>
    </xf>
    <xf numFmtId="187" fontId="78" fillId="0" borderId="31" xfId="10" applyNumberFormat="1" applyFont="1" applyBorder="1" applyAlignment="1">
      <alignment horizontal="center" vertical="center"/>
    </xf>
    <xf numFmtId="0" fontId="72" fillId="0" borderId="0" xfId="10" applyFont="1"/>
    <xf numFmtId="187" fontId="71" fillId="0" borderId="30" xfId="10" applyNumberFormat="1" applyFont="1" applyBorder="1" applyAlignment="1">
      <alignment horizontal="center" vertical="center"/>
    </xf>
    <xf numFmtId="0" fontId="72" fillId="0" borderId="0" xfId="10" applyFont="1" applyAlignment="1">
      <alignment horizontal="center"/>
    </xf>
    <xf numFmtId="186" fontId="78" fillId="0" borderId="0" xfId="10" applyNumberFormat="1" applyFont="1" applyAlignment="1">
      <alignment horizontal="center"/>
    </xf>
    <xf numFmtId="187" fontId="71" fillId="0" borderId="32" xfId="10" applyNumberFormat="1" applyFont="1" applyBorder="1" applyAlignment="1">
      <alignment horizontal="center" vertical="center"/>
    </xf>
    <xf numFmtId="186" fontId="78" fillId="0" borderId="32" xfId="9" applyNumberFormat="1" applyFont="1" applyFill="1" applyBorder="1" applyAlignment="1">
      <alignment horizontal="center"/>
    </xf>
    <xf numFmtId="0" fontId="0" fillId="16" borderId="37" xfId="0" applyFill="1" applyBorder="1"/>
    <xf numFmtId="186" fontId="81" fillId="7" borderId="37" xfId="10" applyNumberFormat="1" applyFont="1" applyFill="1" applyBorder="1" applyAlignment="1">
      <alignment horizontal="center" vertical="center"/>
    </xf>
    <xf numFmtId="0" fontId="0" fillId="16" borderId="37" xfId="0" applyFill="1" applyBorder="1" applyAlignment="1">
      <alignment vertical="center"/>
    </xf>
    <xf numFmtId="0" fontId="0" fillId="16" borderId="38" xfId="0" applyFill="1" applyBorder="1"/>
    <xf numFmtId="186" fontId="81" fillId="7" borderId="38" xfId="10" applyNumberFormat="1" applyFont="1" applyFill="1" applyBorder="1" applyAlignment="1">
      <alignment horizontal="center" vertical="center"/>
    </xf>
    <xf numFmtId="0" fontId="0" fillId="16" borderId="38" xfId="0" applyFill="1" applyBorder="1" applyAlignment="1">
      <alignment vertical="center"/>
    </xf>
    <xf numFmtId="0" fontId="0" fillId="16" borderId="39" xfId="0" applyFill="1" applyBorder="1"/>
    <xf numFmtId="186" fontId="81" fillId="7" borderId="39" xfId="10" applyNumberFormat="1" applyFont="1" applyFill="1" applyBorder="1" applyAlignment="1">
      <alignment horizontal="center" vertical="center"/>
    </xf>
    <xf numFmtId="0" fontId="0" fillId="16" borderId="39" xfId="0" applyFill="1" applyBorder="1" applyAlignment="1">
      <alignment vertical="center"/>
    </xf>
    <xf numFmtId="187" fontId="71" fillId="16" borderId="37" xfId="10" applyNumberFormat="1" applyFont="1" applyFill="1" applyBorder="1" applyAlignment="1">
      <alignment horizontal="center" vertical="center"/>
    </xf>
    <xf numFmtId="187" fontId="0" fillId="16" borderId="37" xfId="0" applyNumberFormat="1" applyFill="1" applyBorder="1"/>
    <xf numFmtId="187" fontId="71" fillId="16" borderId="38" xfId="10" applyNumberFormat="1" applyFont="1" applyFill="1" applyBorder="1" applyAlignment="1">
      <alignment horizontal="center" vertical="center"/>
    </xf>
    <xf numFmtId="187" fontId="0" fillId="16" borderId="38" xfId="0" applyNumberFormat="1" applyFill="1" applyBorder="1"/>
    <xf numFmtId="0" fontId="77" fillId="11" borderId="39" xfId="10" applyFont="1" applyFill="1" applyBorder="1" applyAlignment="1">
      <alignment horizontal="center" vertical="center"/>
    </xf>
    <xf numFmtId="187" fontId="77" fillId="11" borderId="39" xfId="10" applyNumberFormat="1" applyFont="1" applyFill="1" applyBorder="1" applyAlignment="1">
      <alignment horizontal="center" vertical="center"/>
    </xf>
    <xf numFmtId="187" fontId="0" fillId="16" borderId="39" xfId="0" applyNumberFormat="1" applyFill="1" applyBorder="1"/>
    <xf numFmtId="187" fontId="71" fillId="16" borderId="40" xfId="10" applyNumberFormat="1" applyFont="1" applyFill="1" applyBorder="1" applyAlignment="1">
      <alignment horizontal="center" vertical="center"/>
    </xf>
    <xf numFmtId="187" fontId="71" fillId="16" borderId="41" xfId="10" applyNumberFormat="1" applyFont="1" applyFill="1" applyBorder="1" applyAlignment="1">
      <alignment horizontal="center" vertical="center"/>
    </xf>
    <xf numFmtId="187" fontId="71" fillId="16" borderId="42" xfId="10" applyNumberFormat="1" applyFont="1" applyFill="1" applyBorder="1" applyAlignment="1">
      <alignment horizontal="center" vertical="center"/>
    </xf>
    <xf numFmtId="187" fontId="71" fillId="16" borderId="43" xfId="10" applyNumberFormat="1" applyFont="1" applyFill="1" applyBorder="1" applyAlignment="1">
      <alignment horizontal="center" vertical="center"/>
    </xf>
    <xf numFmtId="187" fontId="77" fillId="11" borderId="44" xfId="10" applyNumberFormat="1" applyFont="1" applyFill="1" applyBorder="1" applyAlignment="1">
      <alignment horizontal="center" vertical="center"/>
    </xf>
    <xf numFmtId="187" fontId="77" fillId="11" borderId="45" xfId="10" applyNumberFormat="1" applyFont="1" applyFill="1" applyBorder="1" applyAlignment="1">
      <alignment horizontal="center" vertical="center"/>
    </xf>
    <xf numFmtId="187" fontId="0" fillId="16" borderId="46" xfId="0" applyNumberFormat="1" applyFill="1" applyBorder="1"/>
    <xf numFmtId="0" fontId="0" fillId="25" borderId="36" xfId="0" applyFill="1" applyBorder="1"/>
    <xf numFmtId="0" fontId="77" fillId="25" borderId="36" xfId="10" applyFont="1" applyFill="1" applyBorder="1" applyAlignment="1">
      <alignment horizontal="center"/>
    </xf>
    <xf numFmtId="0" fontId="0" fillId="16" borderId="36" xfId="0" applyFill="1" applyBorder="1"/>
    <xf numFmtId="0" fontId="0" fillId="16" borderId="36" xfId="0" applyFill="1" applyBorder="1" applyAlignment="1">
      <alignment vertical="center"/>
    </xf>
    <xf numFmtId="0" fontId="61" fillId="3" borderId="36" xfId="0" applyFont="1" applyFill="1" applyBorder="1" applyAlignment="1">
      <alignment vertical="center"/>
    </xf>
    <xf numFmtId="0" fontId="71" fillId="3" borderId="36" xfId="10" applyFont="1" applyFill="1" applyBorder="1" applyAlignment="1">
      <alignment vertical="center"/>
    </xf>
    <xf numFmtId="0" fontId="77" fillId="11" borderId="0" xfId="10" applyFont="1" applyFill="1" applyAlignment="1">
      <alignment horizontal="left"/>
    </xf>
    <xf numFmtId="186" fontId="77" fillId="11" borderId="28" xfId="9" applyNumberFormat="1" applyFont="1" applyFill="1" applyBorder="1" applyAlignment="1">
      <alignment horizontal="center"/>
    </xf>
    <xf numFmtId="0" fontId="42" fillId="0" borderId="47" xfId="0" applyFont="1" applyBorder="1"/>
    <xf numFmtId="0" fontId="0" fillId="0" borderId="47" xfId="0" applyBorder="1"/>
    <xf numFmtId="0" fontId="0" fillId="0" borderId="4" xfId="0" applyBorder="1"/>
    <xf numFmtId="0" fontId="57" fillId="0" borderId="0" xfId="0" applyFont="1" applyAlignment="1">
      <alignment horizontal="left" indent="1"/>
    </xf>
    <xf numFmtId="0" fontId="57" fillId="0" borderId="4" xfId="0" applyFont="1" applyBorder="1" applyAlignment="1">
      <alignment horizontal="left" indent="1"/>
    </xf>
    <xf numFmtId="177" fontId="68" fillId="12" borderId="0" xfId="7" applyNumberFormat="1" applyFont="1" applyFill="1" applyAlignment="1">
      <alignment horizontal="right" vertical="center"/>
    </xf>
    <xf numFmtId="177" fontId="57" fillId="8" borderId="0" xfId="7" applyNumberFormat="1" applyFont="1" applyFill="1" applyAlignment="1">
      <alignment horizontal="right" vertical="center"/>
    </xf>
    <xf numFmtId="0" fontId="60" fillId="8" borderId="0" xfId="7" applyFont="1" applyFill="1" applyAlignment="1">
      <alignment horizontal="right"/>
    </xf>
    <xf numFmtId="0" fontId="65" fillId="16" borderId="16" xfId="7" applyFont="1" applyFill="1" applyBorder="1" applyAlignment="1">
      <alignment horizontal="left" vertical="center"/>
    </xf>
    <xf numFmtId="0" fontId="35" fillId="16" borderId="0" xfId="2" applyFont="1" applyFill="1" applyAlignment="1">
      <alignment horizontal="left" vertical="center"/>
    </xf>
    <xf numFmtId="0" fontId="59" fillId="16" borderId="0" xfId="7" applyFont="1" applyFill="1" applyAlignment="1">
      <alignment vertical="center"/>
    </xf>
    <xf numFmtId="0" fontId="61" fillId="16" borderId="0" xfId="7" applyFont="1" applyFill="1" applyAlignment="1">
      <alignment horizontal="left" vertical="center" indent="1"/>
    </xf>
    <xf numFmtId="182" fontId="61" fillId="16" borderId="0" xfId="7" applyNumberFormat="1" applyFont="1" applyFill="1" applyAlignment="1">
      <alignment horizontal="right" vertical="center"/>
    </xf>
    <xf numFmtId="0" fontId="61" fillId="27" borderId="33" xfId="7" applyFont="1" applyFill="1" applyBorder="1" applyAlignment="1">
      <alignment vertical="center"/>
    </xf>
    <xf numFmtId="167" fontId="61" fillId="27" borderId="33" xfId="7" applyNumberFormat="1" applyFont="1" applyFill="1" applyBorder="1" applyAlignment="1">
      <alignment vertical="center"/>
    </xf>
    <xf numFmtId="0" fontId="61" fillId="27" borderId="34" xfId="7" applyFont="1" applyFill="1" applyBorder="1"/>
    <xf numFmtId="171" fontId="61" fillId="27" borderId="34" xfId="7" applyNumberFormat="1" applyFont="1" applyFill="1" applyBorder="1"/>
    <xf numFmtId="0" fontId="61" fillId="27" borderId="35" xfId="7" applyFont="1" applyFill="1" applyBorder="1"/>
    <xf numFmtId="171" fontId="61" fillId="27" borderId="35" xfId="7" applyNumberFormat="1" applyFont="1" applyFill="1" applyBorder="1"/>
    <xf numFmtId="0" fontId="10" fillId="8" borderId="0" xfId="7" applyFont="1" applyFill="1"/>
    <xf numFmtId="0" fontId="55" fillId="0" borderId="0" xfId="0" applyFont="1"/>
    <xf numFmtId="0" fontId="55" fillId="0" borderId="0" xfId="0" applyFont="1" applyAlignment="1">
      <alignment horizontal="right"/>
    </xf>
    <xf numFmtId="0" fontId="67" fillId="0" borderId="0" xfId="0" applyFont="1"/>
    <xf numFmtId="2" fontId="55" fillId="0" borderId="0" xfId="0" applyNumberFormat="1" applyFont="1" applyAlignment="1">
      <alignment horizontal="left"/>
    </xf>
    <xf numFmtId="173" fontId="23" fillId="16" borderId="0" xfId="2" applyNumberFormat="1" applyFont="1" applyFill="1"/>
    <xf numFmtId="164" fontId="23" fillId="16" borderId="2" xfId="2" applyNumberFormat="1" applyFont="1" applyFill="1" applyBorder="1"/>
    <xf numFmtId="168" fontId="55" fillId="0" borderId="0" xfId="0" applyNumberFormat="1" applyFont="1" applyAlignment="1">
      <alignment horizontal="left"/>
    </xf>
    <xf numFmtId="0" fontId="71" fillId="0" borderId="0" xfId="2" applyFont="1"/>
    <xf numFmtId="174" fontId="23" fillId="16" borderId="0" xfId="4" applyNumberFormat="1" applyFont="1" applyFill="1"/>
    <xf numFmtId="0" fontId="23" fillId="0" borderId="0" xfId="2" applyFont="1"/>
    <xf numFmtId="0" fontId="11" fillId="0" borderId="0" xfId="2"/>
    <xf numFmtId="164" fontId="11" fillId="0" borderId="0" xfId="2" applyNumberFormat="1"/>
    <xf numFmtId="0" fontId="27" fillId="0" borderId="0" xfId="2" applyFont="1"/>
    <xf numFmtId="0" fontId="20" fillId="0" borderId="0" xfId="3" applyFill="1"/>
    <xf numFmtId="0" fontId="20" fillId="0" borderId="0" xfId="3" applyFill="1" applyAlignment="1">
      <alignment horizontal="left"/>
    </xf>
    <xf numFmtId="0" fontId="20" fillId="0" borderId="0" xfId="3" applyFill="1" applyAlignment="1">
      <alignment horizontal="left" vertical="center"/>
    </xf>
    <xf numFmtId="175" fontId="11" fillId="0" borderId="0" xfId="8" applyNumberFormat="1" applyFont="1" applyFill="1"/>
    <xf numFmtId="175" fontId="11" fillId="0" borderId="0" xfId="2" applyNumberFormat="1"/>
    <xf numFmtId="0" fontId="11" fillId="0" borderId="48" xfId="2" applyBorder="1" applyAlignment="1">
      <alignment horizontal="centerContinuous" vertical="center"/>
    </xf>
    <xf numFmtId="0" fontId="11" fillId="0" borderId="49" xfId="2" applyBorder="1" applyAlignment="1">
      <alignment horizontal="centerContinuous" vertical="center"/>
    </xf>
    <xf numFmtId="0" fontId="11" fillId="0" borderId="50" xfId="2" applyBorder="1" applyAlignment="1">
      <alignment horizontal="centerContinuous" vertical="center"/>
    </xf>
    <xf numFmtId="0" fontId="85" fillId="0" borderId="0" xfId="2" applyFont="1" applyAlignment="1">
      <alignment horizontal="left" vertical="center" indent="1"/>
    </xf>
    <xf numFmtId="0" fontId="39" fillId="0" borderId="0" xfId="2" applyFont="1" applyAlignment="1">
      <alignment horizontal="right"/>
    </xf>
    <xf numFmtId="177" fontId="29" fillId="16" borderId="0" xfId="8" applyNumberFormat="1" applyFont="1" applyFill="1"/>
    <xf numFmtId="169" fontId="23" fillId="16" borderId="0" xfId="4" applyNumberFormat="1" applyFont="1" applyFill="1"/>
    <xf numFmtId="173" fontId="23" fillId="18" borderId="0" xfId="4" applyNumberFormat="1" applyFont="1" applyFill="1" applyBorder="1" applyAlignment="1">
      <alignment horizontal="right" vertical="center"/>
    </xf>
    <xf numFmtId="173" fontId="11" fillId="0" borderId="0" xfId="1" applyNumberFormat="1" applyFont="1" applyFill="1" applyAlignment="1">
      <alignment horizontal="center" vertical="center"/>
    </xf>
    <xf numFmtId="173" fontId="39" fillId="0" borderId="0" xfId="1" applyNumberFormat="1" applyFont="1" applyFill="1" applyAlignment="1">
      <alignment horizontal="center" vertical="center"/>
    </xf>
    <xf numFmtId="2" fontId="11" fillId="0" borderId="51" xfId="9" applyNumberFormat="1" applyFont="1" applyFill="1" applyBorder="1" applyAlignment="1">
      <alignment horizontal="center" vertical="center"/>
    </xf>
    <xf numFmtId="2" fontId="11" fillId="0" borderId="10" xfId="9" applyNumberFormat="1" applyFont="1" applyFill="1" applyBorder="1" applyAlignment="1">
      <alignment horizontal="center" vertical="center"/>
    </xf>
    <xf numFmtId="2" fontId="11" fillId="29" borderId="10" xfId="9" applyNumberFormat="1" applyFont="1" applyFill="1" applyBorder="1" applyAlignment="1">
      <alignment horizontal="center" vertical="center"/>
    </xf>
    <xf numFmtId="2" fontId="11" fillId="0" borderId="52" xfId="9" applyNumberFormat="1" applyFont="1" applyFill="1" applyBorder="1" applyAlignment="1">
      <alignment horizontal="center" vertical="center"/>
    </xf>
    <xf numFmtId="2" fontId="11" fillId="0" borderId="5" xfId="9" applyNumberFormat="1" applyFont="1" applyFill="1" applyBorder="1" applyAlignment="1">
      <alignment horizontal="center" vertical="center"/>
    </xf>
    <xf numFmtId="2" fontId="11" fillId="0" borderId="0" xfId="9" applyNumberFormat="1" applyFont="1" applyFill="1" applyBorder="1" applyAlignment="1">
      <alignment horizontal="center" vertical="center"/>
    </xf>
    <xf numFmtId="2" fontId="11" fillId="29" borderId="0" xfId="9" applyNumberFormat="1" applyFont="1" applyFill="1" applyBorder="1" applyAlignment="1">
      <alignment horizontal="center" vertical="center"/>
    </xf>
    <xf numFmtId="2" fontId="11" fillId="0" borderId="6" xfId="9" applyNumberFormat="1" applyFont="1" applyFill="1" applyBorder="1" applyAlignment="1">
      <alignment horizontal="center" vertical="center"/>
    </xf>
    <xf numFmtId="2" fontId="11" fillId="0" borderId="55" xfId="9" applyNumberFormat="1" applyFont="1" applyFill="1" applyBorder="1" applyAlignment="1">
      <alignment horizontal="center" vertical="center"/>
    </xf>
    <xf numFmtId="2" fontId="11" fillId="29" borderId="21" xfId="9" applyNumberFormat="1" applyFont="1" applyFill="1" applyBorder="1" applyAlignment="1">
      <alignment horizontal="center" vertical="center"/>
    </xf>
    <xf numFmtId="2" fontId="11" fillId="0" borderId="56" xfId="9" applyNumberFormat="1" applyFont="1" applyFill="1" applyBorder="1" applyAlignment="1">
      <alignment horizontal="center" vertical="center"/>
    </xf>
    <xf numFmtId="2" fontId="11" fillId="29" borderId="5" xfId="9" applyNumberFormat="1" applyFont="1" applyFill="1" applyBorder="1" applyAlignment="1">
      <alignment horizontal="center" vertical="center"/>
    </xf>
    <xf numFmtId="2" fontId="11" fillId="29" borderId="57" xfId="9" applyNumberFormat="1" applyFont="1" applyFill="1" applyBorder="1" applyAlignment="1">
      <alignment horizontal="center" vertical="center"/>
    </xf>
    <xf numFmtId="2" fontId="11" fillId="29" borderId="58" xfId="9" applyNumberFormat="1" applyFont="1" applyFill="1" applyBorder="1" applyAlignment="1">
      <alignment horizontal="center" vertical="center"/>
    </xf>
    <xf numFmtId="2" fontId="11" fillId="29" borderId="6" xfId="9" applyNumberFormat="1" applyFont="1" applyFill="1" applyBorder="1" applyAlignment="1">
      <alignment horizontal="center" vertical="center"/>
    </xf>
    <xf numFmtId="2" fontId="11" fillId="0" borderId="59" xfId="9" applyNumberFormat="1" applyFont="1" applyFill="1" applyBorder="1" applyAlignment="1">
      <alignment horizontal="center" vertical="center"/>
    </xf>
    <xf numFmtId="2" fontId="11" fillId="29" borderId="61" xfId="9" applyNumberFormat="1" applyFont="1" applyFill="1" applyBorder="1" applyAlignment="1">
      <alignment horizontal="center" vertical="center"/>
    </xf>
    <xf numFmtId="2" fontId="11" fillId="0" borderId="60" xfId="9" applyNumberFormat="1" applyFont="1" applyFill="1" applyBorder="1" applyAlignment="1">
      <alignment horizontal="center" vertical="center"/>
    </xf>
    <xf numFmtId="2" fontId="11" fillId="0" borderId="53" xfId="9" applyNumberFormat="1" applyFont="1" applyFill="1" applyBorder="1" applyAlignment="1">
      <alignment horizontal="center" vertical="center"/>
    </xf>
    <xf numFmtId="2" fontId="11" fillId="0" borderId="11" xfId="9" applyNumberFormat="1" applyFont="1" applyFill="1" applyBorder="1" applyAlignment="1">
      <alignment horizontal="center" vertical="center"/>
    </xf>
    <xf numFmtId="2" fontId="11" fillId="29" borderId="11" xfId="9" applyNumberFormat="1" applyFont="1" applyFill="1" applyBorder="1" applyAlignment="1">
      <alignment horizontal="center" vertical="center"/>
    </xf>
    <xf numFmtId="2" fontId="11" fillId="0" borderId="54" xfId="9" applyNumberFormat="1" applyFont="1" applyFill="1" applyBorder="1" applyAlignment="1">
      <alignment horizontal="center" vertical="center"/>
    </xf>
    <xf numFmtId="9" fontId="11" fillId="0" borderId="0" xfId="1" applyFont="1" applyFill="1" applyAlignment="1">
      <alignment vertical="center"/>
    </xf>
    <xf numFmtId="9" fontId="39" fillId="0" borderId="0" xfId="1" applyFont="1" applyFill="1" applyAlignment="1">
      <alignment vertical="center"/>
    </xf>
    <xf numFmtId="2" fontId="30" fillId="0" borderId="0" xfId="2" applyNumberFormat="1" applyFont="1" applyAlignment="1">
      <alignment vertical="center"/>
    </xf>
    <xf numFmtId="0" fontId="85" fillId="0" borderId="0" xfId="2" applyFont="1" applyAlignment="1">
      <alignment horizontal="right" vertical="center"/>
    </xf>
    <xf numFmtId="10" fontId="40" fillId="7" borderId="62" xfId="2" applyNumberFormat="1" applyFont="1" applyFill="1" applyBorder="1"/>
    <xf numFmtId="167" fontId="64" fillId="20" borderId="0" xfId="9" applyFont="1" applyFill="1"/>
    <xf numFmtId="0" fontId="29" fillId="20" borderId="0" xfId="2" applyFont="1" applyFill="1" applyAlignment="1">
      <alignment horizontal="right" vertical="center" indent="1"/>
    </xf>
    <xf numFmtId="167" fontId="29" fillId="20" borderId="0" xfId="9" applyFont="1" applyFill="1" applyAlignment="1">
      <alignment vertical="center"/>
    </xf>
    <xf numFmtId="2" fontId="39" fillId="30" borderId="63" xfId="9" applyNumberFormat="1" applyFont="1" applyFill="1" applyBorder="1" applyAlignment="1">
      <alignment horizontal="center" vertical="center"/>
    </xf>
    <xf numFmtId="0" fontId="67" fillId="6" borderId="27" xfId="0" applyFont="1" applyFill="1" applyBorder="1" applyAlignment="1">
      <alignment horizontal="left"/>
    </xf>
    <xf numFmtId="0" fontId="55" fillId="6" borderId="27" xfId="0" applyFont="1" applyFill="1" applyBorder="1" applyAlignment="1">
      <alignment horizontal="left"/>
    </xf>
    <xf numFmtId="0" fontId="86" fillId="7" borderId="27" xfId="0" applyFont="1" applyFill="1" applyBorder="1" applyAlignment="1">
      <alignment horizontal="right"/>
    </xf>
    <xf numFmtId="0" fontId="86" fillId="7" borderId="27" xfId="0" quotePrefix="1" applyFont="1" applyFill="1" applyBorder="1" applyAlignment="1">
      <alignment horizontal="right"/>
    </xf>
    <xf numFmtId="168" fontId="86" fillId="7" borderId="27" xfId="0" applyNumberFormat="1" applyFont="1" applyFill="1" applyBorder="1" applyAlignment="1">
      <alignment horizontal="right"/>
    </xf>
    <xf numFmtId="0" fontId="66" fillId="28" borderId="0" xfId="0" applyFont="1" applyFill="1" applyAlignment="1">
      <alignment vertical="center"/>
    </xf>
    <xf numFmtId="0" fontId="54" fillId="28" borderId="0" xfId="0" applyFont="1" applyFill="1" applyAlignment="1">
      <alignment vertical="center"/>
    </xf>
    <xf numFmtId="0" fontId="71" fillId="0" borderId="34" xfId="2" applyFont="1" applyBorder="1" applyAlignment="1">
      <alignment vertical="center"/>
    </xf>
    <xf numFmtId="174" fontId="86" fillId="7" borderId="34" xfId="4" applyNumberFormat="1" applyFont="1" applyFill="1" applyBorder="1" applyAlignment="1">
      <alignment vertical="center"/>
    </xf>
    <xf numFmtId="0" fontId="55" fillId="0" borderId="34" xfId="0" applyFont="1" applyBorder="1" applyAlignment="1">
      <alignment vertical="center"/>
    </xf>
    <xf numFmtId="0" fontId="89" fillId="0" borderId="34" xfId="3" applyFont="1" applyFill="1" applyBorder="1" applyAlignment="1">
      <alignment vertical="center"/>
    </xf>
    <xf numFmtId="0" fontId="55" fillId="0" borderId="34" xfId="2" applyFont="1" applyBorder="1" applyAlignment="1">
      <alignment vertical="center"/>
    </xf>
    <xf numFmtId="0" fontId="88" fillId="0" borderId="34" xfId="3" applyFont="1" applyFill="1" applyBorder="1" applyAlignment="1">
      <alignment vertical="center"/>
    </xf>
    <xf numFmtId="0" fontId="88" fillId="0" borderId="34" xfId="3" applyFont="1" applyFill="1" applyBorder="1" applyAlignment="1">
      <alignment horizontal="left" vertical="center"/>
    </xf>
    <xf numFmtId="164" fontId="86" fillId="0" borderId="34" xfId="2" applyNumberFormat="1" applyFont="1" applyBorder="1" applyAlignment="1">
      <alignment vertical="center"/>
    </xf>
    <xf numFmtId="0" fontId="66" fillId="28" borderId="64" xfId="2" applyFont="1" applyFill="1" applyBorder="1" applyAlignment="1">
      <alignment horizontal="left" vertical="center"/>
    </xf>
    <xf numFmtId="0" fontId="54" fillId="28" borderId="64" xfId="0" applyFont="1" applyFill="1" applyBorder="1" applyAlignment="1">
      <alignment horizontal="centerContinuous"/>
    </xf>
    <xf numFmtId="0" fontId="71" fillId="0" borderId="34" xfId="2" applyFont="1" applyBorder="1" applyAlignment="1">
      <alignment horizontal="left" vertical="center"/>
    </xf>
    <xf numFmtId="164" fontId="86" fillId="7" borderId="34" xfId="2" applyNumberFormat="1" applyFont="1" applyFill="1" applyBorder="1" applyAlignment="1">
      <alignment vertical="center"/>
    </xf>
    <xf numFmtId="173" fontId="86" fillId="7" borderId="34" xfId="2" applyNumberFormat="1" applyFont="1" applyFill="1" applyBorder="1" applyAlignment="1">
      <alignment vertical="center"/>
    </xf>
    <xf numFmtId="0" fontId="72" fillId="8" borderId="65" xfId="2" applyFont="1" applyFill="1" applyBorder="1" applyAlignment="1">
      <alignment horizontal="left" vertical="center"/>
    </xf>
    <xf numFmtId="173" fontId="67" fillId="8" borderId="65" xfId="2" applyNumberFormat="1" applyFont="1" applyFill="1" applyBorder="1" applyAlignment="1">
      <alignment vertical="center"/>
    </xf>
    <xf numFmtId="0" fontId="55" fillId="8" borderId="65" xfId="0" applyFont="1" applyFill="1" applyBorder="1" applyAlignment="1">
      <alignment vertical="center"/>
    </xf>
    <xf numFmtId="0" fontId="66" fillId="28" borderId="66" xfId="2" applyFont="1" applyFill="1" applyBorder="1" applyAlignment="1">
      <alignment horizontal="left" vertical="center"/>
    </xf>
    <xf numFmtId="0" fontId="54" fillId="28" borderId="66" xfId="0" applyFont="1" applyFill="1" applyBorder="1" applyAlignment="1">
      <alignment horizontal="centerContinuous"/>
    </xf>
    <xf numFmtId="0" fontId="54" fillId="28" borderId="66" xfId="0" applyFont="1" applyFill="1" applyBorder="1"/>
    <xf numFmtId="0" fontId="55" fillId="0" borderId="27" xfId="0" applyFont="1" applyBorder="1"/>
    <xf numFmtId="188" fontId="55" fillId="0" borderId="27" xfId="0" applyNumberFormat="1" applyFont="1" applyBorder="1"/>
    <xf numFmtId="0" fontId="87" fillId="0" borderId="27" xfId="0" applyFont="1" applyBorder="1"/>
    <xf numFmtId="0" fontId="67" fillId="8" borderId="65" xfId="2" applyFont="1" applyFill="1" applyBorder="1" applyAlignment="1">
      <alignment vertical="center"/>
    </xf>
    <xf numFmtId="0" fontId="67" fillId="8" borderId="65" xfId="0" applyFont="1" applyFill="1" applyBorder="1" applyAlignment="1">
      <alignment vertical="center"/>
    </xf>
    <xf numFmtId="0" fontId="72" fillId="0" borderId="34" xfId="2" applyFont="1" applyBorder="1" applyAlignment="1">
      <alignment horizontal="left"/>
    </xf>
    <xf numFmtId="177" fontId="84" fillId="7" borderId="34" xfId="8" applyNumberFormat="1" applyFont="1" applyFill="1" applyBorder="1"/>
    <xf numFmtId="0" fontId="55" fillId="0" borderId="34" xfId="0" applyFont="1" applyBorder="1"/>
    <xf numFmtId="0" fontId="72" fillId="0" borderId="34" xfId="2" applyFont="1" applyBorder="1" applyAlignment="1">
      <alignment horizontal="left" vertical="top"/>
    </xf>
    <xf numFmtId="4" fontId="55" fillId="0" borderId="34" xfId="0" applyNumberFormat="1" applyFont="1" applyBorder="1" applyAlignment="1">
      <alignment horizontal="left"/>
    </xf>
    <xf numFmtId="0" fontId="71" fillId="0" borderId="34" xfId="2" applyFont="1" applyBorder="1" applyAlignment="1">
      <alignment horizontal="left" indent="1"/>
    </xf>
    <xf numFmtId="184" fontId="71" fillId="0" borderId="34" xfId="4" applyNumberFormat="1" applyFont="1" applyFill="1" applyBorder="1"/>
    <xf numFmtId="173" fontId="72" fillId="0" borderId="34" xfId="4" applyNumberFormat="1" applyFont="1" applyFill="1" applyBorder="1"/>
    <xf numFmtId="169" fontId="86" fillId="7" borderId="34" xfId="4" applyNumberFormat="1" applyFont="1" applyFill="1" applyBorder="1"/>
    <xf numFmtId="165" fontId="72" fillId="16" borderId="34" xfId="4" applyNumberFormat="1" applyFont="1" applyFill="1" applyBorder="1"/>
    <xf numFmtId="9" fontId="72" fillId="0" borderId="34" xfId="4" applyFont="1" applyFill="1" applyBorder="1"/>
    <xf numFmtId="0" fontId="67" fillId="11" borderId="65" xfId="2" applyFont="1" applyFill="1" applyBorder="1"/>
    <xf numFmtId="173" fontId="67" fillId="11" borderId="65" xfId="2" applyNumberFormat="1" applyFont="1" applyFill="1" applyBorder="1"/>
    <xf numFmtId="0" fontId="55" fillId="0" borderId="65" xfId="0" applyFont="1" applyBorder="1"/>
    <xf numFmtId="0" fontId="66" fillId="28" borderId="66" xfId="0" applyFont="1" applyFill="1" applyBorder="1" applyAlignment="1">
      <alignment horizontal="left"/>
    </xf>
    <xf numFmtId="0" fontId="66" fillId="28" borderId="66" xfId="0" applyFont="1" applyFill="1" applyBorder="1" applyAlignment="1">
      <alignment horizontal="center"/>
    </xf>
    <xf numFmtId="0" fontId="67" fillId="0" borderId="34" xfId="0" applyFont="1" applyBorder="1"/>
    <xf numFmtId="10" fontId="86" fillId="7" borderId="34" xfId="1" applyNumberFormat="1" applyFont="1" applyFill="1" applyBorder="1" applyAlignment="1">
      <alignment horizontal="center"/>
    </xf>
    <xf numFmtId="10" fontId="55" fillId="0" borderId="34" xfId="1" applyNumberFormat="1" applyFont="1" applyBorder="1" applyAlignment="1">
      <alignment horizontal="center"/>
    </xf>
    <xf numFmtId="0" fontId="91" fillId="0" borderId="34" xfId="0" applyFont="1" applyBorder="1" applyAlignment="1">
      <alignment horizontal="left" indent="1"/>
    </xf>
    <xf numFmtId="10" fontId="9" fillId="0" borderId="34" xfId="1" applyNumberFormat="1" applyFont="1" applyBorder="1" applyAlignment="1">
      <alignment horizontal="center"/>
    </xf>
    <xf numFmtId="10" fontId="37" fillId="7" borderId="34" xfId="1" applyNumberFormat="1" applyFont="1" applyFill="1" applyBorder="1" applyAlignment="1" applyProtection="1">
      <alignment horizontal="center" vertical="center"/>
      <protection locked="0"/>
    </xf>
    <xf numFmtId="10" fontId="9" fillId="0" borderId="65" xfId="1" applyNumberFormat="1" applyFont="1" applyBorder="1" applyAlignment="1">
      <alignment horizontal="center"/>
    </xf>
    <xf numFmtId="10" fontId="37" fillId="7" borderId="65" xfId="1" applyNumberFormat="1" applyFont="1" applyFill="1" applyBorder="1" applyAlignment="1">
      <alignment horizontal="center"/>
    </xf>
    <xf numFmtId="0" fontId="9" fillId="0" borderId="65" xfId="0" applyFont="1" applyBorder="1" applyAlignment="1">
      <alignment horizontal="left" indent="1"/>
    </xf>
    <xf numFmtId="0" fontId="86" fillId="7" borderId="27" xfId="0" applyFont="1" applyFill="1" applyBorder="1" applyAlignment="1">
      <alignment horizontal="right" vertical="center"/>
    </xf>
    <xf numFmtId="0" fontId="67" fillId="0" borderId="27" xfId="0" applyFont="1" applyBorder="1" applyAlignment="1">
      <alignment horizontal="left" vertical="center"/>
    </xf>
    <xf numFmtId="175" fontId="87" fillId="8" borderId="27" xfId="8" applyNumberFormat="1" applyFont="1" applyFill="1" applyBorder="1" applyAlignment="1">
      <alignment horizontal="center" vertical="center"/>
    </xf>
    <xf numFmtId="14" fontId="11" fillId="0" borderId="0" xfId="2" applyNumberFormat="1"/>
    <xf numFmtId="170" fontId="3" fillId="22" borderId="1" xfId="0" applyNumberFormat="1" applyFont="1" applyFill="1" applyBorder="1"/>
    <xf numFmtId="170" fontId="4" fillId="22" borderId="0" xfId="0" applyNumberFormat="1" applyFont="1" applyFill="1"/>
    <xf numFmtId="169" fontId="4" fillId="22" borderId="0" xfId="0" applyNumberFormat="1" applyFont="1" applyFill="1"/>
    <xf numFmtId="170" fontId="4" fillId="22" borderId="12" xfId="0" applyNumberFormat="1" applyFont="1" applyFill="1" applyBorder="1"/>
    <xf numFmtId="170" fontId="9" fillId="22" borderId="0" xfId="0" applyNumberFormat="1" applyFont="1" applyFill="1"/>
    <xf numFmtId="164" fontId="51" fillId="16" borderId="0" xfId="6" applyFont="1" applyFill="1" applyAlignment="1">
      <alignment vertical="center"/>
    </xf>
    <xf numFmtId="177" fontId="51" fillId="16" borderId="0" xfId="6" applyNumberFormat="1" applyFont="1" applyFill="1" applyAlignment="1">
      <alignment vertical="center"/>
    </xf>
    <xf numFmtId="0" fontId="92" fillId="0" borderId="0" xfId="0" applyFont="1" applyAlignment="1">
      <alignment horizontal="centerContinuous" vertical="center"/>
    </xf>
    <xf numFmtId="0" fontId="4" fillId="0" borderId="0" xfId="0" applyFont="1" applyAlignment="1">
      <alignment horizontal="centerContinuous"/>
    </xf>
    <xf numFmtId="0" fontId="93" fillId="0" borderId="0" xfId="0" applyFont="1"/>
    <xf numFmtId="0" fontId="0" fillId="7" borderId="0" xfId="0" applyFill="1"/>
    <xf numFmtId="0" fontId="41" fillId="14" borderId="0" xfId="0" applyFont="1" applyFill="1" applyAlignment="1">
      <alignment vertical="center"/>
    </xf>
    <xf numFmtId="0" fontId="58" fillId="14" borderId="0" xfId="0" applyFont="1" applyFill="1" applyAlignment="1">
      <alignment vertical="center"/>
    </xf>
    <xf numFmtId="0" fontId="43" fillId="14" borderId="0" xfId="0" applyFont="1" applyFill="1"/>
    <xf numFmtId="1" fontId="96" fillId="20" borderId="0" xfId="0" applyNumberFormat="1" applyFont="1" applyFill="1" applyAlignment="1">
      <alignment horizontal="right"/>
    </xf>
    <xf numFmtId="169" fontId="10" fillId="0" borderId="1" xfId="0" applyNumberFormat="1" applyFont="1" applyBorder="1" applyAlignment="1" applyProtection="1">
      <alignment horizontal="right" vertical="center"/>
      <protection locked="0"/>
    </xf>
    <xf numFmtId="169" fontId="4" fillId="9" borderId="0" xfId="0" applyNumberFormat="1" applyFont="1" applyFill="1"/>
    <xf numFmtId="0" fontId="94" fillId="0" borderId="0" xfId="0" applyFont="1" applyAlignment="1">
      <alignment horizontal="left" vertical="center" indent="1"/>
    </xf>
    <xf numFmtId="0" fontId="95" fillId="0" borderId="0" xfId="0" applyFont="1" applyAlignment="1">
      <alignment horizontal="left" vertical="center" indent="1"/>
    </xf>
    <xf numFmtId="0" fontId="0" fillId="0" borderId="0" xfId="0" applyAlignment="1">
      <alignment horizontal="left" vertical="center" indent="1"/>
    </xf>
    <xf numFmtId="0" fontId="70" fillId="0" borderId="0" xfId="0" applyFont="1" applyAlignment="1">
      <alignment horizontal="left" vertical="center" indent="1"/>
    </xf>
    <xf numFmtId="0" fontId="0" fillId="7" borderId="0" xfId="0" applyFill="1" applyAlignment="1">
      <alignment horizontal="left" vertical="center" indent="1"/>
    </xf>
    <xf numFmtId="0" fontId="42" fillId="0" borderId="0" xfId="0" applyFont="1" applyAlignment="1">
      <alignment vertical="center"/>
    </xf>
    <xf numFmtId="0" fontId="97" fillId="4" borderId="0" xfId="0" applyFont="1" applyFill="1"/>
    <xf numFmtId="0" fontId="16" fillId="4" borderId="0" xfId="0" applyFont="1" applyFill="1" applyAlignment="1">
      <alignment horizontal="center" vertical="center" wrapText="1"/>
    </xf>
    <xf numFmtId="185" fontId="7" fillId="20" borderId="1" xfId="0" applyNumberFormat="1" applyFont="1" applyFill="1" applyBorder="1" applyAlignment="1" applyProtection="1">
      <alignment horizontal="right" vertical="center"/>
      <protection locked="0"/>
    </xf>
    <xf numFmtId="185" fontId="10" fillId="0" borderId="1" xfId="0" applyNumberFormat="1" applyFont="1" applyBorder="1" applyAlignment="1" applyProtection="1">
      <alignment horizontal="right" vertical="center"/>
      <protection locked="0"/>
    </xf>
    <xf numFmtId="0" fontId="16" fillId="31" borderId="1" xfId="0" applyFont="1" applyFill="1" applyBorder="1" applyAlignment="1">
      <alignment horizontal="left" vertical="center" indent="1"/>
    </xf>
    <xf numFmtId="169" fontId="16" fillId="31" borderId="1" xfId="0" applyNumberFormat="1" applyFont="1" applyFill="1" applyBorder="1" applyAlignment="1" applyProtection="1">
      <alignment horizontal="right" vertical="center"/>
      <protection locked="0"/>
    </xf>
    <xf numFmtId="185" fontId="16" fillId="31" borderId="1" xfId="0" applyNumberFormat="1" applyFont="1" applyFill="1" applyBorder="1" applyAlignment="1" applyProtection="1">
      <alignment horizontal="right" vertical="center"/>
      <protection locked="0"/>
    </xf>
    <xf numFmtId="169" fontId="7" fillId="20" borderId="1" xfId="0" applyNumberFormat="1" applyFont="1" applyFill="1" applyBorder="1" applyAlignment="1">
      <alignment horizontal="right" vertical="center"/>
    </xf>
    <xf numFmtId="185" fontId="7" fillId="20" borderId="1" xfId="0" applyNumberFormat="1" applyFont="1" applyFill="1" applyBorder="1" applyAlignment="1">
      <alignment horizontal="right" vertical="center"/>
    </xf>
    <xf numFmtId="173" fontId="13" fillId="0" borderId="1" xfId="0" applyNumberFormat="1" applyFont="1" applyBorder="1" applyAlignment="1">
      <alignment vertical="center"/>
    </xf>
    <xf numFmtId="169" fontId="10" fillId="0" borderId="1" xfId="0" applyNumberFormat="1" applyFont="1" applyBorder="1" applyAlignment="1">
      <alignment horizontal="right" vertical="center"/>
    </xf>
    <xf numFmtId="185" fontId="10" fillId="0" borderId="1" xfId="0" applyNumberFormat="1" applyFont="1" applyBorder="1" applyAlignment="1">
      <alignment horizontal="right" vertical="center"/>
    </xf>
    <xf numFmtId="173" fontId="10" fillId="0" borderId="1" xfId="0" applyNumberFormat="1" applyFont="1" applyBorder="1" applyAlignment="1">
      <alignment vertical="center"/>
    </xf>
    <xf numFmtId="0" fontId="16" fillId="4" borderId="0" xfId="0" applyFont="1" applyFill="1" applyAlignment="1">
      <alignment vertical="center" wrapText="1"/>
    </xf>
    <xf numFmtId="172" fontId="3" fillId="3" borderId="0" xfId="0" applyNumberFormat="1" applyFont="1" applyFill="1" applyAlignment="1">
      <alignment horizontal="center" vertical="center"/>
    </xf>
    <xf numFmtId="172" fontId="17" fillId="13" borderId="0" xfId="0" applyNumberFormat="1" applyFont="1" applyFill="1" applyAlignment="1">
      <alignment horizontal="center" vertical="center"/>
    </xf>
    <xf numFmtId="172" fontId="3" fillId="2" borderId="0" xfId="0" applyNumberFormat="1" applyFont="1" applyFill="1" applyAlignment="1">
      <alignment horizontal="center" vertical="center"/>
    </xf>
    <xf numFmtId="172" fontId="16" fillId="14" borderId="0" xfId="0" applyNumberFormat="1" applyFont="1" applyFill="1" applyAlignment="1">
      <alignment horizontal="center" vertical="center"/>
    </xf>
    <xf numFmtId="172" fontId="29" fillId="8" borderId="4" xfId="2" applyNumberFormat="1" applyFont="1" applyFill="1" applyBorder="1" applyAlignment="1">
      <alignment horizontal="right" vertical="center"/>
    </xf>
    <xf numFmtId="189" fontId="72" fillId="16" borderId="37" xfId="10" applyNumberFormat="1" applyFont="1" applyFill="1" applyBorder="1" applyAlignment="1">
      <alignment horizontal="center" vertical="center"/>
    </xf>
    <xf numFmtId="189" fontId="72" fillId="16" borderId="38" xfId="10" applyNumberFormat="1" applyFont="1" applyFill="1" applyBorder="1" applyAlignment="1">
      <alignment horizontal="center" vertical="center"/>
    </xf>
    <xf numFmtId="189" fontId="72" fillId="16" borderId="39" xfId="10" applyNumberFormat="1" applyFont="1" applyFill="1" applyBorder="1" applyAlignment="1">
      <alignment horizontal="center" vertical="center"/>
    </xf>
    <xf numFmtId="189" fontId="72" fillId="16" borderId="0" xfId="10" applyNumberFormat="1" applyFont="1" applyFill="1" applyAlignment="1">
      <alignment horizontal="center"/>
    </xf>
    <xf numFmtId="189" fontId="29" fillId="8" borderId="4" xfId="2" applyNumberFormat="1" applyFont="1" applyFill="1" applyBorder="1" applyAlignment="1">
      <alignment horizontal="right" vertical="center"/>
    </xf>
    <xf numFmtId="189" fontId="29" fillId="8" borderId="4" xfId="2" applyNumberFormat="1" applyFont="1" applyFill="1" applyBorder="1" applyAlignment="1">
      <alignment horizontal="center" vertical="center"/>
    </xf>
    <xf numFmtId="189" fontId="41" fillId="22" borderId="0" xfId="7" applyNumberFormat="1" applyFont="1" applyFill="1" applyAlignment="1">
      <alignment horizontal="center" vertical="center"/>
    </xf>
    <xf numFmtId="190" fontId="81" fillId="7" borderId="37" xfId="10" applyNumberFormat="1" applyFont="1" applyFill="1" applyBorder="1" applyAlignment="1">
      <alignment horizontal="center" vertical="center"/>
    </xf>
    <xf numFmtId="190" fontId="81" fillId="7" borderId="38" xfId="10" applyNumberFormat="1" applyFont="1" applyFill="1" applyBorder="1" applyAlignment="1">
      <alignment horizontal="center" vertical="center"/>
    </xf>
    <xf numFmtId="190" fontId="81" fillId="7" borderId="39" xfId="10" applyNumberFormat="1" applyFont="1" applyFill="1" applyBorder="1" applyAlignment="1">
      <alignment horizontal="center" vertical="center"/>
    </xf>
    <xf numFmtId="190" fontId="0" fillId="16" borderId="37" xfId="0" applyNumberFormat="1" applyFill="1" applyBorder="1"/>
    <xf numFmtId="190" fontId="0" fillId="16" borderId="38" xfId="0" applyNumberFormat="1" applyFill="1" applyBorder="1"/>
    <xf numFmtId="190" fontId="0" fillId="16" borderId="39" xfId="0" applyNumberFormat="1" applyFill="1" applyBorder="1"/>
    <xf numFmtId="190" fontId="78" fillId="0" borderId="32" xfId="9" applyNumberFormat="1" applyFont="1" applyFill="1" applyBorder="1" applyAlignment="1">
      <alignment horizontal="center"/>
    </xf>
    <xf numFmtId="190" fontId="71" fillId="0" borderId="32" xfId="10" applyNumberFormat="1" applyFont="1" applyBorder="1" applyAlignment="1">
      <alignment horizontal="center" vertical="center"/>
    </xf>
    <xf numFmtId="0" fontId="72" fillId="0" borderId="0" xfId="10" quotePrefix="1" applyFont="1" applyAlignment="1">
      <alignment horizontal="left"/>
    </xf>
    <xf numFmtId="167" fontId="4" fillId="9" borderId="0" xfId="9" applyFont="1" applyFill="1"/>
    <xf numFmtId="0" fontId="9" fillId="16" borderId="0" xfId="0" applyFont="1" applyFill="1" applyAlignment="1">
      <alignment horizontal="left" indent="2"/>
    </xf>
    <xf numFmtId="0" fontId="4" fillId="16" borderId="0" xfId="0" applyFont="1" applyFill="1"/>
    <xf numFmtId="171" fontId="9" fillId="16" borderId="0" xfId="1" applyNumberFormat="1" applyFont="1" applyFill="1" applyAlignment="1">
      <alignment horizontal="right"/>
    </xf>
    <xf numFmtId="171" fontId="37" fillId="16" borderId="0" xfId="1" applyNumberFormat="1" applyFont="1" applyFill="1" applyAlignment="1">
      <alignment horizontal="right"/>
    </xf>
    <xf numFmtId="191" fontId="13" fillId="7" borderId="0" xfId="0" applyNumberFormat="1" applyFont="1" applyFill="1" applyAlignment="1" applyProtection="1">
      <alignment horizontal="right" vertical="center"/>
      <protection locked="0"/>
    </xf>
    <xf numFmtId="0" fontId="3" fillId="20" borderId="67" xfId="0" applyFont="1" applyFill="1" applyBorder="1" applyAlignment="1">
      <alignment horizontal="right" vertical="center" indent="1"/>
    </xf>
    <xf numFmtId="173" fontId="3" fillId="0" borderId="68" xfId="1" applyNumberFormat="1" applyFont="1" applyBorder="1"/>
    <xf numFmtId="10" fontId="3" fillId="0" borderId="68" xfId="1" applyNumberFormat="1" applyFont="1" applyBorder="1"/>
    <xf numFmtId="169" fontId="13" fillId="0" borderId="0" xfId="0" applyNumberFormat="1" applyFont="1" applyAlignment="1" applyProtection="1">
      <alignment horizontal="right" vertical="center"/>
      <protection locked="0"/>
    </xf>
    <xf numFmtId="0" fontId="3" fillId="7" borderId="68" xfId="0" applyFont="1" applyFill="1" applyBorder="1"/>
    <xf numFmtId="38" fontId="13" fillId="7" borderId="0" xfId="0" applyNumberFormat="1" applyFont="1" applyFill="1" applyAlignment="1" applyProtection="1">
      <alignment horizontal="right" vertical="center"/>
      <protection locked="0"/>
    </xf>
    <xf numFmtId="191" fontId="13" fillId="16" borderId="0" xfId="0" applyNumberFormat="1" applyFont="1" applyFill="1" applyAlignment="1" applyProtection="1">
      <alignment horizontal="right" vertical="center"/>
      <protection locked="0"/>
    </xf>
    <xf numFmtId="192" fontId="6" fillId="7" borderId="0" xfId="0" applyNumberFormat="1" applyFont="1" applyFill="1" applyAlignment="1" applyProtection="1">
      <alignment horizontal="right" vertical="center"/>
      <protection locked="0"/>
    </xf>
    <xf numFmtId="193" fontId="13" fillId="0" borderId="0" xfId="0" applyNumberFormat="1" applyFont="1" applyAlignment="1" applyProtection="1">
      <alignment horizontal="right" vertical="center"/>
      <protection locked="0"/>
    </xf>
    <xf numFmtId="193" fontId="13" fillId="0" borderId="0" xfId="0" applyNumberFormat="1" applyFont="1"/>
    <xf numFmtId="173" fontId="23" fillId="7" borderId="0" xfId="4" applyNumberFormat="1" applyFont="1" applyFill="1" applyBorder="1" applyAlignment="1">
      <alignment horizontal="right" vertical="center"/>
    </xf>
    <xf numFmtId="0" fontId="23" fillId="18" borderId="0" xfId="6" applyNumberFormat="1" applyFont="1" applyFill="1" applyBorder="1" applyAlignment="1">
      <alignment horizontal="right" vertical="center"/>
    </xf>
    <xf numFmtId="187" fontId="23" fillId="18" borderId="0" xfId="4" applyNumberFormat="1" applyFont="1" applyFill="1" applyBorder="1" applyAlignment="1">
      <alignment horizontal="right" vertical="center"/>
    </xf>
    <xf numFmtId="4" fontId="13" fillId="7" borderId="0" xfId="0" applyNumberFormat="1" applyFont="1" applyFill="1" applyAlignment="1" applyProtection="1">
      <alignment horizontal="right" vertical="center"/>
      <protection locked="0"/>
    </xf>
    <xf numFmtId="4" fontId="4" fillId="0" borderId="0" xfId="0" applyNumberFormat="1" applyFont="1"/>
    <xf numFmtId="4" fontId="3" fillId="0" borderId="1" xfId="0" applyNumberFormat="1" applyFont="1" applyBorder="1"/>
    <xf numFmtId="4" fontId="13" fillId="7" borderId="0" xfId="9" applyNumberFormat="1" applyFont="1" applyFill="1" applyAlignment="1" applyProtection="1">
      <alignment horizontal="right" vertical="center"/>
      <protection locked="0"/>
    </xf>
    <xf numFmtId="4" fontId="7" fillId="0" borderId="0" xfId="9" applyNumberFormat="1" applyFont="1" applyAlignment="1">
      <alignment horizontal="right" vertical="center"/>
    </xf>
    <xf numFmtId="4" fontId="99" fillId="16" borderId="0" xfId="0" applyNumberFormat="1" applyFont="1" applyFill="1" applyAlignment="1" applyProtection="1">
      <alignment horizontal="right" vertical="center"/>
      <protection locked="0"/>
    </xf>
    <xf numFmtId="4" fontId="13" fillId="0" borderId="0" xfId="0" applyNumberFormat="1" applyFont="1" applyAlignment="1" applyProtection="1">
      <alignment horizontal="right" vertical="center"/>
      <protection locked="0"/>
    </xf>
    <xf numFmtId="4" fontId="13" fillId="0" borderId="0" xfId="0" applyNumberFormat="1" applyFont="1" applyAlignment="1">
      <alignment horizontal="right"/>
    </xf>
    <xf numFmtId="9" fontId="13" fillId="7" borderId="0" xfId="1" applyFont="1" applyFill="1" applyAlignment="1" applyProtection="1">
      <alignment horizontal="center" vertical="center"/>
      <protection locked="0"/>
    </xf>
    <xf numFmtId="39" fontId="13" fillId="7" borderId="0" xfId="9" applyNumberFormat="1" applyFont="1" applyFill="1" applyAlignment="1" applyProtection="1">
      <alignment horizontal="right" vertical="center"/>
      <protection locked="0"/>
    </xf>
    <xf numFmtId="39" fontId="7" fillId="0" borderId="0" xfId="9" applyNumberFormat="1" applyFont="1" applyAlignment="1">
      <alignment horizontal="right" vertical="center"/>
    </xf>
    <xf numFmtId="39" fontId="13" fillId="16" borderId="0" xfId="9" applyNumberFormat="1" applyFont="1" applyFill="1" applyAlignment="1" applyProtection="1">
      <alignment horizontal="right" vertical="center"/>
      <protection locked="0"/>
    </xf>
    <xf numFmtId="38" fontId="4" fillId="16" borderId="0" xfId="0" applyNumberFormat="1" applyFont="1" applyFill="1" applyAlignment="1" applyProtection="1">
      <alignment horizontal="right" vertical="center"/>
      <protection locked="0"/>
    </xf>
    <xf numFmtId="192" fontId="4" fillId="7" borderId="0" xfId="0" applyNumberFormat="1" applyFont="1" applyFill="1" applyAlignment="1" applyProtection="1">
      <alignment horizontal="right" vertical="center"/>
      <protection locked="0"/>
    </xf>
    <xf numFmtId="169" fontId="4" fillId="0" borderId="0" xfId="0" applyNumberFormat="1" applyFont="1" applyAlignment="1" applyProtection="1">
      <alignment horizontal="right" vertical="center"/>
      <protection locked="0"/>
    </xf>
    <xf numFmtId="169" fontId="4" fillId="7" borderId="0" xfId="0" applyNumberFormat="1" applyFont="1" applyFill="1" applyAlignment="1" applyProtection="1">
      <alignment horizontal="right" vertical="center"/>
      <protection locked="0"/>
    </xf>
    <xf numFmtId="0" fontId="18" fillId="0" borderId="0" xfId="0" applyFont="1"/>
    <xf numFmtId="169" fontId="10" fillId="7" borderId="0" xfId="0" applyNumberFormat="1" applyFont="1" applyFill="1" applyAlignment="1" applyProtection="1">
      <alignment horizontal="right" vertical="center"/>
      <protection locked="0"/>
    </xf>
    <xf numFmtId="188" fontId="67" fillId="18" borderId="27" xfId="0" applyNumberFormat="1" applyFont="1" applyFill="1" applyBorder="1" applyAlignment="1">
      <alignment horizontal="right"/>
    </xf>
    <xf numFmtId="4" fontId="10" fillId="16" borderId="0" xfId="9" applyNumberFormat="1" applyFont="1" applyFill="1" applyAlignment="1" applyProtection="1">
      <alignment horizontal="right" vertical="center"/>
      <protection locked="0"/>
    </xf>
    <xf numFmtId="39" fontId="10" fillId="16" borderId="0" xfId="9" applyNumberFormat="1" applyFont="1" applyFill="1" applyAlignment="1" applyProtection="1">
      <alignment horizontal="right" vertical="center"/>
      <protection locked="0"/>
    </xf>
    <xf numFmtId="4" fontId="10" fillId="16" borderId="0" xfId="0" applyNumberFormat="1" applyFont="1" applyFill="1" applyAlignment="1" applyProtection="1">
      <alignment horizontal="right" vertical="center"/>
      <protection locked="0"/>
    </xf>
    <xf numFmtId="39" fontId="13" fillId="0" borderId="0" xfId="0" applyNumberFormat="1" applyFont="1" applyAlignment="1">
      <alignment horizontal="right"/>
    </xf>
    <xf numFmtId="39" fontId="13" fillId="7" borderId="0" xfId="0" applyNumberFormat="1" applyFont="1" applyFill="1" applyAlignment="1" applyProtection="1">
      <alignment horizontal="right" vertical="center"/>
      <protection locked="0"/>
    </xf>
    <xf numFmtId="167" fontId="11" fillId="16" borderId="0" xfId="2" applyNumberFormat="1" applyFill="1"/>
    <xf numFmtId="0" fontId="42" fillId="12" borderId="0" xfId="0" applyFont="1" applyFill="1"/>
    <xf numFmtId="0" fontId="42" fillId="12" borderId="0" xfId="0" applyFont="1" applyFill="1" applyAlignment="1">
      <alignment horizontal="center"/>
    </xf>
    <xf numFmtId="0" fontId="44" fillId="10" borderId="0" xfId="0" applyFont="1" applyFill="1" applyAlignment="1">
      <alignment horizontal="center" vertical="center" wrapText="1"/>
    </xf>
    <xf numFmtId="186" fontId="81" fillId="7" borderId="38" xfId="10" applyNumberFormat="1" applyFont="1" applyFill="1" applyBorder="1" applyAlignment="1">
      <alignment horizontal="center" vertical="center"/>
    </xf>
    <xf numFmtId="186" fontId="81" fillId="7" borderId="39" xfId="10" applyNumberFormat="1" applyFont="1" applyFill="1" applyBorder="1" applyAlignment="1">
      <alignment horizontal="center" vertical="center"/>
    </xf>
    <xf numFmtId="0" fontId="84" fillId="12" borderId="36" xfId="10" applyFont="1" applyFill="1" applyBorder="1" applyAlignment="1">
      <alignment horizontal="center" vertical="center"/>
    </xf>
    <xf numFmtId="186" fontId="81" fillId="7" borderId="37" xfId="10" applyNumberFormat="1" applyFont="1" applyFill="1" applyBorder="1" applyAlignment="1">
      <alignment horizontal="center" vertical="center"/>
    </xf>
    <xf numFmtId="0" fontId="66" fillId="26" borderId="37" xfId="10" applyFont="1" applyFill="1" applyBorder="1" applyAlignment="1">
      <alignment horizontal="center" vertical="center"/>
    </xf>
    <xf numFmtId="0" fontId="66" fillId="26" borderId="38" xfId="10" applyFont="1" applyFill="1" applyBorder="1" applyAlignment="1">
      <alignment horizontal="center" vertical="center"/>
    </xf>
    <xf numFmtId="0" fontId="66" fillId="26" borderId="39" xfId="10" applyFont="1" applyFill="1" applyBorder="1" applyAlignment="1">
      <alignment horizontal="center" vertical="center"/>
    </xf>
    <xf numFmtId="0" fontId="77" fillId="15" borderId="37" xfId="10" applyFont="1" applyFill="1" applyBorder="1" applyAlignment="1">
      <alignment horizontal="center" vertical="center"/>
    </xf>
    <xf numFmtId="0" fontId="77" fillId="15" borderId="38" xfId="10" applyFont="1" applyFill="1" applyBorder="1" applyAlignment="1">
      <alignment horizontal="center" vertical="center"/>
    </xf>
    <xf numFmtId="0" fontId="77" fillId="15" borderId="39" xfId="10" applyFont="1" applyFill="1" applyBorder="1" applyAlignment="1">
      <alignment horizontal="center" vertical="center"/>
    </xf>
    <xf numFmtId="0" fontId="77" fillId="24" borderId="37" xfId="10" applyFont="1" applyFill="1" applyBorder="1" applyAlignment="1">
      <alignment horizontal="center" vertical="center"/>
    </xf>
    <xf numFmtId="0" fontId="77" fillId="24" borderId="38" xfId="10" applyFont="1" applyFill="1" applyBorder="1" applyAlignment="1">
      <alignment horizontal="center" vertical="center"/>
    </xf>
    <xf numFmtId="0" fontId="77" fillId="24" borderId="39" xfId="10" applyFont="1" applyFill="1" applyBorder="1" applyAlignment="1">
      <alignment horizontal="center" vertical="center"/>
    </xf>
    <xf numFmtId="0" fontId="72" fillId="3" borderId="36" xfId="10" applyFont="1" applyFill="1" applyBorder="1" applyAlignment="1">
      <alignment horizontal="center" vertical="center"/>
    </xf>
    <xf numFmtId="0" fontId="72" fillId="20" borderId="36" xfId="10" applyFont="1" applyFill="1" applyBorder="1" applyAlignment="1">
      <alignment horizontal="center" vertical="center"/>
    </xf>
    <xf numFmtId="186" fontId="81" fillId="8" borderId="0" xfId="10" applyNumberFormat="1" applyFont="1" applyFill="1" applyAlignment="1">
      <alignment horizontal="center" vertical="center"/>
    </xf>
    <xf numFmtId="0" fontId="77" fillId="25" borderId="0" xfId="10" applyFont="1" applyFill="1" applyAlignment="1">
      <alignment horizontal="center"/>
    </xf>
    <xf numFmtId="190" fontId="81" fillId="7" borderId="38" xfId="10" applyNumberFormat="1" applyFont="1" applyFill="1" applyBorder="1" applyAlignment="1">
      <alignment horizontal="center" vertical="center"/>
    </xf>
    <xf numFmtId="190" fontId="81" fillId="7" borderId="39" xfId="10" applyNumberFormat="1" applyFont="1" applyFill="1" applyBorder="1" applyAlignment="1">
      <alignment horizontal="center" vertical="center"/>
    </xf>
    <xf numFmtId="190" fontId="81" fillId="7" borderId="37" xfId="10" applyNumberFormat="1" applyFont="1" applyFill="1" applyBorder="1" applyAlignment="1">
      <alignment horizontal="center" vertical="center"/>
    </xf>
    <xf numFmtId="190" fontId="81" fillId="25" borderId="38" xfId="10" applyNumberFormat="1" applyFont="1" applyFill="1" applyBorder="1" applyAlignment="1">
      <alignment horizontal="center" vertical="center"/>
    </xf>
    <xf numFmtId="190" fontId="81" fillId="25" borderId="37" xfId="10" applyNumberFormat="1" applyFont="1" applyFill="1" applyBorder="1" applyAlignment="1">
      <alignment horizontal="center" vertical="center"/>
    </xf>
    <xf numFmtId="190" fontId="81" fillId="25" borderId="39" xfId="10" applyNumberFormat="1" applyFont="1" applyFill="1" applyBorder="1" applyAlignment="1">
      <alignment horizontal="center" vertical="center"/>
    </xf>
  </cellXfs>
  <cellStyles count="11">
    <cellStyle name="Comma" xfId="8" builtinId="3"/>
    <cellStyle name="Comma 2" xfId="6" xr:uid="{4E657791-111D-457B-8409-0648870BCF1D}"/>
    <cellStyle name="Currency" xfId="9" builtinId="4"/>
    <cellStyle name="Hyperlink" xfId="3" builtinId="8"/>
    <cellStyle name="Normal" xfId="0" builtinId="0"/>
    <cellStyle name="Normal 2" xfId="2" xr:uid="{12DB5E10-DABD-4FD8-BF23-7A3AD885868A}"/>
    <cellStyle name="Normal 3" xfId="5" xr:uid="{0CE71C3D-0CAA-429E-A74C-9302B516E8AD}"/>
    <cellStyle name="Normal 8 3" xfId="7" xr:uid="{1C014C0F-6B2E-43E9-8BA8-490A81B19838}"/>
    <cellStyle name="Normal_HistPE Model Template" xfId="10" xr:uid="{11DB60CB-8175-47A1-99C9-BCC1B743239A}"/>
    <cellStyle name="Percent" xfId="1" builtinId="5"/>
    <cellStyle name="Percent 2" xfId="4" xr:uid="{3429D2B7-CC73-4046-8135-6F6EF29F9C0D}"/>
  </cellStyles>
  <dxfs count="0"/>
  <tableStyles count="0" defaultTableStyle="TableStyleMedium2" defaultPivotStyle="PivotStyleLight16"/>
  <colors>
    <mruColors>
      <color rgb="FF0000FF"/>
      <color rgb="FFFFFFCC"/>
      <color rgb="FF0066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Summary!$D$33</c:f>
              <c:strCache>
                <c:ptCount val="1"/>
                <c:pt idx="0">
                  <c:v>Low</c:v>
                </c:pt>
              </c:strCache>
            </c:strRef>
          </c:tx>
          <c:spPr>
            <a:noFill/>
            <a:ln>
              <a:noFill/>
            </a:ln>
            <a:effectLst/>
          </c:spPr>
          <c:invertIfNegative val="0"/>
          <c:cat>
            <c:strRef>
              <c:f>Summary!$B$34:$B$37</c:f>
              <c:strCache>
                <c:ptCount val="3"/>
                <c:pt idx="0">
                  <c:v>Discounted Cash Flow (60%)</c:v>
                </c:pt>
                <c:pt idx="1">
                  <c:v>Market Multiples: Price to Earnings (20%)</c:v>
                </c:pt>
                <c:pt idx="2">
                  <c:v>Market Multiples: EV to Sales (20%)</c:v>
                </c:pt>
              </c:strCache>
            </c:strRef>
          </c:cat>
          <c:val>
            <c:numRef>
              <c:f>Summary!$D$34:$D$37</c:f>
              <c:numCache>
                <c:formatCode>_(* #,##0.0_);_(* \(#,##0.0\);_(* "-"??_);_(@_)</c:formatCode>
                <c:ptCount val="4"/>
                <c:pt idx="0">
                  <c:v>234.63354943887632</c:v>
                </c:pt>
                <c:pt idx="1">
                  <c:v>391.98731890157006</c:v>
                </c:pt>
                <c:pt idx="2">
                  <c:v>425.80649762966198</c:v>
                </c:pt>
              </c:numCache>
            </c:numRef>
          </c:val>
          <c:extLst>
            <c:ext xmlns:c16="http://schemas.microsoft.com/office/drawing/2014/chart" uri="{C3380CC4-5D6E-409C-BE32-E72D297353CC}">
              <c16:uniqueId val="{00000000-DC34-4AAF-BC29-57E83CD4BB73}"/>
            </c:ext>
          </c:extLst>
        </c:ser>
        <c:ser>
          <c:idx val="1"/>
          <c:order val="1"/>
          <c:tx>
            <c:strRef>
              <c:f>Summary!$E$33</c:f>
              <c:strCache>
                <c:ptCount val="1"/>
                <c:pt idx="0">
                  <c:v>Median</c:v>
                </c:pt>
              </c:strCache>
            </c:strRef>
          </c:tx>
          <c:spPr>
            <a:solidFill>
              <a:schemeClr val="accent1"/>
            </a:solidFill>
            <a:ln>
              <a:noFill/>
            </a:ln>
            <a:effectLst/>
          </c:spPr>
          <c:invertIfNegative val="0"/>
          <c:cat>
            <c:strRef>
              <c:f>Summary!$B$34:$B$37</c:f>
              <c:strCache>
                <c:ptCount val="3"/>
                <c:pt idx="0">
                  <c:v>Discounted Cash Flow (60%)</c:v>
                </c:pt>
                <c:pt idx="1">
                  <c:v>Market Multiples: Price to Earnings (20%)</c:v>
                </c:pt>
                <c:pt idx="2">
                  <c:v>Market Multiples: EV to Sales (20%)</c:v>
                </c:pt>
              </c:strCache>
            </c:strRef>
          </c:cat>
          <c:val>
            <c:numRef>
              <c:f>Summary!$E$34:$E$37</c:f>
              <c:numCache>
                <c:formatCode>_(* #,##0.0_);_(* \(#,##0.0\);_(* "-"??_);_(@_)</c:formatCode>
                <c:ptCount val="4"/>
                <c:pt idx="0">
                  <c:v>26.070394382097362</c:v>
                </c:pt>
                <c:pt idx="1">
                  <c:v>43.554146544618902</c:v>
                </c:pt>
                <c:pt idx="2">
                  <c:v>47.311833069962404</c:v>
                </c:pt>
              </c:numCache>
            </c:numRef>
          </c:val>
          <c:extLst>
            <c:ext xmlns:c16="http://schemas.microsoft.com/office/drawing/2014/chart" uri="{C3380CC4-5D6E-409C-BE32-E72D297353CC}">
              <c16:uniqueId val="{00000001-DC34-4AAF-BC29-57E83CD4BB73}"/>
            </c:ext>
          </c:extLst>
        </c:ser>
        <c:ser>
          <c:idx val="2"/>
          <c:order val="2"/>
          <c:tx>
            <c:strRef>
              <c:f>Summary!$F$33</c:f>
              <c:strCache>
                <c:ptCount val="1"/>
                <c:pt idx="0">
                  <c:v>Extra</c:v>
                </c:pt>
              </c:strCache>
            </c:strRef>
          </c:tx>
          <c:spPr>
            <a:solidFill>
              <a:schemeClr val="bg1"/>
            </a:solidFill>
            <a:ln>
              <a:noFill/>
            </a:ln>
            <a:effectLst/>
          </c:spPr>
          <c:invertIfNegative val="0"/>
          <c:cat>
            <c:strRef>
              <c:f>Summary!$B$34:$B$37</c:f>
              <c:strCache>
                <c:ptCount val="3"/>
                <c:pt idx="0">
                  <c:v>Discounted Cash Flow (60%)</c:v>
                </c:pt>
                <c:pt idx="1">
                  <c:v>Market Multiples: Price to Earnings (20%)</c:v>
                </c:pt>
                <c:pt idx="2">
                  <c:v>Market Multiples: EV to Sales (20%)</c:v>
                </c:pt>
              </c:strCache>
            </c:strRef>
          </c:cat>
          <c:val>
            <c:numRef>
              <c:f>Summary!$F$34:$F$37</c:f>
              <c:numCache>
                <c:formatCode>_(* #,##0.0_);_(* \(#,##0.0\);_(* "-"??_);_(@_)</c:formatCode>
                <c:ptCount val="4"/>
                <c:pt idx="0">
                  <c:v>8.4538581380436728</c:v>
                </c:pt>
                <c:pt idx="1">
                  <c:v>8.4538581380436728</c:v>
                </c:pt>
                <c:pt idx="2">
                  <c:v>8.4538581380436728</c:v>
                </c:pt>
              </c:numCache>
            </c:numRef>
          </c:val>
          <c:extLst>
            <c:ext xmlns:c16="http://schemas.microsoft.com/office/drawing/2014/chart" uri="{C3380CC4-5D6E-409C-BE32-E72D297353CC}">
              <c16:uniqueId val="{00000002-DC34-4AAF-BC29-57E83CD4BB73}"/>
            </c:ext>
          </c:extLst>
        </c:ser>
        <c:ser>
          <c:idx val="3"/>
          <c:order val="3"/>
          <c:tx>
            <c:strRef>
              <c:f>Summary!$G$33</c:f>
              <c:strCache>
                <c:ptCount val="1"/>
                <c:pt idx="0">
                  <c:v>High</c:v>
                </c:pt>
              </c:strCache>
            </c:strRef>
          </c:tx>
          <c:spPr>
            <a:solidFill>
              <a:schemeClr val="accent1"/>
            </a:solidFill>
            <a:ln>
              <a:noFill/>
            </a:ln>
            <a:effectLst/>
          </c:spPr>
          <c:invertIfNegative val="0"/>
          <c:cat>
            <c:strRef>
              <c:f>Summary!$B$34:$B$37</c:f>
              <c:strCache>
                <c:ptCount val="3"/>
                <c:pt idx="0">
                  <c:v>Discounted Cash Flow (60%)</c:v>
                </c:pt>
                <c:pt idx="1">
                  <c:v>Market Multiples: Price to Earnings (20%)</c:v>
                </c:pt>
                <c:pt idx="2">
                  <c:v>Market Multiples: EV to Sales (20%)</c:v>
                </c:pt>
              </c:strCache>
            </c:strRef>
          </c:cat>
          <c:val>
            <c:numRef>
              <c:f>Summary!$G$34:$G$37</c:f>
              <c:numCache>
                <c:formatCode>_(* #,##0.0_);_(* \(#,##0.0\);_(* "-"??_);_(@_)</c:formatCode>
                <c:ptCount val="4"/>
                <c:pt idx="0">
                  <c:v>17.616536244053719</c:v>
                </c:pt>
                <c:pt idx="1">
                  <c:v>35.100288406575288</c:v>
                </c:pt>
                <c:pt idx="2">
                  <c:v>38.857974931918847</c:v>
                </c:pt>
              </c:numCache>
            </c:numRef>
          </c:val>
          <c:extLst>
            <c:ext xmlns:c16="http://schemas.microsoft.com/office/drawing/2014/chart" uri="{C3380CC4-5D6E-409C-BE32-E72D297353CC}">
              <c16:uniqueId val="{00000003-DC34-4AAF-BC29-57E83CD4BB73}"/>
            </c:ext>
          </c:extLst>
        </c:ser>
        <c:dLbls>
          <c:showLegendKey val="0"/>
          <c:showVal val="0"/>
          <c:showCatName val="0"/>
          <c:showSerName val="0"/>
          <c:showPercent val="0"/>
          <c:showBubbleSize val="0"/>
        </c:dLbls>
        <c:gapWidth val="150"/>
        <c:overlap val="100"/>
        <c:axId val="942916527"/>
        <c:axId val="942916943"/>
      </c:barChart>
      <c:lineChart>
        <c:grouping val="standard"/>
        <c:varyColors val="0"/>
        <c:ser>
          <c:idx val="4"/>
          <c:order val="4"/>
          <c:tx>
            <c:strRef>
              <c:f>Summary!$H$33</c:f>
              <c:strCache>
                <c:ptCount val="1"/>
                <c:pt idx="0">
                  <c:v>EV</c:v>
                </c:pt>
              </c:strCache>
            </c:strRef>
          </c:tx>
          <c:spPr>
            <a:ln w="28575" cap="rnd">
              <a:solidFill>
                <a:schemeClr val="tx2"/>
              </a:solidFill>
              <a:prstDash val="dash"/>
              <a:round/>
            </a:ln>
            <a:effectLst/>
          </c:spPr>
          <c:marker>
            <c:symbol val="none"/>
          </c:marker>
          <c:cat>
            <c:strRef>
              <c:f>Summary!$B$34:$B$37</c:f>
              <c:strCache>
                <c:ptCount val="3"/>
                <c:pt idx="0">
                  <c:v>Discounted Cash Flow (60%)</c:v>
                </c:pt>
                <c:pt idx="1">
                  <c:v>Market Multiples: Price to Earnings (20%)</c:v>
                </c:pt>
                <c:pt idx="2">
                  <c:v>Market Multiples: EV to Sales (20%)</c:v>
                </c:pt>
              </c:strCache>
            </c:strRef>
          </c:cat>
          <c:val>
            <c:numRef>
              <c:f>Summary!$H$34:$H$37</c:f>
              <c:numCache>
                <c:formatCode>_(* #,##0.0_);_(* \(#,##0.0\);_(* "-"??_);_(@_)</c:formatCode>
                <c:ptCount val="4"/>
                <c:pt idx="0">
                  <c:v>338.1543255217469</c:v>
                </c:pt>
                <c:pt idx="1">
                  <c:v>338.1543255217469</c:v>
                </c:pt>
                <c:pt idx="2">
                  <c:v>338.1543255217469</c:v>
                </c:pt>
              </c:numCache>
            </c:numRef>
          </c:val>
          <c:smooth val="0"/>
          <c:extLst>
            <c:ext xmlns:c16="http://schemas.microsoft.com/office/drawing/2014/chart" uri="{C3380CC4-5D6E-409C-BE32-E72D297353CC}">
              <c16:uniqueId val="{00000004-DC34-4AAF-BC29-57E83CD4BB73}"/>
            </c:ext>
          </c:extLst>
        </c:ser>
        <c:dLbls>
          <c:showLegendKey val="0"/>
          <c:showVal val="0"/>
          <c:showCatName val="0"/>
          <c:showSerName val="0"/>
          <c:showPercent val="0"/>
          <c:showBubbleSize val="0"/>
        </c:dLbls>
        <c:marker val="1"/>
        <c:smooth val="0"/>
        <c:axId val="942916527"/>
        <c:axId val="942916943"/>
      </c:lineChart>
      <c:catAx>
        <c:axId val="942916527"/>
        <c:scaling>
          <c:orientation val="minMax"/>
        </c:scaling>
        <c:delete val="0"/>
        <c:axPos val="b"/>
        <c:numFmt formatCode="General" sourceLinked="1"/>
        <c:majorTickMark val="none"/>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42916943"/>
        <c:crosses val="autoZero"/>
        <c:auto val="1"/>
        <c:lblAlgn val="ctr"/>
        <c:lblOffset val="100"/>
        <c:noMultiLvlLbl val="0"/>
      </c:catAx>
      <c:valAx>
        <c:axId val="942916943"/>
        <c:scaling>
          <c:orientation val="minMax"/>
        </c:scaling>
        <c:delete val="0"/>
        <c:axPos val="l"/>
        <c:majorGridlines>
          <c:spPr>
            <a:ln w="9525" cap="flat" cmpd="sng" algn="ctr">
              <a:noFill/>
              <a:round/>
            </a:ln>
            <a:effectLst/>
          </c:spPr>
        </c:majorGridlines>
        <c:numFmt formatCode="&quot;$&quot;#,##0.0_);[Red]\(&quot;$&quot;#,##0.0\)" sourceLinked="0"/>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429165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53340</xdr:colOff>
      <xdr:row>6</xdr:row>
      <xdr:rowOff>27622</xdr:rowOff>
    </xdr:from>
    <xdr:to>
      <xdr:col>11</xdr:col>
      <xdr:colOff>552450</xdr:colOff>
      <xdr:row>17</xdr:row>
      <xdr:rowOff>278130</xdr:rowOff>
    </xdr:to>
    <xdr:graphicFrame macro="">
      <xdr:nvGraphicFramePr>
        <xdr:cNvPr id="2" name="Chart 1">
          <a:extLst>
            <a:ext uri="{FF2B5EF4-FFF2-40B4-BE49-F238E27FC236}">
              <a16:creationId xmlns:a16="http://schemas.microsoft.com/office/drawing/2014/main" id="{CED9D5AF-9478-E660-E050-26F01CB13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345186</xdr:colOff>
      <xdr:row>1</xdr:row>
      <xdr:rowOff>6255</xdr:rowOff>
    </xdr:from>
    <xdr:to>
      <xdr:col>17</xdr:col>
      <xdr:colOff>359516</xdr:colOff>
      <xdr:row>18</xdr:row>
      <xdr:rowOff>11175</xdr:rowOff>
    </xdr:to>
    <xdr:pic>
      <xdr:nvPicPr>
        <xdr:cNvPr id="2" name="Picture 1">
          <a:extLst>
            <a:ext uri="{FF2B5EF4-FFF2-40B4-BE49-F238E27FC236}">
              <a16:creationId xmlns:a16="http://schemas.microsoft.com/office/drawing/2014/main" id="{773E8D0A-7E1B-B2A4-0FBF-C328C1E8DDEA}"/>
            </a:ext>
          </a:extLst>
        </xdr:cNvPr>
        <xdr:cNvPicPr>
          <a:picLocks noChangeAspect="1"/>
        </xdr:cNvPicPr>
      </xdr:nvPicPr>
      <xdr:blipFill>
        <a:blip xmlns:r="http://schemas.openxmlformats.org/officeDocument/2006/relationships" r:embed="rId1"/>
        <a:stretch>
          <a:fillRect/>
        </a:stretch>
      </xdr:blipFill>
      <xdr:spPr>
        <a:xfrm>
          <a:off x="5675523" y="189428"/>
          <a:ext cx="6730676" cy="294179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icholas Douglas" id="{C94DAA81-B367-4C05-B510-FCF9EA669F97}" userId="Nicholas Douglas" providerId="None"/>
  <person displayName="Nicholas Douglas" id="{43D95365-498A-406B-8B15-B1CC91B93845}" userId="S::douglas.n@northeastern.edu::e3f71815-d6a8-4aa0-b68c-38586fea8883" providerId="AD"/>
  <person displayName="Sumukh Sai Nagaraj" id="{2A7C8E4F-4C6A-4F2D-A1A2-5A13BDD496D7}" userId="S::nagaraj.su@northeastern.edu::03dcea47-c3c8-4800-b578-f6c69e3e02a5" providerId="AD"/>
  <person displayName="Isha Kulkarni" id="{36910624-1466-418A-AF2F-E761FE54584C}" userId="S::kulkarni.is@northeastern.edu::c28a4501-9bc8-4db4-bc3a-80161c293c14"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https://www.bing.com/financeapi/forcetrigger?t=a1x6m7&amp;q=XNAS%3aLULU&amp;form=skydnc</v>
    <v>Learn more on Bing</v>
  </rv>
  <rv s="1">
    <v>en-US</v>
    <v>a1x6m7</v>
    <v>268435456</v>
    <v>1</v>
    <v>Powered by Refinitiv</v>
    <v>0</v>
    <v>LULULEMON ATHLETICA INC. (XNAS:LULU)</v>
    <v>2</v>
    <v>3</v>
    <v>Finance</v>
    <v>4</v>
    <v>516.39</v>
    <v>226.01</v>
    <v>1.2515000000000001</v>
    <v>-0.54</v>
    <v>-1.7290000000000001E-3</v>
    <v>-1.97E-3</v>
    <v>-0.47299999999999998</v>
    <v>USD</v>
    <v>lululemon athletica inc. is a technical athletic apparel, footwear, and accessories company. The Company organizes its operations into four regional markets: the Americas, China Mainland, Asia Pacific (APAC), and Europe and the Middle East (EMEA). It conducts its business through a number of different channels in each market, including Company-operated stores, e-commerce, temporary locations, wholesale, outlets, a re-commerce program, and license and supply arrangements. The Company offers a comprehensive line of technical athletic apparel, footwear, and accessories marketed under the lululemon brand. Its apparel assortment includes items such as pants, shorts, tops, and jackets designed for a healthy lifestyle, including athletic activities such as yoga, running, training, and most other activities. It also offers apparel designed for being on the move and fitness-inspired accessories. It operates stores in the United States, Canada, China Mainland, Australia, and South Korea.</v>
    <v>38000</v>
    <v>Nasdaq Stock Market</v>
    <v>XNAS</v>
    <v>XNAS</v>
    <v>1818 Cornwall Ave, 400 - 1818 CORNWALL AVENUE, VANCOUVER, BC, V6J 1C7 CA</v>
    <v>274.49</v>
    <v>Textiles &amp; Apparel</v>
    <v>Stock</v>
    <v>45575.948328807812</v>
    <v>0</v>
    <v>268.16000000000003</v>
    <v>33589194869</v>
    <v>LULULEMON ATHLETICA INC.</v>
    <v>LULULEMON ATHLETICA INC.</v>
    <v>273.67</v>
    <v>21.181100000000001</v>
    <v>274.12</v>
    <v>273.58</v>
    <v>273.10700000000003</v>
    <v>122776500</v>
    <v>LULU</v>
    <v>LULULEMON ATHLETICA INC. (XNAS:LULU)</v>
    <v>1564696</v>
    <v>1995529</v>
    <v>2005</v>
  </rv>
  <rv s="2">
    <v>1</v>
  </rv>
  <rv s="0">
    <v>https://www.bing.com/financeapi/forcetrigger?t=r6dwra&amp;q=US10Y&amp;form=skydnc</v>
    <v>Learn more on Bing</v>
  </rv>
  <rv s="3">
    <v>en-US</v>
    <v>r6dwra</v>
    <v>268435456</v>
    <v>1</v>
    <v>Powered by Refinitiv</v>
    <v>5</v>
    <v>US Treasury 10Y</v>
    <v>6</v>
    <v>7</v>
    <v>Finance</v>
    <v>8</v>
    <v>2.5000000000000001E-5</v>
    <v>2.5390000000000002E-7</v>
    <v>US</v>
    <v>USD</v>
    <v>Bond</v>
    <v>45575.878472222219</v>
    <v>3</v>
    <v>49171</v>
    <v>US Treasury 10Y</v>
    <v>98.453100000000006</v>
    <v>98.453100000000006</v>
    <v>US10Y</v>
    <v>US Treasury 10Y</v>
    <v>3.644E-2</v>
    <v>3.85E-2</v>
    <v>4.6487999999999995E-2</v>
    <v>4.0350000000000004E-2</v>
  </rv>
  <rv s="2">
    <v>4</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1</v>
      <v>1</v>
      <v>1</v>
    </spb>
    <spb s="6">
      <v>3</v>
      <v>1</v>
      <v>1</v>
      <v>10</v>
      <v>5</v>
      <v>1</v>
      <v>7</v>
      <v>5</v>
      <v>5</v>
      <v>5</v>
      <v>5</v>
      <v>9</v>
    </spb>
    <spb s="7">
      <v>GMT</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ichStyles>
</richStyleSheet>
</file>

<file path=xl/theme/theme1.xml><?xml version="1.0" encoding="utf-8"?>
<a:theme xmlns:a="http://schemas.openxmlformats.org/drawingml/2006/main" name="Office Theme">
  <a:themeElements>
    <a:clrScheme name="Northeastern">
      <a:dk1>
        <a:sysClr val="windowText" lastClr="000000"/>
      </a:dk1>
      <a:lt1>
        <a:sysClr val="window" lastClr="FFFFFF"/>
      </a:lt1>
      <a:dk2>
        <a:srgbClr val="D41B2C"/>
      </a:dk2>
      <a:lt2>
        <a:srgbClr val="E5D4AB"/>
      </a:lt2>
      <a:accent1>
        <a:srgbClr val="99A3B0"/>
      </a:accent1>
      <a:accent2>
        <a:srgbClr val="CFC7BF"/>
      </a:accent2>
      <a:accent3>
        <a:srgbClr val="A5A5A5"/>
      </a:accent3>
      <a:accent4>
        <a:srgbClr val="A19994"/>
      </a:accent4>
      <a:accent5>
        <a:srgbClr val="385775"/>
      </a:accent5>
      <a:accent6>
        <a:srgbClr val="006EB5"/>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3" dT="2023-02-24T15:08:25.71" personId="{43D95365-498A-406B-8B15-B1CC91B93845}" id="{7FAE66BA-6DB7-4ECD-8697-67FEA1C66A05}">
    <text>Use WACC function on Bloomberg. Expand details on cost of debt and use the "debt adjustment factor".</text>
  </threadedComment>
  <threadedComment ref="B14" dT="2023-02-24T15:08:39.19" personId="{43D95365-498A-406B-8B15-B1CC91B93845}" id="{15B8CD1C-1384-4DEC-BF82-9A81D31E3F1E}">
    <text>Based on assumption from company fillings &amp; historical average.
Bloomberg's WACC function can also give insight on the approximate value.</text>
  </threadedComment>
  <threadedComment ref="B19" dT="2023-02-01T21:56:23.59" personId="{C94DAA81-B367-4C05-B510-FCF9EA669F97}" id="{316ADEF6-917B-40F7-9D79-EA5550114E09}">
    <text>Note: This is an extra risk premium on top of the US Equity Risk Premium.
In most cases, this will be 0% (since we invest in US Equities). If a US company has significant international sales, we may consider adding in an additional risk premium here.</text>
  </threadedComment>
  <threadedComment ref="B20" dT="2023-02-01T21:56:57.89" personId="{C94DAA81-B367-4C05-B510-FCF9EA669F97}" id="{9C2A2920-93A4-4062-AF7C-FCCB88F09983}">
    <text>Additional risk premium for smaller companies.</text>
  </threadedComment>
  <threadedComment ref="B21" dT="2023-02-01T21:58:11.15" personId="{C94DAA81-B367-4C05-B510-FCF9EA669F97}" id="{D5373565-6335-450B-8BDA-6DD0C3779410}">
    <text>Regression (levered) beta vs. the Russell 3000 Index.
We use the Russell 3K as the base, since this is our portfolio's benchmark.</text>
  </threadedComment>
  <threadedComment ref="B25" dT="2023-02-24T15:08:04.33" personId="{43D95365-498A-406B-8B15-B1CC91B93845}" id="{EB1327CE-AD20-47FC-B9DB-2B74E2E4052B}">
    <text>Must be entered in the same units as the underlying financial data (i.e. all in Thousands, Millions, etc.)</text>
  </threadedComment>
</ThreadedComments>
</file>

<file path=xl/threadedComments/threadedComment2.xml><?xml version="1.0" encoding="utf-8"?>
<ThreadedComments xmlns="http://schemas.microsoft.com/office/spreadsheetml/2018/threadedcomments" xmlns:x="http://schemas.openxmlformats.org/spreadsheetml/2006/main">
  <threadedComment ref="D6" dT="2023-02-22T20:54:24.72" personId="{43D95365-498A-406B-8B15-B1CC91B93845}" id="{87B44FF1-835F-48CD-B211-BFDC197E6CB1}">
    <text>Analyst may need to add or delete rows to reflect company-specific financial statements. As along as summation rows are not adjusted, the template will work.</text>
  </threadedComment>
  <threadedComment ref="E6" dT="2023-02-24T15:10:39.16" personId="{43D95365-498A-406B-8B15-B1CC91B93845}" id="{11394B89-6184-493B-A994-925B563D6BE7}">
    <text>NEVER DELETE THIS COLUMN
(It is structural for workbook automation).</text>
  </threadedComment>
  <threadedComment ref="F6" dT="2023-02-23T20:41:17.59" personId="{43D95365-498A-406B-8B15-B1CC91B93845}" id="{5CFCEE4F-7429-41A3-83E2-0C18054E8187}">
    <text>First Historical Date</text>
  </threadedComment>
  <threadedComment ref="J6" dT="2024-01-18T23:08:26.81" personId="{2A7C8E4F-4C6A-4F2D-A1A2-5A13BDD496D7}" id="{AA4273B6-B36C-4843-A5C3-1F8ABB9647EC}">
    <text>Change the forecasting years if the annual reports are already out. The expectation is at least 5 years of forecasts</text>
  </threadedComment>
  <threadedComment ref="O6" dT="2023-02-24T15:10:32.24" personId="{43D95365-498A-406B-8B15-B1CC91B93845}" id="{01147EA1-6C3A-476A-9986-B69F7B6D379B}">
    <text>NEVER DELETE THIS COLUMN
(It is structural for workbook automation).</text>
  </threadedComment>
  <threadedComment ref="AF12" dT="2024-01-22T08:44:41.18" personId="{2A7C8E4F-4C6A-4F2D-A1A2-5A13BDD496D7}" id="{4E17A871-140C-4F0B-B35F-794DEF022E8D}">
    <text>Use this as the median case for sensitivity analysis to sales growth rate. Let there be a smoother scaling from last value to terminal value.</text>
  </threadedComment>
  <threadedComment ref="AG12" dT="2024-01-22T08:44:41.18" personId="{2A7C8E4F-4C6A-4F2D-A1A2-5A13BDD496D7}" id="{4E17A871-140C-4F0C-B35F-794DEF022E8D}">
    <text>Use this as the median case for sensitivity analysis to sales growth rate. Let there be a smoother scaling from last value to terminal value.</text>
  </threadedComment>
  <threadedComment ref="D15" dT="2024-01-19T01:50:04.62" personId="{2A7C8E4F-4C6A-4F2D-A1A2-5A13BDD496D7}" id="{DDB6D32A-1D69-4747-9A3C-AA893F7AFDBC}">
    <text xml:space="preserve">You can remove COGS 2, if the company only has one COGS segment. </text>
  </threadedComment>
  <threadedComment ref="Z16" dT="2024-01-18T22:53:04.47" personId="{2A7C8E4F-4C6A-4F2D-A1A2-5A13BDD496D7}" id="{C4D6E49F-DC36-4918-BF23-B21CA80AC212}">
    <text>This is percent of total revenues. 
COGS/Net Revenue</text>
  </threadedComment>
  <threadedComment ref="AF18" dT="2024-01-22T08:44:41.18" personId="{2A7C8E4F-4C6A-4F2D-A1A2-5A13BDD496D7}" id="{853F5B4C-D235-4988-BAA7-D95C8946A5D0}">
    <text>Use this as the median case for sensitivity analysis for COGS% change</text>
  </threadedComment>
  <threadedComment ref="Z23" dT="2024-01-19T01:23:05.02" personId="{2A7C8E4F-4C6A-4F2D-A1A2-5A13BDD496D7}" id="{19FE354D-3205-410F-AC58-A6565A20CF70}">
    <text xml:space="preserve">This is percent of total revenues. 
Opex1/Net Revenue
</text>
  </threadedComment>
  <threadedComment ref="AF29" dT="2024-01-22T08:44:41.18" personId="{2A7C8E4F-4C6A-4F2D-A1A2-5A13BDD496D7}" id="{C9943A49-1176-4FEE-8E76-B475E00BACA2}">
    <text>Use this as the median case for sensitivity analysis for opex% change</text>
  </threadedComment>
  <threadedComment ref="AF35" dT="2024-01-22T08:44:41.18" personId="{2A7C8E4F-4C6A-4F2D-A1A2-5A13BDD496D7}" id="{ADA871E5-AC8A-447D-9CBC-3015753144D3}">
    <text>Use this as the median case for sensitivity analysis for opex% change</text>
  </threadedComment>
  <threadedComment ref="J50" dT="2024-01-19T03:37:56.88" personId="{2A7C8E4F-4C6A-4F2D-A1A2-5A13BDD496D7}" id="{08BA35F0-BB4E-4194-95D7-842FB1605926}">
    <text>See how the company derives the adjusted Ebitda. Or use dividend payout ratio. Use your creativity</text>
  </threadedComment>
  <threadedComment ref="K50" dT="2024-01-19T03:37:56.88" personId="{2A7C8E4F-4C6A-4F2D-A1A2-5A13BDD496D7}" id="{519FF375-419A-4751-BC9C-4B95849EFDE8}">
    <text>See how the company derives the adjusted Ebitda. Or use dividend payout ratio. Use your creativity</text>
  </threadedComment>
  <threadedComment ref="L50" dT="2024-01-19T03:37:56.88" personId="{2A7C8E4F-4C6A-4F2D-A1A2-5A13BDD496D7}" id="{274F6EC3-88BB-4936-AD46-D2B9EE76D1B4}">
    <text>See how the company derives the adjusted Ebitda. Or use dividend payout ratio. Use your creativity</text>
  </threadedComment>
  <threadedComment ref="M50" dT="2024-01-19T03:37:56.88" personId="{2A7C8E4F-4C6A-4F2D-A1A2-5A13BDD496D7}" id="{BC890B23-27E8-4968-BBD2-4303C2FDE162}">
    <text>See how the company derives the adjusted Ebitda. Or use dividend payout ratio. Use your creativity</text>
  </threadedComment>
  <threadedComment ref="N50" dT="2024-01-19T03:37:56.88" personId="{2A7C8E4F-4C6A-4F2D-A1A2-5A13BDD496D7}" id="{0FDBC501-8AE6-4D05-9032-7073B6F0490E}">
    <text>See how the company derives the adjusted Ebitda. Or use dividend payout ratio. Use your creativity</text>
  </threadedComment>
  <threadedComment ref="D51" dT="2023-02-24T00:44:52.20" personId="{43D95365-498A-406B-8B15-B1CC91B93845}" id="{778F1D4F-5238-4D63-B6FB-A65BB1B812C6}">
    <text>Historicals: Pull from Balance Sheet
Projections: Calculate and link back to Balance Sheet.</text>
  </threadedComment>
  <threadedComment ref="B53" dT="2022-11-10T20:40:11.04" personId="{C94DAA81-B367-4C05-B510-FCF9EA669F97}" id="{23539609-81A9-46E2-9142-AA485C480600}">
    <text>ST = Short Term
LT = Long Term
NO = "Non-Operating"
FC = "Financial Claims"</text>
  </threadedComment>
  <threadedComment ref="D53" dT="2023-02-22T20:36:41.53" personId="{43D95365-498A-406B-8B15-B1CC91B93845}" id="{A095366A-69C9-48CE-92F2-10E9A24067B5}">
    <text>Recommendation:
Enter historicals here, and link historical schedules (below) back to here. Then, use schedules to project future balances, and link projections back to the balance sheet.
Working Capital and other operating items should be projected line by line (via the "Supplementary Schedules" section below), and linked back to this balance sheet.
Non-operating items or items that cannot be reasonably predicted should be entered here directly. OK to hold at value, but any change in value must be reconciled in Owner's Equity or the Statement of Cash Flows!</text>
  </threadedComment>
  <threadedComment ref="D105" dT="2022-11-10T20:46:21.44" personId="{C94DAA81-B367-4C05-B510-FCF9EA669F97}" id="{FAE78D81-EF7C-4D3C-AA6A-80EAD8F622E8}">
    <text>Increase = Use of Cash</text>
  </threadedComment>
  <threadedComment ref="D107" dT="2023-02-22T20:40:17.19" personId="{43D95365-498A-406B-8B15-B1CC91B93845}" id="{AABFFF60-289F-4A8D-9FD0-5FE5967A174B}">
    <text>Does not need to be reproduced historically.</text>
  </threadedComment>
  <threadedComment ref="D140" dT="2023-02-23T20:43:52.90" personId="{43D95365-498A-406B-8B15-B1CC91B93845}" id="{2487323F-B302-42FB-8A9F-665EBA57D50C}">
    <text>Can add or remove new sections as needed, but remember to link to the Balance Sheet and Statement of Cash Flows.</text>
  </threadedComment>
  <threadedComment ref="D147" dT="2023-02-24T00:47:11.52" personId="{43D95365-498A-406B-8B15-B1CC91B93845}" id="{C6693425-A34B-45DF-BA50-F97E57E8C13A}">
    <text>= Average Balance / Sales * 365
Calculate based off of historical values, and then use this to project future periods (by inverting the formula).</text>
  </threadedComment>
  <threadedComment ref="D153" dT="2023-02-24T00:48:05.12" personId="{43D95365-498A-406B-8B15-B1CC91B93845}" id="{0FC46834-0EE0-4E6B-9AF8-BF553D880585}">
    <text>= Average Balance / ABS(COGS) * 365
Calculate based off of historical values, and then use this to project future periods (by inverting the formula).</text>
  </threadedComment>
  <threadedComment ref="D159" dT="2023-02-24T00:48:24.53" personId="{43D95365-498A-406B-8B15-B1CC91B93845}" id="{511F60FC-6802-4CB3-9AD6-216549A00F42}">
    <text>= Average Balance / Sales
Calculate based off of historical values, and then use this to project future periods (by inverting the formula).</text>
  </threadedComment>
  <threadedComment ref="D165" dT="2023-02-24T00:48:34.40" personId="{43D95365-498A-406B-8B15-B1CC91B93845}" id="{E5E1F79C-3076-46C1-A83E-029D69AA99A5}">
    <text>= Average Balance / Sales
Calculate based off of historical values, and then use this to project future periods (by inverting the formula).</text>
  </threadedComment>
  <threadedComment ref="D171" dT="2023-02-24T00:48:54.07" personId="{43D95365-498A-406B-8B15-B1CC91B93845}" id="{011630FE-28A9-4AC4-AE83-859471B1DCC9}">
    <text>= Average Balance / ABS(COGS) * 365
Calculate based off of historical values, and then use this to project future periods (by inverting the formula).</text>
  </threadedComment>
  <threadedComment ref="D177" dT="2023-02-24T00:49:27.24" personId="{43D95365-498A-406B-8B15-B1CC91B93845}" id="{59121CB9-C33E-4C62-909C-438DB382DF5E}">
    <text>= Average Balance / ABS(COGS) * 365
Calculate based off of historical values, and then use this to project future periods (by inverting the formula).</text>
  </threadedComment>
  <threadedComment ref="D183" dT="2023-02-24T00:49:34.76" personId="{43D95365-498A-406B-8B15-B1CC91B93845}" id="{515052DB-371D-45A2-AB28-41AA8739BE13}">
    <text>= Average Balance / ABS(COGS) * 365
Calculate based off of historical values, and then use this to project future periods (by inverting the formula).</text>
  </threadedComment>
  <threadedComment ref="D186" dT="2023-02-24T00:57:12.40" personId="{43D95365-498A-406B-8B15-B1CC91B93845}" id="{4E6C9C25-D677-4E89-A424-96BDC8DAE370}">
    <text>General Check: For mature businesses, Capex and depreciation should be reasonably close.
For Growth businesses, Capex likely to be higher.</text>
  </threadedComment>
  <threadedComment ref="D197" dT="2024-01-19T02:42:38.54" personId="{2A7C8E4F-4C6A-4F2D-A1A2-5A13BDD496D7}" id="{0277329B-D894-4E4A-9B79-7DDD20783211}">
    <text>Add the impairment charges along with amortization for companies that have large impairment. Goodwill is usually considered to have no amortization, and only impaired</text>
  </threadedComment>
  <threadedComment ref="D223" dT="2024-01-22T20:21:22.17" personId="{2A7C8E4F-4C6A-4F2D-A1A2-5A13BDD496D7}" id="{A63E2080-0A3F-480C-B3EC-E466F4842BFD}">
    <text>Enter the number you get for Sales growth CAGR</text>
  </threadedComment>
  <threadedComment ref="D231" dT="2024-01-22T20:21:43.57" personId="{2A7C8E4F-4C6A-4F2D-A1A2-5A13BDD496D7}" id="{8350ADA5-BD3A-4897-B28D-E2E4E3CA84D5}">
    <text xml:space="preserve">Enter the average COGS% of sales </text>
  </threadedComment>
  <threadedComment ref="D239" dT="2024-01-22T20:21:59.92" personId="{2A7C8E4F-4C6A-4F2D-A1A2-5A13BDD496D7}" id="{8287B55F-0CD3-45F8-A3F4-6A1325977465}">
    <text>Enter the average OPEX% of sales</text>
  </threadedComment>
</ThreadedComments>
</file>

<file path=xl/threadedComments/threadedComment3.xml><?xml version="1.0" encoding="utf-8"?>
<ThreadedComments xmlns="http://schemas.microsoft.com/office/spreadsheetml/2018/threadedcomments" xmlns:x="http://schemas.openxmlformats.org/spreadsheetml/2006/main">
  <threadedComment ref="L27" dT="2023-01-07T23:42:42.80" personId="{C94DAA81-B367-4C05-B510-FCF9EA669F97}" id="{ABFD7733-55D4-42D2-B0E0-55D0AEA37538}">
    <text>Use to test impact of different WACC rates.</text>
  </threadedComment>
</ThreadedComments>
</file>

<file path=xl/threadedComments/threadedComment4.xml><?xml version="1.0" encoding="utf-8"?>
<ThreadedComments xmlns="http://schemas.microsoft.com/office/spreadsheetml/2018/threadedcomments" xmlns:x="http://schemas.openxmlformats.org/spreadsheetml/2006/main">
  <threadedComment ref="L27" dT="2023-01-07T23:42:42.80" personId="{C94DAA81-B367-4C05-B510-FCF9EA669F97}" id="{FBACC716-A198-4C71-B204-243078287F77}">
    <text>Use to test impact of different WACC rates.</text>
  </threadedComment>
  <threadedComment ref="B47" dT="2024-05-06T22:29:21.71" personId="{36910624-1466-418A-AF2F-E761FE54584C}" id="{6DF238B5-94A0-4F46-9B03-20DD2BA70741}">
    <text>This period only considers the period beyond your years of projection. For eg., if your high growth period starting today is 12 years, the input value here will be 6 years.</text>
  </threadedComment>
</ThreadedComment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forensiceconomics.com/wp-content/uploads/2013/09/Effect-of-Liquidity-on-Size-Premium.pdf" TargetMode="External"/><Relationship Id="rId7" Type="http://schemas.microsoft.com/office/2017/10/relationships/threadedComment" Target="../threadedComments/threadedComment1.xml"/><Relationship Id="rId2" Type="http://schemas.openxmlformats.org/officeDocument/2006/relationships/hyperlink" Target="http://pages.stern.nyu.edu/~adamodar/New_Home_Page/datafile/Betas.html" TargetMode="External"/><Relationship Id="rId1" Type="http://schemas.openxmlformats.org/officeDocument/2006/relationships/hyperlink" Target="http://pages.stern.nyu.edu/~adamodar/New_Home_Page/datafile/ctryprem.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pages.stern.nyu.edu/~adamodar/New_Home_Page/datafile/ctryprem.html"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507B1-1BCD-4CEE-A385-E9AB2812D1E0}">
  <sheetPr>
    <tabColor theme="1"/>
  </sheetPr>
  <dimension ref="A1:D9"/>
  <sheetViews>
    <sheetView showGridLines="0" workbookViewId="0">
      <selection activeCell="B17" sqref="B17"/>
    </sheetView>
  </sheetViews>
  <sheetFormatPr defaultColWidth="8.81640625" defaultRowHeight="14.5" x14ac:dyDescent="0.35"/>
  <sheetData>
    <row r="1" spans="1:4" ht="18.5" x14ac:dyDescent="0.45">
      <c r="A1" s="423" t="s">
        <v>0</v>
      </c>
    </row>
    <row r="2" spans="1:4" ht="6" customHeight="1" x14ac:dyDescent="0.35"/>
    <row r="3" spans="1:4" x14ac:dyDescent="0.35">
      <c r="A3" s="436" t="s">
        <v>1</v>
      </c>
      <c r="B3" s="436" t="s">
        <v>2</v>
      </c>
    </row>
    <row r="4" spans="1:4" x14ac:dyDescent="0.35">
      <c r="A4" s="436" t="s">
        <v>3</v>
      </c>
      <c r="B4" s="436" t="s">
        <v>4</v>
      </c>
    </row>
    <row r="5" spans="1:4" x14ac:dyDescent="0.35">
      <c r="B5" s="431" t="s">
        <v>5</v>
      </c>
    </row>
    <row r="6" spans="1:4" x14ac:dyDescent="0.35">
      <c r="B6" s="432" t="s">
        <v>6</v>
      </c>
    </row>
    <row r="7" spans="1:4" x14ac:dyDescent="0.35">
      <c r="B7" s="433" t="s">
        <v>7</v>
      </c>
    </row>
    <row r="8" spans="1:4" x14ac:dyDescent="0.35">
      <c r="B8" s="434" t="s">
        <v>8</v>
      </c>
    </row>
    <row r="9" spans="1:4" x14ac:dyDescent="0.35">
      <c r="B9" s="435" t="s">
        <v>9</v>
      </c>
      <c r="C9" s="424"/>
      <c r="D9" s="4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149AF-41FF-470D-8E65-9BB5B7D9B6CE}">
  <dimension ref="A1"/>
  <sheetViews>
    <sheetView workbookViewId="0"/>
  </sheetViews>
  <sheetFormatPr defaultColWidth="8.81640625" defaultRowHeight="14.5" x14ac:dyDescent="0.35"/>
  <sheetData>
    <row r="1" spans="1:1" x14ac:dyDescent="0.35">
      <c r="A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50F5E-0263-43FA-9A49-BC47D00A981B}">
  <sheetPr>
    <tabColor theme="3"/>
  </sheetPr>
  <dimension ref="B1:L37"/>
  <sheetViews>
    <sheetView showGridLines="0" view="pageBreakPreview" zoomScaleNormal="100" zoomScaleSheetLayoutView="100" workbookViewId="0">
      <selection activeCell="B2" sqref="B2"/>
    </sheetView>
  </sheetViews>
  <sheetFormatPr defaultColWidth="8.81640625" defaultRowHeight="14.5" x14ac:dyDescent="0.35"/>
  <cols>
    <col min="1" max="1" width="1.1796875" customWidth="1"/>
    <col min="2" max="2" width="2.453125" customWidth="1"/>
    <col min="3" max="3" width="41.1796875" customWidth="1"/>
    <col min="5" max="7" width="10.453125" customWidth="1"/>
    <col min="9" max="9" width="4.453125" customWidth="1"/>
    <col min="10" max="10" width="16.453125" customWidth="1"/>
    <col min="11" max="11" width="9.453125" bestFit="1" customWidth="1"/>
    <col min="13" max="13" width="3.453125" customWidth="1"/>
    <col min="14" max="14" width="20.1796875" customWidth="1"/>
    <col min="15" max="15" width="17.453125" customWidth="1"/>
    <col min="16" max="16" width="13.453125" customWidth="1"/>
  </cols>
  <sheetData>
    <row r="1" spans="2:12" ht="11.25" customHeight="1" x14ac:dyDescent="0.35">
      <c r="B1" s="158"/>
      <c r="C1" s="159"/>
      <c r="D1" s="159"/>
      <c r="E1" s="159"/>
      <c r="F1" s="126"/>
      <c r="G1" s="126"/>
      <c r="H1" s="126"/>
      <c r="I1" s="126"/>
      <c r="J1" s="126"/>
      <c r="K1" s="126"/>
      <c r="L1" s="126"/>
    </row>
    <row r="2" spans="2:12" ht="9" customHeight="1" x14ac:dyDescent="0.35">
      <c r="B2" s="127"/>
      <c r="C2" s="127"/>
      <c r="D2" s="127"/>
      <c r="E2" s="127"/>
      <c r="F2" s="127"/>
      <c r="G2" s="127"/>
      <c r="H2" s="127"/>
      <c r="I2" s="127"/>
      <c r="J2" s="127"/>
      <c r="K2" s="127"/>
      <c r="L2" s="127"/>
    </row>
    <row r="3" spans="2:12" ht="38.5" customHeight="1" x14ac:dyDescent="0.35">
      <c r="B3" s="128"/>
      <c r="C3" s="283" t="str">
        <f>Comp_Name</f>
        <v>LULULEMON ATHLETICA INC.</v>
      </c>
      <c r="D3" s="180" t="s">
        <v>263</v>
      </c>
      <c r="E3" s="128"/>
      <c r="F3" s="128"/>
      <c r="G3" s="128"/>
      <c r="H3" s="128"/>
      <c r="I3" s="128"/>
      <c r="J3" s="128"/>
      <c r="K3" s="128"/>
      <c r="L3" s="128"/>
    </row>
    <row r="4" spans="2:12" ht="9" customHeight="1" x14ac:dyDescent="0.35">
      <c r="B4" s="129"/>
      <c r="C4" s="129"/>
      <c r="D4" s="129"/>
      <c r="E4" s="129"/>
      <c r="F4" s="129"/>
      <c r="G4" s="129"/>
      <c r="H4" s="129"/>
      <c r="I4" s="129"/>
      <c r="J4" s="129"/>
      <c r="K4" s="129"/>
      <c r="L4" s="129"/>
    </row>
    <row r="5" spans="2:12" ht="6" customHeight="1" x14ac:dyDescent="0.35">
      <c r="B5" s="158"/>
      <c r="C5" s="159"/>
      <c r="D5" s="159"/>
      <c r="E5" s="159"/>
      <c r="F5" s="126"/>
      <c r="G5" s="126"/>
      <c r="H5" s="126"/>
      <c r="I5" s="126"/>
      <c r="J5" s="126"/>
      <c r="K5" s="126"/>
      <c r="L5" s="126"/>
    </row>
    <row r="6" spans="2:12" ht="15.5" x14ac:dyDescent="0.35">
      <c r="B6" s="130"/>
      <c r="C6" s="131"/>
      <c r="D6" s="131"/>
      <c r="E6" s="131"/>
      <c r="F6" s="132"/>
      <c r="G6" s="132"/>
      <c r="H6" s="132"/>
      <c r="I6" s="132"/>
      <c r="J6" s="132"/>
      <c r="K6" s="133"/>
      <c r="L6" s="133"/>
    </row>
    <row r="7" spans="2:12" x14ac:dyDescent="0.35">
      <c r="B7" s="134"/>
      <c r="C7" s="135"/>
      <c r="D7" s="135"/>
      <c r="E7" s="136"/>
      <c r="F7" s="135"/>
      <c r="G7" s="135"/>
      <c r="H7" s="135"/>
      <c r="I7" s="135"/>
      <c r="J7" s="135"/>
      <c r="K7" s="137"/>
      <c r="L7" s="137"/>
    </row>
    <row r="8" spans="2:12" x14ac:dyDescent="0.35">
      <c r="B8" s="134"/>
      <c r="C8" s="135"/>
      <c r="D8" s="135"/>
      <c r="E8" s="136"/>
      <c r="F8" s="135"/>
      <c r="G8" s="135"/>
      <c r="H8" s="135"/>
      <c r="I8" s="135"/>
      <c r="J8" s="135"/>
      <c r="K8" s="137"/>
      <c r="L8" s="137"/>
    </row>
    <row r="9" spans="2:12" x14ac:dyDescent="0.35">
      <c r="B9" s="134"/>
      <c r="C9" s="135"/>
      <c r="D9" s="135"/>
      <c r="E9" s="136"/>
      <c r="F9" s="135"/>
      <c r="G9" s="135"/>
      <c r="H9" s="135"/>
      <c r="I9" s="135"/>
      <c r="J9" s="135"/>
      <c r="K9" s="137"/>
      <c r="L9" s="137"/>
    </row>
    <row r="10" spans="2:12" x14ac:dyDescent="0.35">
      <c r="B10" s="134"/>
      <c r="C10" s="135"/>
      <c r="D10" s="135"/>
      <c r="E10" s="136"/>
      <c r="F10" s="135"/>
      <c r="G10" s="135"/>
      <c r="H10" s="135"/>
      <c r="I10" s="135"/>
      <c r="J10" s="135"/>
      <c r="K10" s="137"/>
      <c r="L10" s="137"/>
    </row>
    <row r="11" spans="2:12" x14ac:dyDescent="0.35">
      <c r="B11" s="134"/>
      <c r="C11" s="135"/>
      <c r="D11" s="135"/>
      <c r="E11" s="136"/>
      <c r="F11" s="135"/>
      <c r="G11" s="135"/>
      <c r="H11" s="135"/>
      <c r="I11" s="135"/>
      <c r="J11" s="135"/>
      <c r="K11" s="137"/>
      <c r="L11" s="137"/>
    </row>
    <row r="12" spans="2:12" x14ac:dyDescent="0.35">
      <c r="B12" s="134"/>
      <c r="C12" s="135"/>
      <c r="D12" s="135"/>
      <c r="E12" s="136"/>
      <c r="F12" s="135"/>
      <c r="G12" s="135"/>
      <c r="H12" s="135"/>
      <c r="I12" s="135"/>
      <c r="J12" s="135"/>
      <c r="K12" s="137"/>
      <c r="L12" s="137"/>
    </row>
    <row r="13" spans="2:12" x14ac:dyDescent="0.35">
      <c r="B13" s="134"/>
      <c r="C13" s="135"/>
      <c r="D13" s="135"/>
      <c r="E13" s="136"/>
      <c r="F13" s="135"/>
      <c r="G13" s="135"/>
      <c r="H13" s="135"/>
      <c r="I13" s="135"/>
      <c r="J13" s="135"/>
      <c r="K13" s="137"/>
      <c r="L13" s="137"/>
    </row>
    <row r="14" spans="2:12" x14ac:dyDescent="0.35">
      <c r="B14" s="134"/>
      <c r="C14" s="135"/>
      <c r="D14" s="135"/>
      <c r="E14" s="136"/>
      <c r="F14" s="135"/>
      <c r="G14" s="135"/>
      <c r="H14" s="135"/>
      <c r="I14" s="135"/>
      <c r="J14" s="135"/>
      <c r="K14" s="137"/>
      <c r="L14" s="137"/>
    </row>
    <row r="15" spans="2:12" x14ac:dyDescent="0.35">
      <c r="B15" s="134"/>
      <c r="C15" s="135"/>
      <c r="D15" s="135"/>
      <c r="E15" s="136"/>
      <c r="F15" s="135"/>
      <c r="G15" s="135"/>
      <c r="H15" s="135"/>
      <c r="I15" s="135"/>
      <c r="J15" s="135"/>
      <c r="K15" s="137"/>
      <c r="L15" s="137"/>
    </row>
    <row r="16" spans="2:12" x14ac:dyDescent="0.35">
      <c r="B16" s="134"/>
      <c r="C16" s="135"/>
      <c r="D16" s="135"/>
      <c r="E16" s="136"/>
      <c r="F16" s="135"/>
      <c r="G16" s="135"/>
      <c r="H16" s="135"/>
      <c r="I16" s="135"/>
      <c r="J16" s="135"/>
      <c r="K16" s="137"/>
      <c r="L16" s="137"/>
    </row>
    <row r="17" spans="2:12" x14ac:dyDescent="0.35">
      <c r="B17" s="134"/>
      <c r="C17" s="135"/>
      <c r="D17" s="135"/>
      <c r="E17" s="136"/>
      <c r="F17" s="135"/>
      <c r="G17" s="135"/>
      <c r="H17" s="135"/>
      <c r="I17" s="135"/>
      <c r="J17" s="135"/>
      <c r="K17" s="137"/>
      <c r="L17" s="137"/>
    </row>
    <row r="18" spans="2:12" ht="26.5" customHeight="1" x14ac:dyDescent="0.35">
      <c r="B18" s="134"/>
      <c r="C18" s="135"/>
      <c r="D18" s="135"/>
      <c r="E18" s="136"/>
      <c r="F18" s="135"/>
      <c r="G18" s="135"/>
      <c r="H18" s="135"/>
      <c r="I18" s="135"/>
      <c r="J18" s="135"/>
      <c r="K18" s="137"/>
      <c r="L18" s="137"/>
    </row>
    <row r="19" spans="2:12" ht="15.5" x14ac:dyDescent="0.35">
      <c r="B19" s="130" t="s">
        <v>264</v>
      </c>
      <c r="C19" s="131"/>
      <c r="D19" s="131"/>
      <c r="E19" s="131"/>
      <c r="F19" s="132"/>
      <c r="G19" s="132"/>
      <c r="H19" s="132"/>
      <c r="I19" s="132"/>
      <c r="J19" s="132"/>
      <c r="K19" s="133"/>
      <c r="L19" s="133"/>
    </row>
    <row r="20" spans="2:12" x14ac:dyDescent="0.35">
      <c r="B20" s="134"/>
      <c r="C20" s="135"/>
      <c r="D20" s="135"/>
      <c r="E20" s="136"/>
      <c r="F20" s="135"/>
      <c r="G20" s="135"/>
      <c r="H20" s="135"/>
      <c r="I20" s="135"/>
      <c r="J20" s="135"/>
      <c r="K20" s="137"/>
      <c r="L20" s="137"/>
    </row>
    <row r="21" spans="2:12" x14ac:dyDescent="0.35">
      <c r="B21" s="138" t="s">
        <v>265</v>
      </c>
      <c r="C21" s="138"/>
      <c r="D21" s="138"/>
      <c r="E21" s="195" t="s">
        <v>266</v>
      </c>
      <c r="F21" s="196" t="s">
        <v>267</v>
      </c>
      <c r="G21" s="197" t="s">
        <v>268</v>
      </c>
      <c r="H21" s="198" t="s">
        <v>269</v>
      </c>
      <c r="I21" s="135"/>
      <c r="J21" s="183" t="s">
        <v>270</v>
      </c>
      <c r="K21" s="462">
        <f ca="1">DCF!$E$31</f>
        <v>45688</v>
      </c>
      <c r="L21" s="205" t="s">
        <v>271</v>
      </c>
    </row>
    <row r="22" spans="2:12" x14ac:dyDescent="0.35">
      <c r="B22" s="139" t="s">
        <v>272</v>
      </c>
      <c r="C22" s="140"/>
      <c r="D22" s="141"/>
      <c r="E22" s="142">
        <f ca="1">IFERROR(F22*0.9,"--")</f>
        <v>234.63354943887632</v>
      </c>
      <c r="F22" s="215">
        <f ca="1">IFERROR(MAX(DCF_Equity_Value_PerShare*(1+Cost_of_Equity),0),"--")</f>
        <v>260.70394382097368</v>
      </c>
      <c r="G22" s="142">
        <f ca="1">IFERROR(F22*1.1,"--")</f>
        <v>286.77433820307107</v>
      </c>
      <c r="H22" s="194">
        <v>0.6</v>
      </c>
      <c r="I22" s="137"/>
      <c r="J22" s="184" t="s">
        <v>273</v>
      </c>
      <c r="K22" s="143">
        <f ca="1">INDEX(Financials!$12:$12,MATCH(K$21,Financials!$6:$6,0))*Scaler/(10^9)</f>
        <v>10.58123</v>
      </c>
      <c r="L22" s="206">
        <f ca="1">K22/Shares_Out*(10^9)/Scaler</f>
        <v>86.182860726604844</v>
      </c>
    </row>
    <row r="23" spans="2:12" x14ac:dyDescent="0.35">
      <c r="B23" s="181" t="s">
        <v>274</v>
      </c>
      <c r="C23" s="144"/>
      <c r="D23" s="137"/>
      <c r="E23" s="142">
        <f t="shared" ref="E23:E24" ca="1" si="0">IFERROR(F23*0.9,"--")</f>
        <v>391.98731890157006</v>
      </c>
      <c r="F23" s="216">
        <f ca="1">IFERROR('PE Multiples'!$D$30,"--")</f>
        <v>435.54146544618897</v>
      </c>
      <c r="G23" s="142">
        <f t="shared" ref="G23:G24" ca="1" si="1">IFERROR(F23*1.1,"--")</f>
        <v>479.09561199080792</v>
      </c>
      <c r="H23" s="194">
        <v>0.2</v>
      </c>
      <c r="I23" s="137"/>
      <c r="J23" s="185" t="s">
        <v>275</v>
      </c>
      <c r="K23" s="143">
        <f ca="1">INDEX(Financials!$19:$19,MATCH(K$21,Financials!$6:$6,0))*Scaler/(10^9)</f>
        <v>6.6132687499999987</v>
      </c>
      <c r="L23" s="206">
        <f ca="1">K23/Shares_Out*(10^9)/Scaler</f>
        <v>53.864287954128017</v>
      </c>
    </row>
    <row r="24" spans="2:12" x14ac:dyDescent="0.35">
      <c r="B24" s="181" t="s">
        <v>320</v>
      </c>
      <c r="C24" s="144"/>
      <c r="D24" s="137"/>
      <c r="E24" s="142">
        <f t="shared" ca="1" si="0"/>
        <v>425.80649762966198</v>
      </c>
      <c r="F24" s="216">
        <f ca="1">IFERROR('EV-Sales Multiples'!$D$34,"--")</f>
        <v>473.11833069962438</v>
      </c>
      <c r="G24" s="142">
        <f t="shared" ca="1" si="1"/>
        <v>520.4301637695869</v>
      </c>
      <c r="H24" s="194">
        <v>0.2</v>
      </c>
      <c r="I24" s="137"/>
      <c r="J24" s="185" t="s">
        <v>276</v>
      </c>
      <c r="K24" s="143">
        <f ca="1">INDEX(Financials!$30:$30,MATCH(K$21,Financials!$6:$6,0))*Scaler/(10^9)</f>
        <v>2.3774792705694647</v>
      </c>
      <c r="L24" s="206">
        <f ca="1">K24/Shares_Out*(10^9)/Scaler</f>
        <v>19.364286085443585</v>
      </c>
    </row>
    <row r="25" spans="2:12" x14ac:dyDescent="0.35">
      <c r="B25" s="181"/>
      <c r="C25" s="145"/>
      <c r="D25" s="135"/>
      <c r="E25" s="142"/>
      <c r="F25" s="217"/>
      <c r="G25" s="142"/>
      <c r="H25" s="194"/>
      <c r="I25" s="146"/>
      <c r="J25" s="185" t="s">
        <v>86</v>
      </c>
      <c r="K25" s="143">
        <f ca="1">INDEX(Financials!$43:$43,MATCH(K$21,Financials!$6:$6,0))*Scaler/(10^9)</f>
        <v>1.7025868068700478</v>
      </c>
      <c r="L25" s="206">
        <f ca="1">K25/Shares_Out*(10^9)/Scaler</f>
        <v>13.86736718240093</v>
      </c>
    </row>
    <row r="26" spans="2:12" x14ac:dyDescent="0.35">
      <c r="B26" s="147" t="s">
        <v>277</v>
      </c>
      <c r="C26" s="148"/>
      <c r="D26" s="148"/>
      <c r="E26" s="218">
        <f ca="1">SUMPRODUCT(E22:E25,$H$22:$H$25)</f>
        <v>304.33889296957221</v>
      </c>
      <c r="F26" s="149">
        <f ca="1">SUMPRODUCT(F22:F25,$H$22:$H$25)</f>
        <v>338.1543255217469</v>
      </c>
      <c r="G26" s="218">
        <f ca="1">SUMPRODUCT(G22:G25,$H$22:$H$25)</f>
        <v>371.96975807392164</v>
      </c>
      <c r="H26" s="150">
        <f>SUM(H22:H25)</f>
        <v>1</v>
      </c>
      <c r="I26" s="146"/>
      <c r="J26" s="286"/>
      <c r="K26" s="287"/>
      <c r="L26" s="287"/>
    </row>
    <row r="27" spans="2:12" x14ac:dyDescent="0.35">
      <c r="B27" s="285"/>
      <c r="C27" s="285"/>
      <c r="D27" s="285"/>
      <c r="E27" s="285"/>
      <c r="F27" s="285"/>
      <c r="G27" s="285"/>
      <c r="H27" s="285"/>
      <c r="I27" s="285"/>
      <c r="J27" s="286"/>
      <c r="K27" s="287"/>
      <c r="L27" s="287"/>
    </row>
    <row r="28" spans="2:12" x14ac:dyDescent="0.35">
      <c r="B28" s="288" t="s">
        <v>278</v>
      </c>
      <c r="C28" s="288"/>
      <c r="D28" s="288"/>
      <c r="E28" s="288"/>
      <c r="F28" s="289">
        <f>Current_Price</f>
        <v>286.76</v>
      </c>
      <c r="G28" s="288"/>
      <c r="H28" s="288"/>
      <c r="I28" s="285"/>
      <c r="J28" s="285"/>
      <c r="K28" s="285"/>
      <c r="L28" s="285"/>
    </row>
    <row r="29" spans="2:12" x14ac:dyDescent="0.35">
      <c r="B29" s="290" t="s">
        <v>279</v>
      </c>
      <c r="C29" s="290"/>
      <c r="D29" s="290"/>
      <c r="E29" s="290"/>
      <c r="F29" s="291">
        <f ca="1">F26/F28-1</f>
        <v>0.17922417883159047</v>
      </c>
      <c r="G29" s="290"/>
      <c r="H29" s="290"/>
      <c r="I29" s="285"/>
      <c r="J29" s="285"/>
      <c r="K29" s="285"/>
      <c r="L29" s="285"/>
    </row>
    <row r="30" spans="2:12" x14ac:dyDescent="0.35">
      <c r="B30" s="292" t="s">
        <v>280</v>
      </c>
      <c r="C30" s="292"/>
      <c r="D30" s="292"/>
      <c r="E30" s="292"/>
      <c r="F30" s="293">
        <f ca="1">F29-Cost_of_Equity</f>
        <v>6.5751778831590474E-2</v>
      </c>
      <c r="G30" s="292"/>
      <c r="H30" s="292"/>
      <c r="I30" s="285"/>
      <c r="J30" s="182"/>
      <c r="K30" s="182"/>
      <c r="L30" s="182"/>
    </row>
    <row r="31" spans="2:12" x14ac:dyDescent="0.35">
      <c r="B31" s="193"/>
      <c r="C31" s="193"/>
      <c r="D31" s="193"/>
      <c r="E31" s="193"/>
      <c r="F31" s="193"/>
      <c r="G31" s="193"/>
      <c r="H31" s="193"/>
      <c r="I31" s="182"/>
      <c r="J31" s="182"/>
      <c r="K31" s="182"/>
      <c r="L31" s="182"/>
    </row>
    <row r="32" spans="2:12" ht="15.5" x14ac:dyDescent="0.35">
      <c r="B32" s="151" t="s">
        <v>281</v>
      </c>
      <c r="C32" s="152"/>
      <c r="D32" s="152"/>
      <c r="E32" s="152"/>
      <c r="F32" s="153"/>
      <c r="G32" s="153"/>
      <c r="H32" s="153"/>
    </row>
    <row r="33" spans="2:8" x14ac:dyDescent="0.35">
      <c r="B33" s="154"/>
      <c r="C33" s="155"/>
      <c r="D33" s="162" t="s">
        <v>227</v>
      </c>
      <c r="E33" s="162" t="s">
        <v>267</v>
      </c>
      <c r="F33" s="282" t="s">
        <v>282</v>
      </c>
      <c r="G33" s="162" t="s">
        <v>228</v>
      </c>
      <c r="H33" s="162" t="s">
        <v>283</v>
      </c>
    </row>
    <row r="34" spans="2:8" x14ac:dyDescent="0.35">
      <c r="B34" s="294" t="str">
        <f>B22&amp;" "&amp;TEXT(H22,"(0%)")</f>
        <v>Discounted Cash Flow (60%)</v>
      </c>
      <c r="C34" s="155"/>
      <c r="D34" s="161">
        <f ca="1">E22</f>
        <v>234.63354943887632</v>
      </c>
      <c r="E34" s="161">
        <f ca="1">IFERROR(F22-D34,"NA")</f>
        <v>26.070394382097362</v>
      </c>
      <c r="F34" s="280">
        <f ca="1">0.025*$F$26</f>
        <v>8.4538581380436728</v>
      </c>
      <c r="G34" s="161">
        <f ca="1">IFERROR(G22-D34-E34-F34,"NA")</f>
        <v>17.616536244053719</v>
      </c>
      <c r="H34" s="161">
        <f t="shared" ref="H34:H36" ca="1" si="2">$F$26</f>
        <v>338.1543255217469</v>
      </c>
    </row>
    <row r="35" spans="2:8" x14ac:dyDescent="0.35">
      <c r="B35" s="294" t="str">
        <f t="shared" ref="B35" si="3">B23&amp;" "&amp;TEXT(H23,"(0%)")</f>
        <v>Market Multiples: Price to Earnings (20%)</v>
      </c>
      <c r="C35" s="155"/>
      <c r="D35" s="161">
        <f ca="1">E23</f>
        <v>391.98731890157006</v>
      </c>
      <c r="E35" s="161">
        <f ca="1">IFERROR(F23-D35,"NA")</f>
        <v>43.554146544618902</v>
      </c>
      <c r="F35" s="281">
        <f t="shared" ref="F35:F36" ca="1" si="4">F$34</f>
        <v>8.4538581380436728</v>
      </c>
      <c r="G35" s="161">
        <f ca="1">IFERROR(G23-D35-E35-F35,"NA")</f>
        <v>35.100288406575288</v>
      </c>
      <c r="H35" s="161">
        <f t="shared" ca="1" si="2"/>
        <v>338.1543255217469</v>
      </c>
    </row>
    <row r="36" spans="2:8" x14ac:dyDescent="0.35">
      <c r="B36" s="294" t="str">
        <f>B24&amp;" "&amp;TEXT(H24,"(0%)")</f>
        <v>Market Multiples: EV to Sales (20%)</v>
      </c>
      <c r="C36" s="155"/>
      <c r="D36" s="161">
        <f ca="1">E24</f>
        <v>425.80649762966198</v>
      </c>
      <c r="E36" s="161">
        <f ca="1">IFERROR(F24-D36,"NA")</f>
        <v>47.311833069962404</v>
      </c>
      <c r="F36" s="281">
        <f t="shared" ca="1" si="4"/>
        <v>8.4538581380436728</v>
      </c>
      <c r="G36" s="161">
        <f ca="1">IFERROR(G24-D36-E36-F36,"NA")</f>
        <v>38.857974931918847</v>
      </c>
      <c r="H36" s="161">
        <f t="shared" ca="1" si="2"/>
        <v>338.1543255217469</v>
      </c>
    </row>
    <row r="37" spans="2:8" x14ac:dyDescent="0.35">
      <c r="B37" s="294"/>
      <c r="C37" s="156"/>
      <c r="D37" s="161"/>
      <c r="E37" s="161"/>
      <c r="F37" s="281"/>
      <c r="G37" s="161"/>
      <c r="H37" s="161"/>
    </row>
  </sheetData>
  <pageMargins left="0.7" right="0.7" top="0.75" bottom="0.75" header="0.3" footer="0.3"/>
  <pageSetup scale="84" orientation="landscape"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7B5F-297A-4CE8-A6A5-86128020376A}">
  <sheetPr>
    <tabColor rgb="FFFFFFCC"/>
  </sheetPr>
  <dimension ref="A1:F39"/>
  <sheetViews>
    <sheetView showGridLines="0" topLeftCell="A8" workbookViewId="0"/>
  </sheetViews>
  <sheetFormatPr defaultColWidth="9.1796875" defaultRowHeight="13" x14ac:dyDescent="0.3"/>
  <cols>
    <col min="1" max="1" width="26.453125" style="295" bestFit="1" customWidth="1"/>
    <col min="2" max="2" width="34.453125" style="295" bestFit="1" customWidth="1"/>
    <col min="3" max="3" width="16" style="295" bestFit="1" customWidth="1"/>
    <col min="4" max="4" width="12" style="295" bestFit="1" customWidth="1"/>
    <col min="5" max="8" width="9.1796875" style="295"/>
    <col min="9" max="9" width="9.453125" style="295" bestFit="1" customWidth="1"/>
    <col min="10" max="16384" width="9.1796875" style="295"/>
  </cols>
  <sheetData>
    <row r="1" spans="1:6" x14ac:dyDescent="0.3">
      <c r="A1" s="354" t="s">
        <v>11</v>
      </c>
      <c r="B1" s="355"/>
      <c r="C1" s="355"/>
      <c r="D1" s="355"/>
      <c r="E1" s="355"/>
      <c r="F1" s="355"/>
    </row>
    <row r="2" spans="1:6" x14ac:dyDescent="0.3">
      <c r="A2" s="411" t="s">
        <v>12</v>
      </c>
      <c r="B2" s="410" t="str" cm="1">
        <f t="array" ref="B2">_FV(B3,"Name")</f>
        <v>LULULEMON ATHLETICA INC.</v>
      </c>
      <c r="C2" s="380"/>
      <c r="D2" s="380"/>
      <c r="E2" s="380"/>
      <c r="F2" s="380"/>
    </row>
    <row r="3" spans="1:6" x14ac:dyDescent="0.3">
      <c r="A3" s="411" t="s">
        <v>13</v>
      </c>
      <c r="B3" s="410" t="e" vm="1">
        <v>#VALUE!</v>
      </c>
      <c r="C3" s="381" t="str" cm="1">
        <f t="array" ref="C3">_FV(B3,"Ticker symbol",TRUE)</f>
        <v>LULU</v>
      </c>
      <c r="D3" s="380"/>
      <c r="E3" s="380"/>
      <c r="F3" s="380"/>
    </row>
    <row r="4" spans="1:6" x14ac:dyDescent="0.3">
      <c r="A4" s="411" t="s">
        <v>14</v>
      </c>
      <c r="B4" s="509">
        <v>286.76</v>
      </c>
      <c r="C4" s="380"/>
      <c r="D4" s="380"/>
      <c r="E4" s="380"/>
      <c r="F4" s="380"/>
    </row>
    <row r="5" spans="1:6" x14ac:dyDescent="0.3">
      <c r="A5" s="411" t="s">
        <v>15</v>
      </c>
      <c r="B5" s="356" t="s">
        <v>16</v>
      </c>
      <c r="C5" s="380"/>
      <c r="D5" s="380"/>
      <c r="E5" s="380"/>
      <c r="F5" s="380"/>
    </row>
    <row r="6" spans="1:6" x14ac:dyDescent="0.3">
      <c r="A6" s="411" t="s">
        <v>17</v>
      </c>
      <c r="B6" s="357" t="s">
        <v>309</v>
      </c>
      <c r="C6" s="412">
        <v>1000000</v>
      </c>
      <c r="D6" s="412" t="str">
        <f>IF(B6="","Actual",IF(B6="Thousands","K",IF(B6="Millions","M",IF(B6="Billions","B"))))</f>
        <v>M</v>
      </c>
      <c r="E6" s="382" t="s">
        <v>18</v>
      </c>
      <c r="F6" s="380"/>
    </row>
    <row r="7" spans="1:6" x14ac:dyDescent="0.3">
      <c r="A7" s="411" t="s">
        <v>19</v>
      </c>
      <c r="B7" s="358">
        <v>44227</v>
      </c>
      <c r="C7" s="380"/>
      <c r="D7" s="380"/>
      <c r="E7" s="380"/>
      <c r="F7" s="380"/>
    </row>
    <row r="8" spans="1:6" ht="21.75" customHeight="1" x14ac:dyDescent="0.3">
      <c r="A8" s="296"/>
      <c r="B8" s="301"/>
    </row>
    <row r="9" spans="1:6" x14ac:dyDescent="0.3">
      <c r="A9" s="359" t="s">
        <v>20</v>
      </c>
      <c r="B9" s="360"/>
      <c r="C9" s="360"/>
      <c r="D9" s="360"/>
      <c r="E9" s="360"/>
      <c r="F9" s="360"/>
    </row>
    <row r="10" spans="1:6" ht="6" customHeight="1" x14ac:dyDescent="0.3">
      <c r="A10" s="296"/>
      <c r="B10" s="301"/>
    </row>
    <row r="11" spans="1:6" x14ac:dyDescent="0.3">
      <c r="A11" s="369" t="s">
        <v>21</v>
      </c>
      <c r="B11" s="370"/>
      <c r="C11" s="370"/>
      <c r="D11" s="370"/>
      <c r="E11" s="370"/>
      <c r="F11" s="370"/>
    </row>
    <row r="12" spans="1:6" x14ac:dyDescent="0.3">
      <c r="A12" s="371" t="s">
        <v>22</v>
      </c>
      <c r="B12" s="362" cm="1">
        <f t="array" ref="B12">_FV(C12,"Yield yesterday",TRUE)</f>
        <v>4.0350000000000004E-2</v>
      </c>
      <c r="C12" s="363" t="e" vm="2">
        <v>#VALUE!</v>
      </c>
      <c r="D12" s="363"/>
      <c r="E12" s="363"/>
      <c r="F12" s="363"/>
    </row>
    <row r="13" spans="1:6" x14ac:dyDescent="0.3">
      <c r="A13" s="371" t="s">
        <v>23</v>
      </c>
      <c r="B13" s="372">
        <v>1.38</v>
      </c>
      <c r="C13" s="363"/>
      <c r="D13" s="363"/>
      <c r="E13" s="363"/>
      <c r="F13" s="363"/>
    </row>
    <row r="14" spans="1:6" x14ac:dyDescent="0.3">
      <c r="A14" s="371" t="s">
        <v>24</v>
      </c>
      <c r="B14" s="373">
        <v>0.2883</v>
      </c>
      <c r="C14" s="363"/>
      <c r="D14" s="363"/>
      <c r="E14" s="363"/>
      <c r="F14" s="363"/>
    </row>
    <row r="15" spans="1:6" x14ac:dyDescent="0.3">
      <c r="A15" s="374" t="s">
        <v>25</v>
      </c>
      <c r="B15" s="375">
        <f>(Risk_Free_Rate*Debt_Adj_Factor)*(1-Tax_Rate)</f>
        <v>3.96295911E-2</v>
      </c>
      <c r="C15" s="376"/>
      <c r="D15" s="376"/>
      <c r="E15" s="376"/>
      <c r="F15" s="376"/>
    </row>
    <row r="16" spans="1:6" x14ac:dyDescent="0.3">
      <c r="A16" s="302"/>
    </row>
    <row r="17" spans="1:6" x14ac:dyDescent="0.3">
      <c r="A17" s="377" t="s">
        <v>26</v>
      </c>
      <c r="B17" s="378"/>
      <c r="C17" s="379"/>
      <c r="D17" s="379"/>
      <c r="E17" s="379"/>
      <c r="F17" s="379"/>
    </row>
    <row r="18" spans="1:6" x14ac:dyDescent="0.3">
      <c r="A18" s="361" t="s">
        <v>27</v>
      </c>
      <c r="B18" s="362">
        <v>7.1199999999999999E-2</v>
      </c>
      <c r="C18" s="363"/>
      <c r="D18" s="364" t="s">
        <v>28</v>
      </c>
      <c r="E18" s="363"/>
      <c r="F18" s="363"/>
    </row>
    <row r="19" spans="1:6" x14ac:dyDescent="0.3">
      <c r="A19" s="365" t="s">
        <v>29</v>
      </c>
      <c r="B19" s="362">
        <v>0</v>
      </c>
      <c r="C19" s="363"/>
      <c r="D19" s="366" t="s">
        <v>29</v>
      </c>
      <c r="E19" s="363"/>
      <c r="F19" s="363"/>
    </row>
    <row r="20" spans="1:6" x14ac:dyDescent="0.3">
      <c r="A20" s="365" t="s">
        <v>30</v>
      </c>
      <c r="B20" s="362">
        <v>0</v>
      </c>
      <c r="C20" s="363"/>
      <c r="D20" s="367" t="s">
        <v>30</v>
      </c>
      <c r="E20" s="363"/>
      <c r="F20" s="363"/>
    </row>
    <row r="21" spans="1:6" x14ac:dyDescent="0.3">
      <c r="A21" s="365" t="s">
        <v>31</v>
      </c>
      <c r="B21" s="368">
        <v>1.0269999999999999</v>
      </c>
      <c r="C21" s="363"/>
      <c r="D21" s="367" t="s">
        <v>32</v>
      </c>
      <c r="E21" s="363"/>
      <c r="F21" s="363"/>
    </row>
    <row r="22" spans="1:6" x14ac:dyDescent="0.3">
      <c r="A22" s="383" t="s">
        <v>33</v>
      </c>
      <c r="B22" s="375">
        <f>(Equity_Beta*(Equity_Risk_Premium+Country_RP))+Risk_Free_Rate+Size_RP</f>
        <v>0.1134724</v>
      </c>
      <c r="C22" s="384"/>
      <c r="D22" s="384"/>
      <c r="E22" s="384"/>
      <c r="F22" s="384"/>
    </row>
    <row r="23" spans="1:6" x14ac:dyDescent="0.3">
      <c r="A23" s="302"/>
    </row>
    <row r="24" spans="1:6" x14ac:dyDescent="0.3">
      <c r="A24" s="377" t="s">
        <v>34</v>
      </c>
      <c r="B24" s="378"/>
      <c r="C24" s="378"/>
      <c r="D24" s="378"/>
      <c r="E24" s="378"/>
      <c r="F24" s="378"/>
    </row>
    <row r="25" spans="1:6" x14ac:dyDescent="0.3">
      <c r="A25" s="385" t="str">
        <f>"Equity Shares Outstanding ("&amp;Scale_Symbol&amp;")"</f>
        <v>Equity Shares Outstanding (M)</v>
      </c>
      <c r="B25" s="386" cm="1">
        <f t="array" ref="B25">_FV(B3,"Shares outstanding",TRUE)/1000000</f>
        <v>122.7765</v>
      </c>
      <c r="C25" s="387"/>
      <c r="D25" s="387"/>
      <c r="E25" s="387"/>
      <c r="F25" s="387"/>
    </row>
    <row r="26" spans="1:6" x14ac:dyDescent="0.3">
      <c r="A26" s="388" t="str">
        <f>"Company Capitalization ($"&amp;Scale_Symbol&amp;")"</f>
        <v>Company Capitalization ($M)</v>
      </c>
      <c r="B26" s="389"/>
      <c r="C26" s="387"/>
      <c r="D26" s="387"/>
      <c r="E26" s="387"/>
      <c r="F26" s="387"/>
    </row>
    <row r="27" spans="1:6" x14ac:dyDescent="0.3">
      <c r="A27" s="390" t="s">
        <v>35</v>
      </c>
      <c r="B27" s="391">
        <f>Current_Price*Shares_Out</f>
        <v>35207.389139999999</v>
      </c>
      <c r="C27" s="392">
        <f>Equity_MV/Total_Capitalization</f>
        <v>0.96021167038985245</v>
      </c>
      <c r="D27" s="387"/>
      <c r="E27" s="387"/>
      <c r="F27" s="387"/>
    </row>
    <row r="28" spans="1:6" x14ac:dyDescent="0.3">
      <c r="A28" s="390" t="s">
        <v>36</v>
      </c>
      <c r="B28" s="393">
        <v>1458.89</v>
      </c>
      <c r="C28" s="392">
        <f>Debt_MV/Total_Capitalization</f>
        <v>3.9788329610147624E-2</v>
      </c>
      <c r="D28" s="387"/>
      <c r="E28" s="387"/>
      <c r="F28" s="387"/>
    </row>
    <row r="29" spans="1:6" x14ac:dyDescent="0.3">
      <c r="A29" s="385" t="s">
        <v>37</v>
      </c>
      <c r="B29" s="394">
        <f>B27+B28</f>
        <v>36666.279139999999</v>
      </c>
      <c r="C29" s="395">
        <f>C27+C28</f>
        <v>1</v>
      </c>
      <c r="D29" s="387"/>
      <c r="E29" s="387"/>
      <c r="F29" s="387"/>
    </row>
    <row r="30" spans="1:6" x14ac:dyDescent="0.3">
      <c r="A30" s="396" t="s">
        <v>38</v>
      </c>
      <c r="B30" s="397"/>
      <c r="C30" s="397">
        <f>(C27*Cost_of_Equity)+(C28*Cost_of_Debt)</f>
        <v>0.11053431798014768</v>
      </c>
      <c r="D30" s="397"/>
      <c r="E30" s="397"/>
      <c r="F30" s="397"/>
    </row>
    <row r="31" spans="1:6" ht="21.75" customHeight="1" x14ac:dyDescent="0.3">
      <c r="A31" s="296"/>
      <c r="B31" s="301"/>
    </row>
    <row r="32" spans="1:6" x14ac:dyDescent="0.3">
      <c r="A32" s="399" t="s">
        <v>39</v>
      </c>
      <c r="B32" s="400" t="s">
        <v>40</v>
      </c>
      <c r="C32" s="400" t="s">
        <v>41</v>
      </c>
      <c r="D32" s="400" t="s">
        <v>42</v>
      </c>
      <c r="E32" s="400"/>
      <c r="F32" s="400"/>
    </row>
    <row r="33" spans="1:6" x14ac:dyDescent="0.3">
      <c r="A33" s="401" t="s">
        <v>43</v>
      </c>
      <c r="B33" s="402">
        <v>2.5000000000000001E-2</v>
      </c>
      <c r="C33" s="403">
        <f>$B$33+C34</f>
        <v>0.02</v>
      </c>
      <c r="D33" s="403">
        <f>$B$33+D34</f>
        <v>3.0000000000000002E-2</v>
      </c>
      <c r="E33" s="387"/>
      <c r="F33" s="387"/>
    </row>
    <row r="34" spans="1:6" x14ac:dyDescent="0.3">
      <c r="A34" s="404" t="s">
        <v>44</v>
      </c>
      <c r="B34" s="405"/>
      <c r="C34" s="406">
        <v>-5.0000000000000001E-3</v>
      </c>
      <c r="D34" s="406">
        <v>5.0000000000000001E-3</v>
      </c>
      <c r="E34" s="387"/>
      <c r="F34" s="387"/>
    </row>
    <row r="35" spans="1:6" x14ac:dyDescent="0.3">
      <c r="A35" s="401" t="s">
        <v>45</v>
      </c>
      <c r="B35" s="403">
        <f>WACC</f>
        <v>0.11053431798014768</v>
      </c>
      <c r="C35" s="403">
        <f>$B$35+C36</f>
        <v>0.10053431798014768</v>
      </c>
      <c r="D35" s="403">
        <f>$B$35+D36</f>
        <v>0.12053431798014767</v>
      </c>
      <c r="E35" s="387"/>
      <c r="F35" s="387"/>
    </row>
    <row r="36" spans="1:6" x14ac:dyDescent="0.3">
      <c r="A36" s="409" t="s">
        <v>46</v>
      </c>
      <c r="B36" s="407"/>
      <c r="C36" s="408">
        <v>-0.01</v>
      </c>
      <c r="D36" s="408">
        <v>0.01</v>
      </c>
      <c r="E36" s="398"/>
      <c r="F36" s="398"/>
    </row>
    <row r="38" spans="1:6" x14ac:dyDescent="0.3">
      <c r="A38" s="297"/>
    </row>
    <row r="39" spans="1:6" x14ac:dyDescent="0.3">
      <c r="A39" s="296"/>
      <c r="B39" s="298"/>
    </row>
  </sheetData>
  <dataValidations count="1">
    <dataValidation type="list" allowBlank="1" showInputMessage="1" showErrorMessage="1" sqref="B6" xr:uid="{36535B2F-A853-4038-921A-D651B95DA36B}">
      <formula1>"Thousands, Millions, Billions"</formula1>
    </dataValidation>
  </dataValidations>
  <hyperlinks>
    <hyperlink ref="D18" r:id="rId1" display="Risk Premium" xr:uid="{FA8FBDDA-6AA4-4A56-8516-3AD3FD19FD66}"/>
    <hyperlink ref="D21" r:id="rId2" display="LINK" xr:uid="{65C9ED4B-1E8F-409C-8AA1-F07AD9940464}"/>
    <hyperlink ref="D20" r:id="rId3" xr:uid="{B5A68D1A-93A6-48A6-A1C7-4A77D3D4279B}"/>
    <hyperlink ref="D19" r:id="rId4" display="Risk Premium" xr:uid="{CABB5AB5-5122-4AE1-8593-43DA37668C79}"/>
  </hyperlinks>
  <pageMargins left="0.7" right="0.7" top="0.75" bottom="0.75" header="0.3" footer="0.3"/>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AC572-790F-4500-98C1-066FB5539A77}">
  <sheetPr>
    <tabColor rgb="FFFFFFCC"/>
  </sheetPr>
  <dimension ref="A1:AG241"/>
  <sheetViews>
    <sheetView showGridLines="0" zoomScale="95" zoomScaleNormal="95" workbookViewId="0">
      <pane xSplit="4" ySplit="7" topLeftCell="E229" activePane="bottomRight" state="frozen"/>
      <selection pane="topRight" activeCell="C1" sqref="C1"/>
      <selection pane="bottomLeft" activeCell="A4" sqref="A4"/>
      <selection pane="bottomRight" activeCell="Q205" sqref="Q205"/>
    </sheetView>
  </sheetViews>
  <sheetFormatPr defaultColWidth="8.81640625" defaultRowHeight="12" outlineLevelRow="1" outlineLevelCol="1" x14ac:dyDescent="0.3"/>
  <cols>
    <col min="1" max="1" width="1.453125" style="2" bestFit="1" customWidth="1"/>
    <col min="2" max="2" width="10.453125" style="2" bestFit="1" customWidth="1" outlineLevel="1"/>
    <col min="3" max="3" width="2.1796875" style="2" customWidth="1" outlineLevel="1"/>
    <col min="4" max="4" width="33.453125" style="2" customWidth="1"/>
    <col min="5" max="5" width="0.453125" style="2" customWidth="1"/>
    <col min="6" max="14" width="10.453125" style="2" customWidth="1"/>
    <col min="15" max="15" width="1.453125" style="2" customWidth="1"/>
    <col min="16" max="24" width="6.453125" style="2" customWidth="1"/>
    <col min="25" max="25" width="4.1796875" style="2" bestFit="1" customWidth="1"/>
    <col min="26" max="30" width="6.453125" style="2" customWidth="1"/>
    <col min="31" max="31" width="15.453125" style="2" customWidth="1"/>
    <col min="32" max="16384" width="8.81640625" style="2"/>
  </cols>
  <sheetData>
    <row r="1" spans="1:33" ht="6" customHeight="1" x14ac:dyDescent="0.3"/>
    <row r="2" spans="1:33" ht="6" customHeight="1" x14ac:dyDescent="0.3">
      <c r="D2" s="4"/>
      <c r="F2" s="4"/>
      <c r="G2" s="4"/>
      <c r="H2" s="4"/>
      <c r="I2" s="4"/>
      <c r="J2" s="4"/>
      <c r="K2" s="4"/>
      <c r="L2" s="4"/>
      <c r="M2" s="4"/>
      <c r="N2" s="4"/>
      <c r="P2" s="4"/>
      <c r="Q2" s="4"/>
      <c r="R2" s="4"/>
      <c r="S2" s="4"/>
      <c r="T2" s="4"/>
      <c r="U2" s="4"/>
      <c r="V2" s="4"/>
      <c r="W2" s="4"/>
      <c r="X2" s="4"/>
      <c r="Z2" s="4"/>
      <c r="AA2" s="4"/>
      <c r="AB2" s="4"/>
      <c r="AC2" s="4"/>
      <c r="AD2" s="4"/>
    </row>
    <row r="3" spans="1:33" ht="42" customHeight="1" x14ac:dyDescent="0.3">
      <c r="D3" s="35" t="s">
        <v>47</v>
      </c>
      <c r="F3" s="421" t="s">
        <v>48</v>
      </c>
      <c r="G3" s="422"/>
      <c r="H3" s="422"/>
      <c r="I3" s="422"/>
      <c r="J3" s="421" t="s">
        <v>49</v>
      </c>
      <c r="K3" s="422"/>
      <c r="L3" s="422"/>
      <c r="M3" s="422"/>
      <c r="N3" s="422"/>
      <c r="P3" s="31" t="s">
        <v>50</v>
      </c>
      <c r="Z3" s="31" t="s">
        <v>51</v>
      </c>
    </row>
    <row r="4" spans="1:33" ht="6" customHeight="1" x14ac:dyDescent="0.3">
      <c r="D4" s="5"/>
      <c r="F4" s="5"/>
      <c r="G4" s="5"/>
      <c r="H4" s="5"/>
      <c r="I4" s="5"/>
      <c r="J4" s="5"/>
      <c r="K4" s="5"/>
      <c r="L4" s="5"/>
      <c r="M4" s="5"/>
      <c r="N4" s="5"/>
      <c r="P4" s="5"/>
      <c r="Q4" s="5"/>
      <c r="R4" s="5"/>
      <c r="S4" s="5"/>
      <c r="T4" s="5"/>
      <c r="U4" s="5"/>
      <c r="V4" s="5"/>
      <c r="W4" s="5"/>
      <c r="X4" s="5"/>
      <c r="Z4" s="5"/>
      <c r="AA4" s="5"/>
      <c r="AB4" s="5"/>
      <c r="AC4" s="5"/>
      <c r="AD4" s="5"/>
    </row>
    <row r="5" spans="1:33" ht="6" customHeight="1" x14ac:dyDescent="0.3"/>
    <row r="6" spans="1:33" ht="18" customHeight="1" x14ac:dyDescent="0.3">
      <c r="A6" s="94"/>
      <c r="D6" s="1" t="s">
        <v>52</v>
      </c>
      <c r="F6" s="451">
        <f>Assumptions!$B$7</f>
        <v>44227</v>
      </c>
      <c r="G6" s="451">
        <f ca="1">EOMONTH(OFFSET(G$6,0,-1),12)</f>
        <v>44592</v>
      </c>
      <c r="H6" s="451">
        <f t="shared" ref="H6:N6" ca="1" si="0">EOMONTH(OFFSET(H$6,0,-1),12)</f>
        <v>44957</v>
      </c>
      <c r="I6" s="451">
        <f t="shared" ca="1" si="0"/>
        <v>45322</v>
      </c>
      <c r="J6" s="452">
        <f t="shared" ca="1" si="0"/>
        <v>45688</v>
      </c>
      <c r="K6" s="452">
        <f t="shared" ca="1" si="0"/>
        <v>46053</v>
      </c>
      <c r="L6" s="452">
        <f t="shared" ca="1" si="0"/>
        <v>46418</v>
      </c>
      <c r="M6" s="452">
        <f t="shared" ca="1" si="0"/>
        <v>46783</v>
      </c>
      <c r="N6" s="452">
        <f t="shared" ca="1" si="0"/>
        <v>47149</v>
      </c>
      <c r="P6" s="453" cm="1">
        <f t="array" aca="1" ref="P6:X6" ca="1">Annual_Periods</f>
        <v>44227</v>
      </c>
      <c r="Q6" s="453">
        <f ca="1"/>
        <v>44592</v>
      </c>
      <c r="R6" s="453">
        <f ca="1"/>
        <v>44957</v>
      </c>
      <c r="S6" s="453">
        <f ca="1"/>
        <v>45322</v>
      </c>
      <c r="T6" s="453">
        <f ca="1"/>
        <v>45688</v>
      </c>
      <c r="U6" s="453">
        <f ca="1"/>
        <v>46053</v>
      </c>
      <c r="V6" s="453">
        <f ca="1"/>
        <v>46418</v>
      </c>
      <c r="W6" s="453">
        <f ca="1"/>
        <v>46783</v>
      </c>
      <c r="X6" s="453">
        <f ca="1"/>
        <v>47149</v>
      </c>
      <c r="Z6" s="454" cm="1">
        <f t="array" aca="1" ref="Z6" ca="1">INDEX(Annual_Periods,MATCH("Projected",$F$3:$N$3,))</f>
        <v>45688</v>
      </c>
      <c r="AA6" s="454">
        <f t="shared" ref="AA6:AD6" ca="1" si="1">EOMONTH(OFFSET(AA$6,0,-1),12)</f>
        <v>46053</v>
      </c>
      <c r="AB6" s="454">
        <f t="shared" ca="1" si="1"/>
        <v>46418</v>
      </c>
      <c r="AC6" s="454">
        <f t="shared" ca="1" si="1"/>
        <v>46783</v>
      </c>
      <c r="AD6" s="454">
        <f t="shared" ca="1" si="1"/>
        <v>47149</v>
      </c>
    </row>
    <row r="7" spans="1:33" ht="6" customHeight="1" x14ac:dyDescent="0.3"/>
    <row r="8" spans="1:33" x14ac:dyDescent="0.3">
      <c r="A8" s="94" t="s">
        <v>53</v>
      </c>
      <c r="D8" s="10" t="s">
        <v>54</v>
      </c>
      <c r="F8" s="11"/>
      <c r="G8" s="11"/>
      <c r="H8" s="11"/>
      <c r="I8" s="11"/>
      <c r="J8" s="11"/>
      <c r="K8" s="11"/>
      <c r="L8" s="11"/>
      <c r="M8" s="11"/>
      <c r="N8" s="11"/>
      <c r="P8" s="11"/>
      <c r="Q8" s="11"/>
      <c r="R8" s="11"/>
      <c r="S8" s="11"/>
      <c r="T8" s="11"/>
      <c r="U8" s="11"/>
      <c r="V8" s="11"/>
      <c r="W8" s="11"/>
      <c r="X8" s="11"/>
      <c r="Z8" s="11"/>
      <c r="AA8" s="11"/>
      <c r="AB8" s="11"/>
      <c r="AC8" s="11"/>
      <c r="AD8" s="11"/>
    </row>
    <row r="9" spans="1:33" x14ac:dyDescent="0.3">
      <c r="D9" s="19" t="s">
        <v>55</v>
      </c>
      <c r="F9" s="20"/>
      <c r="G9" s="20"/>
      <c r="H9" s="20"/>
      <c r="I9" s="20"/>
      <c r="J9" s="20"/>
      <c r="K9" s="20"/>
      <c r="L9" s="20"/>
      <c r="M9" s="20"/>
      <c r="N9" s="20"/>
      <c r="P9" s="20"/>
      <c r="Q9" s="20"/>
      <c r="R9" s="20"/>
      <c r="S9" s="20"/>
      <c r="T9" s="20"/>
      <c r="U9" s="20"/>
      <c r="V9" s="20"/>
      <c r="W9" s="20"/>
      <c r="X9" s="20"/>
      <c r="Z9" s="20"/>
      <c r="AA9" s="20"/>
      <c r="AB9" s="20"/>
      <c r="AC9" s="20"/>
      <c r="AD9" s="20"/>
    </row>
    <row r="10" spans="1:33" ht="12.5" thickBot="1" x14ac:dyDescent="0.35">
      <c r="D10" s="7" t="s">
        <v>55</v>
      </c>
      <c r="F10" s="491">
        <v>4401.8999999999996</v>
      </c>
      <c r="G10" s="491">
        <v>6256.6</v>
      </c>
      <c r="H10" s="491">
        <v>8110.5</v>
      </c>
      <c r="I10" s="491">
        <v>9619.2999999999993</v>
      </c>
      <c r="J10" s="512">
        <f>I10*(1+Z10)</f>
        <v>10581.23</v>
      </c>
      <c r="K10" s="512">
        <f t="shared" ref="K10:N10" si="2">J10*(1+AA10)</f>
        <v>11639.353000000001</v>
      </c>
      <c r="L10" s="512">
        <f t="shared" si="2"/>
        <v>12686.894770000003</v>
      </c>
      <c r="M10" s="512">
        <f t="shared" si="2"/>
        <v>13828.715299300004</v>
      </c>
      <c r="N10" s="512">
        <f t="shared" si="2"/>
        <v>14935.012523244004</v>
      </c>
      <c r="O10" s="492"/>
      <c r="P10" s="492"/>
      <c r="Q10" s="492"/>
      <c r="R10" s="492"/>
      <c r="S10" s="492"/>
      <c r="T10" s="492"/>
      <c r="U10" s="492"/>
      <c r="V10" s="492"/>
      <c r="W10" s="492"/>
      <c r="X10" s="492"/>
      <c r="Y10" s="492"/>
      <c r="Z10" s="499">
        <v>0.1</v>
      </c>
      <c r="AA10" s="499">
        <v>0.1</v>
      </c>
      <c r="AB10" s="499">
        <v>0.09</v>
      </c>
      <c r="AC10" s="499">
        <v>0.09</v>
      </c>
      <c r="AD10" s="499">
        <v>0.08</v>
      </c>
      <c r="AF10" s="2" t="s">
        <v>321</v>
      </c>
      <c r="AG10" s="2" t="s">
        <v>322</v>
      </c>
    </row>
    <row r="11" spans="1:33" ht="12.5" hidden="1" outlineLevel="1" thickBot="1" x14ac:dyDescent="0.35">
      <c r="D11" s="7" t="s">
        <v>56</v>
      </c>
      <c r="F11" s="477"/>
      <c r="G11" s="477"/>
      <c r="H11" s="477"/>
      <c r="I11" s="477"/>
      <c r="J11" s="484">
        <f>I11*(1+Z11)</f>
        <v>0</v>
      </c>
      <c r="K11" s="484">
        <f t="shared" ref="K11" si="3">J11*(1+AA11)</f>
        <v>0</v>
      </c>
      <c r="L11" s="484">
        <f t="shared" ref="L11" si="4">K11*(1+AB11)</f>
        <v>0</v>
      </c>
      <c r="M11" s="484">
        <f t="shared" ref="M11" si="5">L11*(1+AC11)</f>
        <v>0</v>
      </c>
      <c r="N11" s="484">
        <f t="shared" ref="N11" si="6">M11*(1+AD11)</f>
        <v>0</v>
      </c>
      <c r="Z11" s="104"/>
      <c r="AA11" s="104"/>
      <c r="AB11" s="104"/>
      <c r="AC11" s="104"/>
      <c r="AD11" s="104"/>
    </row>
    <row r="12" spans="1:33" ht="12.5" collapsed="1" thickBot="1" x14ac:dyDescent="0.35">
      <c r="C12" s="3"/>
      <c r="D12" s="6" t="s">
        <v>57</v>
      </c>
      <c r="E12" s="3"/>
      <c r="F12" s="493">
        <f ca="1">SUBTOTAL(9,OFFSET(F9,1,0):OFFSET(F12,-1,0))</f>
        <v>4401.8999999999996</v>
      </c>
      <c r="G12" s="493">
        <f ca="1">SUBTOTAL(9,OFFSET(G9,1,0):OFFSET(G12,-1,0))</f>
        <v>6256.6</v>
      </c>
      <c r="H12" s="493">
        <f ca="1">SUBTOTAL(9,OFFSET(H9,1,0):OFFSET(H12,-1,0))</f>
        <v>8110.5</v>
      </c>
      <c r="I12" s="493">
        <f ca="1">SUBTOTAL(9,OFFSET(I9,1,0):OFFSET(I12,-1,0))</f>
        <v>9619.2999999999993</v>
      </c>
      <c r="J12" s="493">
        <f ca="1">SUBTOTAL(9,OFFSET(J9,1,0):OFFSET(J12,-1,0))</f>
        <v>10581.23</v>
      </c>
      <c r="K12" s="493">
        <f ca="1">SUBTOTAL(9,OFFSET(K9,1,0):OFFSET(K12,-1,0))</f>
        <v>11639.353000000001</v>
      </c>
      <c r="L12" s="493">
        <f ca="1">SUBTOTAL(9,OFFSET(L9,1,0):OFFSET(L12,-1,0))</f>
        <v>12686.894770000003</v>
      </c>
      <c r="M12" s="493">
        <f ca="1">SUBTOTAL(9,OFFSET(M9,1,0):OFFSET(M12,-1,0))</f>
        <v>13828.715299300004</v>
      </c>
      <c r="N12" s="493">
        <f ca="1">SUBTOTAL(9,OFFSET(N9,1,0):OFFSET(N12,-1,0))</f>
        <v>14935.012523244004</v>
      </c>
      <c r="P12" s="32">
        <f t="shared" ref="P12:X12" ca="1" si="7">IFERROR(ABS(OFFSET($E$6,ROW()-ROW(Annual_Periods),MATCH(P$6,Annual_Periods,0)) /
OFFSET($E$12,0,MATCH(P$6,Annual_Periods,0))),"NA")</f>
        <v>1</v>
      </c>
      <c r="Q12" s="32">
        <f t="shared" ca="1" si="7"/>
        <v>1</v>
      </c>
      <c r="R12" s="32">
        <f t="shared" ca="1" si="7"/>
        <v>1</v>
      </c>
      <c r="S12" s="32">
        <f t="shared" ca="1" si="7"/>
        <v>1</v>
      </c>
      <c r="T12" s="32">
        <f t="shared" ca="1" si="7"/>
        <v>1</v>
      </c>
      <c r="U12" s="32">
        <f t="shared" ca="1" si="7"/>
        <v>1</v>
      </c>
      <c r="V12" s="32">
        <f t="shared" ca="1" si="7"/>
        <v>1</v>
      </c>
      <c r="W12" s="32">
        <f t="shared" ca="1" si="7"/>
        <v>1</v>
      </c>
      <c r="X12" s="32">
        <f t="shared" ca="1" si="7"/>
        <v>1</v>
      </c>
      <c r="AE12" s="482" t="s">
        <v>58</v>
      </c>
      <c r="AF12" s="479">
        <f ca="1">(N12/I12)^(1/5) - 1</f>
        <v>9.1974317906353908E-2</v>
      </c>
      <c r="AG12" s="479">
        <f ca="1">(I12/F12)^(1/4) - 1</f>
        <v>0.21583831220266148</v>
      </c>
    </row>
    <row r="13" spans="1:33" x14ac:dyDescent="0.3">
      <c r="D13" s="8" t="s">
        <v>59</v>
      </c>
      <c r="F13" s="12" t="str">
        <f ca="1">IFERROR(F12/OFFSET(F12,0,-1)-1,"NA")</f>
        <v>NA</v>
      </c>
      <c r="G13" s="12">
        <f ca="1">IFERROR(G12/OFFSET(G12,0,-1)-1,"NA")</f>
        <v>0.4213407846611692</v>
      </c>
      <c r="H13" s="12">
        <f ca="1">IFERROR(H12/OFFSET(H12,0,-1)-1,"NA")</f>
        <v>0.29631109548316981</v>
      </c>
      <c r="I13" s="12">
        <f ca="1">IFERROR(I12/OFFSET(I12,0,-1)-1,"NA")</f>
        <v>0.1860304543493001</v>
      </c>
      <c r="J13" s="12">
        <f t="shared" ref="J13:M13" ca="1" si="8">IFERROR(J12/OFFSET(J12,0,-1)-1,"NA")</f>
        <v>0.10000000000000009</v>
      </c>
      <c r="K13" s="12">
        <f t="shared" ca="1" si="8"/>
        <v>0.10000000000000009</v>
      </c>
      <c r="L13" s="12">
        <f t="shared" ca="1" si="8"/>
        <v>9.000000000000008E-2</v>
      </c>
      <c r="M13" s="12">
        <f t="shared" ca="1" si="8"/>
        <v>9.000000000000008E-2</v>
      </c>
      <c r="N13" s="12">
        <f t="shared" ref="N13" ca="1" si="9">IFERROR(N12/OFFSET(N12,0,-1)-1,"NA")</f>
        <v>8.0000000000000071E-2</v>
      </c>
    </row>
    <row r="14" spans="1:33" ht="6" customHeight="1" x14ac:dyDescent="0.3"/>
    <row r="15" spans="1:33" x14ac:dyDescent="0.3">
      <c r="D15" s="21" t="s">
        <v>60</v>
      </c>
      <c r="F15" s="472"/>
      <c r="G15" s="472"/>
      <c r="H15" s="472"/>
      <c r="I15" s="472"/>
      <c r="J15" s="472"/>
      <c r="K15" s="472"/>
      <c r="L15" s="472"/>
      <c r="M15" s="472"/>
      <c r="N15" s="472"/>
      <c r="P15" s="20"/>
      <c r="Q15" s="20"/>
      <c r="R15" s="20"/>
      <c r="S15" s="20"/>
      <c r="T15" s="20"/>
      <c r="U15" s="20"/>
      <c r="V15" s="20"/>
      <c r="W15" s="20"/>
      <c r="X15" s="20"/>
      <c r="Z15" s="20"/>
      <c r="AA15" s="20"/>
      <c r="AB15" s="20"/>
      <c r="AC15" s="20"/>
      <c r="AD15" s="20"/>
    </row>
    <row r="16" spans="1:33" ht="12.5" thickBot="1" x14ac:dyDescent="0.35">
      <c r="D16" s="7" t="s">
        <v>305</v>
      </c>
      <c r="F16" s="500">
        <f>-1937.9+F27</f>
        <v>-1752.4</v>
      </c>
      <c r="G16" s="500">
        <f>-2648.1+G27</f>
        <v>-2423.9</v>
      </c>
      <c r="H16" s="500">
        <f>-3618.2+H27</f>
        <v>-3326.3999999999996</v>
      </c>
      <c r="I16" s="500">
        <f>-4009.9+I27</f>
        <v>-3630.5</v>
      </c>
      <c r="J16" s="511">
        <f ca="1">-J$12*(Z16)</f>
        <v>-3967.9612499999998</v>
      </c>
      <c r="K16" s="511">
        <f ca="1">-K$12*(AA16)</f>
        <v>-4306.5606100000005</v>
      </c>
      <c r="L16" s="511">
        <f t="shared" ref="K16:N17" ca="1" si="10">-L$12*(AB16)</f>
        <v>-4630.7165910500007</v>
      </c>
      <c r="M16" s="511">
        <f t="shared" ca="1" si="10"/>
        <v>-4978.3375077480014</v>
      </c>
      <c r="N16" s="511">
        <f t="shared" ca="1" si="10"/>
        <v>-5301.9294457516216</v>
      </c>
      <c r="P16" s="29">
        <f t="shared" ref="P16:X16" ca="1" si="11">IFERROR(ABS(OFFSET($E$6,ROW()-ROW(Annual_Periods),MATCH(P$6,Annual_Periods,0)) /
OFFSET($E$12,0,MATCH(P$6,Annual_Periods,0))),"NA")</f>
        <v>0.39810082010041126</v>
      </c>
      <c r="Q16" s="29">
        <f t="shared" ca="1" si="11"/>
        <v>0.38741488987629064</v>
      </c>
      <c r="R16" s="29">
        <f t="shared" ca="1" si="11"/>
        <v>0.41013501017199921</v>
      </c>
      <c r="S16" s="29">
        <f t="shared" ca="1" si="11"/>
        <v>0.37741831526202535</v>
      </c>
      <c r="T16" s="29">
        <f t="shared" ca="1" si="11"/>
        <v>0.375</v>
      </c>
      <c r="U16" s="29">
        <f t="shared" ca="1" si="11"/>
        <v>0.37</v>
      </c>
      <c r="V16" s="29">
        <f t="shared" ca="1" si="11"/>
        <v>0.36499999999999999</v>
      </c>
      <c r="W16" s="29">
        <f t="shared" ca="1" si="11"/>
        <v>0.36</v>
      </c>
      <c r="X16" s="29">
        <f t="shared" ca="1" si="11"/>
        <v>0.35500000000000004</v>
      </c>
      <c r="Z16" s="104">
        <v>0.375</v>
      </c>
      <c r="AA16" s="104">
        <v>0.37</v>
      </c>
      <c r="AB16" s="104">
        <v>0.36499999999999999</v>
      </c>
      <c r="AC16" s="104">
        <v>0.36</v>
      </c>
      <c r="AD16" s="104">
        <v>0.35499999999999998</v>
      </c>
    </row>
    <row r="17" spans="3:32" ht="12.5" hidden="1" outlineLevel="1" thickBot="1" x14ac:dyDescent="0.35">
      <c r="D17" s="7" t="s">
        <v>61</v>
      </c>
      <c r="F17" s="500"/>
      <c r="G17" s="500"/>
      <c r="H17" s="500"/>
      <c r="I17" s="500"/>
      <c r="J17" s="502">
        <f ca="1">-J$12*(Z17)</f>
        <v>0</v>
      </c>
      <c r="K17" s="502">
        <f t="shared" ca="1" si="10"/>
        <v>0</v>
      </c>
      <c r="L17" s="502">
        <f t="shared" ca="1" si="10"/>
        <v>0</v>
      </c>
      <c r="M17" s="502">
        <f t="shared" ca="1" si="10"/>
        <v>0</v>
      </c>
      <c r="N17" s="502">
        <f t="shared" ca="1" si="10"/>
        <v>0</v>
      </c>
      <c r="P17" s="29" cm="1">
        <f t="array" aca="1" ref="P17" ca="1">IFERROR(ABS(OFFSET($E$6,ROW()-ROW(Annual_Periods),MATCH(P$6,Annual_Periods,0)) /
OFFSET($E$12,0,MATCH(P$6,Annual_Periods,0))),"NA")</f>
        <v>0</v>
      </c>
      <c r="Q17" s="29" cm="1">
        <f t="array" aca="1" ref="Q17" ca="1">IFERROR(ABS(OFFSET($E$6,ROW()-ROW(Annual_Periods),MATCH(Q$6,Annual_Periods,0)) /
OFFSET($E$12,0,MATCH(Q$6,Annual_Periods,0))),"NA")</f>
        <v>0</v>
      </c>
      <c r="R17" s="29" cm="1">
        <f t="array" aca="1" ref="R17" ca="1">IFERROR(ABS(OFFSET($E$6,ROW()-ROW(Annual_Periods),MATCH(R$6,Annual_Periods,0)) /
OFFSET($E$12,0,MATCH(R$6,Annual_Periods,0))),"NA")</f>
        <v>0</v>
      </c>
      <c r="S17" s="29" cm="1">
        <f t="array" aca="1" ref="S17" ca="1">IFERROR(ABS(OFFSET($E$6,ROW()-ROW(Annual_Periods),MATCH(S$6,Annual_Periods,0)) /
OFFSET($E$12,0,MATCH(S$6,Annual_Periods,0))),"NA")</f>
        <v>0</v>
      </c>
      <c r="T17" s="29" cm="1">
        <f t="array" aca="1" ref="T17" ca="1">IFERROR(ABS(OFFSET($E$6,ROW()-ROW(Annual_Periods),MATCH(T$6,Annual_Periods,0)) /
OFFSET($E$12,0,MATCH(T$6,Annual_Periods,0))),"NA")</f>
        <v>0</v>
      </c>
      <c r="U17" s="29" cm="1">
        <f t="array" aca="1" ref="U17" ca="1">IFERROR(ABS(OFFSET($E$6,ROW()-ROW(Annual_Periods),MATCH(U$6,Annual_Periods,0)) /
OFFSET($E$12,0,MATCH(U$6,Annual_Periods,0))),"NA")</f>
        <v>0</v>
      </c>
      <c r="V17" s="29" cm="1">
        <f t="array" aca="1" ref="V17" ca="1">IFERROR(ABS(OFFSET($E$6,ROW()-ROW(Annual_Periods),MATCH(V$6,Annual_Periods,0)) /
OFFSET($E$12,0,MATCH(V$6,Annual_Periods,0))),"NA")</f>
        <v>0</v>
      </c>
      <c r="W17" s="29" cm="1">
        <f t="array" aca="1" ref="W17" ca="1">IFERROR(ABS(OFFSET($E$6,ROW()-ROW(Annual_Periods),MATCH(W$6,Annual_Periods,0)) /
OFFSET($E$12,0,MATCH(W$6,Annual_Periods,0))),"NA")</f>
        <v>0</v>
      </c>
      <c r="X17" s="29" cm="1">
        <f t="array" aca="1" ref="X17" ca="1">IFERROR(ABS(OFFSET($E$6,ROW()-ROW(Annual_Periods),MATCH(X$6,Annual_Periods,0)) /
OFFSET($E$12,0,MATCH(X$6,Annual_Periods,0))),"NA")</f>
        <v>0</v>
      </c>
      <c r="Z17" s="104"/>
      <c r="AA17" s="104"/>
      <c r="AB17" s="104"/>
      <c r="AC17" s="104"/>
      <c r="AD17" s="104"/>
    </row>
    <row r="18" spans="3:32" ht="15" collapsed="1" thickBot="1" x14ac:dyDescent="0.4">
      <c r="D18" s="3" t="s">
        <v>62</v>
      </c>
      <c r="F18" s="501">
        <f ca="1">SUBTOTAL(9,OFFSET(F15,1,0):OFFSET(F18,-1,0))</f>
        <v>-1752.4</v>
      </c>
      <c r="G18" s="501">
        <f ca="1">SUBTOTAL(9,OFFSET(G15,1,0):OFFSET(G18,-1,0))</f>
        <v>-2423.9</v>
      </c>
      <c r="H18" s="501">
        <f ca="1">SUBTOTAL(9,OFFSET(H15,1,0):OFFSET(H18,-1,0))</f>
        <v>-3326.3999999999996</v>
      </c>
      <c r="I18" s="501">
        <f ca="1">SUBTOTAL(9,OFFSET(I15,1,0):OFFSET(I18,-1,0))</f>
        <v>-3630.5</v>
      </c>
      <c r="J18" s="501">
        <f ca="1">SUBTOTAL(9,OFFSET(J15,1,0):OFFSET(J18,-1,0))</f>
        <v>-3967.9612499999998</v>
      </c>
      <c r="K18" s="501">
        <f ca="1">SUBTOTAL(9,OFFSET(K15,1,0):OFFSET(K18,-1,0))</f>
        <v>-4306.5606100000005</v>
      </c>
      <c r="L18" s="501">
        <f ca="1">SUBTOTAL(9,OFFSET(L15,1,0):OFFSET(L18,-1,0))</f>
        <v>-4630.7165910500007</v>
      </c>
      <c r="M18" s="501">
        <f ca="1">SUBTOTAL(9,OFFSET(M15,1,0):OFFSET(M18,-1,0))</f>
        <v>-4978.3375077480014</v>
      </c>
      <c r="N18" s="501">
        <f ca="1">SUBTOTAL(9,OFFSET(N15,1,0):OFFSET(N18,-1,0))</f>
        <v>-5301.9294457516216</v>
      </c>
      <c r="P18" s="30">
        <f t="shared" ref="P18:X18" ca="1" si="12">IFERROR(ABS(OFFSET($E$6,ROW()-ROW(Annual_Periods),MATCH(P$6,Annual_Periods,0)) /
OFFSET($E$12,0,MATCH(P$6,Annual_Periods,0))),"NA")</f>
        <v>0.39810082010041126</v>
      </c>
      <c r="Q18" s="30">
        <f t="shared" ca="1" si="12"/>
        <v>0.38741488987629064</v>
      </c>
      <c r="R18" s="30">
        <f t="shared" ca="1" si="12"/>
        <v>0.41013501017199921</v>
      </c>
      <c r="S18" s="30">
        <f t="shared" ca="1" si="12"/>
        <v>0.37741831526202535</v>
      </c>
      <c r="T18" s="30">
        <f t="shared" ca="1" si="12"/>
        <v>0.375</v>
      </c>
      <c r="U18" s="30">
        <f t="shared" ca="1" si="12"/>
        <v>0.37</v>
      </c>
      <c r="V18" s="30">
        <f t="shared" ca="1" si="12"/>
        <v>0.36499999999999999</v>
      </c>
      <c r="W18" s="30">
        <f t="shared" ca="1" si="12"/>
        <v>0.36</v>
      </c>
      <c r="X18" s="30">
        <f t="shared" ca="1" si="12"/>
        <v>0.35500000000000004</v>
      </c>
      <c r="Z18"/>
      <c r="AA18"/>
      <c r="AB18"/>
      <c r="AC18"/>
      <c r="AD18"/>
      <c r="AE18" s="482" t="s">
        <v>63</v>
      </c>
      <c r="AF18" s="480">
        <f ca="1">AVERAGE(T18:X18)</f>
        <v>0.36499999999999994</v>
      </c>
    </row>
    <row r="19" spans="3:32" x14ac:dyDescent="0.3">
      <c r="C19" s="3"/>
      <c r="D19" s="6" t="s">
        <v>64</v>
      </c>
      <c r="E19" s="3"/>
      <c r="F19" s="493">
        <f ca="1">F12+F18</f>
        <v>2649.4999999999995</v>
      </c>
      <c r="G19" s="493">
        <f t="shared" ref="G19:N19" ca="1" si="13">G12+G18</f>
        <v>3832.7000000000003</v>
      </c>
      <c r="H19" s="493">
        <f t="shared" ca="1" si="13"/>
        <v>4784.1000000000004</v>
      </c>
      <c r="I19" s="493">
        <f t="shared" ca="1" si="13"/>
        <v>5988.7999999999993</v>
      </c>
      <c r="J19" s="493">
        <f t="shared" ca="1" si="13"/>
        <v>6613.2687499999993</v>
      </c>
      <c r="K19" s="493">
        <f t="shared" ca="1" si="13"/>
        <v>7332.7923900000005</v>
      </c>
      <c r="L19" s="493">
        <f t="shared" ca="1" si="13"/>
        <v>8056.1781789500019</v>
      </c>
      <c r="M19" s="493">
        <f t="shared" ca="1" si="13"/>
        <v>8850.3777915520022</v>
      </c>
      <c r="N19" s="493">
        <f t="shared" ca="1" si="13"/>
        <v>9633.0830774923816</v>
      </c>
      <c r="P19" s="32">
        <f t="shared" ref="P19:X19" ca="1" si="14">IFERROR(OFFSET($E$6,ROW()-ROW(Annual_Periods),MATCH(P$6,Annual_Periods,0)) /
OFFSET($E$12,0,MATCH(P$6,Annual_Periods,0)),"NA")</f>
        <v>0.60189917989958874</v>
      </c>
      <c r="Q19" s="32">
        <f t="shared" ca="1" si="14"/>
        <v>0.61258511012370942</v>
      </c>
      <c r="R19" s="32">
        <f t="shared" ca="1" si="14"/>
        <v>0.58986498982800073</v>
      </c>
      <c r="S19" s="32">
        <f t="shared" ca="1" si="14"/>
        <v>0.62258168473797471</v>
      </c>
      <c r="T19" s="32">
        <f t="shared" ca="1" si="14"/>
        <v>0.625</v>
      </c>
      <c r="U19" s="32">
        <f t="shared" ca="1" si="14"/>
        <v>0.63</v>
      </c>
      <c r="V19" s="32">
        <f t="shared" ca="1" si="14"/>
        <v>0.63500000000000001</v>
      </c>
      <c r="W19" s="32">
        <f t="shared" ca="1" si="14"/>
        <v>0.64</v>
      </c>
      <c r="X19" s="32">
        <f t="shared" ca="1" si="14"/>
        <v>0.64499999999999991</v>
      </c>
    </row>
    <row r="20" spans="3:32" x14ac:dyDescent="0.3">
      <c r="D20" s="8" t="s">
        <v>65</v>
      </c>
      <c r="F20" s="12">
        <f t="shared" ref="F20:M20" ca="1" si="15">IFERROR(F19/F$12,"NA")</f>
        <v>0.60189917989958874</v>
      </c>
      <c r="G20" s="12">
        <f t="shared" ca="1" si="15"/>
        <v>0.61258511012370942</v>
      </c>
      <c r="H20" s="12">
        <f t="shared" ca="1" si="15"/>
        <v>0.58986498982800073</v>
      </c>
      <c r="I20" s="12">
        <f t="shared" ca="1" si="15"/>
        <v>0.62258168473797471</v>
      </c>
      <c r="J20" s="12">
        <f t="shared" ca="1" si="15"/>
        <v>0.625</v>
      </c>
      <c r="K20" s="12">
        <f t="shared" ca="1" si="15"/>
        <v>0.63</v>
      </c>
      <c r="L20" s="12">
        <f t="shared" ca="1" si="15"/>
        <v>0.63500000000000001</v>
      </c>
      <c r="M20" s="12">
        <f t="shared" ca="1" si="15"/>
        <v>0.64</v>
      </c>
      <c r="N20" s="12">
        <f t="shared" ref="N20" ca="1" si="16">IFERROR(N19/N$12,"NA")</f>
        <v>0.64499999999999991</v>
      </c>
    </row>
    <row r="21" spans="3:32" ht="6" customHeight="1" x14ac:dyDescent="0.3"/>
    <row r="22" spans="3:32" x14ac:dyDescent="0.3">
      <c r="D22" s="21" t="s">
        <v>66</v>
      </c>
      <c r="F22" s="20"/>
      <c r="G22" s="20"/>
      <c r="H22" s="20"/>
      <c r="I22" s="20"/>
      <c r="J22" s="20"/>
      <c r="K22" s="20"/>
      <c r="L22" s="20"/>
      <c r="M22" s="20"/>
      <c r="N22" s="20"/>
      <c r="P22" s="20"/>
      <c r="Q22" s="20"/>
      <c r="R22" s="20"/>
      <c r="S22" s="20"/>
      <c r="T22" s="20"/>
      <c r="U22" s="20"/>
      <c r="V22" s="20"/>
      <c r="W22" s="20"/>
      <c r="X22" s="20"/>
      <c r="Z22" s="20"/>
      <c r="AA22" s="20"/>
      <c r="AB22" s="20"/>
      <c r="AC22" s="20"/>
      <c r="AD22" s="20"/>
    </row>
    <row r="23" spans="3:32" x14ac:dyDescent="0.3">
      <c r="D23" s="7" t="s">
        <v>293</v>
      </c>
      <c r="F23" s="494">
        <v>1609</v>
      </c>
      <c r="G23" s="494">
        <v>2225</v>
      </c>
      <c r="H23" s="494">
        <v>2757.4</v>
      </c>
      <c r="I23" s="494">
        <v>3397.2</v>
      </c>
      <c r="J23" s="510">
        <f t="shared" ref="J23:N25" ca="1" si="17">J$12*(Z23)</f>
        <v>3741.2384769840687</v>
      </c>
      <c r="K23" s="510">
        <f t="shared" ca="1" si="17"/>
        <v>4073.7735499999999</v>
      </c>
      <c r="L23" s="510">
        <f t="shared" ca="1" si="17"/>
        <v>4376.9786956500002</v>
      </c>
      <c r="M23" s="510">
        <f t="shared" ca="1" si="17"/>
        <v>4701.7632017620017</v>
      </c>
      <c r="N23" s="510">
        <f t="shared" ca="1" si="17"/>
        <v>5077.9042579029619</v>
      </c>
      <c r="P23" s="29">
        <f t="shared" ref="P23:X25" ca="1" si="18">IFERROR(ABS(OFFSET($E$6,ROW()-ROW(Annual_Periods),MATCH(P$6,Annual_Periods,0)) /
OFFSET($E$12,0,MATCH(P$6,Annual_Periods,0))),"NA")</f>
        <v>0.36552397828210548</v>
      </c>
      <c r="Q23" s="29">
        <f t="shared" ca="1" si="18"/>
        <v>0.35562446056963842</v>
      </c>
      <c r="R23" s="29">
        <f t="shared" ca="1" si="18"/>
        <v>0.33997903951667591</v>
      </c>
      <c r="S23" s="29">
        <f t="shared" ca="1" si="18"/>
        <v>0.35316499121557704</v>
      </c>
      <c r="T23" s="29">
        <f t="shared" ca="1" si="18"/>
        <v>0.35357311739599923</v>
      </c>
      <c r="U23" s="29">
        <f t="shared" ca="1" si="18"/>
        <v>0.35</v>
      </c>
      <c r="V23" s="29">
        <f t="shared" ca="1" si="18"/>
        <v>0.34499999999999992</v>
      </c>
      <c r="W23" s="29">
        <f t="shared" ca="1" si="18"/>
        <v>0.34</v>
      </c>
      <c r="X23" s="29">
        <f t="shared" ca="1" si="18"/>
        <v>0.34</v>
      </c>
      <c r="Z23" s="104">
        <f ca="1">AVERAGE(P23:S23)</f>
        <v>0.35357311739599923</v>
      </c>
      <c r="AA23" s="104">
        <v>0.35</v>
      </c>
      <c r="AB23" s="104">
        <v>0.34499999999999997</v>
      </c>
      <c r="AC23" s="104">
        <v>0.34</v>
      </c>
      <c r="AD23" s="104">
        <v>0.34</v>
      </c>
    </row>
    <row r="24" spans="3:32" x14ac:dyDescent="0.3">
      <c r="D24" s="7" t="s">
        <v>294</v>
      </c>
      <c r="F24" s="494">
        <v>0</v>
      </c>
      <c r="G24" s="494">
        <v>0</v>
      </c>
      <c r="H24" s="494">
        <v>0</v>
      </c>
      <c r="I24" s="494">
        <v>0</v>
      </c>
      <c r="J24" s="510">
        <f t="shared" ca="1" si="17"/>
        <v>0</v>
      </c>
      <c r="K24" s="510">
        <f t="shared" ca="1" si="17"/>
        <v>0</v>
      </c>
      <c r="L24" s="510">
        <f t="shared" ca="1" si="17"/>
        <v>0</v>
      </c>
      <c r="M24" s="510">
        <f t="shared" ca="1" si="17"/>
        <v>0</v>
      </c>
      <c r="N24" s="510">
        <f t="shared" ca="1" si="17"/>
        <v>0</v>
      </c>
      <c r="P24" s="29">
        <f t="shared" ca="1" si="18"/>
        <v>0</v>
      </c>
      <c r="Q24" s="29">
        <f t="shared" ca="1" si="18"/>
        <v>0</v>
      </c>
      <c r="R24" s="29">
        <f t="shared" ca="1" si="18"/>
        <v>0</v>
      </c>
      <c r="S24" s="29">
        <f t="shared" ca="1" si="18"/>
        <v>0</v>
      </c>
      <c r="T24" s="29">
        <f t="shared" ca="1" si="18"/>
        <v>0</v>
      </c>
      <c r="U24" s="29">
        <f t="shared" ca="1" si="18"/>
        <v>0</v>
      </c>
      <c r="V24" s="29">
        <f t="shared" ca="1" si="18"/>
        <v>0</v>
      </c>
      <c r="W24" s="29">
        <f t="shared" ca="1" si="18"/>
        <v>0</v>
      </c>
      <c r="X24" s="29">
        <f t="shared" ca="1" si="18"/>
        <v>0</v>
      </c>
      <c r="Z24" s="104">
        <f ca="1">AVERAGE(P24:S24)</f>
        <v>0</v>
      </c>
      <c r="AA24" s="104">
        <f t="shared" ref="AA24:AD24" ca="1" si="19">AVERAGE(Q24:T24)</f>
        <v>0</v>
      </c>
      <c r="AB24" s="104">
        <f t="shared" ca="1" si="19"/>
        <v>0</v>
      </c>
      <c r="AC24" s="104">
        <f t="shared" ca="1" si="19"/>
        <v>0</v>
      </c>
      <c r="AD24" s="104">
        <f t="shared" ca="1" si="19"/>
        <v>0</v>
      </c>
    </row>
    <row r="25" spans="3:32" x14ac:dyDescent="0.3">
      <c r="D25" s="7" t="s">
        <v>295</v>
      </c>
      <c r="F25" s="494">
        <v>35</v>
      </c>
      <c r="G25" s="494">
        <v>50.2</v>
      </c>
      <c r="H25" s="494">
        <v>406.5</v>
      </c>
      <c r="I25" s="494">
        <v>79.5</v>
      </c>
      <c r="J25" s="510">
        <f ca="1">J$12*(Z25)</f>
        <v>84.649839999999998</v>
      </c>
      <c r="K25" s="510">
        <f t="shared" ca="1" si="17"/>
        <v>81.475471000000013</v>
      </c>
      <c r="L25" s="510">
        <f t="shared" ca="1" si="17"/>
        <v>88.808263390000022</v>
      </c>
      <c r="M25" s="510">
        <f t="shared" ca="1" si="17"/>
        <v>82.972291795800018</v>
      </c>
      <c r="N25" s="510">
        <f t="shared" ca="1" si="17"/>
        <v>89.61007513946403</v>
      </c>
      <c r="P25" s="29">
        <f t="shared" ca="1" si="18"/>
        <v>7.9511120198096277E-3</v>
      </c>
      <c r="Q25" s="29">
        <f t="shared" ca="1" si="18"/>
        <v>8.0235271553239784E-3</v>
      </c>
      <c r="R25" s="29">
        <f t="shared" ca="1" si="18"/>
        <v>5.0120214536711671E-2</v>
      </c>
      <c r="S25" s="29">
        <f t="shared" ca="1" si="18"/>
        <v>8.2646346407742773E-3</v>
      </c>
      <c r="T25" s="29">
        <f t="shared" ca="1" si="18"/>
        <v>8.0000000000000002E-3</v>
      </c>
      <c r="U25" s="29">
        <f t="shared" ca="1" si="18"/>
        <v>7.0000000000000001E-3</v>
      </c>
      <c r="V25" s="29">
        <f t="shared" ca="1" si="18"/>
        <v>7.0000000000000001E-3</v>
      </c>
      <c r="W25" s="29">
        <f t="shared" ca="1" si="18"/>
        <v>6.0000000000000001E-3</v>
      </c>
      <c r="X25" s="29">
        <f t="shared" ca="1" si="18"/>
        <v>6.0000000000000001E-3</v>
      </c>
      <c r="Z25" s="104">
        <v>8.0000000000000002E-3</v>
      </c>
      <c r="AA25" s="104">
        <v>7.0000000000000001E-3</v>
      </c>
      <c r="AB25" s="104">
        <v>7.0000000000000001E-3</v>
      </c>
      <c r="AC25" s="104">
        <v>6.0000000000000001E-3</v>
      </c>
      <c r="AD25" s="104">
        <v>6.0000000000000001E-3</v>
      </c>
    </row>
    <row r="26" spans="3:32" x14ac:dyDescent="0.3">
      <c r="D26" s="6" t="s">
        <v>67</v>
      </c>
      <c r="F26" s="493">
        <f ca="1">F19-SUBTOTAL(9,OFFSET(F22,1,0):OFFSET(F26,-1,0))</f>
        <v>1005.4999999999995</v>
      </c>
      <c r="G26" s="493">
        <f ca="1">G19-SUBTOTAL(9,OFFSET(G22,1,0):OFFSET(G26,-1,0))</f>
        <v>1557.5000000000005</v>
      </c>
      <c r="H26" s="493">
        <f ca="1">H19-SUBTOTAL(9,OFFSET(H22,1,0):OFFSET(H26,-1,0))</f>
        <v>1620.2000000000003</v>
      </c>
      <c r="I26" s="493">
        <f ca="1">I19-SUBTOTAL(9,OFFSET(I22,1,0):OFFSET(I26,-1,0))</f>
        <v>2512.0999999999995</v>
      </c>
      <c r="J26" s="493">
        <f ca="1">J19-SUBTOTAL(9,OFFSET(J22,1,0):OFFSET(J26,-1,0))</f>
        <v>2787.3804330159305</v>
      </c>
      <c r="K26" s="493">
        <f ca="1">K19-SUBTOTAL(9,OFFSET(K22,1,0):OFFSET(K26,-1,0))</f>
        <v>3177.5433690000009</v>
      </c>
      <c r="L26" s="493">
        <f ca="1">L19-SUBTOTAL(9,OFFSET(L22,1,0):OFFSET(L26,-1,0))</f>
        <v>3590.3912199100014</v>
      </c>
      <c r="M26" s="493">
        <f ca="1">M19-SUBTOTAL(9,OFFSET(M22,1,0):OFFSET(M26,-1,0))</f>
        <v>4065.6422979942008</v>
      </c>
      <c r="N26" s="493">
        <f ca="1">N19-SUBTOTAL(9,OFFSET(N22,1,0):OFFSET(N26,-1,0))</f>
        <v>4465.5687444499554</v>
      </c>
      <c r="P26" s="32">
        <f t="shared" ref="P26:X26" ca="1" si="20">IFERROR(OFFSET($E$6,ROW()-ROW(Annual_Periods),MATCH(P$6,Annual_Periods,0)) /
OFFSET($E$12,0,MATCH(P$6,Annual_Periods,0)),"NA")</f>
        <v>0.22842408959767366</v>
      </c>
      <c r="Q26" s="32">
        <f t="shared" ca="1" si="20"/>
        <v>0.24893712239874699</v>
      </c>
      <c r="R26" s="32">
        <f t="shared" ca="1" si="20"/>
        <v>0.19976573577461318</v>
      </c>
      <c r="S26" s="32">
        <f t="shared" ca="1" si="20"/>
        <v>0.26115205888162335</v>
      </c>
      <c r="T26" s="32">
        <f t="shared" ca="1" si="20"/>
        <v>0.26342688260400071</v>
      </c>
      <c r="U26" s="32">
        <f t="shared" ca="1" si="20"/>
        <v>0.27300000000000008</v>
      </c>
      <c r="V26" s="32">
        <f t="shared" ca="1" si="20"/>
        <v>0.28300000000000003</v>
      </c>
      <c r="W26" s="32">
        <f t="shared" ca="1" si="20"/>
        <v>0.29399999999999998</v>
      </c>
      <c r="X26" s="32">
        <f t="shared" ca="1" si="20"/>
        <v>0.29899999999999988</v>
      </c>
    </row>
    <row r="27" spans="3:32" ht="12.5" thickBot="1" x14ac:dyDescent="0.35">
      <c r="D27" s="7" t="s">
        <v>142</v>
      </c>
      <c r="F27" s="491">
        <v>185.5</v>
      </c>
      <c r="G27" s="491">
        <v>224.2</v>
      </c>
      <c r="H27" s="491">
        <v>291.8</v>
      </c>
      <c r="I27" s="491">
        <v>379.4</v>
      </c>
      <c r="J27" s="496">
        <f ca="1">-J189</f>
        <v>409.901162446466</v>
      </c>
      <c r="K27" s="496">
        <f t="shared" ref="K27:N27" ca="1" si="21">-K189</f>
        <v>448.41516069089624</v>
      </c>
      <c r="L27" s="496">
        <f t="shared" ca="1" si="21"/>
        <v>474.43203517670105</v>
      </c>
      <c r="M27" s="496">
        <f t="shared" ca="1" si="21"/>
        <v>480.97925049717708</v>
      </c>
      <c r="N27" s="496">
        <f t="shared" ca="1" si="21"/>
        <v>484.45147060087299</v>
      </c>
      <c r="P27" s="29">
        <f t="shared" ref="P27:X27" ca="1" si="22">IFERROR(ABS(OFFSET($E$6,ROW()-ROW(Annual_Periods),MATCH(P$6,Annual_Periods,0)) /
OFFSET($E$12,0,MATCH(P$6,Annual_Periods,0))),"NA")</f>
        <v>4.214089370499103E-2</v>
      </c>
      <c r="Q27" s="29">
        <f t="shared" ca="1" si="22"/>
        <v>3.5834159127960868E-2</v>
      </c>
      <c r="R27" s="29">
        <f t="shared" ca="1" si="22"/>
        <v>3.5978053140990077E-2</v>
      </c>
      <c r="S27" s="29">
        <f t="shared" ca="1" si="22"/>
        <v>3.944153940515422E-2</v>
      </c>
      <c r="T27" s="29">
        <f t="shared" ca="1" si="22"/>
        <v>3.87385173979269E-2</v>
      </c>
      <c r="U27" s="29">
        <f t="shared" ca="1" si="22"/>
        <v>3.852578065901912E-2</v>
      </c>
      <c r="V27" s="29">
        <f t="shared" ca="1" si="22"/>
        <v>3.7395441814380315E-2</v>
      </c>
      <c r="W27" s="29">
        <f t="shared" ca="1" si="22"/>
        <v>3.4781195511453172E-2</v>
      </c>
      <c r="X27" s="29">
        <f t="shared" ca="1" si="22"/>
        <v>3.2437299255484407E-2</v>
      </c>
    </row>
    <row r="28" spans="3:32" ht="12.5" hidden="1" outlineLevel="1" thickBot="1" x14ac:dyDescent="0.35">
      <c r="D28" s="7" t="s">
        <v>69</v>
      </c>
      <c r="F28" s="491"/>
      <c r="G28" s="491"/>
      <c r="H28" s="491"/>
      <c r="I28" s="491"/>
      <c r="J28" s="497">
        <f ca="1">-J197</f>
        <v>0</v>
      </c>
      <c r="K28" s="497">
        <f t="shared" ref="K28:N28" ca="1" si="23">-K197</f>
        <v>0</v>
      </c>
      <c r="L28" s="497">
        <f t="shared" ca="1" si="23"/>
        <v>0</v>
      </c>
      <c r="M28" s="497">
        <f t="shared" ca="1" si="23"/>
        <v>0</v>
      </c>
      <c r="N28" s="497">
        <f t="shared" ca="1" si="23"/>
        <v>0</v>
      </c>
      <c r="P28" s="29" cm="1">
        <f t="array" aca="1" ref="P28" ca="1">IFERROR(ABS(OFFSET($E$6,ROW()-ROW(Annual_Periods),MATCH(P$6,Annual_Periods,0)) /
OFFSET($E$12,0,MATCH(P$6,Annual_Periods,0))),"NA")</f>
        <v>0</v>
      </c>
      <c r="Q28" s="29" cm="1">
        <f t="array" aca="1" ref="Q28" ca="1">IFERROR(ABS(OFFSET($E$6,ROW()-ROW(Annual_Periods),MATCH(Q$6,Annual_Periods,0)) /
OFFSET($E$12,0,MATCH(Q$6,Annual_Periods,0))),"NA")</f>
        <v>0</v>
      </c>
      <c r="R28" s="29" cm="1">
        <f t="array" aca="1" ref="R28" ca="1">IFERROR(ABS(OFFSET($E$6,ROW()-ROW(Annual_Periods),MATCH(R$6,Annual_Periods,0)) /
OFFSET($E$12,0,MATCH(R$6,Annual_Periods,0))),"NA")</f>
        <v>0</v>
      </c>
      <c r="S28" s="29" cm="1">
        <f t="array" aca="1" ref="S28" ca="1">IFERROR(ABS(OFFSET($E$6,ROW()-ROW(Annual_Periods),MATCH(S$6,Annual_Periods,0)) /
OFFSET($E$12,0,MATCH(S$6,Annual_Periods,0))),"NA")</f>
        <v>0</v>
      </c>
      <c r="T28" s="29" cm="1">
        <f t="array" aca="1" ref="T28" ca="1">IFERROR(ABS(OFFSET($E$6,ROW()-ROW(Annual_Periods),MATCH(T$6,Annual_Periods,0)) /
OFFSET($E$12,0,MATCH(T$6,Annual_Periods,0))),"NA")</f>
        <v>0</v>
      </c>
      <c r="U28" s="29" cm="1">
        <f t="array" aca="1" ref="U28" ca="1">IFERROR(ABS(OFFSET($E$6,ROW()-ROW(Annual_Periods),MATCH(U$6,Annual_Periods,0)) /
OFFSET($E$12,0,MATCH(U$6,Annual_Periods,0))),"NA")</f>
        <v>0</v>
      </c>
      <c r="V28" s="29" cm="1">
        <f t="array" aca="1" ref="V28" ca="1">IFERROR(ABS(OFFSET($E$6,ROW()-ROW(Annual_Periods),MATCH(V$6,Annual_Periods,0)) /
OFFSET($E$12,0,MATCH(V$6,Annual_Periods,0))),"NA")</f>
        <v>0</v>
      </c>
      <c r="W28" s="29" cm="1">
        <f t="array" aca="1" ref="W28" ca="1">IFERROR(ABS(OFFSET($E$6,ROW()-ROW(Annual_Periods),MATCH(W$6,Annual_Periods,0)) /
OFFSET($E$12,0,MATCH(W$6,Annual_Periods,0))),"NA")</f>
        <v>0</v>
      </c>
      <c r="X28" s="29" cm="1">
        <f t="array" aca="1" ref="X28" ca="1">IFERROR(ABS(OFFSET($E$6,ROW()-ROW(Annual_Periods),MATCH(X$6,Annual_Periods,0)) /
OFFSET($E$12,0,MATCH(X$6,Annual_Periods,0))),"NA")</f>
        <v>0</v>
      </c>
    </row>
    <row r="29" spans="3:32" ht="12.5" collapsed="1" thickBot="1" x14ac:dyDescent="0.35">
      <c r="D29" s="3" t="s">
        <v>70</v>
      </c>
      <c r="F29" s="495">
        <f ca="1">SUBTOTAL(9,OFFSET(F22,1,0):OFFSET(F29,-1,0))</f>
        <v>1829.5</v>
      </c>
      <c r="G29" s="495">
        <f ca="1">SUBTOTAL(9,OFFSET(G22,1,0):OFFSET(G29,-1,0))</f>
        <v>2499.3999999999996</v>
      </c>
      <c r="H29" s="495">
        <f ca="1">SUBTOTAL(9,OFFSET(H22,1,0):OFFSET(H29,-1,0))</f>
        <v>3455.7000000000003</v>
      </c>
      <c r="I29" s="495">
        <f ca="1">SUBTOTAL(9,OFFSET(I22,1,0):OFFSET(I29,-1,0))</f>
        <v>3856.1</v>
      </c>
      <c r="J29" s="495">
        <f ca="1">SUBTOTAL(9,OFFSET(J22,1,0):OFFSET(J29,-1,0))</f>
        <v>4235.7894794305348</v>
      </c>
      <c r="K29" s="495">
        <f ca="1">SUBTOTAL(9,OFFSET(K22,1,0):OFFSET(K29,-1,0))</f>
        <v>4603.6641816908959</v>
      </c>
      <c r="L29" s="495">
        <f ca="1">SUBTOTAL(9,OFFSET(L22,1,0):OFFSET(L29,-1,0))</f>
        <v>4940.2189942167015</v>
      </c>
      <c r="M29" s="495">
        <f ca="1">SUBTOTAL(9,OFFSET(M22,1,0):OFFSET(M29,-1,0))</f>
        <v>5265.7147440549788</v>
      </c>
      <c r="N29" s="495">
        <f ca="1">SUBTOTAL(9,OFFSET(N22,1,0):OFFSET(N29,-1,0))</f>
        <v>5651.9658036432993</v>
      </c>
      <c r="P29" s="30">
        <f t="shared" ref="P29:X29" ca="1" si="24">IFERROR(ABS(OFFSET($E$6,ROW()-ROW(Annual_Periods),MATCH(P$6,Annual_Periods,0)) /
OFFSET($E$12,0,MATCH(P$6,Annual_Periods,0))),"NA")</f>
        <v>0.41561598400690614</v>
      </c>
      <c r="Q29" s="30">
        <f t="shared" ca="1" si="24"/>
        <v>0.39948214685292321</v>
      </c>
      <c r="R29" s="30">
        <f t="shared" ca="1" si="24"/>
        <v>0.4260773071943777</v>
      </c>
      <c r="S29" s="30">
        <f t="shared" ca="1" si="24"/>
        <v>0.40087116526150551</v>
      </c>
      <c r="T29" s="30">
        <f t="shared" ca="1" si="24"/>
        <v>0.40031163479392612</v>
      </c>
      <c r="U29" s="30">
        <f t="shared" ca="1" si="24"/>
        <v>0.39552578065901906</v>
      </c>
      <c r="V29" s="30">
        <f t="shared" ca="1" si="24"/>
        <v>0.38939544181438029</v>
      </c>
      <c r="W29" s="30">
        <f t="shared" ca="1" si="24"/>
        <v>0.38078119551145323</v>
      </c>
      <c r="X29" s="30">
        <f t="shared" ca="1" si="24"/>
        <v>0.37843729925548447</v>
      </c>
      <c r="AE29" s="482" t="s">
        <v>71</v>
      </c>
      <c r="AF29" s="480">
        <f ca="1">AVERAGE(T29:X29)</f>
        <v>0.38889027040685265</v>
      </c>
    </row>
    <row r="30" spans="3:32" x14ac:dyDescent="0.3">
      <c r="D30" s="6" t="s">
        <v>72</v>
      </c>
      <c r="F30" s="493">
        <f ca="1">F19-F29</f>
        <v>819.99999999999955</v>
      </c>
      <c r="G30" s="493">
        <f t="shared" ref="G30:M30" ca="1" si="25">G19-G29</f>
        <v>1333.3000000000006</v>
      </c>
      <c r="H30" s="493">
        <f t="shared" ca="1" si="25"/>
        <v>1328.4</v>
      </c>
      <c r="I30" s="493">
        <f t="shared" ca="1" si="25"/>
        <v>2132.6999999999994</v>
      </c>
      <c r="J30" s="493">
        <f t="shared" ca="1" si="25"/>
        <v>2377.4792705694645</v>
      </c>
      <c r="K30" s="493">
        <f t="shared" ca="1" si="25"/>
        <v>2729.1282083091046</v>
      </c>
      <c r="L30" s="493">
        <f t="shared" ca="1" si="25"/>
        <v>3115.9591847333004</v>
      </c>
      <c r="M30" s="493">
        <f t="shared" ca="1" si="25"/>
        <v>3584.6630474970234</v>
      </c>
      <c r="N30" s="493">
        <f t="shared" ref="N30" ca="1" si="26">N19-N29</f>
        <v>3981.1172738490823</v>
      </c>
      <c r="P30" s="32">
        <f t="shared" ref="P30:X30" ca="1" si="27">IFERROR(OFFSET($E$6,ROW()-ROW(Annual_Periods),MATCH(P$6,Annual_Periods,0)) /
OFFSET($E$12,0,MATCH(P$6,Annual_Periods,0)),"NA")</f>
        <v>0.18628319589268261</v>
      </c>
      <c r="Q30" s="32">
        <f t="shared" ca="1" si="27"/>
        <v>0.21310296327078615</v>
      </c>
      <c r="R30" s="32">
        <f t="shared" ca="1" si="27"/>
        <v>0.16378768263362309</v>
      </c>
      <c r="S30" s="32">
        <f t="shared" ca="1" si="27"/>
        <v>0.22171051947646914</v>
      </c>
      <c r="T30" s="32">
        <f t="shared" ca="1" si="27"/>
        <v>0.22468836520607383</v>
      </c>
      <c r="U30" s="32">
        <f t="shared" ca="1" si="27"/>
        <v>0.23447421934098092</v>
      </c>
      <c r="V30" s="32">
        <f t="shared" ca="1" si="27"/>
        <v>0.24560455818561974</v>
      </c>
      <c r="W30" s="32">
        <f t="shared" ca="1" si="27"/>
        <v>0.25921880448854678</v>
      </c>
      <c r="X30" s="32">
        <f t="shared" ca="1" si="27"/>
        <v>0.26656270074451549</v>
      </c>
    </row>
    <row r="31" spans="3:32" x14ac:dyDescent="0.3">
      <c r="D31" s="8" t="s">
        <v>73</v>
      </c>
      <c r="F31" s="12">
        <f t="shared" ref="F31:M31" ca="1" si="28">IFERROR(F26/F$12,"NA")</f>
        <v>0.22842408959767366</v>
      </c>
      <c r="G31" s="12">
        <f t="shared" ca="1" si="28"/>
        <v>0.24893712239874699</v>
      </c>
      <c r="H31" s="12">
        <f t="shared" ca="1" si="28"/>
        <v>0.19976573577461318</v>
      </c>
      <c r="I31" s="12">
        <f t="shared" ca="1" si="28"/>
        <v>0.26115205888162335</v>
      </c>
      <c r="J31" s="12">
        <f t="shared" ca="1" si="28"/>
        <v>0.26342688260400071</v>
      </c>
      <c r="K31" s="12">
        <f t="shared" ca="1" si="28"/>
        <v>0.27300000000000008</v>
      </c>
      <c r="L31" s="12">
        <f t="shared" ca="1" si="28"/>
        <v>0.28300000000000003</v>
      </c>
      <c r="M31" s="12">
        <f t="shared" ca="1" si="28"/>
        <v>0.29399999999999998</v>
      </c>
      <c r="N31" s="12">
        <f t="shared" ref="N31" ca="1" si="29">IFERROR(N26/N$12,"NA")</f>
        <v>0.29899999999999988</v>
      </c>
    </row>
    <row r="32" spans="3:32" x14ac:dyDescent="0.3">
      <c r="D32" s="8" t="s">
        <v>74</v>
      </c>
      <c r="F32" s="12">
        <f t="shared" ref="F32:M32" ca="1" si="30">IFERROR(F30/F$12,"NA")</f>
        <v>0.18628319589268261</v>
      </c>
      <c r="G32" s="12">
        <f t="shared" ca="1" si="30"/>
        <v>0.21310296327078615</v>
      </c>
      <c r="H32" s="12">
        <f t="shared" ca="1" si="30"/>
        <v>0.16378768263362309</v>
      </c>
      <c r="I32" s="12">
        <f t="shared" ca="1" si="30"/>
        <v>0.22171051947646914</v>
      </c>
      <c r="J32" s="12">
        <f t="shared" ca="1" si="30"/>
        <v>0.22468836520607383</v>
      </c>
      <c r="K32" s="12">
        <f t="shared" ca="1" si="30"/>
        <v>0.23447421934098092</v>
      </c>
      <c r="L32" s="12">
        <f t="shared" ca="1" si="30"/>
        <v>0.24560455818561974</v>
      </c>
      <c r="M32" s="12">
        <f t="shared" ca="1" si="30"/>
        <v>0.25921880448854678</v>
      </c>
      <c r="N32" s="12">
        <f t="shared" ref="N32" ca="1" si="31">IFERROR(N30/N$12,"NA")</f>
        <v>0.26656270074451549</v>
      </c>
    </row>
    <row r="33" spans="4:32" ht="6" customHeight="1" x14ac:dyDescent="0.3"/>
    <row r="34" spans="4:32" ht="12.5" thickBot="1" x14ac:dyDescent="0.35">
      <c r="D34" s="21" t="s">
        <v>75</v>
      </c>
      <c r="F34" s="20"/>
      <c r="G34" s="20"/>
      <c r="H34" s="20"/>
      <c r="I34" s="20"/>
      <c r="J34" s="20"/>
      <c r="K34" s="20"/>
      <c r="L34" s="20"/>
      <c r="M34" s="20"/>
      <c r="N34" s="20"/>
      <c r="P34" s="20"/>
      <c r="Q34" s="20"/>
      <c r="R34" s="20"/>
      <c r="S34" s="20"/>
      <c r="T34" s="20"/>
      <c r="U34" s="20"/>
      <c r="V34" s="20"/>
      <c r="W34" s="20"/>
      <c r="X34" s="20"/>
      <c r="Z34" s="20"/>
      <c r="AA34" s="20"/>
      <c r="AB34" s="20"/>
      <c r="AC34" s="20"/>
      <c r="AD34" s="20"/>
    </row>
    <row r="35" spans="4:32" ht="12.5" thickBot="1" x14ac:dyDescent="0.35">
      <c r="D35" s="7" t="s">
        <v>76</v>
      </c>
      <c r="F35" s="494">
        <v>0</v>
      </c>
      <c r="G35" s="494">
        <v>0</v>
      </c>
      <c r="H35" s="494">
        <v>0</v>
      </c>
      <c r="I35" s="494">
        <v>0</v>
      </c>
      <c r="J35" s="494">
        <f ca="1">J$12*Z$35</f>
        <v>0</v>
      </c>
      <c r="K35" s="494">
        <f t="shared" ref="K35:N35" ca="1" si="32">K$12*AA$35</f>
        <v>0</v>
      </c>
      <c r="L35" s="494">
        <f t="shared" ca="1" si="32"/>
        <v>0</v>
      </c>
      <c r="M35" s="494">
        <f t="shared" ca="1" si="32"/>
        <v>0</v>
      </c>
      <c r="N35" s="494">
        <f t="shared" ca="1" si="32"/>
        <v>0</v>
      </c>
      <c r="P35" s="29">
        <f t="shared" ref="P35:X38" ca="1" si="33">IFERROR(ABS(OFFSET($E$6,ROW()-ROW(Annual_Periods),MATCH(P$6,Annual_Periods,0)) /
OFFSET($E$12,0,MATCH(P$6,Annual_Periods,0))),"NA")</f>
        <v>0</v>
      </c>
      <c r="Q35" s="29">
        <f t="shared" ca="1" si="33"/>
        <v>0</v>
      </c>
      <c r="R35" s="29">
        <f t="shared" ca="1" si="33"/>
        <v>0</v>
      </c>
      <c r="S35" s="29">
        <f t="shared" ca="1" si="33"/>
        <v>0</v>
      </c>
      <c r="T35" s="29">
        <f t="shared" ca="1" si="33"/>
        <v>0</v>
      </c>
      <c r="U35" s="29">
        <f t="shared" ca="1" si="33"/>
        <v>0</v>
      </c>
      <c r="V35" s="29">
        <f t="shared" ca="1" si="33"/>
        <v>0</v>
      </c>
      <c r="W35" s="29">
        <f t="shared" ca="1" si="33"/>
        <v>0</v>
      </c>
      <c r="X35" s="29">
        <f t="shared" ca="1" si="33"/>
        <v>0</v>
      </c>
      <c r="Z35" s="104">
        <f ca="1">AVERAGE(P35:S35)</f>
        <v>0</v>
      </c>
      <c r="AA35" s="104">
        <f t="shared" ref="AA35:AD35" ca="1" si="34">AVERAGE(Q35:T35)</f>
        <v>0</v>
      </c>
      <c r="AB35" s="104">
        <f ca="1">AVERAGE(R35:U35)</f>
        <v>0</v>
      </c>
      <c r="AC35" s="104">
        <f t="shared" ca="1" si="34"/>
        <v>0</v>
      </c>
      <c r="AD35" s="104">
        <f t="shared" ca="1" si="34"/>
        <v>0</v>
      </c>
      <c r="AE35" s="482" t="s">
        <v>21</v>
      </c>
      <c r="AF35" s="480">
        <f>Cost_of_Debt*0</f>
        <v>0</v>
      </c>
    </row>
    <row r="36" spans="4:32" x14ac:dyDescent="0.3">
      <c r="D36" s="7" t="s">
        <v>77</v>
      </c>
      <c r="F36" s="494">
        <v>0</v>
      </c>
      <c r="G36" s="494">
        <v>0</v>
      </c>
      <c r="H36" s="494">
        <v>0</v>
      </c>
      <c r="I36" s="494">
        <v>0</v>
      </c>
      <c r="J36" s="494">
        <f ca="1">$AF$35*(J78+J84+J85)</f>
        <v>0</v>
      </c>
      <c r="K36" s="494">
        <f t="shared" ref="K36:N36" ca="1" si="35">$AF$35*(K78+K84+K85)</f>
        <v>0</v>
      </c>
      <c r="L36" s="494">
        <f t="shared" ca="1" si="35"/>
        <v>0</v>
      </c>
      <c r="M36" s="494">
        <f t="shared" ca="1" si="35"/>
        <v>0</v>
      </c>
      <c r="N36" s="494">
        <f t="shared" ca="1" si="35"/>
        <v>0</v>
      </c>
      <c r="P36" s="29">
        <f t="shared" ca="1" si="33"/>
        <v>0</v>
      </c>
      <c r="Q36" s="29">
        <f t="shared" ca="1" si="33"/>
        <v>0</v>
      </c>
      <c r="R36" s="29">
        <f t="shared" ca="1" si="33"/>
        <v>0</v>
      </c>
      <c r="S36" s="29">
        <f t="shared" ca="1" si="33"/>
        <v>0</v>
      </c>
      <c r="T36" s="29">
        <f t="shared" ca="1" si="33"/>
        <v>0</v>
      </c>
      <c r="U36" s="29">
        <f t="shared" ca="1" si="33"/>
        <v>0</v>
      </c>
      <c r="V36" s="29">
        <f t="shared" ca="1" si="33"/>
        <v>0</v>
      </c>
      <c r="W36" s="29">
        <f t="shared" ca="1" si="33"/>
        <v>0</v>
      </c>
      <c r="X36" s="29">
        <f t="shared" ca="1" si="33"/>
        <v>0</v>
      </c>
      <c r="Z36" s="104">
        <f>$AF$35</f>
        <v>0</v>
      </c>
      <c r="AA36" s="104">
        <f t="shared" ref="AA36:AD36" si="36">$AF$35</f>
        <v>0</v>
      </c>
      <c r="AB36" s="104">
        <f t="shared" si="36"/>
        <v>0</v>
      </c>
      <c r="AC36" s="104">
        <f t="shared" si="36"/>
        <v>0</v>
      </c>
      <c r="AD36" s="104">
        <f t="shared" si="36"/>
        <v>0</v>
      </c>
    </row>
    <row r="37" spans="4:32" x14ac:dyDescent="0.3">
      <c r="D37" s="7" t="s">
        <v>75</v>
      </c>
      <c r="F37" s="494">
        <v>-0.6</v>
      </c>
      <c r="G37" s="494">
        <v>0.5</v>
      </c>
      <c r="H37" s="494">
        <v>4.2</v>
      </c>
      <c r="I37" s="494">
        <v>43.1</v>
      </c>
      <c r="J37" s="494">
        <f ca="1">J$12*Z$37</f>
        <v>13.794334585097268</v>
      </c>
      <c r="K37" s="494">
        <f t="shared" ref="K37:L37" ca="1" si="37">K$12*AA$37</f>
        <v>15.173768043606996</v>
      </c>
      <c r="L37" s="494">
        <f t="shared" ca="1" si="37"/>
        <v>16.539407167531628</v>
      </c>
      <c r="M37" s="494">
        <f ca="1">M$12*AC$37</f>
        <v>18.027953812609475</v>
      </c>
      <c r="N37" s="494">
        <f ca="1">N$12*AD$37</f>
        <v>19.470190117618234</v>
      </c>
      <c r="P37" s="29">
        <f t="shared" ca="1" si="33"/>
        <v>1.3630477748245078E-4</v>
      </c>
      <c r="Q37" s="29">
        <f t="shared" ca="1" si="33"/>
        <v>7.9915609116772683E-5</v>
      </c>
      <c r="R37" s="29">
        <f t="shared" ca="1" si="33"/>
        <v>5.1784723506565562E-4</v>
      </c>
      <c r="S37" s="29">
        <f t="shared" ca="1" si="33"/>
        <v>4.4805755096524701E-3</v>
      </c>
      <c r="T37" s="29">
        <f t="shared" ca="1" si="33"/>
        <v>1.3036607828293373E-3</v>
      </c>
      <c r="U37" s="29">
        <f t="shared" ca="1" si="33"/>
        <v>1.3036607828293373E-3</v>
      </c>
      <c r="V37" s="29">
        <f t="shared" ca="1" si="33"/>
        <v>1.3036607828293373E-3</v>
      </c>
      <c r="W37" s="29">
        <f t="shared" ca="1" si="33"/>
        <v>1.3036607828293373E-3</v>
      </c>
      <c r="X37" s="29">
        <f t="shared" ca="1" si="33"/>
        <v>1.3036607828293373E-3</v>
      </c>
      <c r="Z37" s="104">
        <f ca="1">AVERAGE($P$37:$S$37)</f>
        <v>1.3036607828293373E-3</v>
      </c>
      <c r="AA37" s="104">
        <f t="shared" ref="AA37:AD37" ca="1" si="38">AVERAGE($P$37:$S$37)</f>
        <v>1.3036607828293373E-3</v>
      </c>
      <c r="AB37" s="104">
        <f t="shared" ca="1" si="38"/>
        <v>1.3036607828293373E-3</v>
      </c>
      <c r="AC37" s="104">
        <f t="shared" ca="1" si="38"/>
        <v>1.3036607828293373E-3</v>
      </c>
      <c r="AD37" s="104">
        <f t="shared" ca="1" si="38"/>
        <v>1.3036607828293373E-3</v>
      </c>
    </row>
    <row r="38" spans="4:32" x14ac:dyDescent="0.3">
      <c r="D38" s="3" t="s">
        <v>78</v>
      </c>
      <c r="F38" s="495">
        <f ca="1">SUBTOTAL(9,OFFSET(F34,1,0):OFFSET(F38,-1,0))</f>
        <v>-0.6</v>
      </c>
      <c r="G38" s="495">
        <f ca="1">SUBTOTAL(9,OFFSET(G34,1,0):OFFSET(G38,-1,0))</f>
        <v>0.5</v>
      </c>
      <c r="H38" s="495">
        <f ca="1">SUBTOTAL(9,OFFSET(H34,1,0):OFFSET(H38,-1,0))</f>
        <v>4.2</v>
      </c>
      <c r="I38" s="495">
        <f ca="1">SUBTOTAL(9,OFFSET(I34,1,0):OFFSET(I38,-1,0))</f>
        <v>43.1</v>
      </c>
      <c r="J38" s="495">
        <f ca="1">SUBTOTAL(9,OFFSET(J34,1,0):OFFSET(J38,-1,0))</f>
        <v>13.794334585097268</v>
      </c>
      <c r="K38" s="495">
        <f ca="1">SUBTOTAL(9,OFFSET(K34,1,0):OFFSET(K38,-1,0))</f>
        <v>15.173768043606996</v>
      </c>
      <c r="L38" s="495">
        <f ca="1">SUBTOTAL(9,OFFSET(L34,1,0):OFFSET(L38,-1,0))</f>
        <v>16.539407167531628</v>
      </c>
      <c r="M38" s="495">
        <f ca="1">SUBTOTAL(9,OFFSET(M34,1,0):OFFSET(M38,-1,0))</f>
        <v>18.027953812609475</v>
      </c>
      <c r="N38" s="495">
        <f ca="1">SUBTOTAL(9,OFFSET(N34,1,0):OFFSET(N38,-1,0))</f>
        <v>19.470190117618234</v>
      </c>
      <c r="P38" s="30">
        <f t="shared" ca="1" si="33"/>
        <v>1.3630477748245078E-4</v>
      </c>
      <c r="Q38" s="30">
        <f t="shared" ca="1" si="33"/>
        <v>7.9915609116772683E-5</v>
      </c>
      <c r="R38" s="30">
        <f t="shared" ca="1" si="33"/>
        <v>5.1784723506565562E-4</v>
      </c>
      <c r="S38" s="30">
        <f t="shared" ca="1" si="33"/>
        <v>4.4805755096524701E-3</v>
      </c>
      <c r="T38" s="30">
        <f t="shared" ca="1" si="33"/>
        <v>1.3036607828293373E-3</v>
      </c>
      <c r="U38" s="30">
        <f t="shared" ca="1" si="33"/>
        <v>1.3036607828293373E-3</v>
      </c>
      <c r="V38" s="30">
        <f t="shared" ca="1" si="33"/>
        <v>1.3036607828293373E-3</v>
      </c>
      <c r="W38" s="30">
        <f t="shared" ca="1" si="33"/>
        <v>1.3036607828293373E-3</v>
      </c>
      <c r="X38" s="30">
        <f t="shared" ca="1" si="33"/>
        <v>1.3036607828293373E-3</v>
      </c>
    </row>
    <row r="39" spans="4:32" x14ac:dyDescent="0.3">
      <c r="D39" s="6" t="s">
        <v>79</v>
      </c>
      <c r="F39" s="493">
        <f t="shared" ref="F39:N39" ca="1" si="39">F30+F38</f>
        <v>819.39999999999952</v>
      </c>
      <c r="G39" s="493">
        <f t="shared" ca="1" si="39"/>
        <v>1333.8000000000006</v>
      </c>
      <c r="H39" s="493">
        <f t="shared" ca="1" si="39"/>
        <v>1332.6000000000001</v>
      </c>
      <c r="I39" s="493">
        <f t="shared" ca="1" si="39"/>
        <v>2175.7999999999993</v>
      </c>
      <c r="J39" s="493">
        <f ca="1">J30+J38</f>
        <v>2391.2736051545617</v>
      </c>
      <c r="K39" s="493">
        <f t="shared" ca="1" si="39"/>
        <v>2744.3019763527118</v>
      </c>
      <c r="L39" s="493">
        <f t="shared" ca="1" si="39"/>
        <v>3132.4985919008318</v>
      </c>
      <c r="M39" s="493">
        <f t="shared" ca="1" si="39"/>
        <v>3602.6910013096331</v>
      </c>
      <c r="N39" s="493">
        <f t="shared" ca="1" si="39"/>
        <v>4000.5874639667004</v>
      </c>
      <c r="P39" s="32">
        <f t="shared" ref="P39:X39" ca="1" si="40">IFERROR(OFFSET($E$6,ROW()-ROW(Annual_Periods),MATCH(P$6,Annual_Periods,0)) /
OFFSET($E$12,0,MATCH(P$6,Annual_Periods,0)),"NA")</f>
        <v>0.18614689111520016</v>
      </c>
      <c r="Q39" s="32">
        <f t="shared" ca="1" si="40"/>
        <v>0.21318287887990292</v>
      </c>
      <c r="R39" s="32">
        <f t="shared" ca="1" si="40"/>
        <v>0.16430552986868877</v>
      </c>
      <c r="S39" s="32">
        <f t="shared" ca="1" si="40"/>
        <v>0.22619109498612158</v>
      </c>
      <c r="T39" s="32">
        <f t="shared" ca="1" si="40"/>
        <v>0.22599202598890317</v>
      </c>
      <c r="U39" s="32">
        <f t="shared" ca="1" si="40"/>
        <v>0.23577788012381029</v>
      </c>
      <c r="V39" s="32">
        <f t="shared" ca="1" si="40"/>
        <v>0.24690821896844906</v>
      </c>
      <c r="W39" s="32">
        <f t="shared" ca="1" si="40"/>
        <v>0.26052246527137612</v>
      </c>
      <c r="X39" s="32">
        <f t="shared" ca="1" si="40"/>
        <v>0.26786636152734478</v>
      </c>
    </row>
    <row r="40" spans="4:32" ht="6" customHeight="1" x14ac:dyDescent="0.3"/>
    <row r="41" spans="4:32" x14ac:dyDescent="0.3">
      <c r="D41" s="21" t="s">
        <v>80</v>
      </c>
      <c r="F41" s="20"/>
      <c r="G41" s="20"/>
      <c r="H41" s="20"/>
      <c r="I41" s="20"/>
      <c r="J41" s="20"/>
      <c r="K41" s="20"/>
      <c r="L41" s="20"/>
      <c r="M41" s="20"/>
      <c r="N41" s="20"/>
      <c r="P41" s="20"/>
      <c r="Q41" s="20"/>
      <c r="R41" s="20"/>
      <c r="S41" s="20"/>
      <c r="T41" s="20"/>
      <c r="U41" s="20"/>
      <c r="V41" s="20"/>
      <c r="W41" s="20"/>
      <c r="X41" s="20"/>
      <c r="Z41" s="20"/>
      <c r="AA41" s="20"/>
      <c r="AB41" s="20"/>
      <c r="AC41" s="20"/>
      <c r="AD41" s="20"/>
    </row>
    <row r="42" spans="4:32" x14ac:dyDescent="0.3">
      <c r="D42" s="7" t="s">
        <v>81</v>
      </c>
      <c r="F42" s="483">
        <v>-230.4</v>
      </c>
      <c r="G42" s="483">
        <v>-358.5</v>
      </c>
      <c r="H42" s="483">
        <v>-477.8</v>
      </c>
      <c r="I42" s="483">
        <v>-625.5</v>
      </c>
      <c r="J42" s="483">
        <f ca="1">J45*J39</f>
        <v>-688.68679828451366</v>
      </c>
      <c r="K42" s="483">
        <f t="shared" ref="K42:N42" ca="1" si="41">K45*K39</f>
        <v>-790.35896918958099</v>
      </c>
      <c r="L42" s="483">
        <f t="shared" ca="1" si="41"/>
        <v>-902.15959446743943</v>
      </c>
      <c r="M42" s="483">
        <f t="shared" ca="1" si="41"/>
        <v>-1037.5750083771743</v>
      </c>
      <c r="N42" s="483">
        <f t="shared" ca="1" si="41"/>
        <v>-1152.1691896224097</v>
      </c>
      <c r="P42" s="29">
        <f t="shared" ref="P42:X42" ca="1" si="42">IFERROR(ABS(OFFSET($E$6,ROW()-ROW(Annual_Periods),MATCH(P$6,Annual_Periods,0)) /
OFFSET($E$12,0,MATCH(P$6,Annual_Periods,0))),"NA")</f>
        <v>5.2341034553261098E-2</v>
      </c>
      <c r="Q42" s="29">
        <f t="shared" ca="1" si="42"/>
        <v>5.7299491736726015E-2</v>
      </c>
      <c r="R42" s="29">
        <f t="shared" ca="1" si="42"/>
        <v>5.8911287836754825E-2</v>
      </c>
      <c r="S42" s="29">
        <f t="shared" ca="1" si="42"/>
        <v>6.5025521607601389E-2</v>
      </c>
      <c r="T42" s="29">
        <f t="shared" ca="1" si="42"/>
        <v>6.5085703484804094E-2</v>
      </c>
      <c r="U42" s="29">
        <f t="shared" ca="1" si="42"/>
        <v>6.7904029475657365E-2</v>
      </c>
      <c r="V42" s="29">
        <f t="shared" ca="1" si="42"/>
        <v>7.1109567062913326E-2</v>
      </c>
      <c r="W42" s="29">
        <f t="shared" ca="1" si="42"/>
        <v>7.5030469998156324E-2</v>
      </c>
      <c r="X42" s="29">
        <f t="shared" ca="1" si="42"/>
        <v>7.7145512119875304E-2</v>
      </c>
      <c r="Z42" s="104">
        <v>0.28799999999999998</v>
      </c>
      <c r="AA42" s="104">
        <v>0.28799999999999998</v>
      </c>
      <c r="AB42" s="104">
        <v>0.28799999999999998</v>
      </c>
      <c r="AC42" s="104">
        <v>0.28799999999999998</v>
      </c>
      <c r="AD42" s="104">
        <v>0.28799999999999998</v>
      </c>
    </row>
    <row r="43" spans="4:32" x14ac:dyDescent="0.3">
      <c r="D43" s="6" t="s">
        <v>82</v>
      </c>
      <c r="F43" s="493">
        <f ca="1">F39+F42</f>
        <v>588.99999999999955</v>
      </c>
      <c r="G43" s="493">
        <f ca="1">G39+G42</f>
        <v>975.30000000000064</v>
      </c>
      <c r="H43" s="493">
        <f ca="1">H39+H42</f>
        <v>854.80000000000018</v>
      </c>
      <c r="I43" s="493">
        <f ca="1">I39+I42</f>
        <v>1550.2999999999993</v>
      </c>
      <c r="J43" s="493">
        <f ca="1">J39+J42</f>
        <v>1702.5868068700479</v>
      </c>
      <c r="K43" s="493">
        <f t="shared" ref="K43:M43" ca="1" si="43">K39+K42</f>
        <v>1953.9430071631309</v>
      </c>
      <c r="L43" s="493">
        <f t="shared" ca="1" si="43"/>
        <v>2230.3389974333923</v>
      </c>
      <c r="M43" s="493">
        <f t="shared" ca="1" si="43"/>
        <v>2565.1159929324585</v>
      </c>
      <c r="N43" s="493">
        <f t="shared" ref="N43" ca="1" si="44">N39+N42</f>
        <v>2848.4182743442907</v>
      </c>
      <c r="P43" s="32">
        <f t="shared" ref="P43:X43" ca="1" si="45">IFERROR(OFFSET($E$6,ROW()-ROW(Annual_Periods),MATCH(P$6,Annual_Periods,0)) /
OFFSET($E$12,0,MATCH(P$6,Annual_Periods,0)),"NA")</f>
        <v>0.13380585656193908</v>
      </c>
      <c r="Q43" s="32">
        <f t="shared" ca="1" si="45"/>
        <v>0.1558833871431769</v>
      </c>
      <c r="R43" s="32">
        <f t="shared" ca="1" si="45"/>
        <v>0.10539424203193394</v>
      </c>
      <c r="S43" s="32">
        <f t="shared" ca="1" si="45"/>
        <v>0.16116557337852019</v>
      </c>
      <c r="T43" s="32">
        <f t="shared" ca="1" si="45"/>
        <v>0.16090632250409906</v>
      </c>
      <c r="U43" s="32">
        <f t="shared" ca="1" si="45"/>
        <v>0.16787385064815294</v>
      </c>
      <c r="V43" s="32">
        <f t="shared" ca="1" si="45"/>
        <v>0.17579865190553573</v>
      </c>
      <c r="W43" s="32">
        <f t="shared" ca="1" si="45"/>
        <v>0.1854919952732198</v>
      </c>
      <c r="X43" s="32">
        <f t="shared" ca="1" si="45"/>
        <v>0.1907208494074695</v>
      </c>
    </row>
    <row r="44" spans="4:32" x14ac:dyDescent="0.3">
      <c r="D44" s="8" t="s">
        <v>83</v>
      </c>
      <c r="F44" s="12">
        <f t="shared" ref="F44:M44" ca="1" si="46">IFERROR(F43/F$12,"NA")</f>
        <v>0.13380585656193908</v>
      </c>
      <c r="G44" s="12">
        <f t="shared" ca="1" si="46"/>
        <v>0.1558833871431769</v>
      </c>
      <c r="H44" s="12">
        <f t="shared" ca="1" si="46"/>
        <v>0.10539424203193394</v>
      </c>
      <c r="I44" s="12">
        <f t="shared" ca="1" si="46"/>
        <v>0.16116557337852019</v>
      </c>
      <c r="J44" s="12">
        <f t="shared" ca="1" si="46"/>
        <v>0.16090632250409906</v>
      </c>
      <c r="K44" s="12">
        <f t="shared" ca="1" si="46"/>
        <v>0.16787385064815294</v>
      </c>
      <c r="L44" s="12">
        <f t="shared" ca="1" si="46"/>
        <v>0.17579865190553573</v>
      </c>
      <c r="M44" s="12">
        <f t="shared" ca="1" si="46"/>
        <v>0.1854919952732198</v>
      </c>
      <c r="N44" s="12">
        <f t="shared" ref="N44" ca="1" si="47">IFERROR(N43/N$12,"NA")</f>
        <v>0.1907208494074695</v>
      </c>
    </row>
    <row r="45" spans="4:32" x14ac:dyDescent="0.3">
      <c r="D45" s="8" t="s">
        <v>310</v>
      </c>
      <c r="F45" s="12">
        <f ca="1">F42/F39</f>
        <v>-0.28118135220893353</v>
      </c>
      <c r="G45" s="12">
        <f t="shared" ref="G45:O45" ca="1" si="48">G42/G39</f>
        <v>-0.26878092667566339</v>
      </c>
      <c r="H45" s="12">
        <f t="shared" ca="1" si="48"/>
        <v>-0.35854720096052828</v>
      </c>
      <c r="I45" s="12">
        <f t="shared" ca="1" si="48"/>
        <v>-0.28748046695468343</v>
      </c>
      <c r="J45" s="12">
        <f>-Z42</f>
        <v>-0.28799999999999998</v>
      </c>
      <c r="K45" s="12">
        <f t="shared" ref="K45:N45" si="49">-AA42</f>
        <v>-0.28799999999999998</v>
      </c>
      <c r="L45" s="12">
        <f t="shared" si="49"/>
        <v>-0.28799999999999998</v>
      </c>
      <c r="M45" s="12">
        <f t="shared" si="49"/>
        <v>-0.28799999999999998</v>
      </c>
      <c r="N45" s="12">
        <f t="shared" si="49"/>
        <v>-0.28799999999999998</v>
      </c>
      <c r="O45" s="12" t="e">
        <f t="shared" si="48"/>
        <v>#DIV/0!</v>
      </c>
    </row>
    <row r="46" spans="4:32" ht="6" customHeight="1" x14ac:dyDescent="0.3"/>
    <row r="47" spans="4:32" x14ac:dyDescent="0.3">
      <c r="D47" s="21" t="s">
        <v>84</v>
      </c>
      <c r="F47" s="20"/>
      <c r="G47" s="20"/>
      <c r="H47" s="20"/>
      <c r="I47" s="20"/>
      <c r="J47" s="20"/>
      <c r="K47" s="20"/>
      <c r="L47" s="20"/>
      <c r="M47" s="20"/>
      <c r="N47" s="20"/>
    </row>
    <row r="48" spans="4:32" x14ac:dyDescent="0.3">
      <c r="D48" s="86" t="s">
        <v>85</v>
      </c>
      <c r="F48" s="498"/>
      <c r="G48" s="498">
        <f t="shared" ref="G48:J48" ca="1" si="50">OFFSET(G51,0,-1)</f>
        <v>2346.4</v>
      </c>
      <c r="H48" s="498">
        <f t="shared" ca="1" si="50"/>
        <v>2512.8000000000002</v>
      </c>
      <c r="I48" s="498">
        <f t="shared" ca="1" si="50"/>
        <v>2926.1</v>
      </c>
      <c r="J48" s="498">
        <f t="shared" ca="1" si="50"/>
        <v>3920.4</v>
      </c>
      <c r="K48" s="498">
        <f ca="1">OFFSET(K51,0,-1)</f>
        <v>4771.1147495214282</v>
      </c>
      <c r="L48" s="498">
        <f t="shared" ref="L48:M48" ca="1" si="51">OFFSET(L51,0,-1)</f>
        <v>5677.5159866845588</v>
      </c>
      <c r="M48" s="498">
        <f t="shared" ca="1" si="51"/>
        <v>6766.034454817951</v>
      </c>
      <c r="N48" s="498">
        <f ca="1">OFFSET(N51,0,-1)</f>
        <v>8017.4224943169093</v>
      </c>
    </row>
    <row r="49" spans="1:24" x14ac:dyDescent="0.3">
      <c r="D49" s="86" t="s">
        <v>86</v>
      </c>
      <c r="F49" s="498">
        <f ca="1">F$43</f>
        <v>588.99999999999955</v>
      </c>
      <c r="G49" s="498">
        <f t="shared" ref="G49:I49" ca="1" si="52">G$43</f>
        <v>975.30000000000064</v>
      </c>
      <c r="H49" s="498">
        <f t="shared" ca="1" si="52"/>
        <v>854.80000000000018</v>
      </c>
      <c r="I49" s="498">
        <f t="shared" ca="1" si="52"/>
        <v>1550.2999999999993</v>
      </c>
      <c r="J49" s="498">
        <f t="shared" ref="J49:N49" ca="1" si="53">J$43</f>
        <v>1702.5868068700479</v>
      </c>
      <c r="K49" s="498">
        <f t="shared" ca="1" si="53"/>
        <v>1953.9430071631309</v>
      </c>
      <c r="L49" s="498">
        <f t="shared" ca="1" si="53"/>
        <v>2230.3389974333923</v>
      </c>
      <c r="M49" s="498">
        <f t="shared" ca="1" si="53"/>
        <v>2565.1159929324585</v>
      </c>
      <c r="N49" s="498">
        <f t="shared" ca="1" si="53"/>
        <v>2848.4182743442907</v>
      </c>
    </row>
    <row r="50" spans="1:24" x14ac:dyDescent="0.3">
      <c r="D50" s="8" t="s">
        <v>87</v>
      </c>
      <c r="F50" s="498">
        <f ca="1">F51-F49-F48</f>
        <v>1757.4000000000005</v>
      </c>
      <c r="G50" s="513">
        <f ca="1">G51-G49-G48</f>
        <v>-808.90000000000055</v>
      </c>
      <c r="H50" s="513">
        <f t="shared" ref="H50:I50" ca="1" si="54">H51-H49-H48</f>
        <v>-441.50000000000045</v>
      </c>
      <c r="I50" s="513">
        <f t="shared" ca="1" si="54"/>
        <v>-555.99999999999909</v>
      </c>
      <c r="J50" s="514">
        <f ca="1">T50*J12</f>
        <v>-851.87205734862027</v>
      </c>
      <c r="K50" s="514">
        <f t="shared" ref="K50:N50" ca="1" si="55">U50*K12</f>
        <v>-1047.54177</v>
      </c>
      <c r="L50" s="514">
        <f t="shared" ca="1" si="55"/>
        <v>-1141.8205293000001</v>
      </c>
      <c r="M50" s="514">
        <f t="shared" ca="1" si="55"/>
        <v>-1313.7279534335003</v>
      </c>
      <c r="N50" s="514">
        <f t="shared" ca="1" si="55"/>
        <v>-1418.8261897081804</v>
      </c>
      <c r="P50" s="32">
        <f t="shared" ref="P50:S50" ca="1" si="56">IFERROR(OFFSET($E$6,ROW()-ROW(Annual_Periods),MATCH(P$6,Annual_Periods,0)) /
OFFSET($E$12,0,MATCH(P$6,Annual_Periods,0)),"NA")</f>
        <v>0.39923669324609845</v>
      </c>
      <c r="Q50" s="32">
        <f ca="1">G50/G12</f>
        <v>-0.12928747242911492</v>
      </c>
      <c r="R50" s="32">
        <f t="shared" ca="1" si="56"/>
        <v>-5.4435608162258856E-2</v>
      </c>
      <c r="S50" s="32">
        <f t="shared" ca="1" si="56"/>
        <v>-5.7800463651201138E-2</v>
      </c>
      <c r="T50" s="32">
        <f ca="1">AVERAGE(Q50:S50)</f>
        <v>-8.0507848080858299E-2</v>
      </c>
      <c r="U50" s="32">
        <v>-0.09</v>
      </c>
      <c r="V50" s="32">
        <v>-0.09</v>
      </c>
      <c r="W50" s="32">
        <v>-9.5000000000000001E-2</v>
      </c>
      <c r="X50" s="32">
        <v>-9.5000000000000001E-2</v>
      </c>
    </row>
    <row r="51" spans="1:24" x14ac:dyDescent="0.3">
      <c r="D51" s="92" t="s">
        <v>88</v>
      </c>
      <c r="F51" s="9">
        <f>F$95</f>
        <v>2346.4</v>
      </c>
      <c r="G51" s="9">
        <f t="shared" ref="G51:I51" si="57">G$95</f>
        <v>2512.8000000000002</v>
      </c>
      <c r="H51" s="9">
        <f t="shared" si="57"/>
        <v>2926.1</v>
      </c>
      <c r="I51" s="9">
        <f t="shared" si="57"/>
        <v>3920.4</v>
      </c>
      <c r="J51" s="9">
        <f ca="1">SUBTOTAL(9,OFFSET(J47,1,0):OFFSET(J51,-1,0))</f>
        <v>4771.1147495214282</v>
      </c>
      <c r="K51" s="9">
        <f ca="1">SUBTOTAL(9,OFFSET(K47,1,0):OFFSET(K51,-1,0))</f>
        <v>5677.5159866845588</v>
      </c>
      <c r="L51" s="9">
        <f ca="1">SUBTOTAL(9,OFFSET(L47,1,0):OFFSET(L51,-1,0))</f>
        <v>6766.034454817951</v>
      </c>
      <c r="M51" s="9">
        <f ca="1">SUBTOTAL(9,OFFSET(M47,1,0):OFFSET(M51,-1,0))</f>
        <v>8017.4224943169093</v>
      </c>
      <c r="N51" s="9">
        <f ca="1">SUBTOTAL(9,OFFSET(N47,1,0):OFFSET(N51,-1,0))</f>
        <v>9447.0145789530197</v>
      </c>
    </row>
    <row r="52" spans="1:24" ht="6" customHeight="1" x14ac:dyDescent="0.3">
      <c r="D52" s="16"/>
    </row>
    <row r="53" spans="1:24" x14ac:dyDescent="0.3">
      <c r="A53" s="94" t="s">
        <v>53</v>
      </c>
      <c r="B53" s="518" t="s">
        <v>89</v>
      </c>
      <c r="D53" s="10" t="s">
        <v>90</v>
      </c>
      <c r="F53" s="11"/>
      <c r="G53" s="11"/>
      <c r="H53" s="11"/>
      <c r="I53" s="11"/>
      <c r="J53" s="11"/>
      <c r="K53" s="11"/>
      <c r="L53" s="11"/>
      <c r="M53" s="11"/>
      <c r="N53" s="11"/>
    </row>
    <row r="54" spans="1:24" x14ac:dyDescent="0.3">
      <c r="B54" s="518"/>
      <c r="D54" s="22" t="s">
        <v>91</v>
      </c>
      <c r="F54" s="20"/>
      <c r="G54" s="20"/>
      <c r="H54" s="20"/>
      <c r="I54" s="20"/>
      <c r="J54" s="20"/>
      <c r="K54" s="20"/>
      <c r="L54" s="20"/>
      <c r="M54" s="20"/>
      <c r="N54" s="20"/>
    </row>
    <row r="55" spans="1:24" x14ac:dyDescent="0.3">
      <c r="D55" s="13" t="s">
        <v>92</v>
      </c>
      <c r="F55" s="492"/>
      <c r="G55" s="492"/>
      <c r="H55" s="492"/>
      <c r="I55" s="492"/>
      <c r="J55" s="492"/>
      <c r="K55" s="492"/>
      <c r="L55" s="492"/>
      <c r="M55" s="492"/>
    </row>
    <row r="56" spans="1:24" x14ac:dyDescent="0.3">
      <c r="B56" s="24" t="s">
        <v>93</v>
      </c>
      <c r="D56" s="14" t="s">
        <v>94</v>
      </c>
      <c r="F56" s="485">
        <v>1150.5</v>
      </c>
      <c r="G56" s="485">
        <v>1259.9000000000001</v>
      </c>
      <c r="H56" s="485">
        <v>1154.9000000000001</v>
      </c>
      <c r="I56" s="485">
        <v>2244</v>
      </c>
      <c r="J56" s="503">
        <f ca="1">J132</f>
        <v>2187.4648403952215</v>
      </c>
      <c r="K56" s="503">
        <f ca="1">K132</f>
        <v>2290.1094703438926</v>
      </c>
      <c r="L56" s="503">
        <f ca="1">L132</f>
        <v>2685.4566660450628</v>
      </c>
      <c r="M56" s="503">
        <f ca="1">M132</f>
        <v>3396.2170106621647</v>
      </c>
      <c r="N56" s="503">
        <f ca="1">N132</f>
        <v>4406.7362689407018</v>
      </c>
    </row>
    <row r="57" spans="1:24" hidden="1" outlineLevel="1" x14ac:dyDescent="0.3">
      <c r="B57" s="24" t="s">
        <v>93</v>
      </c>
      <c r="D57" s="14" t="s">
        <v>95</v>
      </c>
      <c r="F57" s="485"/>
      <c r="G57" s="485"/>
      <c r="H57" s="485"/>
      <c r="I57" s="485"/>
      <c r="J57" s="504"/>
      <c r="K57" s="504"/>
      <c r="L57" s="504"/>
      <c r="M57" s="504"/>
      <c r="N57" s="504"/>
    </row>
    <row r="58" spans="1:24" collapsed="1" x14ac:dyDescent="0.3">
      <c r="B58" s="24" t="s">
        <v>96</v>
      </c>
      <c r="D58" s="14" t="s">
        <v>97</v>
      </c>
      <c r="F58" s="485">
        <v>62.4</v>
      </c>
      <c r="G58" s="485">
        <v>77</v>
      </c>
      <c r="H58" s="485">
        <v>132.9</v>
      </c>
      <c r="I58" s="485">
        <v>124.8</v>
      </c>
      <c r="J58" s="503">
        <f ca="1">J146</f>
        <v>115.95868493150684</v>
      </c>
      <c r="K58" s="503">
        <f ca="1">K146</f>
        <v>127.55455342465754</v>
      </c>
      <c r="L58" s="503">
        <f ca="1">L146</f>
        <v>104.27584742465754</v>
      </c>
      <c r="M58" s="503">
        <f ca="1">M146</f>
        <v>113.66067369287674</v>
      </c>
      <c r="N58" s="503">
        <f ca="1">N146</f>
        <v>81.835685058871249</v>
      </c>
    </row>
    <row r="59" spans="1:24" x14ac:dyDescent="0.3">
      <c r="B59" s="24" t="s">
        <v>96</v>
      </c>
      <c r="D59" s="14" t="s">
        <v>98</v>
      </c>
      <c r="F59" s="485">
        <v>647.20000000000005</v>
      </c>
      <c r="G59" s="485">
        <v>966.5</v>
      </c>
      <c r="H59" s="485">
        <v>1447.4</v>
      </c>
      <c r="I59" s="485">
        <v>1323.6</v>
      </c>
      <c r="J59" s="503">
        <f ca="1">J152</f>
        <v>1435.0749844650022</v>
      </c>
      <c r="K59" s="503">
        <f ca="1">K152</f>
        <v>1549.2914230400659</v>
      </c>
      <c r="L59" s="503">
        <f ca="1">L152</f>
        <v>1649.2963201000002</v>
      </c>
      <c r="M59" s="503">
        <f ca="1">M152</f>
        <v>1773.1065096088773</v>
      </c>
      <c r="N59" s="503">
        <f ca="1">N152</f>
        <v>1888.3584327334543</v>
      </c>
    </row>
    <row r="60" spans="1:24" hidden="1" outlineLevel="1" x14ac:dyDescent="0.3">
      <c r="B60" s="24" t="s">
        <v>96</v>
      </c>
      <c r="D60" s="14" t="s">
        <v>99</v>
      </c>
      <c r="F60" s="485"/>
      <c r="G60" s="485"/>
      <c r="H60" s="485"/>
      <c r="I60" s="485"/>
      <c r="J60" s="503">
        <f ca="1">J158</f>
        <v>0</v>
      </c>
      <c r="K60" s="503">
        <f ca="1">K158</f>
        <v>0</v>
      </c>
      <c r="L60" s="503">
        <f ca="1">L158</f>
        <v>0</v>
      </c>
      <c r="M60" s="503">
        <f ca="1">M158</f>
        <v>0</v>
      </c>
      <c r="N60" s="503">
        <f ca="1">N158</f>
        <v>0</v>
      </c>
    </row>
    <row r="61" spans="1:24" collapsed="1" x14ac:dyDescent="0.3">
      <c r="B61" s="24" t="s">
        <v>96</v>
      </c>
      <c r="D61" s="14" t="s">
        <v>100</v>
      </c>
      <c r="F61" s="485">
        <v>264.2</v>
      </c>
      <c r="G61" s="485">
        <v>311.5</v>
      </c>
      <c r="H61" s="485">
        <v>424.3</v>
      </c>
      <c r="I61" s="485">
        <v>368.2</v>
      </c>
      <c r="J61" s="503">
        <f ca="1">J164</f>
        <v>509.43631060940072</v>
      </c>
      <c r="K61" s="503">
        <f t="shared" ref="K61:N61" ca="1" si="58">K164</f>
        <v>560.37994167034083</v>
      </c>
      <c r="L61" s="503">
        <f t="shared" ca="1" si="58"/>
        <v>610.81413642067162</v>
      </c>
      <c r="M61" s="503">
        <f t="shared" ca="1" si="58"/>
        <v>665.78740869853209</v>
      </c>
      <c r="N61" s="503">
        <f t="shared" ca="1" si="58"/>
        <v>719.05040139441462</v>
      </c>
    </row>
    <row r="62" spans="1:24" x14ac:dyDescent="0.3">
      <c r="D62" s="15" t="s">
        <v>101</v>
      </c>
      <c r="F62" s="9">
        <f ca="1">SUBTOTAL(9,OFFSET(F55,1,0):OFFSET(F62,-1,0))</f>
        <v>2124.3000000000002</v>
      </c>
      <c r="G62" s="9">
        <f ca="1">SUBTOTAL(9,OFFSET(G55,1,0):OFFSET(G62,-1,0))</f>
        <v>2614.9</v>
      </c>
      <c r="H62" s="9">
        <f ca="1">SUBTOTAL(9,OFFSET(H55,1,0):OFFSET(H62,-1,0))</f>
        <v>3159.5000000000005</v>
      </c>
      <c r="I62" s="9">
        <f ca="1">SUBTOTAL(9,OFFSET(I55,1,0):OFFSET(I62,-1,0))</f>
        <v>4060.6</v>
      </c>
      <c r="J62" s="9">
        <f ca="1">SUBTOTAL(9,OFFSET(J55,1,0):OFFSET(J62,-1,0))</f>
        <v>4247.9348204011312</v>
      </c>
      <c r="K62" s="9">
        <f ca="1">SUBTOTAL(9,OFFSET(K55,1,0):OFFSET(K62,-1,0))</f>
        <v>4527.3353884789567</v>
      </c>
      <c r="L62" s="9">
        <f ca="1">SUBTOTAL(9,OFFSET(L55,1,0):OFFSET(L62,-1,0))</f>
        <v>5049.8429699903918</v>
      </c>
      <c r="M62" s="9">
        <f ca="1">SUBTOTAL(9,OFFSET(M55,1,0):OFFSET(M62,-1,0))</f>
        <v>5948.7716026624512</v>
      </c>
      <c r="N62" s="9">
        <f ca="1">SUBTOTAL(9,OFFSET(N55,1,0):OFFSET(N62,-1,0))</f>
        <v>7095.9807881274419</v>
      </c>
    </row>
    <row r="63" spans="1:24" ht="6" customHeight="1" x14ac:dyDescent="0.3">
      <c r="D63" s="16"/>
    </row>
    <row r="64" spans="1:24" x14ac:dyDescent="0.3">
      <c r="D64" s="18" t="s">
        <v>102</v>
      </c>
    </row>
    <row r="65" spans="2:26" x14ac:dyDescent="0.3">
      <c r="B65" s="24" t="s">
        <v>103</v>
      </c>
      <c r="D65" s="14" t="s">
        <v>104</v>
      </c>
      <c r="F65" s="34">
        <v>1480.5</v>
      </c>
      <c r="G65" s="34">
        <v>1731.3</v>
      </c>
      <c r="H65" s="34">
        <v>2239</v>
      </c>
      <c r="I65" s="34">
        <v>2811.4</v>
      </c>
      <c r="J65" s="505">
        <f ca="1">J190</f>
        <v>4518.3033875535348</v>
      </c>
      <c r="K65" s="505">
        <f t="shared" ref="K65:N65" ca="1" si="59">K190</f>
        <v>4942.8397018626383</v>
      </c>
      <c r="L65" s="505">
        <f t="shared" ca="1" si="59"/>
        <v>5229.6213528859371</v>
      </c>
      <c r="M65" s="505">
        <f t="shared" ca="1" si="59"/>
        <v>5301.7907143607599</v>
      </c>
      <c r="N65" s="505">
        <f t="shared" ca="1" si="59"/>
        <v>5340.0646820734273</v>
      </c>
    </row>
    <row r="66" spans="2:26" x14ac:dyDescent="0.3">
      <c r="B66" s="24" t="s">
        <v>103</v>
      </c>
      <c r="D66" s="14" t="s">
        <v>105</v>
      </c>
      <c r="F66" s="34">
        <v>467</v>
      </c>
      <c r="G66" s="34">
        <v>458.2</v>
      </c>
      <c r="H66" s="34">
        <v>46.1</v>
      </c>
      <c r="I66" s="34">
        <v>24.1</v>
      </c>
      <c r="J66" s="505">
        <f>$I$66</f>
        <v>24.1</v>
      </c>
      <c r="K66" s="505">
        <v>24</v>
      </c>
      <c r="L66" s="505">
        <f t="shared" ref="L66:N66" si="60">$I$66</f>
        <v>24.1</v>
      </c>
      <c r="M66" s="505">
        <f t="shared" si="60"/>
        <v>24.1</v>
      </c>
      <c r="N66" s="505">
        <f t="shared" si="60"/>
        <v>24.1</v>
      </c>
    </row>
    <row r="67" spans="2:26" x14ac:dyDescent="0.3">
      <c r="B67" s="24" t="s">
        <v>106</v>
      </c>
      <c r="D67" s="14" t="s">
        <v>107</v>
      </c>
      <c r="F67" s="34">
        <v>6.7</v>
      </c>
      <c r="G67" s="34">
        <v>6.1</v>
      </c>
      <c r="H67" s="34">
        <v>6.4</v>
      </c>
      <c r="I67" s="34">
        <v>9.1999999999999993</v>
      </c>
      <c r="J67" s="506">
        <f ca="1">T67*J12</f>
        <v>11.222853420439939</v>
      </c>
      <c r="K67" s="506">
        <f t="shared" ref="K67:M67" ca="1" si="61">U67*K12</f>
        <v>11.002445903637645</v>
      </c>
      <c r="L67" s="506">
        <f t="shared" ca="1" si="61"/>
        <v>11.898495727504201</v>
      </c>
      <c r="M67" s="506">
        <f t="shared" ca="1" si="61"/>
        <v>13.483638721199659</v>
      </c>
      <c r="N67" s="506">
        <f ca="1">X67*N12</f>
        <v>14.631911389619539</v>
      </c>
      <c r="P67" s="32">
        <f>F67/F10</f>
        <v>1.5220700152207003E-3</v>
      </c>
      <c r="Q67" s="32">
        <f t="shared" ref="Q67:S67" si="62">G67/G10</f>
        <v>9.7497043122462667E-4</v>
      </c>
      <c r="R67" s="32">
        <f t="shared" si="62"/>
        <v>7.8910054867147527E-4</v>
      </c>
      <c r="S67" s="32">
        <f t="shared" si="62"/>
        <v>9.5641054962419304E-4</v>
      </c>
      <c r="T67" s="32">
        <f>AVERAGE(P67:S67)</f>
        <v>1.0606378861852488E-3</v>
      </c>
      <c r="U67" s="32">
        <f t="shared" ref="U67:X67" si="63">AVERAGE(Q67:T67)</f>
        <v>9.4527985392638602E-4</v>
      </c>
      <c r="V67" s="32">
        <f t="shared" si="63"/>
        <v>9.3785720960182586E-4</v>
      </c>
      <c r="W67" s="32">
        <f t="shared" si="63"/>
        <v>9.7504637483441343E-4</v>
      </c>
      <c r="X67" s="32">
        <f t="shared" si="63"/>
        <v>9.7970533113696853E-4</v>
      </c>
      <c r="Z67" s="507" t="s">
        <v>311</v>
      </c>
    </row>
    <row r="68" spans="2:26" x14ac:dyDescent="0.3">
      <c r="B68" s="24" t="s">
        <v>103</v>
      </c>
      <c r="D68" s="14" t="s">
        <v>108</v>
      </c>
      <c r="F68" s="34">
        <v>106.6</v>
      </c>
      <c r="G68" s="34">
        <v>132.1</v>
      </c>
      <c r="H68" s="34">
        <v>156</v>
      </c>
      <c r="I68" s="34">
        <v>186.7</v>
      </c>
      <c r="J68" s="506">
        <f ca="1">T68*J$12</f>
        <v>222.13636942528061</v>
      </c>
      <c r="K68" s="506">
        <f t="shared" ref="K68:N68" ca="1" si="64">U68*K$12</f>
        <v>234.97049202346062</v>
      </c>
      <c r="L68" s="506">
        <f t="shared" ca="1" si="64"/>
        <v>253.1804603950313</v>
      </c>
      <c r="M68" s="506">
        <f t="shared" ca="1" si="64"/>
        <v>278.46187316731289</v>
      </c>
      <c r="N68" s="506">
        <f t="shared" ca="1" si="64"/>
        <v>303.45549996687231</v>
      </c>
      <c r="P68" s="32">
        <f ca="1">F68/F$12</f>
        <v>2.4216815466048751E-2</v>
      </c>
      <c r="Q68" s="32">
        <f t="shared" ref="Q68:S68" ca="1" si="65">G68/G$12</f>
        <v>2.1113703928651341E-2</v>
      </c>
      <c r="R68" s="32">
        <f t="shared" ca="1" si="65"/>
        <v>1.9234325873867208E-2</v>
      </c>
      <c r="S68" s="32">
        <f t="shared" ca="1" si="65"/>
        <v>1.9408896697264873E-2</v>
      </c>
      <c r="T68" s="32">
        <f ca="1">AVERAGE(P68:S68)</f>
        <v>2.0993435491458046E-2</v>
      </c>
      <c r="U68" s="32">
        <f t="shared" ref="U68:X68" ca="1" si="66">AVERAGE(Q68:T68)</f>
        <v>2.0187590497810368E-2</v>
      </c>
      <c r="V68" s="32">
        <f t="shared" ca="1" si="66"/>
        <v>1.9956062140100123E-2</v>
      </c>
      <c r="W68" s="32">
        <f t="shared" ca="1" si="66"/>
        <v>2.0136496206658354E-2</v>
      </c>
      <c r="X68" s="32">
        <f t="shared" ca="1" si="66"/>
        <v>2.0318396084006721E-2</v>
      </c>
      <c r="Z68" s="507" t="s">
        <v>311</v>
      </c>
    </row>
    <row r="69" spans="2:26" x14ac:dyDescent="0.3">
      <c r="D69" s="15" t="s">
        <v>109</v>
      </c>
      <c r="F69" s="9">
        <f ca="1">SUBTOTAL(9,OFFSET(F64,1,0):OFFSET(F69,-1,0))</f>
        <v>2060.8000000000002</v>
      </c>
      <c r="G69" s="9">
        <f ca="1">SUBTOTAL(9,OFFSET(G64,1,0):OFFSET(G69,-1,0))</f>
        <v>2327.6999999999998</v>
      </c>
      <c r="H69" s="9">
        <f ca="1">SUBTOTAL(9,OFFSET(H64,1,0):OFFSET(H69,-1,0))</f>
        <v>2447.5</v>
      </c>
      <c r="I69" s="9">
        <f ca="1">SUBTOTAL(9,OFFSET(I64,1,0):OFFSET(I69,-1,0))</f>
        <v>3031.3999999999996</v>
      </c>
      <c r="J69" s="9">
        <f ca="1">SUBTOTAL(9,OFFSET(J64,1,0):OFFSET(J69,-1,0))</f>
        <v>4775.7626103992552</v>
      </c>
      <c r="K69" s="9">
        <f ca="1">SUBTOTAL(9,OFFSET(K64,1,0):OFFSET(K69,-1,0))</f>
        <v>5212.8126397897367</v>
      </c>
      <c r="L69" s="9">
        <f ca="1">SUBTOTAL(9,OFFSET(L64,1,0):OFFSET(L69,-1,0))</f>
        <v>5518.8003090084731</v>
      </c>
      <c r="M69" s="9">
        <f ca="1">SUBTOTAL(9,OFFSET(M64,1,0):OFFSET(M69,-1,0))</f>
        <v>5617.8362262492728</v>
      </c>
      <c r="N69" s="9">
        <f ca="1">SUBTOTAL(9,OFFSET(N64,1,0):OFFSET(N69,-1,0))</f>
        <v>5682.25209342992</v>
      </c>
    </row>
    <row r="70" spans="2:26" ht="6" customHeight="1" x14ac:dyDescent="0.3">
      <c r="D70" s="16"/>
    </row>
    <row r="71" spans="2:26" x14ac:dyDescent="0.3">
      <c r="D71" s="17" t="s">
        <v>110</v>
      </c>
      <c r="F71" s="9">
        <f ca="1">SUBTOTAL(9,OFFSET(F54,1,0):OFFSET(F71,-1,0))</f>
        <v>4185.1000000000004</v>
      </c>
      <c r="G71" s="9">
        <f ca="1">SUBTOTAL(9,OFFSET(G54,1,0):OFFSET(G71,-1,0))</f>
        <v>4942.6000000000004</v>
      </c>
      <c r="H71" s="9">
        <f ca="1">SUBTOTAL(9,OFFSET(H54,1,0):OFFSET(H71,-1,0))</f>
        <v>5607</v>
      </c>
      <c r="I71" s="9">
        <f ca="1">SUBTOTAL(9,OFFSET(I54,1,0):OFFSET(I71,-1,0))</f>
        <v>7092</v>
      </c>
      <c r="J71" s="9">
        <f ca="1">SUBTOTAL(9,OFFSET(J54,1,0):OFFSET(J71,-1,0))</f>
        <v>9023.6974308003882</v>
      </c>
      <c r="K71" s="9">
        <f ca="1">SUBTOTAL(9,OFFSET(K54,1,0):OFFSET(K71,-1,0))</f>
        <v>9740.1480282686935</v>
      </c>
      <c r="L71" s="9">
        <f ca="1">SUBTOTAL(9,OFFSET(L54,1,0):OFFSET(L71,-1,0))</f>
        <v>10568.643278998865</v>
      </c>
      <c r="M71" s="9">
        <f ca="1">SUBTOTAL(9,OFFSET(M54,1,0):OFFSET(M71,-1,0))</f>
        <v>11566.607828911723</v>
      </c>
      <c r="N71" s="9">
        <f ca="1">SUBTOTAL(9,OFFSET(N54,1,0):OFFSET(N71,-1,0))</f>
        <v>12778.23288155736</v>
      </c>
    </row>
    <row r="72" spans="2:26" ht="6" customHeight="1" x14ac:dyDescent="0.3">
      <c r="D72" s="16"/>
    </row>
    <row r="73" spans="2:26" x14ac:dyDescent="0.3">
      <c r="D73" s="22" t="s">
        <v>111</v>
      </c>
      <c r="F73" s="20"/>
      <c r="G73" s="20"/>
      <c r="H73" s="20"/>
      <c r="I73" s="430"/>
      <c r="J73" s="430"/>
      <c r="K73" s="430"/>
      <c r="L73" s="20"/>
      <c r="M73" s="20"/>
      <c r="N73" s="20"/>
    </row>
    <row r="74" spans="2:26" x14ac:dyDescent="0.3">
      <c r="D74" s="18" t="s">
        <v>112</v>
      </c>
    </row>
    <row r="75" spans="2:26" x14ac:dyDescent="0.3">
      <c r="B75" s="24" t="s">
        <v>113</v>
      </c>
      <c r="D75" s="14" t="s">
        <v>114</v>
      </c>
      <c r="F75" s="33">
        <v>172.2</v>
      </c>
      <c r="G75" s="33">
        <v>289.7</v>
      </c>
      <c r="H75" s="33">
        <v>172.7</v>
      </c>
      <c r="I75" s="33">
        <v>348.4</v>
      </c>
      <c r="J75" s="505">
        <f ca="1">J170</f>
        <v>332.13533289751246</v>
      </c>
      <c r="K75" s="505">
        <f t="shared" ref="K75:N75" ca="1" si="67">K170</f>
        <v>344.80063602540821</v>
      </c>
      <c r="L75" s="505">
        <f t="shared" ca="1" si="67"/>
        <v>353.13828625272157</v>
      </c>
      <c r="M75" s="505">
        <f t="shared" ca="1" si="67"/>
        <v>388.05550526329176</v>
      </c>
      <c r="N75" s="505">
        <f t="shared" ca="1" si="67"/>
        <v>421.47303288495334</v>
      </c>
    </row>
    <row r="76" spans="2:26" x14ac:dyDescent="0.3">
      <c r="B76" s="24" t="s">
        <v>113</v>
      </c>
      <c r="D76" s="14" t="s">
        <v>115</v>
      </c>
      <c r="F76" s="33">
        <v>357</v>
      </c>
      <c r="G76" s="33">
        <v>535.70000000000005</v>
      </c>
      <c r="H76" s="33">
        <v>647.4</v>
      </c>
      <c r="I76" s="33">
        <v>674.7</v>
      </c>
      <c r="J76" s="505">
        <f ca="1">J176</f>
        <v>741.79374149154967</v>
      </c>
      <c r="K76" s="505">
        <f t="shared" ref="K76:N76" ca="1" si="68">K176</f>
        <v>805.09347409882866</v>
      </c>
      <c r="L76" s="505">
        <f t="shared" ca="1" si="68"/>
        <v>865.69307748707831</v>
      </c>
      <c r="M76" s="505">
        <f t="shared" ca="1" si="68"/>
        <v>930.6793523450126</v>
      </c>
      <c r="N76" s="505">
        <f t="shared" ca="1" si="68"/>
        <v>991.17351024743834</v>
      </c>
    </row>
    <row r="77" spans="2:26" hidden="1" outlineLevel="1" x14ac:dyDescent="0.3">
      <c r="B77" s="24" t="s">
        <v>116</v>
      </c>
      <c r="D77" s="14" t="s">
        <v>117</v>
      </c>
      <c r="F77" s="33"/>
      <c r="G77" s="33"/>
      <c r="H77" s="33"/>
      <c r="I77" s="33"/>
      <c r="J77" s="505">
        <f ca="1">J206</f>
        <v>0</v>
      </c>
      <c r="K77" s="505">
        <f t="shared" ref="K77:N77" ca="1" si="69">K206</f>
        <v>0</v>
      </c>
      <c r="L77" s="505">
        <f t="shared" ca="1" si="69"/>
        <v>0</v>
      </c>
      <c r="M77" s="505">
        <f t="shared" ca="1" si="69"/>
        <v>0</v>
      </c>
      <c r="N77" s="505">
        <f t="shared" ca="1" si="69"/>
        <v>0</v>
      </c>
    </row>
    <row r="78" spans="2:26" collapsed="1" x14ac:dyDescent="0.3">
      <c r="B78" s="24" t="s">
        <v>116</v>
      </c>
      <c r="D78" s="14" t="s">
        <v>296</v>
      </c>
      <c r="F78" s="33">
        <v>166.1</v>
      </c>
      <c r="G78" s="33">
        <v>189</v>
      </c>
      <c r="H78" s="33">
        <v>208</v>
      </c>
      <c r="I78" s="33">
        <v>249.3</v>
      </c>
      <c r="J78" s="505">
        <f ca="1">J211</f>
        <v>311.625</v>
      </c>
      <c r="K78" s="505">
        <f t="shared" ref="K78:N78" ca="1" si="70">K211</f>
        <v>373.95</v>
      </c>
      <c r="L78" s="505">
        <f t="shared" ca="1" si="70"/>
        <v>436.27499999999998</v>
      </c>
      <c r="M78" s="505">
        <f t="shared" ca="1" si="70"/>
        <v>498.59999999999997</v>
      </c>
      <c r="N78" s="505">
        <f t="shared" ca="1" si="70"/>
        <v>560.92499999999995</v>
      </c>
      <c r="S78" s="2" t="s">
        <v>297</v>
      </c>
    </row>
    <row r="79" spans="2:26" x14ac:dyDescent="0.3">
      <c r="B79" s="24" t="s">
        <v>113</v>
      </c>
      <c r="D79" s="14" t="s">
        <v>119</v>
      </c>
      <c r="F79" s="33">
        <v>8.4</v>
      </c>
      <c r="G79" s="33">
        <v>133.9</v>
      </c>
      <c r="H79" s="33">
        <v>174.2</v>
      </c>
      <c r="I79" s="33">
        <v>12.1</v>
      </c>
      <c r="J79" s="506">
        <f ca="1">T$79*J$12</f>
        <v>121.80552586967551</v>
      </c>
      <c r="K79" s="506">
        <f t="shared" ref="K79:N79" ca="1" si="71">U$79*K$12</f>
        <v>161.92985009833737</v>
      </c>
      <c r="L79" s="506">
        <f t="shared" ca="1" si="71"/>
        <v>152.75009294104044</v>
      </c>
      <c r="M79" s="506">
        <f t="shared" ca="1" si="71"/>
        <v>133.86757203047659</v>
      </c>
      <c r="N79" s="506">
        <f t="shared" ca="1" si="71"/>
        <v>176.0245797741434</v>
      </c>
      <c r="P79" s="32">
        <f ca="1">F79/F12</f>
        <v>1.9082668847543109E-3</v>
      </c>
      <c r="Q79" s="32">
        <f t="shared" ref="Q79:S79" ca="1" si="72">G79/G12</f>
        <v>2.1401400121471726E-2</v>
      </c>
      <c r="R79" s="32">
        <f t="shared" ca="1" si="72"/>
        <v>2.1478330559151715E-2</v>
      </c>
      <c r="S79" s="32">
        <f t="shared" ca="1" si="72"/>
        <v>1.2578877880926886E-3</v>
      </c>
      <c r="T79" s="32">
        <f ca="1">AVERAGE(P79:S79)</f>
        <v>1.1511471338367611E-2</v>
      </c>
      <c r="U79" s="32">
        <f t="shared" ref="U79:X79" ca="1" si="73">AVERAGE(Q79:T79)</f>
        <v>1.3912272451770933E-2</v>
      </c>
      <c r="V79" s="32">
        <f t="shared" ca="1" si="73"/>
        <v>1.2039990534345735E-2</v>
      </c>
      <c r="W79" s="32">
        <f t="shared" ca="1" si="73"/>
        <v>9.6804055281442414E-3</v>
      </c>
      <c r="X79" s="32">
        <f t="shared" ca="1" si="73"/>
        <v>1.1786034963157129E-2</v>
      </c>
      <c r="Z79" s="507" t="s">
        <v>311</v>
      </c>
    </row>
    <row r="80" spans="2:26" x14ac:dyDescent="0.3">
      <c r="B80" s="24" t="s">
        <v>113</v>
      </c>
      <c r="D80" s="14" t="s">
        <v>120</v>
      </c>
      <c r="F80" s="33">
        <v>179.4</v>
      </c>
      <c r="G80" s="33">
        <v>257</v>
      </c>
      <c r="H80" s="33">
        <v>289.89999999999998</v>
      </c>
      <c r="I80" s="33">
        <v>346.8</v>
      </c>
      <c r="J80" s="505">
        <f ca="1">J182</f>
        <v>359.38592581996249</v>
      </c>
      <c r="K80" s="505">
        <f t="shared" ref="K80:N80" ca="1" si="74">K182</f>
        <v>390.053524823266</v>
      </c>
      <c r="L80" s="505">
        <f t="shared" ca="1" si="74"/>
        <v>419.41295905658484</v>
      </c>
      <c r="M80" s="505">
        <f t="shared" ca="1" si="74"/>
        <v>450.89765790083266</v>
      </c>
      <c r="N80" s="505">
        <f t="shared" ca="1" si="74"/>
        <v>480.20600566438674</v>
      </c>
    </row>
    <row r="81" spans="2:26" x14ac:dyDescent="0.3">
      <c r="D81" s="15" t="s">
        <v>121</v>
      </c>
      <c r="F81" s="9">
        <f ca="1">SUBTOTAL(9,OFFSET(F74,1,0):OFFSET(F81,-1,0))</f>
        <v>883.1</v>
      </c>
      <c r="G81" s="9">
        <f ca="1">SUBTOTAL(9,OFFSET(G74,1,0):OFFSET(G81,-1,0))</f>
        <v>1405.3000000000002</v>
      </c>
      <c r="H81" s="9">
        <f ca="1">SUBTOTAL(9,OFFSET(H74,1,0):OFFSET(H81,-1,0))</f>
        <v>1492.1999999999998</v>
      </c>
      <c r="I81" s="9">
        <f ca="1">SUBTOTAL(9,OFFSET(I74,1,0):OFFSET(I81,-1,0))</f>
        <v>1631.3</v>
      </c>
      <c r="J81" s="9">
        <f ca="1">SUBTOTAL(9,OFFSET(J74,1,0):OFFSET(J81,-1,0))</f>
        <v>1866.7455260787001</v>
      </c>
      <c r="K81" s="9">
        <f ca="1">SUBTOTAL(9,OFFSET(K74,1,0):OFFSET(K81,-1,0))</f>
        <v>2075.8274850458401</v>
      </c>
      <c r="L81" s="9">
        <f ca="1">SUBTOTAL(9,OFFSET(L74,1,0):OFFSET(L81,-1,0))</f>
        <v>2227.2694157374249</v>
      </c>
      <c r="M81" s="9">
        <f ca="1">SUBTOTAL(9,OFFSET(M74,1,0):OFFSET(M81,-1,0))</f>
        <v>2402.1000875396135</v>
      </c>
      <c r="N81" s="9">
        <f ca="1">SUBTOTAL(9,OFFSET(N74,1,0):OFFSET(N81,-1,0))</f>
        <v>2629.8021285709219</v>
      </c>
    </row>
    <row r="82" spans="2:26" ht="6" customHeight="1" x14ac:dyDescent="0.3">
      <c r="D82" s="16"/>
    </row>
    <row r="83" spans="2:26" x14ac:dyDescent="0.3">
      <c r="D83" s="18" t="s">
        <v>122</v>
      </c>
    </row>
    <row r="84" spans="2:26" x14ac:dyDescent="0.3">
      <c r="B84" s="24" t="s">
        <v>116</v>
      </c>
      <c r="D84" s="14" t="s">
        <v>123</v>
      </c>
      <c r="F84" s="33">
        <v>0</v>
      </c>
      <c r="G84" s="33">
        <v>0</v>
      </c>
      <c r="H84" s="33">
        <v>0</v>
      </c>
      <c r="I84" s="33">
        <v>0</v>
      </c>
      <c r="J84" s="481">
        <f ca="1">J216</f>
        <v>0</v>
      </c>
      <c r="K84" s="481">
        <f t="shared" ref="K84:N84" ca="1" si="75">K216</f>
        <v>0</v>
      </c>
      <c r="L84" s="481">
        <f t="shared" ca="1" si="75"/>
        <v>0</v>
      </c>
      <c r="M84" s="481">
        <f t="shared" ca="1" si="75"/>
        <v>0</v>
      </c>
      <c r="N84" s="481">
        <f t="shared" ca="1" si="75"/>
        <v>0</v>
      </c>
    </row>
    <row r="85" spans="2:26" x14ac:dyDescent="0.3">
      <c r="B85" s="24" t="s">
        <v>116</v>
      </c>
      <c r="D85" s="14" t="s">
        <v>124</v>
      </c>
      <c r="F85" s="33">
        <v>632.6</v>
      </c>
      <c r="G85" s="33">
        <v>692.1</v>
      </c>
      <c r="H85" s="33">
        <v>862.4</v>
      </c>
      <c r="I85" s="33">
        <v>1154</v>
      </c>
      <c r="J85" s="508">
        <f ca="1">T$85*J$12</f>
        <v>1428.46605</v>
      </c>
      <c r="K85" s="508">
        <f ca="1">U$85*K$12</f>
        <v>1571.3126550000002</v>
      </c>
      <c r="L85" s="508">
        <f t="shared" ref="L85:N85" ca="1" si="76">V$85*L$12</f>
        <v>1649.2963201000005</v>
      </c>
      <c r="M85" s="508">
        <f ca="1">W$85*M$12</f>
        <v>1728.5894124125005</v>
      </c>
      <c r="N85" s="508">
        <f t="shared" ca="1" si="76"/>
        <v>1792.2015027892805</v>
      </c>
      <c r="P85" s="32">
        <f ca="1">F85/F12</f>
        <v>0.1437106703923306</v>
      </c>
      <c r="Q85" s="32">
        <f t="shared" ref="Q85:S85" ca="1" si="77">G85/G12</f>
        <v>0.11061918613943675</v>
      </c>
      <c r="R85" s="32">
        <f t="shared" ca="1" si="77"/>
        <v>0.10633129893348128</v>
      </c>
      <c r="S85" s="32">
        <f t="shared" ca="1" si="77"/>
        <v>0.11996714937677379</v>
      </c>
      <c r="T85" s="32">
        <v>0.13500000000000001</v>
      </c>
      <c r="U85" s="32">
        <f>T85</f>
        <v>0.13500000000000001</v>
      </c>
      <c r="V85" s="32">
        <v>0.13</v>
      </c>
      <c r="W85" s="32">
        <v>0.125</v>
      </c>
      <c r="X85" s="32">
        <v>0.12</v>
      </c>
      <c r="Z85" s="507" t="s">
        <v>311</v>
      </c>
    </row>
    <row r="86" spans="2:26" x14ac:dyDescent="0.3">
      <c r="B86" s="24" t="s">
        <v>125</v>
      </c>
      <c r="D86" s="14" t="s">
        <v>126</v>
      </c>
      <c r="F86" s="33">
        <v>58.8</v>
      </c>
      <c r="G86" s="33">
        <v>53.4</v>
      </c>
      <c r="H86" s="33">
        <v>55.1</v>
      </c>
      <c r="I86" s="33">
        <v>29.5</v>
      </c>
      <c r="J86" s="508">
        <f ca="1">T$86*J$12</f>
        <v>83.997160640702916</v>
      </c>
      <c r="K86" s="508">
        <f t="shared" ref="K86:N86" ca="1" si="78">U$86*K$12</f>
        <v>76.626860073701465</v>
      </c>
      <c r="L86" s="508">
        <f t="shared" ca="1" si="78"/>
        <v>77.333476197108155</v>
      </c>
      <c r="M86" s="508">
        <f t="shared" ca="1" si="78"/>
        <v>81.879955055338428</v>
      </c>
      <c r="N86" s="508">
        <f t="shared" ca="1" si="78"/>
        <v>99.087447359706871</v>
      </c>
      <c r="P86" s="32">
        <f ca="1">F86/F12</f>
        <v>1.3357868193280175E-2</v>
      </c>
      <c r="Q86" s="32">
        <f t="shared" ref="Q86:S86" ca="1" si="79">G86/G12</f>
        <v>8.5349870536713217E-3</v>
      </c>
      <c r="R86" s="32">
        <f t="shared" ca="1" si="79"/>
        <v>6.7936625362184826E-3</v>
      </c>
      <c r="S86" s="32">
        <f t="shared" ca="1" si="79"/>
        <v>3.0667512189036625E-3</v>
      </c>
      <c r="T86" s="32">
        <f ca="1">AVERAGE(P86:S86)</f>
        <v>7.9383172505184101E-3</v>
      </c>
      <c r="U86" s="32">
        <f t="shared" ref="U86:U87" ca="1" si="80">AVERAGE(Q86:T86)</f>
        <v>6.5834295148279685E-3</v>
      </c>
      <c r="V86" s="32">
        <f ca="1">AVERAGE(R86:U86)</f>
        <v>6.0955401301171306E-3</v>
      </c>
      <c r="W86" s="32">
        <f t="shared" ref="W86:W87" ca="1" si="81">AVERAGE(S86:V86)</f>
        <v>5.9210095285917932E-3</v>
      </c>
      <c r="X86" s="32">
        <f t="shared" ref="X86:X87" ca="1" si="82">AVERAGE(T86:W86)</f>
        <v>6.6345741060138252E-3</v>
      </c>
      <c r="Z86" s="507" t="s">
        <v>311</v>
      </c>
    </row>
    <row r="87" spans="2:26" x14ac:dyDescent="0.3">
      <c r="B87" s="24" t="s">
        <v>125</v>
      </c>
      <c r="D87" s="14" t="s">
        <v>127</v>
      </c>
      <c r="F87" s="33">
        <v>52.1</v>
      </c>
      <c r="G87" s="33">
        <v>51.7</v>
      </c>
      <c r="H87" s="33">
        <v>48.6</v>
      </c>
      <c r="I87" s="33">
        <v>45.1</v>
      </c>
      <c r="J87" s="508">
        <f ca="1">T$87*J$12</f>
        <v>81.42202335220864</v>
      </c>
      <c r="K87" s="508">
        <f t="shared" ref="K87:N87" ca="1" si="83">U$87*K$12</f>
        <v>77.515023851489119</v>
      </c>
      <c r="L87" s="508">
        <f t="shared" ca="1" si="83"/>
        <v>79.405398129187049</v>
      </c>
      <c r="M87" s="508">
        <f ca="1">W$87*M$12</f>
        <v>87.473636359500802</v>
      </c>
      <c r="N87" s="508">
        <f t="shared" ca="1" si="83"/>
        <v>100.58374170832606</v>
      </c>
      <c r="P87" s="32">
        <f ca="1">F87/F12</f>
        <v>1.1835798178059475E-2</v>
      </c>
      <c r="Q87" s="32">
        <f t="shared" ref="Q87:S87" ca="1" si="84">G87/G12</f>
        <v>8.2632739826742959E-3</v>
      </c>
      <c r="R87" s="32">
        <f t="shared" ca="1" si="84"/>
        <v>5.9922322914740152E-3</v>
      </c>
      <c r="S87" s="32">
        <f t="shared" ca="1" si="84"/>
        <v>4.6884908465272945E-3</v>
      </c>
      <c r="T87" s="32">
        <f t="shared" ref="T87" ca="1" si="85">AVERAGE(P87:S87)</f>
        <v>7.6949488246837693E-3</v>
      </c>
      <c r="U87" s="32">
        <f t="shared" ca="1" si="80"/>
        <v>6.6597364863398437E-3</v>
      </c>
      <c r="V87" s="32">
        <f t="shared" ref="V87" ca="1" si="86">AVERAGE(R87:U87)</f>
        <v>6.2588521122562309E-3</v>
      </c>
      <c r="W87" s="32">
        <f t="shared" ca="1" si="81"/>
        <v>6.3255070674517848E-3</v>
      </c>
      <c r="X87" s="32">
        <f t="shared" ca="1" si="82"/>
        <v>6.7347611226829069E-3</v>
      </c>
      <c r="Z87" s="507" t="s">
        <v>311</v>
      </c>
    </row>
    <row r="88" spans="2:26" x14ac:dyDescent="0.3">
      <c r="D88" s="15" t="s">
        <v>128</v>
      </c>
      <c r="F88" s="9">
        <f ca="1">SUBTOTAL(9,OFFSET(F83,1,0):OFFSET(F88,-1,0))</f>
        <v>743.5</v>
      </c>
      <c r="G88" s="9">
        <f ca="1">SUBTOTAL(9,OFFSET(G83,1,0):OFFSET(G88,-1,0))</f>
        <v>797.2</v>
      </c>
      <c r="H88" s="9">
        <f ca="1">SUBTOTAL(9,OFFSET(H83,1,0):OFFSET(H88,-1,0))</f>
        <v>966.1</v>
      </c>
      <c r="I88" s="9">
        <f ca="1">SUBTOTAL(9,OFFSET(I83,1,0):OFFSET(I88,-1,0))</f>
        <v>1228.5999999999999</v>
      </c>
      <c r="J88" s="9">
        <f ca="1">SUBTOTAL(9,OFFSET(J83,1,0):OFFSET(J88,-1,0))</f>
        <v>1593.8852339929117</v>
      </c>
      <c r="K88" s="9">
        <f ca="1">SUBTOTAL(9,OFFSET(K83,1,0):OFFSET(K88,-1,0))</f>
        <v>1725.4545389251907</v>
      </c>
      <c r="L88" s="9">
        <f ca="1">SUBTOTAL(9,OFFSET(L83,1,0):OFFSET(L88,-1,0))</f>
        <v>1806.0351944262957</v>
      </c>
      <c r="M88" s="9">
        <f ca="1">SUBTOTAL(9,OFFSET(M83,1,0):OFFSET(M88,-1,0))</f>
        <v>1897.9430038273395</v>
      </c>
      <c r="N88" s="9">
        <f ca="1">SUBTOTAL(9,OFFSET(N83,1,0):OFFSET(N88,-1,0))</f>
        <v>1991.8726918573134</v>
      </c>
    </row>
    <row r="89" spans="2:26" ht="6" customHeight="1" x14ac:dyDescent="0.3">
      <c r="D89" s="16"/>
    </row>
    <row r="90" spans="2:26" x14ac:dyDescent="0.3">
      <c r="D90" s="17" t="s">
        <v>129</v>
      </c>
      <c r="F90" s="9">
        <f ca="1">SUBTOTAL(9,OFFSET(F73,1,0):OFFSET(F90,-1,0))</f>
        <v>1626.6</v>
      </c>
      <c r="G90" s="9">
        <f ca="1">SUBTOTAL(9,OFFSET(G73,1,0):OFFSET(G90,-1,0))</f>
        <v>2202.5</v>
      </c>
      <c r="H90" s="9">
        <f ca="1">SUBTOTAL(9,OFFSET(H73,1,0):OFFSET(H90,-1,0))</f>
        <v>2458.2999999999997</v>
      </c>
      <c r="I90" s="9">
        <f ca="1">SUBTOTAL(9,OFFSET(I73,1,0):OFFSET(I90,-1,0))</f>
        <v>2859.9</v>
      </c>
      <c r="J90" s="9">
        <f ca="1">SUBTOTAL(9,OFFSET(J73,1,0):OFFSET(J90,-1,0))</f>
        <v>3460.6307600716118</v>
      </c>
      <c r="K90" s="9">
        <f ca="1">SUBTOTAL(9,OFFSET(K73,1,0):OFFSET(K90,-1,0))</f>
        <v>3801.2820239710313</v>
      </c>
      <c r="L90" s="9">
        <f ca="1">SUBTOTAL(9,OFFSET(L73,1,0):OFFSET(L90,-1,0))</f>
        <v>4033.304610163721</v>
      </c>
      <c r="M90" s="9">
        <f ca="1">SUBTOTAL(9,OFFSET(M73,1,0):OFFSET(M90,-1,0))</f>
        <v>4300.0430913669534</v>
      </c>
      <c r="N90" s="9">
        <f ca="1">SUBTOTAL(9,OFFSET(N73,1,0):OFFSET(N90,-1,0))</f>
        <v>4621.6748204282349</v>
      </c>
    </row>
    <row r="91" spans="2:26" ht="6" customHeight="1" x14ac:dyDescent="0.3">
      <c r="D91" s="16"/>
    </row>
    <row r="92" spans="2:26" x14ac:dyDescent="0.3">
      <c r="D92" s="22" t="s">
        <v>130</v>
      </c>
      <c r="F92" s="20"/>
      <c r="G92" s="20"/>
      <c r="H92" s="20"/>
      <c r="I92" s="20"/>
      <c r="J92" s="20"/>
      <c r="K92" s="20"/>
      <c r="L92" s="20"/>
      <c r="M92" s="20"/>
      <c r="N92" s="20"/>
    </row>
    <row r="93" spans="2:26" x14ac:dyDescent="0.3">
      <c r="D93" s="16" t="s">
        <v>131</v>
      </c>
      <c r="F93" s="33">
        <v>389.3</v>
      </c>
      <c r="G93" s="33">
        <v>423.1</v>
      </c>
      <c r="H93" s="33">
        <v>475.3</v>
      </c>
      <c r="I93" s="33">
        <v>576</v>
      </c>
      <c r="J93" s="508">
        <f>I93</f>
        <v>576</v>
      </c>
      <c r="K93" s="508">
        <f t="shared" ref="K93" si="87">J93</f>
        <v>576</v>
      </c>
      <c r="L93" s="508">
        <f t="shared" ref="L93" si="88">K93</f>
        <v>576</v>
      </c>
      <c r="M93" s="508">
        <f t="shared" ref="M93" si="89">L93</f>
        <v>576</v>
      </c>
      <c r="N93" s="508">
        <f t="shared" ref="N93" si="90">M93</f>
        <v>576</v>
      </c>
    </row>
    <row r="94" spans="2:26" x14ac:dyDescent="0.3">
      <c r="D94" s="16" t="s">
        <v>132</v>
      </c>
      <c r="F94" s="33">
        <v>0</v>
      </c>
      <c r="G94" s="33">
        <v>0</v>
      </c>
      <c r="H94" s="33">
        <v>0</v>
      </c>
      <c r="I94" s="33">
        <v>0</v>
      </c>
      <c r="J94" s="34">
        <f>I94</f>
        <v>0</v>
      </c>
      <c r="K94" s="34">
        <f t="shared" ref="K94:N94" si="91">J94</f>
        <v>0</v>
      </c>
      <c r="L94" s="34">
        <f t="shared" si="91"/>
        <v>0</v>
      </c>
      <c r="M94" s="34">
        <f t="shared" si="91"/>
        <v>0</v>
      </c>
      <c r="N94" s="34">
        <f t="shared" si="91"/>
        <v>0</v>
      </c>
    </row>
    <row r="95" spans="2:26" x14ac:dyDescent="0.3">
      <c r="D95" s="16" t="s">
        <v>84</v>
      </c>
      <c r="F95" s="33">
        <v>2346.4</v>
      </c>
      <c r="G95" s="33">
        <v>2512.8000000000002</v>
      </c>
      <c r="H95" s="33">
        <v>2926.1</v>
      </c>
      <c r="I95" s="33">
        <v>3920.4</v>
      </c>
      <c r="J95" s="481">
        <f ca="1">J51+438</f>
        <v>5209.1147495214282</v>
      </c>
      <c r="K95" s="481">
        <f ca="1">K51-81</f>
        <v>5596.5159866845588</v>
      </c>
      <c r="L95" s="481">
        <f ca="1">L51-563</f>
        <v>6203.034454817951</v>
      </c>
      <c r="M95" s="481">
        <f ca="1">M51-1086</f>
        <v>6931.4224943169093</v>
      </c>
      <c r="N95" s="481">
        <f ca="1">N51-1631</f>
        <v>7816.0145789530197</v>
      </c>
    </row>
    <row r="96" spans="2:26" x14ac:dyDescent="0.3">
      <c r="D96" s="16" t="s">
        <v>133</v>
      </c>
      <c r="F96" s="33">
        <v>-177.2</v>
      </c>
      <c r="G96" s="33">
        <v>-195.9</v>
      </c>
      <c r="H96" s="33">
        <v>-252.6</v>
      </c>
      <c r="I96" s="33">
        <v>-264.3</v>
      </c>
      <c r="J96" s="34">
        <f>AVERAGE(F96:I96)</f>
        <v>-222.5</v>
      </c>
      <c r="K96" s="34">
        <f t="shared" ref="K96:N96" si="92">AVERAGE(G96:J96)</f>
        <v>-233.82499999999999</v>
      </c>
      <c r="L96" s="34">
        <f t="shared" si="92"/>
        <v>-243.30624999999998</v>
      </c>
      <c r="M96" s="34">
        <f t="shared" si="92"/>
        <v>-240.98281249999999</v>
      </c>
      <c r="N96" s="34">
        <f t="shared" si="92"/>
        <v>-235.15351562499998</v>
      </c>
    </row>
    <row r="97" spans="1:26" x14ac:dyDescent="0.3">
      <c r="D97" s="17" t="s">
        <v>134</v>
      </c>
      <c r="F97" s="9">
        <f ca="1">SUBTOTAL(9,OFFSET(F92,1,0):OFFSET(F97,-1,0))</f>
        <v>2558.5000000000005</v>
      </c>
      <c r="G97" s="9">
        <f ca="1">SUBTOTAL(9,OFFSET(G92,1,0):OFFSET(G97,-1,0))</f>
        <v>2740</v>
      </c>
      <c r="H97" s="9">
        <f ca="1">SUBTOTAL(9,OFFSET(H92,1,0):OFFSET(H97,-1,0))</f>
        <v>3148.8</v>
      </c>
      <c r="I97" s="9">
        <f ca="1">SUBTOTAL(9,OFFSET(I92,1,0):OFFSET(I97,-1,0))</f>
        <v>4232.0999999999995</v>
      </c>
      <c r="J97" s="9">
        <f ca="1">SUBTOTAL(9,OFFSET(J92,1,0):OFFSET(J97,-1,0))</f>
        <v>5562.6147495214282</v>
      </c>
      <c r="K97" s="9">
        <f ca="1">SUBTOTAL(9,OFFSET(K92,1,0):OFFSET(K97,-1,0))</f>
        <v>5938.690986684559</v>
      </c>
      <c r="L97" s="9">
        <f ca="1">SUBTOTAL(9,OFFSET(L92,1,0):OFFSET(L97,-1,0))</f>
        <v>6535.7282048179513</v>
      </c>
      <c r="M97" s="9">
        <f ca="1">SUBTOTAL(9,OFFSET(M92,1,0):OFFSET(M97,-1,0))</f>
        <v>7266.4396818169089</v>
      </c>
      <c r="N97" s="9">
        <f ca="1">SUBTOTAL(9,OFFSET(N92,1,0):OFFSET(N97,-1,0))</f>
        <v>8156.8610633280196</v>
      </c>
    </row>
    <row r="98" spans="1:26" ht="6" customHeight="1" x14ac:dyDescent="0.3">
      <c r="D98" s="16"/>
    </row>
    <row r="99" spans="1:26" x14ac:dyDescent="0.3">
      <c r="D99" s="17" t="s">
        <v>135</v>
      </c>
      <c r="F99" s="9">
        <f t="shared" ref="F99" ca="1" si="93">F90+F97</f>
        <v>4185.1000000000004</v>
      </c>
      <c r="G99" s="9">
        <f t="shared" ref="G99" ca="1" si="94">G90+G97</f>
        <v>4942.5</v>
      </c>
      <c r="H99" s="9">
        <f t="shared" ref="H99" ca="1" si="95">H90+H97</f>
        <v>5607.1</v>
      </c>
      <c r="I99" s="9">
        <f t="shared" ref="I99" ca="1" si="96">I90+I97</f>
        <v>7092</v>
      </c>
      <c r="J99" s="9">
        <f t="shared" ref="J99:M99" ca="1" si="97">J90+J97</f>
        <v>9023.24550959304</v>
      </c>
      <c r="K99" s="9">
        <f t="shared" ca="1" si="97"/>
        <v>9739.9730106555908</v>
      </c>
      <c r="L99" s="9">
        <f t="shared" ca="1" si="97"/>
        <v>10569.032814981672</v>
      </c>
      <c r="M99" s="9">
        <f t="shared" ca="1" si="97"/>
        <v>11566.482773183863</v>
      </c>
      <c r="N99" s="9">
        <f t="shared" ref="N99" ca="1" si="98">N90+N97</f>
        <v>12778.535883756254</v>
      </c>
    </row>
    <row r="100" spans="1:26" ht="6" customHeight="1" x14ac:dyDescent="0.3">
      <c r="D100" s="16"/>
    </row>
    <row r="101" spans="1:26" x14ac:dyDescent="0.3">
      <c r="D101" s="103" t="s">
        <v>136</v>
      </c>
      <c r="F101" s="23">
        <f t="shared" ref="F101:N101" ca="1" si="99">ROUND(F71-F99,0)</f>
        <v>0</v>
      </c>
      <c r="G101" s="23">
        <f t="shared" ca="1" si="99"/>
        <v>0</v>
      </c>
      <c r="H101" s="23">
        <f t="shared" ca="1" si="99"/>
        <v>0</v>
      </c>
      <c r="I101" s="23">
        <f t="shared" ca="1" si="99"/>
        <v>0</v>
      </c>
      <c r="J101" s="23">
        <f t="shared" ca="1" si="99"/>
        <v>0</v>
      </c>
      <c r="K101" s="23">
        <f t="shared" ca="1" si="99"/>
        <v>0</v>
      </c>
      <c r="L101" s="23">
        <f t="shared" ca="1" si="99"/>
        <v>0</v>
      </c>
      <c r="M101" s="23">
        <f t="shared" ca="1" si="99"/>
        <v>0</v>
      </c>
      <c r="N101" s="23">
        <f t="shared" ca="1" si="99"/>
        <v>0</v>
      </c>
    </row>
    <row r="102" spans="1:26" ht="6" customHeight="1" x14ac:dyDescent="0.3"/>
    <row r="103" spans="1:26" x14ac:dyDescent="0.3">
      <c r="D103" s="26" t="s">
        <v>137</v>
      </c>
      <c r="F103" s="27"/>
      <c r="G103" s="27"/>
      <c r="H103" s="27"/>
      <c r="I103" s="27"/>
      <c r="J103" s="27"/>
      <c r="K103" s="27"/>
      <c r="L103" s="27"/>
      <c r="M103" s="27"/>
      <c r="N103" s="27"/>
    </row>
    <row r="104" spans="1:26" x14ac:dyDescent="0.3">
      <c r="D104" s="25" t="s">
        <v>138</v>
      </c>
      <c r="F104" s="9">
        <f t="shared" ref="F104:N104" si="100">SUMIF($B$53:$B$103,"STA",F$53:F$103)-SUMIF($B$53:$B$103,"STL",F$53:F$103)</f>
        <v>256.79999999999995</v>
      </c>
      <c r="G104" s="9">
        <f t="shared" si="100"/>
        <v>138.69999999999982</v>
      </c>
      <c r="H104" s="9">
        <f t="shared" si="100"/>
        <v>720.40000000000032</v>
      </c>
      <c r="I104" s="9">
        <f t="shared" si="100"/>
        <v>434.59999999999991</v>
      </c>
      <c r="J104" s="9">
        <f ca="1">SUMIF($B$53:$B$103,"STA",J$53:J$103)-SUMIF($B$53:$B$103,"STL",J$53:J$103)</f>
        <v>505.34945392720965</v>
      </c>
      <c r="K104" s="9">
        <f t="shared" ca="1" si="100"/>
        <v>535.34843308922382</v>
      </c>
      <c r="L104" s="9">
        <f t="shared" ca="1" si="100"/>
        <v>573.39188820790423</v>
      </c>
      <c r="M104" s="9">
        <f t="shared" ca="1" si="100"/>
        <v>649.05450446067243</v>
      </c>
      <c r="N104" s="9">
        <f t="shared" ca="1" si="100"/>
        <v>620.36739061581829</v>
      </c>
    </row>
    <row r="105" spans="1:26" x14ac:dyDescent="0.3">
      <c r="D105" s="28" t="s">
        <v>139</v>
      </c>
      <c r="F105" s="98">
        <f t="shared" ref="F105" ca="1" si="101">F104-OFFSET(F104,0,-1)</f>
        <v>256.79999999999995</v>
      </c>
      <c r="G105" s="98">
        <f t="shared" ref="G105" ca="1" si="102">G104-OFFSET(G104,0,-1)</f>
        <v>-118.10000000000014</v>
      </c>
      <c r="H105" s="98">
        <f t="shared" ref="H105" ca="1" si="103">H104-OFFSET(H104,0,-1)</f>
        <v>581.7000000000005</v>
      </c>
      <c r="I105" s="98">
        <f t="shared" ref="I105" ca="1" si="104">I104-OFFSET(I104,0,-1)</f>
        <v>-285.80000000000041</v>
      </c>
      <c r="J105" s="98">
        <f t="shared" ref="J105:M105" ca="1" si="105">J104-OFFSET(J104,0,-1)</f>
        <v>70.749453927209743</v>
      </c>
      <c r="K105" s="98">
        <f t="shared" ca="1" si="105"/>
        <v>29.998979162014166</v>
      </c>
      <c r="L105" s="98">
        <f t="shared" ca="1" si="105"/>
        <v>38.043455118680413</v>
      </c>
      <c r="M105" s="98">
        <f t="shared" ca="1" si="105"/>
        <v>75.662616252768203</v>
      </c>
      <c r="N105" s="98">
        <f t="shared" ref="N105" ca="1" si="106">N104-OFFSET(N104,0,-1)</f>
        <v>-28.687113844854139</v>
      </c>
    </row>
    <row r="106" spans="1:26" ht="6" customHeight="1" x14ac:dyDescent="0.3"/>
    <row r="107" spans="1:26" x14ac:dyDescent="0.3">
      <c r="A107" s="94" t="s">
        <v>53</v>
      </c>
      <c r="D107" s="10" t="s">
        <v>140</v>
      </c>
      <c r="F107" s="11"/>
      <c r="G107" s="11"/>
      <c r="H107" s="11"/>
      <c r="I107" s="11"/>
      <c r="J107" s="11"/>
      <c r="K107" s="11"/>
      <c r="L107" s="11"/>
      <c r="M107" s="11"/>
      <c r="N107" s="11"/>
    </row>
    <row r="108" spans="1:26" x14ac:dyDescent="0.3">
      <c r="D108" s="22" t="s">
        <v>141</v>
      </c>
      <c r="F108" s="20"/>
      <c r="G108" s="20"/>
      <c r="H108" s="20"/>
      <c r="I108" s="20"/>
      <c r="J108" s="20"/>
      <c r="K108" s="20"/>
      <c r="L108" s="20"/>
      <c r="M108" s="20"/>
      <c r="N108" s="20"/>
    </row>
    <row r="109" spans="1:26" x14ac:dyDescent="0.3">
      <c r="D109" s="86" t="s">
        <v>86</v>
      </c>
      <c r="F109" s="415">
        <f ca="1">F43</f>
        <v>588.99999999999955</v>
      </c>
      <c r="G109" s="415">
        <f t="shared" ref="G109:I109" ca="1" si="107">G43</f>
        <v>975.30000000000064</v>
      </c>
      <c r="H109" s="415">
        <f t="shared" ca="1" si="107"/>
        <v>854.80000000000018</v>
      </c>
      <c r="I109" s="415">
        <f t="shared" ca="1" si="107"/>
        <v>1550.2999999999993</v>
      </c>
      <c r="J109" s="85">
        <f ca="1">J$43</f>
        <v>1702.5868068700479</v>
      </c>
      <c r="K109" s="85">
        <f t="shared" ref="K109:N109" ca="1" si="108">K$43</f>
        <v>1953.9430071631309</v>
      </c>
      <c r="L109" s="85">
        <f t="shared" ca="1" si="108"/>
        <v>2230.3389974333923</v>
      </c>
      <c r="M109" s="85">
        <f t="shared" ca="1" si="108"/>
        <v>2565.1159929324585</v>
      </c>
      <c r="N109" s="85">
        <f t="shared" ca="1" si="108"/>
        <v>2848.4182743442907</v>
      </c>
    </row>
    <row r="110" spans="1:26" x14ac:dyDescent="0.3">
      <c r="D110" s="16" t="s">
        <v>139</v>
      </c>
      <c r="F110" s="415">
        <v>-22.5</v>
      </c>
      <c r="G110" s="415">
        <v>103.1</v>
      </c>
      <c r="H110" s="415">
        <v>-581.5</v>
      </c>
      <c r="I110" s="415">
        <v>202.7</v>
      </c>
      <c r="J110" s="85">
        <f ca="1">-J$105</f>
        <v>-70.749453927209743</v>
      </c>
      <c r="K110" s="85">
        <f t="shared" ref="K110:N110" ca="1" si="109">-K$105</f>
        <v>-29.998979162014166</v>
      </c>
      <c r="L110" s="85">
        <f t="shared" ca="1" si="109"/>
        <v>-38.043455118680413</v>
      </c>
      <c r="M110" s="85">
        <f t="shared" ca="1" si="109"/>
        <v>-75.662616252768203</v>
      </c>
      <c r="N110" s="85">
        <f t="shared" ca="1" si="109"/>
        <v>28.687113844854139</v>
      </c>
    </row>
    <row r="111" spans="1:26" x14ac:dyDescent="0.3">
      <c r="D111" s="16" t="s">
        <v>298</v>
      </c>
      <c r="F111" s="415">
        <v>51.5</v>
      </c>
      <c r="G111" s="415">
        <v>86.5</v>
      </c>
      <c r="H111" s="415">
        <v>401.3</v>
      </c>
      <c r="I111" s="415">
        <v>163.9</v>
      </c>
      <c r="J111" s="85">
        <f ca="1">T111*J12</f>
        <v>211.62459999999999</v>
      </c>
      <c r="K111" s="85">
        <f t="shared" ref="K111:N111" ca="1" si="110">U111*K12</f>
        <v>209.508354</v>
      </c>
      <c r="L111" s="85">
        <f t="shared" ca="1" si="110"/>
        <v>190.30342155000002</v>
      </c>
      <c r="M111" s="85">
        <f t="shared" ca="1" si="110"/>
        <v>165.94458359160004</v>
      </c>
      <c r="N111" s="85">
        <f t="shared" ca="1" si="110"/>
        <v>149.35012523244004</v>
      </c>
      <c r="P111" s="32">
        <f ca="1">F111/F12</f>
        <v>1.1699493400577025E-2</v>
      </c>
      <c r="Q111" s="32">
        <f t="shared" ref="Q111:S111" ca="1" si="111">G111/G12</f>
        <v>1.3825400377201674E-2</v>
      </c>
      <c r="R111" s="32">
        <f t="shared" ca="1" si="111"/>
        <v>4.9479070340916101E-2</v>
      </c>
      <c r="S111" s="32">
        <f t="shared" ca="1" si="111"/>
        <v>1.7038661856891877E-2</v>
      </c>
      <c r="T111" s="32">
        <v>0.02</v>
      </c>
      <c r="U111" s="32">
        <v>1.7999999999999999E-2</v>
      </c>
      <c r="V111" s="32">
        <v>1.4999999999999999E-2</v>
      </c>
      <c r="W111" s="32">
        <v>1.2E-2</v>
      </c>
      <c r="X111" s="32">
        <v>0.01</v>
      </c>
      <c r="Z111" s="507" t="s">
        <v>311</v>
      </c>
    </row>
    <row r="112" spans="1:26" x14ac:dyDescent="0.3">
      <c r="D112" s="86" t="s">
        <v>142</v>
      </c>
      <c r="F112" s="416">
        <v>185.5</v>
      </c>
      <c r="G112" s="416">
        <v>224.2</v>
      </c>
      <c r="H112" s="416">
        <v>291.8</v>
      </c>
      <c r="I112" s="416">
        <v>379.4</v>
      </c>
      <c r="J112" s="85">
        <f ca="1">-J189</f>
        <v>409.901162446466</v>
      </c>
      <c r="K112" s="85">
        <f ca="1">-K189</f>
        <v>448.41516069089624</v>
      </c>
      <c r="L112" s="85">
        <f ca="1">-L189</f>
        <v>474.43203517670105</v>
      </c>
      <c r="M112" s="85">
        <f ca="1">-M189</f>
        <v>480.97925049717708</v>
      </c>
      <c r="N112" s="85">
        <f ca="1">-N189</f>
        <v>484.45147060087299</v>
      </c>
    </row>
    <row r="113" spans="4:26" x14ac:dyDescent="0.3">
      <c r="D113" s="87" t="s">
        <v>143</v>
      </c>
      <c r="F113" s="414">
        <f ca="1">SUBTOTAL(9,OFFSET(F108,1,0):OFFSET(F113,-1,0))</f>
        <v>803.49999999999955</v>
      </c>
      <c r="G113" s="414">
        <f ca="1">SUBTOTAL(9,OFFSET(G108,1,0):OFFSET(G113,-1,0))</f>
        <v>1389.1000000000006</v>
      </c>
      <c r="H113" s="414">
        <f ca="1">SUBTOTAL(9,OFFSET(H108,1,0):OFFSET(H113,-1,0))</f>
        <v>966.40000000000009</v>
      </c>
      <c r="I113" s="414">
        <f ca="1">SUBTOTAL(9,OFFSET(I108,1,0):OFFSET(I113,-1,0))</f>
        <v>2296.2999999999993</v>
      </c>
      <c r="J113" s="9">
        <f ca="1">SUBTOTAL(9,OFFSET(J108,1,0):OFFSET(J113,-1,0))</f>
        <v>2253.3631153893043</v>
      </c>
      <c r="K113" s="9">
        <f ca="1">SUBTOTAL(9,OFFSET(K108,1,0):OFFSET(K113,-1,0))</f>
        <v>2581.8675426920131</v>
      </c>
      <c r="L113" s="9">
        <f ca="1">SUBTOTAL(9,OFFSET(L108,1,0):OFFSET(L113,-1,0))</f>
        <v>2857.030999041413</v>
      </c>
      <c r="M113" s="9">
        <f ca="1">SUBTOTAL(9,OFFSET(M108,1,0):OFFSET(M113,-1,0))</f>
        <v>3136.3772107684672</v>
      </c>
      <c r="N113" s="9">
        <f ca="1">SUBTOTAL(9,OFFSET(N108,1,0):OFFSET(N113,-1,0))</f>
        <v>3510.9069840224579</v>
      </c>
    </row>
    <row r="114" spans="4:26" ht="6" customHeight="1" x14ac:dyDescent="0.3"/>
    <row r="115" spans="4:26" x14ac:dyDescent="0.3">
      <c r="D115" s="22" t="s">
        <v>144</v>
      </c>
      <c r="F115" s="20"/>
      <c r="G115" s="20"/>
      <c r="H115" s="20"/>
      <c r="I115" s="20"/>
      <c r="J115" s="20"/>
      <c r="K115" s="20"/>
      <c r="L115" s="20"/>
      <c r="M115" s="20"/>
      <c r="N115" s="20"/>
    </row>
    <row r="116" spans="4:26" x14ac:dyDescent="0.3">
      <c r="D116" s="86" t="s">
        <v>145</v>
      </c>
      <c r="F116" s="415">
        <v>-229.2</v>
      </c>
      <c r="G116" s="415">
        <v>-394.5</v>
      </c>
      <c r="H116" s="415">
        <v>-638.70000000000005</v>
      </c>
      <c r="I116" s="415">
        <v>-651.9</v>
      </c>
      <c r="J116" s="85">
        <f ca="1">-(J$188+J$196)</f>
        <v>-899.40454999999997</v>
      </c>
      <c r="K116" s="85">
        <f t="shared" ref="K116:N116" ca="1" si="112">-(K$188+K$196)</f>
        <v>-872.95147500000007</v>
      </c>
      <c r="L116" s="85">
        <f t="shared" ca="1" si="112"/>
        <v>-761.2136862000001</v>
      </c>
      <c r="M116" s="85">
        <f t="shared" ca="1" si="112"/>
        <v>-553.14861197200014</v>
      </c>
      <c r="N116" s="85">
        <f t="shared" ca="1" si="112"/>
        <v>-522.72543831354017</v>
      </c>
    </row>
    <row r="117" spans="4:26" x14ac:dyDescent="0.3">
      <c r="D117" s="86" t="s">
        <v>300</v>
      </c>
      <c r="F117" s="415">
        <v>-452.6</v>
      </c>
      <c r="G117" s="415">
        <v>0</v>
      </c>
      <c r="H117" s="415">
        <v>0</v>
      </c>
      <c r="I117" s="415">
        <v>0</v>
      </c>
      <c r="J117" s="85">
        <v>0</v>
      </c>
      <c r="K117" s="85">
        <v>0</v>
      </c>
      <c r="L117" s="85">
        <v>0</v>
      </c>
      <c r="M117" s="85">
        <v>0</v>
      </c>
      <c r="N117" s="85">
        <v>0</v>
      </c>
    </row>
    <row r="118" spans="4:26" x14ac:dyDescent="0.3">
      <c r="D118" s="86" t="s">
        <v>299</v>
      </c>
      <c r="F118" s="415">
        <v>-13.7</v>
      </c>
      <c r="G118" s="415">
        <v>-33.4</v>
      </c>
      <c r="H118" s="415">
        <v>68.7</v>
      </c>
      <c r="I118" s="415">
        <v>-2.2999999999999998</v>
      </c>
      <c r="J118" s="85">
        <f ca="1">T118*J$12</f>
        <v>-0.58000097879574919</v>
      </c>
      <c r="K118" s="85">
        <f t="shared" ref="K118:N118" ca="1" si="113">U118*K$12</f>
        <v>-0.63800107667532413</v>
      </c>
      <c r="L118" s="85">
        <f t="shared" ca="1" si="113"/>
        <v>-0.69542117357610345</v>
      </c>
      <c r="M118" s="85">
        <f t="shared" ca="1" si="113"/>
        <v>-0.7580090791979528</v>
      </c>
      <c r="N118" s="85">
        <f t="shared" ca="1" si="113"/>
        <v>-0.81864980553378897</v>
      </c>
      <c r="P118" s="32">
        <f ca="1">F118/F$12</f>
        <v>-3.1122924191826257E-3</v>
      </c>
      <c r="Q118" s="32">
        <f t="shared" ref="Q118:S118" ca="1" si="114">G118/G$12</f>
        <v>-5.338362689000415E-3</v>
      </c>
      <c r="R118" s="32">
        <f t="shared" ca="1" si="114"/>
        <v>8.4705012021453682E-3</v>
      </c>
      <c r="S118" s="32">
        <f t="shared" ca="1" si="114"/>
        <v>-2.3910263740604826E-4</v>
      </c>
      <c r="T118" s="32">
        <f ca="1">AVERAGE($P$118:$S$118)</f>
        <v>-5.4814135860930078E-5</v>
      </c>
      <c r="U118" s="32">
        <f t="shared" ref="U118:X118" ca="1" si="115">AVERAGE($P$118:$S$118)</f>
        <v>-5.4814135860930078E-5</v>
      </c>
      <c r="V118" s="32">
        <f t="shared" ca="1" si="115"/>
        <v>-5.4814135860930078E-5</v>
      </c>
      <c r="W118" s="32">
        <f t="shared" ca="1" si="115"/>
        <v>-5.4814135860930078E-5</v>
      </c>
      <c r="X118" s="32">
        <f t="shared" ca="1" si="115"/>
        <v>-5.4814135860930078E-5</v>
      </c>
      <c r="Z118" s="507" t="s">
        <v>311</v>
      </c>
    </row>
    <row r="119" spans="4:26" x14ac:dyDescent="0.3">
      <c r="D119" s="87" t="s">
        <v>146</v>
      </c>
      <c r="F119" s="414">
        <f ca="1">SUBTOTAL(9,OFFSET(F115,1,0):OFFSET(F119,-1,0))</f>
        <v>-695.5</v>
      </c>
      <c r="G119" s="414">
        <f ca="1">SUBTOTAL(9,OFFSET(G115,1,0):OFFSET(G119,-1,0))</f>
        <v>-427.9</v>
      </c>
      <c r="H119" s="414">
        <f ca="1">SUBTOTAL(9,OFFSET(H115,1,0):OFFSET(H119,-1,0))</f>
        <v>-570</v>
      </c>
      <c r="I119" s="414">
        <f ca="1">SUBTOTAL(9,OFFSET(I115,1,0):OFFSET(I119,-1,0))</f>
        <v>-654.19999999999993</v>
      </c>
      <c r="J119" s="9">
        <f ca="1">SUBTOTAL(9,OFFSET(J115,1,0):OFFSET(J119,-1,0))</f>
        <v>-899.98455097879571</v>
      </c>
      <c r="K119" s="9">
        <f ca="1">SUBTOTAL(9,OFFSET(K115,1,0):OFFSET(K119,-1,0))</f>
        <v>-873.5894760766754</v>
      </c>
      <c r="L119" s="9">
        <f ca="1">SUBTOTAL(9,OFFSET(L115,1,0):OFFSET(L119,-1,0))</f>
        <v>-761.90910737357615</v>
      </c>
      <c r="M119" s="9">
        <f ca="1">SUBTOTAL(9,OFFSET(M115,1,0):OFFSET(M119,-1,0))</f>
        <v>-553.90662105119804</v>
      </c>
      <c r="N119" s="9">
        <f ca="1">SUBTOTAL(9,OFFSET(N115,1,0):OFFSET(N119,-1,0))</f>
        <v>-523.54408811907399</v>
      </c>
    </row>
    <row r="120" spans="4:26" ht="6" customHeight="1" x14ac:dyDescent="0.3"/>
    <row r="121" spans="4:26" x14ac:dyDescent="0.3">
      <c r="D121" s="22" t="s">
        <v>147</v>
      </c>
      <c r="F121" s="20"/>
      <c r="G121" s="20"/>
      <c r="H121" s="20"/>
      <c r="I121" s="20"/>
      <c r="J121" s="20"/>
      <c r="K121" s="20"/>
      <c r="L121" s="20"/>
      <c r="M121" s="20"/>
      <c r="N121" s="20"/>
    </row>
    <row r="122" spans="4:26" hidden="1" outlineLevel="1" x14ac:dyDescent="0.3">
      <c r="D122" s="86" t="s">
        <v>148</v>
      </c>
      <c r="F122" s="415"/>
      <c r="G122" s="415"/>
      <c r="H122" s="415"/>
      <c r="I122" s="415"/>
      <c r="J122" s="85">
        <f ca="1">J50</f>
        <v>-851.87205734862027</v>
      </c>
      <c r="K122" s="85">
        <f ca="1">K50</f>
        <v>-1047.54177</v>
      </c>
      <c r="L122" s="85">
        <f ca="1">L50</f>
        <v>-1141.8205293000001</v>
      </c>
      <c r="M122" s="85">
        <f ca="1">M50</f>
        <v>-1313.7279534335003</v>
      </c>
      <c r="N122" s="85">
        <f ca="1">N50</f>
        <v>-1418.8261897081804</v>
      </c>
    </row>
    <row r="123" spans="4:26" hidden="1" outlineLevel="1" x14ac:dyDescent="0.3">
      <c r="D123" s="86" t="s">
        <v>149</v>
      </c>
      <c r="F123" s="415"/>
      <c r="G123" s="415"/>
      <c r="H123" s="415"/>
      <c r="I123" s="415"/>
      <c r="J123" s="85">
        <f>J205</f>
        <v>0</v>
      </c>
      <c r="K123" s="85">
        <f t="shared" ref="K123:N123" si="116">K205</f>
        <v>0</v>
      </c>
      <c r="L123" s="85">
        <f t="shared" si="116"/>
        <v>0</v>
      </c>
      <c r="M123" s="85">
        <f t="shared" si="116"/>
        <v>0</v>
      </c>
      <c r="N123" s="85">
        <f t="shared" si="116"/>
        <v>0</v>
      </c>
    </row>
    <row r="124" spans="4:26" hidden="1" outlineLevel="1" x14ac:dyDescent="0.3">
      <c r="D124" s="86" t="s">
        <v>150</v>
      </c>
      <c r="F124" s="415"/>
      <c r="G124" s="415"/>
      <c r="H124" s="415"/>
      <c r="I124" s="415"/>
      <c r="J124" s="85">
        <f ca="1">J210</f>
        <v>62.325000000000003</v>
      </c>
      <c r="K124" s="85">
        <f t="shared" ref="K124:N124" ca="1" si="117">K210</f>
        <v>62.325000000000003</v>
      </c>
      <c r="L124" s="85">
        <f t="shared" ca="1" si="117"/>
        <v>62.325000000000003</v>
      </c>
      <c r="M124" s="85">
        <f t="shared" ca="1" si="117"/>
        <v>62.325000000000003</v>
      </c>
      <c r="N124" s="85">
        <f t="shared" ca="1" si="117"/>
        <v>62.325000000000003</v>
      </c>
    </row>
    <row r="125" spans="4:26" hidden="1" outlineLevel="1" x14ac:dyDescent="0.3">
      <c r="D125" s="86" t="s">
        <v>151</v>
      </c>
      <c r="F125" s="415"/>
      <c r="G125" s="415"/>
      <c r="H125" s="415"/>
      <c r="I125" s="415"/>
      <c r="J125" s="85">
        <f>J215</f>
        <v>0</v>
      </c>
      <c r="K125" s="85">
        <f t="shared" ref="K125:N125" si="118">K215</f>
        <v>0</v>
      </c>
      <c r="L125" s="85">
        <f t="shared" si="118"/>
        <v>0</v>
      </c>
      <c r="M125" s="85">
        <f t="shared" si="118"/>
        <v>0</v>
      </c>
      <c r="N125" s="85">
        <f t="shared" si="118"/>
        <v>0</v>
      </c>
    </row>
    <row r="126" spans="4:26" collapsed="1" x14ac:dyDescent="0.3">
      <c r="D126" s="86" t="s">
        <v>301</v>
      </c>
      <c r="F126" s="415">
        <v>-80.8</v>
      </c>
      <c r="G126" s="415">
        <v>-844.2</v>
      </c>
      <c r="H126" s="415">
        <v>-467.5</v>
      </c>
      <c r="I126" s="415">
        <v>-548.79999999999995</v>
      </c>
      <c r="J126" s="85">
        <f>AVERAGE(G126:I126)</f>
        <v>-620.16666666666663</v>
      </c>
      <c r="K126" s="85">
        <f>J126</f>
        <v>-620.16666666666663</v>
      </c>
      <c r="L126" s="85">
        <f t="shared" ref="L126:N126" si="119">K126</f>
        <v>-620.16666666666663</v>
      </c>
      <c r="M126" s="85">
        <f t="shared" si="119"/>
        <v>-620.16666666666663</v>
      </c>
      <c r="N126" s="85">
        <f t="shared" si="119"/>
        <v>-620.16666666666663</v>
      </c>
    </row>
    <row r="127" spans="4:26" x14ac:dyDescent="0.3">
      <c r="D127" s="86" t="s">
        <v>302</v>
      </c>
      <c r="F127" s="415">
        <v>0</v>
      </c>
      <c r="G127" s="415">
        <v>-0.8</v>
      </c>
      <c r="H127" s="415">
        <v>0</v>
      </c>
      <c r="I127" s="415">
        <v>0</v>
      </c>
      <c r="J127" s="85">
        <f>AVERAGE(F127:I127)</f>
        <v>-0.2</v>
      </c>
      <c r="K127" s="85">
        <f t="shared" ref="K127:N127" si="120">AVERAGE(G127:J127)</f>
        <v>-0.25</v>
      </c>
      <c r="L127" s="85">
        <f t="shared" si="120"/>
        <v>-0.1125</v>
      </c>
      <c r="M127" s="85">
        <f t="shared" si="120"/>
        <v>-0.140625</v>
      </c>
      <c r="N127" s="85">
        <f t="shared" si="120"/>
        <v>-0.17578125</v>
      </c>
    </row>
    <row r="128" spans="4:26" x14ac:dyDescent="0.3">
      <c r="D128" s="87" t="s">
        <v>152</v>
      </c>
      <c r="F128" s="414">
        <f ca="1">SUBTOTAL(9,OFFSET(F121,1,0):OFFSET(F128,-1,0))</f>
        <v>-80.8</v>
      </c>
      <c r="G128" s="414">
        <f ca="1">SUBTOTAL(9,OFFSET(G121,1,0):OFFSET(G128,-1,0))</f>
        <v>-845</v>
      </c>
      <c r="H128" s="414">
        <f ca="1">SUBTOTAL(9,OFFSET(H121,1,0):OFFSET(H128,-1,0))</f>
        <v>-467.5</v>
      </c>
      <c r="I128" s="414">
        <f ca="1">SUBTOTAL(9,OFFSET(I121,1,0):OFFSET(I128,-1,0))</f>
        <v>-548.79999999999995</v>
      </c>
      <c r="J128" s="9">
        <f ca="1">SUBTOTAL(9,OFFSET(J121,1,0):OFFSET(J128,-1,0))</f>
        <v>-1409.913724015287</v>
      </c>
      <c r="K128" s="9">
        <f ca="1">SUBTOTAL(9,OFFSET(K121,1,0):OFFSET(K128,-1,0))</f>
        <v>-1605.6334366666665</v>
      </c>
      <c r="L128" s="9">
        <f ca="1">SUBTOTAL(9,OFFSET(L121,1,0):OFFSET(L128,-1,0))</f>
        <v>-1699.7746959666667</v>
      </c>
      <c r="M128" s="9">
        <f ca="1">SUBTOTAL(9,OFFSET(M121,1,0):OFFSET(M128,-1,0))</f>
        <v>-1871.710245100167</v>
      </c>
      <c r="N128" s="9">
        <f ca="1">SUBTOTAL(9,OFFSET(N121,1,0):OFFSET(N128,-1,0))</f>
        <v>-1976.8436376248469</v>
      </c>
    </row>
    <row r="129" spans="1:19" ht="6" customHeight="1" thickBot="1" x14ac:dyDescent="0.35"/>
    <row r="130" spans="1:19" x14ac:dyDescent="0.3">
      <c r="D130" s="91" t="s">
        <v>153</v>
      </c>
      <c r="F130" s="417"/>
      <c r="G130" s="417"/>
      <c r="H130" s="417"/>
      <c r="I130" s="417"/>
      <c r="J130" s="93">
        <f ca="1">OFFSET(J132,0,-1)</f>
        <v>2244</v>
      </c>
      <c r="K130" s="93">
        <f t="shared" ref="K130:N130" ca="1" si="121">OFFSET(K132,0,-1)</f>
        <v>2187.4648403952215</v>
      </c>
      <c r="L130" s="93">
        <f t="shared" ca="1" si="121"/>
        <v>2290.1094703438926</v>
      </c>
      <c r="M130" s="93">
        <f t="shared" ca="1" si="121"/>
        <v>2685.4566660450628</v>
      </c>
      <c r="N130" s="93">
        <f t="shared" ca="1" si="121"/>
        <v>3396.2170106621647</v>
      </c>
    </row>
    <row r="131" spans="1:19" x14ac:dyDescent="0.3">
      <c r="D131" s="8" t="s">
        <v>154</v>
      </c>
      <c r="F131" s="418"/>
      <c r="G131" s="418"/>
      <c r="H131" s="418"/>
      <c r="I131" s="418"/>
      <c r="J131" s="88">
        <f ca="1">SUM(J113,J119,J128)</f>
        <v>-56.5351596047783</v>
      </c>
      <c r="K131" s="88">
        <f ca="1">SUM(K113,K119,K128)</f>
        <v>102.64462994867108</v>
      </c>
      <c r="L131" s="88">
        <f ca="1">SUM(L113,L119,L128)</f>
        <v>395.34719570116999</v>
      </c>
      <c r="M131" s="88">
        <f ca="1">SUM(M113,M119,M128)</f>
        <v>710.76034461710196</v>
      </c>
      <c r="N131" s="88">
        <f ca="1">SUM(N113,N119,N128)</f>
        <v>1010.5192582785371</v>
      </c>
      <c r="S131" s="85">
        <f>AVERAGE(F116:I116)</f>
        <v>-478.57500000000005</v>
      </c>
    </row>
    <row r="132" spans="1:19" ht="12.5" thickBot="1" x14ac:dyDescent="0.35">
      <c r="D132" s="89" t="s">
        <v>155</v>
      </c>
      <c r="F132" s="90">
        <f>F$56</f>
        <v>1150.5</v>
      </c>
      <c r="G132" s="90">
        <f t="shared" ref="G132:I132" si="122">G$56</f>
        <v>1259.9000000000001</v>
      </c>
      <c r="H132" s="90">
        <f t="shared" si="122"/>
        <v>1154.9000000000001</v>
      </c>
      <c r="I132" s="90">
        <f t="shared" si="122"/>
        <v>2244</v>
      </c>
      <c r="J132" s="90">
        <f t="shared" ref="J132:M132" ca="1" si="123">J130+J131</f>
        <v>2187.4648403952215</v>
      </c>
      <c r="K132" s="90">
        <f t="shared" ca="1" si="123"/>
        <v>2290.1094703438926</v>
      </c>
      <c r="L132" s="90">
        <f t="shared" ca="1" si="123"/>
        <v>2685.4566660450628</v>
      </c>
      <c r="M132" s="90">
        <f t="shared" ca="1" si="123"/>
        <v>3396.2170106621647</v>
      </c>
      <c r="N132" s="90">
        <f t="shared" ref="N132" ca="1" si="124">N130+N131</f>
        <v>4406.7362689407018</v>
      </c>
    </row>
    <row r="133" spans="1:19" x14ac:dyDescent="0.3">
      <c r="D133" s="103" t="s">
        <v>136</v>
      </c>
      <c r="F133" s="23"/>
      <c r="G133" s="23"/>
      <c r="H133" s="23"/>
      <c r="I133" s="23"/>
      <c r="J133" s="23">
        <f ca="1">ROUND(J56-J132,0)</f>
        <v>0</v>
      </c>
      <c r="K133" s="23">
        <f ca="1">ROUND(K56-K132,0)</f>
        <v>0</v>
      </c>
      <c r="L133" s="23">
        <f ca="1">ROUND(L56-L132,0)</f>
        <v>0</v>
      </c>
      <c r="M133" s="23">
        <f ca="1">ROUND(M56-M132,0)</f>
        <v>0</v>
      </c>
      <c r="N133" s="23">
        <f ca="1">ROUND(N56-N132,0)</f>
        <v>0</v>
      </c>
    </row>
    <row r="134" spans="1:19" ht="6" customHeight="1" x14ac:dyDescent="0.3"/>
    <row r="135" spans="1:19" x14ac:dyDescent="0.3">
      <c r="A135" s="94" t="s">
        <v>53</v>
      </c>
      <c r="D135" s="10" t="s">
        <v>156</v>
      </c>
      <c r="F135" s="11"/>
      <c r="G135" s="11"/>
      <c r="H135" s="11"/>
      <c r="I135" s="11"/>
      <c r="J135" s="11"/>
      <c r="K135" s="11"/>
      <c r="L135" s="11"/>
      <c r="M135" s="11"/>
      <c r="N135" s="11"/>
    </row>
    <row r="136" spans="1:19" x14ac:dyDescent="0.3">
      <c r="D136" s="86" t="s">
        <v>157</v>
      </c>
      <c r="J136" s="85">
        <f ca="1">J113</f>
        <v>2253.3631153893043</v>
      </c>
      <c r="K136" s="85">
        <f ca="1">K113</f>
        <v>2581.8675426920131</v>
      </c>
      <c r="L136" s="85">
        <f ca="1">L113</f>
        <v>2857.030999041413</v>
      </c>
      <c r="M136" s="85">
        <f ca="1">M113</f>
        <v>3136.3772107684672</v>
      </c>
      <c r="N136" s="85">
        <f ca="1">N113</f>
        <v>3510.9069840224579</v>
      </c>
    </row>
    <row r="137" spans="1:19" x14ac:dyDescent="0.3">
      <c r="D137" s="86" t="s">
        <v>158</v>
      </c>
      <c r="J137" s="85">
        <f ca="1">J136+J116</f>
        <v>1353.9585653893043</v>
      </c>
      <c r="K137" s="85">
        <f ca="1">K136+K116</f>
        <v>1708.916067692013</v>
      </c>
      <c r="L137" s="85">
        <f ca="1">L136+L116</f>
        <v>2095.8173128414128</v>
      </c>
      <c r="M137" s="85">
        <f ca="1">M136+M116</f>
        <v>2583.2285987964669</v>
      </c>
      <c r="N137" s="85">
        <f ca="1">N136+N116</f>
        <v>2988.1815457089178</v>
      </c>
    </row>
    <row r="138" spans="1:19" x14ac:dyDescent="0.3">
      <c r="D138" s="86" t="s">
        <v>159</v>
      </c>
      <c r="J138" s="85">
        <f ca="1">J137+J124+J123+J125+J126+J127</f>
        <v>795.91689872263771</v>
      </c>
      <c r="K138" s="85">
        <f t="shared" ref="K138:N138" ca="1" si="125">K137+K124+K123+K125+K126+K127</f>
        <v>1150.8244010253466</v>
      </c>
      <c r="L138" s="85">
        <f t="shared" ca="1" si="125"/>
        <v>1537.8631461747461</v>
      </c>
      <c r="M138" s="85">
        <f t="shared" ca="1" si="125"/>
        <v>2025.2463071298002</v>
      </c>
      <c r="N138" s="85">
        <f t="shared" ca="1" si="125"/>
        <v>2430.1640977922511</v>
      </c>
    </row>
    <row r="139" spans="1:19" ht="6" customHeight="1" x14ac:dyDescent="0.3"/>
    <row r="140" spans="1:19" ht="21" customHeight="1" x14ac:dyDescent="0.35">
      <c r="A140" s="94"/>
      <c r="D140" s="425" t="s">
        <v>160</v>
      </c>
      <c r="E140"/>
      <c r="F140" s="426" t="s">
        <v>161</v>
      </c>
      <c r="G140" s="427"/>
      <c r="H140" s="427"/>
      <c r="I140" s="427"/>
      <c r="J140" s="427"/>
      <c r="K140" s="427"/>
      <c r="L140" s="427"/>
      <c r="M140" s="427"/>
      <c r="N140" s="427"/>
    </row>
    <row r="141" spans="1:19" ht="6" customHeight="1" x14ac:dyDescent="0.3"/>
    <row r="142" spans="1:19" x14ac:dyDescent="0.3">
      <c r="A142" s="94" t="s">
        <v>53</v>
      </c>
      <c r="D142" s="10" t="s">
        <v>162</v>
      </c>
      <c r="F142" s="11"/>
      <c r="G142" s="11"/>
      <c r="H142" s="11"/>
      <c r="I142" s="11"/>
      <c r="J142" s="11"/>
      <c r="K142" s="11"/>
      <c r="L142" s="11"/>
      <c r="M142" s="11"/>
      <c r="N142" s="11"/>
    </row>
    <row r="143" spans="1:19" x14ac:dyDescent="0.3">
      <c r="D143" s="22" t="s">
        <v>163</v>
      </c>
      <c r="F143" s="20"/>
      <c r="G143" s="20"/>
      <c r="H143" s="20"/>
      <c r="I143" s="20"/>
      <c r="J143" s="20"/>
      <c r="K143" s="20"/>
      <c r="L143" s="20"/>
      <c r="M143" s="20"/>
      <c r="N143" s="20"/>
    </row>
    <row r="144" spans="1:19" x14ac:dyDescent="0.3">
      <c r="D144" s="7" t="s">
        <v>153</v>
      </c>
      <c r="G144" s="85">
        <f ca="1">OFFSET(G146,0,-1)</f>
        <v>62.4</v>
      </c>
      <c r="H144" s="85">
        <f t="shared" ref="H144:M144" ca="1" si="126">OFFSET(H146,0,-1)</f>
        <v>77</v>
      </c>
      <c r="I144" s="85">
        <f t="shared" ca="1" si="126"/>
        <v>132.9</v>
      </c>
      <c r="J144" s="85">
        <f t="shared" ca="1" si="126"/>
        <v>124.8</v>
      </c>
      <c r="K144" s="85">
        <f ca="1">OFFSET(K146,0,-1)</f>
        <v>115.95868493150684</v>
      </c>
      <c r="L144" s="85">
        <f t="shared" ca="1" si="126"/>
        <v>127.55455342465754</v>
      </c>
      <c r="M144" s="85">
        <f t="shared" ca="1" si="126"/>
        <v>104.27584742465754</v>
      </c>
      <c r="N144" s="85">
        <f t="shared" ref="N144" ca="1" si="127">OFFSET(N146,0,-1)</f>
        <v>113.66067369287674</v>
      </c>
    </row>
    <row r="145" spans="4:14" x14ac:dyDescent="0.3">
      <c r="D145" s="7" t="s">
        <v>164</v>
      </c>
      <c r="F145" s="85">
        <f t="shared" ref="F145:I145" si="128">F146-F144</f>
        <v>62.4</v>
      </c>
      <c r="G145" s="85">
        <f t="shared" ca="1" si="128"/>
        <v>14.600000000000001</v>
      </c>
      <c r="H145" s="85">
        <f t="shared" ca="1" si="128"/>
        <v>55.900000000000006</v>
      </c>
      <c r="I145" s="85">
        <f t="shared" ca="1" si="128"/>
        <v>-8.1000000000000085</v>
      </c>
      <c r="J145" s="85">
        <f t="shared" ref="J145:M145" ca="1" si="129">J146-J144</f>
        <v>-8.8413150684931594</v>
      </c>
      <c r="K145" s="85">
        <f t="shared" ca="1" si="129"/>
        <v>11.595868493150704</v>
      </c>
      <c r="L145" s="85">
        <f t="shared" ca="1" si="129"/>
        <v>-23.278706</v>
      </c>
      <c r="M145" s="85">
        <f t="shared" ca="1" si="129"/>
        <v>9.3848262682192001</v>
      </c>
      <c r="N145" s="85">
        <f t="shared" ref="N145" ca="1" si="130">N146-N144</f>
        <v>-31.824988634005493</v>
      </c>
    </row>
    <row r="146" spans="4:14" x14ac:dyDescent="0.3">
      <c r="D146" s="95" t="s">
        <v>155</v>
      </c>
      <c r="F146" s="99">
        <f>F58</f>
        <v>62.4</v>
      </c>
      <c r="G146" s="99">
        <f>G58</f>
        <v>77</v>
      </c>
      <c r="H146" s="99">
        <f>H58</f>
        <v>132.9</v>
      </c>
      <c r="I146" s="99">
        <f>I58</f>
        <v>124.8</v>
      </c>
      <c r="J146" s="99">
        <f ca="1">ABS(J$12)/(365)*J147</f>
        <v>115.95868493150684</v>
      </c>
      <c r="K146" s="99">
        <f ca="1">ABS(K$12)/(365)*K147</f>
        <v>127.55455342465754</v>
      </c>
      <c r="L146" s="99">
        <f ca="1">ABS(L$12)/(365)*L147</f>
        <v>104.27584742465754</v>
      </c>
      <c r="M146" s="99">
        <f ca="1">ABS(M$12)/(365)*M147</f>
        <v>113.66067369287674</v>
      </c>
      <c r="N146" s="99">
        <f ca="1">ABS(N$12)/(365)*N147</f>
        <v>81.835685058871249</v>
      </c>
    </row>
    <row r="147" spans="4:14" x14ac:dyDescent="0.3">
      <c r="D147" s="96" t="s">
        <v>165</v>
      </c>
      <c r="F147" s="428">
        <f ca="1">IFERROR(AVERAGE(F144,F146)/ABS(F$12)*(365),"NA")</f>
        <v>5.1741293532338313</v>
      </c>
      <c r="G147" s="428">
        <f ca="1">IFERROR(AVERAGE(G144,G146)/ABS(G$12)*(365),"NA")</f>
        <v>4.0661861074705108</v>
      </c>
      <c r="H147" s="428">
        <f ca="1">IFERROR(AVERAGE(H144,H146)/ABS(H$12)*(365),"NA")</f>
        <v>4.7231058504407866</v>
      </c>
      <c r="I147" s="428">
        <f ca="1">IFERROR(AVERAGE(I144,I146)/ABS(I$12)*(365),"NA")</f>
        <v>4.8891551360286094</v>
      </c>
      <c r="J147" s="102">
        <v>4</v>
      </c>
      <c r="K147" s="102">
        <v>4</v>
      </c>
      <c r="L147" s="102">
        <v>3</v>
      </c>
      <c r="M147" s="102">
        <v>3</v>
      </c>
      <c r="N147" s="102">
        <v>2</v>
      </c>
    </row>
    <row r="148" spans="4:14" ht="6" customHeight="1" x14ac:dyDescent="0.3"/>
    <row r="149" spans="4:14" x14ac:dyDescent="0.3">
      <c r="D149" s="22" t="s">
        <v>166</v>
      </c>
      <c r="F149" s="20"/>
      <c r="G149" s="20"/>
      <c r="H149" s="20"/>
      <c r="I149" s="20"/>
      <c r="J149" s="20"/>
      <c r="K149" s="20"/>
      <c r="L149" s="20"/>
      <c r="M149" s="20"/>
      <c r="N149" s="20"/>
    </row>
    <row r="150" spans="4:14" x14ac:dyDescent="0.3">
      <c r="D150" s="7" t="s">
        <v>153</v>
      </c>
      <c r="G150" s="85">
        <f ca="1">OFFSET(G152,0,-1)</f>
        <v>647.20000000000005</v>
      </c>
      <c r="H150" s="85">
        <f t="shared" ref="H150:M150" ca="1" si="131">OFFSET(H152,0,-1)</f>
        <v>966.5</v>
      </c>
      <c r="I150" s="85">
        <f t="shared" ca="1" si="131"/>
        <v>1447.4</v>
      </c>
      <c r="J150" s="85">
        <f t="shared" ca="1" si="131"/>
        <v>1323.6</v>
      </c>
      <c r="K150" s="85">
        <f t="shared" ca="1" si="131"/>
        <v>1435.0749844650022</v>
      </c>
      <c r="L150" s="85">
        <f t="shared" ca="1" si="131"/>
        <v>1549.2914230400659</v>
      </c>
      <c r="M150" s="85">
        <f t="shared" ca="1" si="131"/>
        <v>1649.2963201000002</v>
      </c>
      <c r="N150" s="85">
        <f t="shared" ref="N150" ca="1" si="132">OFFSET(N152,0,-1)</f>
        <v>1773.1065096088773</v>
      </c>
    </row>
    <row r="151" spans="4:14" x14ac:dyDescent="0.3">
      <c r="D151" s="7" t="s">
        <v>164</v>
      </c>
      <c r="F151" s="85">
        <f>F152-F150</f>
        <v>647.20000000000005</v>
      </c>
      <c r="G151" s="85">
        <f ca="1">G152-G150</f>
        <v>319.29999999999995</v>
      </c>
      <c r="H151" s="85">
        <f t="shared" ref="H151:M151" ca="1" si="133">H152-H150</f>
        <v>480.90000000000009</v>
      </c>
      <c r="I151" s="85">
        <f t="shared" ca="1" si="133"/>
        <v>-123.80000000000018</v>
      </c>
      <c r="J151" s="85">
        <f t="shared" ca="1" si="133"/>
        <v>111.47498446500231</v>
      </c>
      <c r="K151" s="85">
        <f t="shared" ca="1" si="133"/>
        <v>114.21643857506365</v>
      </c>
      <c r="L151" s="85">
        <f t="shared" ca="1" si="133"/>
        <v>100.00489705993436</v>
      </c>
      <c r="M151" s="85">
        <f t="shared" ca="1" si="133"/>
        <v>123.8101895088771</v>
      </c>
      <c r="N151" s="85">
        <f t="shared" ref="N151" ca="1" si="134">N152-N150</f>
        <v>115.25192312457693</v>
      </c>
    </row>
    <row r="152" spans="4:14" x14ac:dyDescent="0.3">
      <c r="D152" s="95" t="s">
        <v>155</v>
      </c>
      <c r="F152" s="99">
        <f>F59</f>
        <v>647.20000000000005</v>
      </c>
      <c r="G152" s="99">
        <f>G59</f>
        <v>966.5</v>
      </c>
      <c r="H152" s="99">
        <f>H59</f>
        <v>1447.4</v>
      </c>
      <c r="I152" s="99">
        <f>I59</f>
        <v>1323.6</v>
      </c>
      <c r="J152" s="99">
        <f ca="1">ABS(J$18)/(365)*J153</f>
        <v>1435.0749844650022</v>
      </c>
      <c r="K152" s="99">
        <f ca="1">ABS(K$18)/(365)*K153</f>
        <v>1549.2914230400659</v>
      </c>
      <c r="L152" s="99">
        <f ca="1">ABS(L$18)/(365)*L153</f>
        <v>1649.2963201000002</v>
      </c>
      <c r="M152" s="99">
        <f ca="1">ABS(M$18)/(365)*M153</f>
        <v>1773.1065096088773</v>
      </c>
      <c r="N152" s="99">
        <f ca="1">ABS(N$18)/(365)*N153</f>
        <v>1888.3584327334543</v>
      </c>
    </row>
    <row r="153" spans="4:14" x14ac:dyDescent="0.3">
      <c r="D153" s="96" t="s">
        <v>167</v>
      </c>
      <c r="F153" s="428">
        <f ca="1">IFERROR(AVERAGE(F150,F152)/ABS(F$18)*(365),"NA")</f>
        <v>134.80255649395116</v>
      </c>
      <c r="G153" s="428">
        <f ca="1">IFERROR(AVERAGE(G150,G152)/ABS(G$18)*(365),"NA")</f>
        <v>121.49851479021412</v>
      </c>
      <c r="H153" s="428">
        <f ca="1">IFERROR(AVERAGE(H150,H152)/ABS(H$18)*(365),"NA")</f>
        <v>132.43649290524294</v>
      </c>
      <c r="I153" s="428">
        <f ca="1">IFERROR(AVERAGE(I150,I152)/ABS(I$18)*(365),"NA")</f>
        <v>139.29417435614928</v>
      </c>
      <c r="J153" s="102">
        <f ca="1">AVERAGE(F153:I153)</f>
        <v>132.00793463638936</v>
      </c>
      <c r="K153" s="102">
        <f t="shared" ref="K153" ca="1" si="135">AVERAGE(G153:J153)</f>
        <v>131.30927917199892</v>
      </c>
      <c r="L153" s="102">
        <v>130</v>
      </c>
      <c r="M153" s="102">
        <v>130</v>
      </c>
      <c r="N153" s="102">
        <v>130</v>
      </c>
    </row>
    <row r="154" spans="4:14" ht="6" customHeight="1" x14ac:dyDescent="0.3"/>
    <row r="155" spans="4:14" hidden="1" outlineLevel="1" x14ac:dyDescent="0.3">
      <c r="D155" s="22" t="s">
        <v>99</v>
      </c>
      <c r="F155" s="20"/>
      <c r="G155" s="20"/>
      <c r="H155" s="20"/>
      <c r="I155" s="20"/>
      <c r="J155" s="20"/>
      <c r="K155" s="20"/>
      <c r="L155" s="20"/>
      <c r="M155" s="20"/>
      <c r="N155" s="20"/>
    </row>
    <row r="156" spans="4:14" hidden="1" outlineLevel="1" x14ac:dyDescent="0.3">
      <c r="D156" s="7" t="s">
        <v>153</v>
      </c>
      <c r="G156" s="85">
        <f ca="1">OFFSET(G158,0,-1)</f>
        <v>0</v>
      </c>
      <c r="H156" s="85">
        <f t="shared" ref="H156:M156" ca="1" si="136">OFFSET(H158,0,-1)</f>
        <v>0</v>
      </c>
      <c r="I156" s="85">
        <f t="shared" ca="1" si="136"/>
        <v>0</v>
      </c>
      <c r="J156" s="85">
        <f t="shared" ca="1" si="136"/>
        <v>0</v>
      </c>
      <c r="K156" s="85">
        <f t="shared" ca="1" si="136"/>
        <v>0</v>
      </c>
      <c r="L156" s="85">
        <f t="shared" ca="1" si="136"/>
        <v>0</v>
      </c>
      <c r="M156" s="85">
        <f t="shared" ca="1" si="136"/>
        <v>0</v>
      </c>
      <c r="N156" s="85">
        <f t="shared" ref="N156" ca="1" si="137">OFFSET(N158,0,-1)</f>
        <v>0</v>
      </c>
    </row>
    <row r="157" spans="4:14" hidden="1" outlineLevel="1" x14ac:dyDescent="0.3">
      <c r="D157" s="7" t="s">
        <v>164</v>
      </c>
      <c r="F157" s="85">
        <f>F158-F156</f>
        <v>0</v>
      </c>
      <c r="G157" s="85">
        <f ca="1">G158-G156</f>
        <v>0</v>
      </c>
      <c r="H157" s="85">
        <f t="shared" ref="H157:M157" ca="1" si="138">H158-H156</f>
        <v>0</v>
      </c>
      <c r="I157" s="85">
        <f t="shared" ca="1" si="138"/>
        <v>0</v>
      </c>
      <c r="J157" s="85">
        <f t="shared" ca="1" si="138"/>
        <v>0</v>
      </c>
      <c r="K157" s="85">
        <f t="shared" ca="1" si="138"/>
        <v>0</v>
      </c>
      <c r="L157" s="85">
        <f t="shared" ca="1" si="138"/>
        <v>0</v>
      </c>
      <c r="M157" s="85">
        <f t="shared" ca="1" si="138"/>
        <v>0</v>
      </c>
      <c r="N157" s="85">
        <f t="shared" ref="N157" ca="1" si="139">N158-N156</f>
        <v>0</v>
      </c>
    </row>
    <row r="158" spans="4:14" hidden="1" outlineLevel="1" x14ac:dyDescent="0.3">
      <c r="D158" s="95" t="s">
        <v>155</v>
      </c>
      <c r="F158" s="99">
        <f>F60</f>
        <v>0</v>
      </c>
      <c r="G158" s="99">
        <f>G60</f>
        <v>0</v>
      </c>
      <c r="H158" s="99">
        <f>H60</f>
        <v>0</v>
      </c>
      <c r="I158" s="99">
        <f>I60</f>
        <v>0</v>
      </c>
      <c r="J158" s="99">
        <f ca="1">ABS(J$12)*J159</f>
        <v>0</v>
      </c>
      <c r="K158" s="99">
        <f ca="1">ABS(K$12)*K159</f>
        <v>0</v>
      </c>
      <c r="L158" s="99">
        <f ca="1">ABS(L$12)*L159</f>
        <v>0</v>
      </c>
      <c r="M158" s="99">
        <f ca="1">ABS(M$12)*M159</f>
        <v>0</v>
      </c>
      <c r="N158" s="99">
        <f ca="1">ABS(N$12)*N159</f>
        <v>0</v>
      </c>
    </row>
    <row r="159" spans="4:14" hidden="1" outlineLevel="1" x14ac:dyDescent="0.3">
      <c r="D159" s="96" t="s">
        <v>168</v>
      </c>
      <c r="F159" s="97">
        <f ca="1">IFERROR(AVERAGE(F156,F158)/ABS(F$12),"NA")</f>
        <v>0</v>
      </c>
      <c r="G159" s="97">
        <f ca="1">IFERROR(AVERAGE(G156,G158)/ABS(G$12),"NA")</f>
        <v>0</v>
      </c>
      <c r="H159" s="97">
        <f ca="1">IFERROR(AVERAGE(H156,H158)/ABS(H$12),"NA")</f>
        <v>0</v>
      </c>
      <c r="I159" s="97">
        <f ca="1">IFERROR(AVERAGE(I156,I158)/ABS(I$12),"NA")</f>
        <v>0</v>
      </c>
      <c r="J159" s="101"/>
      <c r="K159" s="101"/>
      <c r="L159" s="101"/>
      <c r="M159" s="101"/>
      <c r="N159" s="101"/>
    </row>
    <row r="160" spans="4:14" ht="6" hidden="1" customHeight="1" outlineLevel="1" x14ac:dyDescent="0.3"/>
    <row r="161" spans="4:14" collapsed="1" x14ac:dyDescent="0.3">
      <c r="D161" s="22" t="s">
        <v>100</v>
      </c>
      <c r="F161" s="20"/>
      <c r="G161" s="20"/>
      <c r="H161" s="20"/>
      <c r="I161" s="20"/>
      <c r="J161" s="20"/>
      <c r="K161" s="20"/>
      <c r="L161" s="20"/>
      <c r="M161" s="20"/>
      <c r="N161" s="20"/>
    </row>
    <row r="162" spans="4:14" x14ac:dyDescent="0.3">
      <c r="D162" s="7" t="s">
        <v>153</v>
      </c>
      <c r="G162" s="85">
        <f ca="1">OFFSET(G164,0,-1)</f>
        <v>264.2</v>
      </c>
      <c r="H162" s="85">
        <f t="shared" ref="H162:M162" ca="1" si="140">OFFSET(H164,0,-1)</f>
        <v>311.5</v>
      </c>
      <c r="I162" s="85">
        <f t="shared" ca="1" si="140"/>
        <v>424.3</v>
      </c>
      <c r="J162" s="85">
        <f t="shared" ca="1" si="140"/>
        <v>368.2</v>
      </c>
      <c r="K162" s="85">
        <f t="shared" ca="1" si="140"/>
        <v>509.43631060940072</v>
      </c>
      <c r="L162" s="85">
        <f t="shared" ca="1" si="140"/>
        <v>560.37994167034083</v>
      </c>
      <c r="M162" s="85">
        <f t="shared" ca="1" si="140"/>
        <v>610.81413642067162</v>
      </c>
      <c r="N162" s="85">
        <f t="shared" ref="N162" ca="1" si="141">OFFSET(N164,0,-1)</f>
        <v>665.78740869853209</v>
      </c>
    </row>
    <row r="163" spans="4:14" x14ac:dyDescent="0.3">
      <c r="D163" s="7" t="s">
        <v>164</v>
      </c>
      <c r="F163" s="85">
        <f>F164-F162</f>
        <v>264.2</v>
      </c>
      <c r="G163" s="85">
        <f ca="1">G164-G162</f>
        <v>47.300000000000011</v>
      </c>
      <c r="H163" s="85">
        <f t="shared" ref="H163:M163" ca="1" si="142">H164-H162</f>
        <v>112.80000000000001</v>
      </c>
      <c r="I163" s="85">
        <f t="shared" ca="1" si="142"/>
        <v>-56.100000000000023</v>
      </c>
      <c r="J163" s="85">
        <f t="shared" ca="1" si="142"/>
        <v>141.23631060940073</v>
      </c>
      <c r="K163" s="85">
        <f t="shared" ca="1" si="142"/>
        <v>50.943631060940106</v>
      </c>
      <c r="L163" s="85">
        <f t="shared" ca="1" si="142"/>
        <v>50.434194750330789</v>
      </c>
      <c r="M163" s="85">
        <f t="shared" ca="1" si="142"/>
        <v>54.973272277860474</v>
      </c>
      <c r="N163" s="85">
        <f t="shared" ref="N163" ca="1" si="143">N164-N162</f>
        <v>53.262992695882531</v>
      </c>
    </row>
    <row r="164" spans="4:14" x14ac:dyDescent="0.3">
      <c r="D164" s="95" t="s">
        <v>155</v>
      </c>
      <c r="F164" s="99">
        <f>F61</f>
        <v>264.2</v>
      </c>
      <c r="G164" s="99">
        <f>G61</f>
        <v>311.5</v>
      </c>
      <c r="H164" s="99">
        <f>H61</f>
        <v>424.3</v>
      </c>
      <c r="I164" s="99">
        <f>I61</f>
        <v>368.2</v>
      </c>
      <c r="J164" s="99">
        <f ca="1">ABS(J$12)*J165</f>
        <v>509.43631060940072</v>
      </c>
      <c r="K164" s="99">
        <f ca="1">ABS(K$12)*K165</f>
        <v>560.37994167034083</v>
      </c>
      <c r="L164" s="99">
        <f ca="1">ABS(L$12)*L165</f>
        <v>610.81413642067162</v>
      </c>
      <c r="M164" s="99">
        <f ca="1">ABS(M$12)*M165</f>
        <v>665.78740869853209</v>
      </c>
      <c r="N164" s="99">
        <f ca="1">ABS(N$12)*N165</f>
        <v>719.05040139441462</v>
      </c>
    </row>
    <row r="165" spans="4:14" x14ac:dyDescent="0.3">
      <c r="D165" s="96" t="s">
        <v>168</v>
      </c>
      <c r="F165" s="97">
        <f ca="1">IFERROR(AVERAGE(F162,F164)/ABS(F$12),"NA")</f>
        <v>6.001953701810582E-2</v>
      </c>
      <c r="G165" s="97">
        <f ca="1">IFERROR(AVERAGE(G162,G164)/ABS(G$12),"NA")</f>
        <v>4.6007416168526036E-2</v>
      </c>
      <c r="H165" s="97">
        <f ca="1">IFERROR(AVERAGE(H162,H164)/ABS(H$12),"NA")</f>
        <v>4.5360951852536829E-2</v>
      </c>
      <c r="I165" s="97">
        <f ca="1">IFERROR(AVERAGE(I162,I164)/ABS(I$12),"NA")</f>
        <v>4.119322611832462E-2</v>
      </c>
      <c r="J165" s="101">
        <f ca="1">AVERAGE(F165:I165)</f>
        <v>4.8145282789373328E-2</v>
      </c>
      <c r="K165" s="101">
        <f ca="1">J165</f>
        <v>4.8145282789373328E-2</v>
      </c>
      <c r="L165" s="101">
        <f t="shared" ref="L165:N165" ca="1" si="144">K165</f>
        <v>4.8145282789373328E-2</v>
      </c>
      <c r="M165" s="101">
        <f t="shared" ca="1" si="144"/>
        <v>4.8145282789373328E-2</v>
      </c>
      <c r="N165" s="101">
        <f t="shared" ca="1" si="144"/>
        <v>4.8145282789373328E-2</v>
      </c>
    </row>
    <row r="166" spans="4:14" ht="6" customHeight="1" x14ac:dyDescent="0.3"/>
    <row r="167" spans="4:14" x14ac:dyDescent="0.3">
      <c r="D167" s="22" t="s">
        <v>114</v>
      </c>
      <c r="F167" s="20"/>
      <c r="G167" s="20"/>
      <c r="H167" s="20"/>
      <c r="I167" s="20"/>
      <c r="J167" s="20"/>
      <c r="K167" s="20"/>
      <c r="L167" s="20"/>
      <c r="M167" s="20"/>
      <c r="N167" s="20"/>
    </row>
    <row r="168" spans="4:14" x14ac:dyDescent="0.3">
      <c r="D168" s="7" t="s">
        <v>153</v>
      </c>
      <c r="G168" s="85">
        <f ca="1">OFFSET(G170,0,-1)</f>
        <v>172.2</v>
      </c>
      <c r="H168" s="85">
        <f t="shared" ref="H168:M168" ca="1" si="145">OFFSET(H170,0,-1)</f>
        <v>289.7</v>
      </c>
      <c r="I168" s="85">
        <f t="shared" ca="1" si="145"/>
        <v>172.7</v>
      </c>
      <c r="J168" s="85">
        <f t="shared" ca="1" si="145"/>
        <v>348.4</v>
      </c>
      <c r="K168" s="85">
        <f t="shared" ca="1" si="145"/>
        <v>332.13533289751246</v>
      </c>
      <c r="L168" s="85">
        <f t="shared" ca="1" si="145"/>
        <v>344.80063602540821</v>
      </c>
      <c r="M168" s="85">
        <f t="shared" ca="1" si="145"/>
        <v>353.13828625272157</v>
      </c>
      <c r="N168" s="85">
        <f t="shared" ref="N168" ca="1" si="146">OFFSET(N170,0,-1)</f>
        <v>388.05550526329176</v>
      </c>
    </row>
    <row r="169" spans="4:14" x14ac:dyDescent="0.3">
      <c r="D169" s="7" t="s">
        <v>164</v>
      </c>
      <c r="F169" s="85">
        <f>F170-F168</f>
        <v>172.2</v>
      </c>
      <c r="G169" s="85">
        <f ca="1">G170-G168</f>
        <v>117.5</v>
      </c>
      <c r="H169" s="85">
        <f t="shared" ref="H169:M169" ca="1" si="147">H170-H168</f>
        <v>-117</v>
      </c>
      <c r="I169" s="85">
        <f t="shared" ca="1" si="147"/>
        <v>175.7</v>
      </c>
      <c r="J169" s="85">
        <f t="shared" ca="1" si="147"/>
        <v>-16.264667102487522</v>
      </c>
      <c r="K169" s="85">
        <f t="shared" ca="1" si="147"/>
        <v>12.665303127895754</v>
      </c>
      <c r="L169" s="85">
        <f t="shared" ca="1" si="147"/>
        <v>8.337650227313361</v>
      </c>
      <c r="M169" s="85">
        <f t="shared" ca="1" si="147"/>
        <v>34.917219010570193</v>
      </c>
      <c r="N169" s="85">
        <f t="shared" ref="N169" ca="1" si="148">N170-N168</f>
        <v>33.417527621661577</v>
      </c>
    </row>
    <row r="170" spans="4:14" x14ac:dyDescent="0.3">
      <c r="D170" s="95" t="s">
        <v>155</v>
      </c>
      <c r="F170" s="99">
        <f>F75</f>
        <v>172.2</v>
      </c>
      <c r="G170" s="99">
        <f>G75</f>
        <v>289.7</v>
      </c>
      <c r="H170" s="99">
        <f>H75</f>
        <v>172.7</v>
      </c>
      <c r="I170" s="99">
        <f>I75</f>
        <v>348.4</v>
      </c>
      <c r="J170" s="99">
        <f ca="1">ABS(J$18)/(365)*J171</f>
        <v>332.13533289751246</v>
      </c>
      <c r="K170" s="99">
        <f ca="1">ABS(K$18)/(365)*K171</f>
        <v>344.80063602540821</v>
      </c>
      <c r="L170" s="99">
        <f ca="1">ABS(L$18)/(365)*L171</f>
        <v>353.13828625272157</v>
      </c>
      <c r="M170" s="99">
        <f ca="1">ABS(M$18)/(365)*M171</f>
        <v>388.05550526329176</v>
      </c>
      <c r="N170" s="99">
        <f ca="1">ABS(N$18)/(365)*N171</f>
        <v>421.47303288495334</v>
      </c>
    </row>
    <row r="171" spans="4:14" x14ac:dyDescent="0.3">
      <c r="D171" s="96" t="s">
        <v>169</v>
      </c>
      <c r="F171" s="428">
        <f ca="1">IFERROR(AVERAGE(F168,F170)/ABS(F$18)*(365),"NA")</f>
        <v>35.866811230312706</v>
      </c>
      <c r="G171" s="428">
        <f ca="1">IFERROR(AVERAGE(G168,G170)/ABS(G$18)*(365),"NA")</f>
        <v>34.777321671686124</v>
      </c>
      <c r="H171" s="428">
        <f ca="1">IFERROR(AVERAGE(H168,H170)/ABS(H$18)*(365),"NA")</f>
        <v>25.369167869167871</v>
      </c>
      <c r="I171" s="428">
        <f ca="1">IFERROR(AVERAGE(I168,I170)/ABS(I$18)*(365),"NA")</f>
        <v>26.19494559977964</v>
      </c>
      <c r="J171" s="102">
        <f ca="1">AVERAGE(F171:I171)</f>
        <v>30.552061592736585</v>
      </c>
      <c r="K171" s="102">
        <f t="shared" ref="K171:N171" ca="1" si="149">AVERAGE(G171:J171)</f>
        <v>29.223374183342557</v>
      </c>
      <c r="L171" s="102">
        <f t="shared" ca="1" si="149"/>
        <v>27.834887311256661</v>
      </c>
      <c r="M171" s="102">
        <f t="shared" ca="1" si="149"/>
        <v>28.451317171778861</v>
      </c>
      <c r="N171" s="102">
        <f t="shared" ca="1" si="149"/>
        <v>29.015410064778663</v>
      </c>
    </row>
    <row r="172" spans="4:14" ht="6" customHeight="1" x14ac:dyDescent="0.3"/>
    <row r="173" spans="4:14" x14ac:dyDescent="0.3">
      <c r="D173" s="22" t="s">
        <v>115</v>
      </c>
      <c r="F173" s="20"/>
      <c r="G173" s="20"/>
      <c r="H173" s="20"/>
      <c r="I173" s="20"/>
      <c r="J173" s="20"/>
      <c r="K173" s="20"/>
      <c r="L173" s="20"/>
      <c r="M173" s="20"/>
      <c r="N173" s="20"/>
    </row>
    <row r="174" spans="4:14" x14ac:dyDescent="0.3">
      <c r="D174" s="7" t="s">
        <v>153</v>
      </c>
      <c r="G174" s="85">
        <f ca="1">OFFSET(G176,0,-1)</f>
        <v>357</v>
      </c>
      <c r="H174" s="85">
        <f t="shared" ref="H174:M174" ca="1" si="150">OFFSET(H176,0,-1)</f>
        <v>535.70000000000005</v>
      </c>
      <c r="I174" s="85">
        <f t="shared" ca="1" si="150"/>
        <v>647.4</v>
      </c>
      <c r="J174" s="85">
        <f t="shared" ca="1" si="150"/>
        <v>674.7</v>
      </c>
      <c r="K174" s="85">
        <f t="shared" ca="1" si="150"/>
        <v>741.79374149154967</v>
      </c>
      <c r="L174" s="85">
        <f t="shared" ca="1" si="150"/>
        <v>805.09347409882866</v>
      </c>
      <c r="M174" s="85">
        <f t="shared" ca="1" si="150"/>
        <v>865.69307748707831</v>
      </c>
      <c r="N174" s="85">
        <f t="shared" ref="N174" ca="1" si="151">OFFSET(N176,0,-1)</f>
        <v>930.6793523450126</v>
      </c>
    </row>
    <row r="175" spans="4:14" x14ac:dyDescent="0.3">
      <c r="D175" s="7" t="s">
        <v>164</v>
      </c>
      <c r="F175" s="85">
        <f>F176-F174</f>
        <v>357</v>
      </c>
      <c r="G175" s="85">
        <f ca="1">G176-G174</f>
        <v>178.70000000000005</v>
      </c>
      <c r="H175" s="85">
        <f t="shared" ref="H175:M175" ca="1" si="152">H176-H174</f>
        <v>111.69999999999993</v>
      </c>
      <c r="I175" s="85">
        <f t="shared" ca="1" si="152"/>
        <v>27.300000000000068</v>
      </c>
      <c r="J175" s="85">
        <f t="shared" ca="1" si="152"/>
        <v>67.093741491549622</v>
      </c>
      <c r="K175" s="85">
        <f t="shared" ca="1" si="152"/>
        <v>63.299732607278997</v>
      </c>
      <c r="L175" s="85">
        <f t="shared" ca="1" si="152"/>
        <v>60.599603388249648</v>
      </c>
      <c r="M175" s="85">
        <f t="shared" ca="1" si="152"/>
        <v>64.986274857934291</v>
      </c>
      <c r="N175" s="85">
        <f t="shared" ref="N175" ca="1" si="153">N176-N174</f>
        <v>60.494157902425741</v>
      </c>
    </row>
    <row r="176" spans="4:14" x14ac:dyDescent="0.3">
      <c r="D176" s="95" t="s">
        <v>155</v>
      </c>
      <c r="F176" s="99">
        <f>F76</f>
        <v>357</v>
      </c>
      <c r="G176" s="99">
        <f>G76</f>
        <v>535.70000000000005</v>
      </c>
      <c r="H176" s="99">
        <f>H76</f>
        <v>647.4</v>
      </c>
      <c r="I176" s="99">
        <f>I76</f>
        <v>674.7</v>
      </c>
      <c r="J176" s="99">
        <f ca="1">ABS(J$18)/(365)*J177</f>
        <v>741.79374149154967</v>
      </c>
      <c r="K176" s="99">
        <f ca="1">ABS(K$18)/(365)*K177</f>
        <v>805.09347409882866</v>
      </c>
      <c r="L176" s="99">
        <f ca="1">ABS(L$18)/(365)*L177</f>
        <v>865.69307748707831</v>
      </c>
      <c r="M176" s="99">
        <f ca="1">ABS(M$18)/(365)*M177</f>
        <v>930.6793523450126</v>
      </c>
      <c r="N176" s="99">
        <f ca="1">ABS(N$18)/(365)*N177</f>
        <v>991.17351024743834</v>
      </c>
    </row>
    <row r="177" spans="1:27" x14ac:dyDescent="0.3">
      <c r="D177" s="96" t="s">
        <v>170</v>
      </c>
      <c r="F177" s="428">
        <f ca="1">IFERROR(AVERAGE(F174,F176)/ABS(F$18)*(365),"NA")</f>
        <v>74.358023282355617</v>
      </c>
      <c r="G177" s="428">
        <f ca="1">IFERROR(AVERAGE(G174,G176)/ABS(G$18)*(365),"NA")</f>
        <v>67.213065720533024</v>
      </c>
      <c r="H177" s="428">
        <f ca="1">IFERROR(AVERAGE(H174,H176)/ABS(H$18)*(365),"NA")</f>
        <v>64.909737253487251</v>
      </c>
      <c r="I177" s="428">
        <f ca="1">IFERROR(AVERAGE(I174,I176)/ABS(I$18)*(365),"NA")</f>
        <v>66.460060597713806</v>
      </c>
      <c r="J177" s="102">
        <f ca="1">AVERAGE($F$177:$I$177)</f>
        <v>68.235221713522435</v>
      </c>
      <c r="K177" s="102">
        <f t="shared" ref="K177:N177" ca="1" si="154">AVERAGE($F$177:$I$177)</f>
        <v>68.235221713522435</v>
      </c>
      <c r="L177" s="102">
        <f t="shared" ca="1" si="154"/>
        <v>68.235221713522435</v>
      </c>
      <c r="M177" s="102">
        <f t="shared" ca="1" si="154"/>
        <v>68.235221713522435</v>
      </c>
      <c r="N177" s="102">
        <f t="shared" ca="1" si="154"/>
        <v>68.235221713522435</v>
      </c>
    </row>
    <row r="178" spans="1:27" ht="6" customHeight="1" x14ac:dyDescent="0.3"/>
    <row r="179" spans="1:27" x14ac:dyDescent="0.3">
      <c r="D179" s="22" t="s">
        <v>120</v>
      </c>
      <c r="F179" s="20"/>
      <c r="G179" s="20"/>
      <c r="H179" s="20"/>
      <c r="I179" s="20"/>
      <c r="J179" s="20"/>
      <c r="K179" s="20"/>
      <c r="L179" s="20"/>
      <c r="M179" s="20"/>
      <c r="N179" s="20"/>
    </row>
    <row r="180" spans="1:27" x14ac:dyDescent="0.3">
      <c r="D180" s="7" t="s">
        <v>153</v>
      </c>
      <c r="G180" s="85">
        <f ca="1">OFFSET(G182,0,-1)</f>
        <v>179.4</v>
      </c>
      <c r="H180" s="85">
        <f t="shared" ref="H180:M180" ca="1" si="155">OFFSET(H182,0,-1)</f>
        <v>257</v>
      </c>
      <c r="I180" s="85">
        <f t="shared" ca="1" si="155"/>
        <v>289.89999999999998</v>
      </c>
      <c r="J180" s="85">
        <f t="shared" ca="1" si="155"/>
        <v>346.8</v>
      </c>
      <c r="K180" s="85">
        <f t="shared" ca="1" si="155"/>
        <v>359.38592581996249</v>
      </c>
      <c r="L180" s="85">
        <f t="shared" ca="1" si="155"/>
        <v>390.053524823266</v>
      </c>
      <c r="M180" s="85">
        <f t="shared" ca="1" si="155"/>
        <v>419.41295905658484</v>
      </c>
      <c r="N180" s="85">
        <f t="shared" ref="N180" ca="1" si="156">OFFSET(N182,0,-1)</f>
        <v>450.89765790083266</v>
      </c>
    </row>
    <row r="181" spans="1:27" x14ac:dyDescent="0.3">
      <c r="D181" s="7" t="s">
        <v>164</v>
      </c>
      <c r="F181" s="85">
        <f>F182-F180</f>
        <v>179.4</v>
      </c>
      <c r="G181" s="85">
        <f ca="1">G182-G180</f>
        <v>77.599999999999994</v>
      </c>
      <c r="H181" s="85">
        <f t="shared" ref="H181:M181" ca="1" si="157">H182-H180</f>
        <v>32.899999999999977</v>
      </c>
      <c r="I181" s="85">
        <f t="shared" ca="1" si="157"/>
        <v>56.900000000000034</v>
      </c>
      <c r="J181" s="85">
        <f t="shared" ca="1" si="157"/>
        <v>12.585925819962483</v>
      </c>
      <c r="K181" s="85">
        <f t="shared" ca="1" si="157"/>
        <v>30.667599003303508</v>
      </c>
      <c r="L181" s="85">
        <f t="shared" ca="1" si="157"/>
        <v>29.359434233318837</v>
      </c>
      <c r="M181" s="85">
        <f t="shared" ca="1" si="157"/>
        <v>31.484698844247816</v>
      </c>
      <c r="N181" s="85">
        <f t="shared" ref="N181" ca="1" si="158">N182-N180</f>
        <v>29.308347763554082</v>
      </c>
    </row>
    <row r="182" spans="1:27" x14ac:dyDescent="0.3">
      <c r="D182" s="95" t="s">
        <v>155</v>
      </c>
      <c r="F182" s="99">
        <f>F80</f>
        <v>179.4</v>
      </c>
      <c r="G182" s="99">
        <f>G80</f>
        <v>257</v>
      </c>
      <c r="H182" s="99">
        <f>H80</f>
        <v>289.89999999999998</v>
      </c>
      <c r="I182" s="99">
        <f>I80</f>
        <v>346.8</v>
      </c>
      <c r="J182" s="99">
        <f ca="1">ABS(J$18)/(365)*J183</f>
        <v>359.38592581996249</v>
      </c>
      <c r="K182" s="99">
        <f ca="1">ABS(K$18)/(365)*K183</f>
        <v>390.053524823266</v>
      </c>
      <c r="L182" s="99">
        <f ca="1">ABS(L$18)/(365)*L183</f>
        <v>419.41295905658484</v>
      </c>
      <c r="M182" s="99">
        <f ca="1">ABS(M$18)/(365)*M183</f>
        <v>450.89765790083266</v>
      </c>
      <c r="N182" s="99">
        <f ca="1">ABS(N$18)/(365)*N183</f>
        <v>480.20600566438674</v>
      </c>
    </row>
    <row r="183" spans="1:27" x14ac:dyDescent="0.3">
      <c r="D183" s="96" t="s">
        <v>171</v>
      </c>
      <c r="F183" s="428">
        <f ca="1">IFERROR(AVERAGE(F180,F182)/ABS(F$18)*(365),"NA")</f>
        <v>37.366468842729972</v>
      </c>
      <c r="G183" s="428">
        <f ca="1">IFERROR(AVERAGE(G180,G182)/ABS(G$18)*(365),"NA")</f>
        <v>32.857378604727913</v>
      </c>
      <c r="H183" s="428">
        <f ca="1">IFERROR(AVERAGE(H180,H182)/ABS(H$18)*(365),"NA")</f>
        <v>30.005185786435788</v>
      </c>
      <c r="I183" s="428">
        <f ca="1">IFERROR(AVERAGE(I180,I182)/ABS(I$18)*(365),"NA")</f>
        <v>32.005990910342931</v>
      </c>
      <c r="J183" s="102">
        <f ca="1">AVERAGE($F$183:$I$183)</f>
        <v>33.058756036059151</v>
      </c>
      <c r="K183" s="102">
        <f t="shared" ref="K183:N183" ca="1" si="159">AVERAGE($F$183:$I$183)</f>
        <v>33.058756036059151</v>
      </c>
      <c r="L183" s="102">
        <f t="shared" ca="1" si="159"/>
        <v>33.058756036059151</v>
      </c>
      <c r="M183" s="102">
        <f t="shared" ca="1" si="159"/>
        <v>33.058756036059151</v>
      </c>
      <c r="N183" s="102">
        <f t="shared" ca="1" si="159"/>
        <v>33.058756036059151</v>
      </c>
    </row>
    <row r="184" spans="1:27" ht="6" customHeight="1" x14ac:dyDescent="0.3"/>
    <row r="185" spans="1:27" x14ac:dyDescent="0.3">
      <c r="A185" s="94"/>
      <c r="D185" s="10" t="s">
        <v>172</v>
      </c>
      <c r="F185" s="11"/>
      <c r="G185" s="11"/>
      <c r="H185" s="11"/>
      <c r="I185" s="11"/>
      <c r="J185" s="11"/>
      <c r="K185" s="11"/>
      <c r="L185" s="11"/>
      <c r="M185" s="11"/>
      <c r="N185" s="11"/>
    </row>
    <row r="186" spans="1:27" x14ac:dyDescent="0.3">
      <c r="D186" s="22" t="s">
        <v>173</v>
      </c>
      <c r="F186" s="20"/>
      <c r="G186" s="20"/>
      <c r="H186" s="20"/>
      <c r="I186" s="20"/>
      <c r="J186" s="20"/>
      <c r="K186" s="20"/>
      <c r="L186" s="20"/>
      <c r="M186" s="20"/>
      <c r="N186" s="20"/>
    </row>
    <row r="187" spans="1:27" x14ac:dyDescent="0.3">
      <c r="D187" s="7" t="s">
        <v>153</v>
      </c>
      <c r="G187" s="85">
        <f ca="1">OFFSET(G190,0,-1)</f>
        <v>2171.1</v>
      </c>
      <c r="H187" s="85">
        <f t="shared" ref="H187:M187" ca="1" si="160">OFFSET(H190,0,-1)</f>
        <v>2560.4</v>
      </c>
      <c r="I187" s="85">
        <f t="shared" ca="1" si="160"/>
        <v>3226.3</v>
      </c>
      <c r="J187" s="85">
        <f t="shared" ca="1" si="160"/>
        <v>4028.8</v>
      </c>
      <c r="K187" s="85">
        <f t="shared" ca="1" si="160"/>
        <v>4518.3033875535348</v>
      </c>
      <c r="L187" s="85">
        <f t="shared" ca="1" si="160"/>
        <v>4942.8397018626383</v>
      </c>
      <c r="M187" s="85">
        <f t="shared" ca="1" si="160"/>
        <v>5229.6213528859371</v>
      </c>
      <c r="N187" s="85">
        <f t="shared" ref="N187" ca="1" si="161">OFFSET(N190,0,-1)</f>
        <v>5301.7907143607599</v>
      </c>
    </row>
    <row r="188" spans="1:27" x14ac:dyDescent="0.3">
      <c r="D188" s="7" t="s">
        <v>174</v>
      </c>
      <c r="F188" s="85"/>
      <c r="G188" s="85">
        <f ca="1">G190-G187-G189</f>
        <v>613.50000000000023</v>
      </c>
      <c r="H188" s="85">
        <f t="shared" ref="H188:I188" ca="1" si="162">H190-H187-H189</f>
        <v>957.7</v>
      </c>
      <c r="I188" s="85">
        <f t="shared" ca="1" si="162"/>
        <v>1181.9000000000001</v>
      </c>
      <c r="J188" s="481">
        <f ca="1">J191*J12</f>
        <v>899.40454999999997</v>
      </c>
      <c r="K188" s="481">
        <f ca="1">K191*K12</f>
        <v>872.95147500000007</v>
      </c>
      <c r="L188" s="481">
        <f ca="1">L191*L12</f>
        <v>761.2136862000001</v>
      </c>
      <c r="M188" s="481">
        <f ca="1">M191*M12</f>
        <v>553.14861197200014</v>
      </c>
      <c r="N188" s="481">
        <f ca="1">N191*N12</f>
        <v>522.72543831354017</v>
      </c>
    </row>
    <row r="189" spans="1:27" x14ac:dyDescent="0.3">
      <c r="D189" s="7" t="s">
        <v>68</v>
      </c>
      <c r="F189" s="85"/>
      <c r="G189" s="85">
        <f>-G27</f>
        <v>-224.2</v>
      </c>
      <c r="H189" s="85">
        <f>-H27</f>
        <v>-291.8</v>
      </c>
      <c r="I189" s="85">
        <f>-I27</f>
        <v>-379.4</v>
      </c>
      <c r="J189" s="85">
        <f ca="1">(J187+J188)*-J192</f>
        <v>-409.901162446466</v>
      </c>
      <c r="K189" s="85">
        <f t="shared" ref="K189:N189" ca="1" si="163">(K187+K188)*-K192</f>
        <v>-448.41516069089624</v>
      </c>
      <c r="L189" s="85">
        <f t="shared" ca="1" si="163"/>
        <v>-474.43203517670105</v>
      </c>
      <c r="M189" s="85">
        <f t="shared" ca="1" si="163"/>
        <v>-480.97925049717708</v>
      </c>
      <c r="N189" s="85">
        <f t="shared" ca="1" si="163"/>
        <v>-484.45147060087299</v>
      </c>
      <c r="W189" s="85"/>
      <c r="X189" s="85"/>
      <c r="Y189" s="85"/>
      <c r="Z189" s="85"/>
      <c r="AA189" s="85"/>
    </row>
    <row r="190" spans="1:27" x14ac:dyDescent="0.3">
      <c r="D190" s="95" t="s">
        <v>155</v>
      </c>
      <c r="F190" s="99">
        <v>2171.1</v>
      </c>
      <c r="G190" s="99">
        <v>2560.4</v>
      </c>
      <c r="H190" s="99">
        <v>3226.3</v>
      </c>
      <c r="I190" s="99">
        <v>4028.8</v>
      </c>
      <c r="J190" s="99">
        <f t="shared" ref="J190:M190" ca="1" si="164">SUBTOTAL(9,J187:J189)</f>
        <v>4518.3033875535348</v>
      </c>
      <c r="K190" s="99">
        <f t="shared" ca="1" si="164"/>
        <v>4942.8397018626383</v>
      </c>
      <c r="L190" s="99">
        <f t="shared" ca="1" si="164"/>
        <v>5229.6213528859371</v>
      </c>
      <c r="M190" s="99">
        <f t="shared" ca="1" si="164"/>
        <v>5301.7907143607599</v>
      </c>
      <c r="N190" s="99">
        <f t="shared" ref="N190" ca="1" si="165">SUBTOTAL(9,N187:N189)</f>
        <v>5340.0646820734273</v>
      </c>
    </row>
    <row r="191" spans="1:27" x14ac:dyDescent="0.3">
      <c r="D191" s="96" t="s">
        <v>175</v>
      </c>
      <c r="F191" s="97">
        <f ca="1">IFERROR(F188/ABS(F$12),"NA")</f>
        <v>0</v>
      </c>
      <c r="G191" s="97">
        <f ca="1">IFERROR(G188/ABS(G$12),"NA")</f>
        <v>9.8056452386280121E-2</v>
      </c>
      <c r="H191" s="97">
        <f ca="1">IFERROR(H188/ABS(H$12),"NA")</f>
        <v>0.11808149929104249</v>
      </c>
      <c r="I191" s="97">
        <f ca="1">IFERROR(I188/ABS(I$12),"NA")</f>
        <v>0.1228675683261776</v>
      </c>
      <c r="J191" s="100">
        <v>8.5000000000000006E-2</v>
      </c>
      <c r="K191" s="100">
        <v>7.4999999999999997E-2</v>
      </c>
      <c r="L191" s="100">
        <v>0.06</v>
      </c>
      <c r="M191" s="100">
        <v>0.04</v>
      </c>
      <c r="N191" s="100">
        <v>3.5000000000000003E-2</v>
      </c>
    </row>
    <row r="192" spans="1:27" x14ac:dyDescent="0.3">
      <c r="D192" s="96" t="s">
        <v>176</v>
      </c>
      <c r="F192" s="97" t="str">
        <f>IFERROR(ABS(F189/(F188+F187)),"NA")</f>
        <v>NA</v>
      </c>
      <c r="G192" s="97">
        <f t="shared" ref="G192:I192" ca="1" si="166">IFERROR(ABS(G189/(G188+G187)),"NA")</f>
        <v>8.0514256984845212E-2</v>
      </c>
      <c r="H192" s="97">
        <f t="shared" ca="1" si="166"/>
        <v>8.2942497370739887E-2</v>
      </c>
      <c r="I192" s="97">
        <f t="shared" ca="1" si="166"/>
        <v>8.6066875368631168E-2</v>
      </c>
      <c r="J192" s="100">
        <f ca="1">AVERAGE($G$192:$I$192)</f>
        <v>8.3174543241405427E-2</v>
      </c>
      <c r="K192" s="100">
        <f t="shared" ref="K192:N192" ca="1" si="167">AVERAGE($G$192:$I$192)</f>
        <v>8.3174543241405427E-2</v>
      </c>
      <c r="L192" s="100">
        <f t="shared" ca="1" si="167"/>
        <v>8.3174543241405427E-2</v>
      </c>
      <c r="M192" s="100">
        <f t="shared" ca="1" si="167"/>
        <v>8.3174543241405427E-2</v>
      </c>
      <c r="N192" s="100">
        <f t="shared" ca="1" si="167"/>
        <v>8.3174543241405427E-2</v>
      </c>
    </row>
    <row r="193" spans="1:14" x14ac:dyDescent="0.3">
      <c r="D193" s="473"/>
      <c r="E193" s="474"/>
      <c r="F193" s="475"/>
      <c r="G193" s="475"/>
      <c r="H193" s="475"/>
      <c r="I193" s="475"/>
      <c r="J193" s="476"/>
      <c r="K193" s="476"/>
      <c r="L193" s="476"/>
      <c r="M193" s="476"/>
      <c r="N193" s="476"/>
    </row>
    <row r="194" spans="1:14" x14ac:dyDescent="0.3">
      <c r="A194" s="94"/>
      <c r="D194" s="22" t="s">
        <v>177</v>
      </c>
      <c r="F194" s="20"/>
      <c r="G194" s="20"/>
      <c r="H194" s="20"/>
      <c r="I194" s="20"/>
      <c r="J194" s="20"/>
      <c r="K194" s="20"/>
      <c r="L194" s="20"/>
      <c r="M194" s="20"/>
      <c r="N194" s="20"/>
    </row>
    <row r="195" spans="1:14" x14ac:dyDescent="0.3">
      <c r="D195" s="7" t="s">
        <v>153</v>
      </c>
      <c r="F195" s="487"/>
      <c r="G195" s="487">
        <f ca="1">OFFSET(G198,0,-1)</f>
        <v>0</v>
      </c>
      <c r="H195" s="487">
        <f t="shared" ref="H195:N195" ca="1" si="168">OFFSET(H198,0,-1)</f>
        <v>0</v>
      </c>
      <c r="I195" s="487">
        <f t="shared" ca="1" si="168"/>
        <v>0</v>
      </c>
      <c r="J195" s="487">
        <f t="shared" ca="1" si="168"/>
        <v>0</v>
      </c>
      <c r="K195" s="487">
        <f t="shared" ca="1" si="168"/>
        <v>0</v>
      </c>
      <c r="L195" s="487">
        <f t="shared" ca="1" si="168"/>
        <v>0</v>
      </c>
      <c r="M195" s="487">
        <f t="shared" ca="1" si="168"/>
        <v>0</v>
      </c>
      <c r="N195" s="487">
        <f t="shared" ca="1" si="168"/>
        <v>0</v>
      </c>
    </row>
    <row r="196" spans="1:14" x14ac:dyDescent="0.3">
      <c r="D196" s="7" t="s">
        <v>174</v>
      </c>
      <c r="F196" s="487"/>
      <c r="G196" s="487">
        <f ca="1">G198-G195-G197</f>
        <v>0</v>
      </c>
      <c r="H196" s="487">
        <f t="shared" ref="H196:I196" ca="1" si="169">H198-H195-H197</f>
        <v>0</v>
      </c>
      <c r="I196" s="487">
        <f t="shared" ca="1" si="169"/>
        <v>0</v>
      </c>
      <c r="J196" s="486">
        <f ca="1">J199*J12</f>
        <v>0</v>
      </c>
      <c r="K196" s="486">
        <f ca="1">K199*K12</f>
        <v>0</v>
      </c>
      <c r="L196" s="486">
        <f ca="1">L199*L12</f>
        <v>0</v>
      </c>
      <c r="M196" s="486">
        <f ca="1">M199*M12</f>
        <v>0</v>
      </c>
      <c r="N196" s="486">
        <f ca="1">N199*N12</f>
        <v>0</v>
      </c>
    </row>
    <row r="197" spans="1:14" x14ac:dyDescent="0.3">
      <c r="D197" s="7" t="s">
        <v>69</v>
      </c>
      <c r="F197" s="487"/>
      <c r="G197" s="487">
        <f>-G28</f>
        <v>0</v>
      </c>
      <c r="H197" s="487">
        <f>-H28</f>
        <v>0</v>
      </c>
      <c r="I197" s="487">
        <f>-I28</f>
        <v>0</v>
      </c>
      <c r="J197" s="487">
        <f ca="1">(J196+J195)*-J200</f>
        <v>0</v>
      </c>
      <c r="K197" s="487">
        <f t="shared" ref="K197:N197" ca="1" si="170">(K196+K195)*-K200</f>
        <v>0</v>
      </c>
      <c r="L197" s="487">
        <f t="shared" ca="1" si="170"/>
        <v>0</v>
      </c>
      <c r="M197" s="487">
        <f t="shared" ca="1" si="170"/>
        <v>0</v>
      </c>
      <c r="N197" s="487">
        <f t="shared" ca="1" si="170"/>
        <v>0</v>
      </c>
    </row>
    <row r="198" spans="1:14" ht="17.25" customHeight="1" x14ac:dyDescent="0.3">
      <c r="D198" s="95" t="s">
        <v>155</v>
      </c>
      <c r="F198" s="99">
        <f>F73</f>
        <v>0</v>
      </c>
      <c r="G198" s="99">
        <f>G73</f>
        <v>0</v>
      </c>
      <c r="H198" s="99">
        <f>H73</f>
        <v>0</v>
      </c>
      <c r="I198" s="99">
        <f>I73</f>
        <v>0</v>
      </c>
      <c r="J198" s="99">
        <f t="shared" ref="J198:N198" ca="1" si="171">SUBTOTAL(9,J195:J197)</f>
        <v>0</v>
      </c>
      <c r="K198" s="99">
        <f t="shared" ca="1" si="171"/>
        <v>0</v>
      </c>
      <c r="L198" s="99">
        <f t="shared" ca="1" si="171"/>
        <v>0</v>
      </c>
      <c r="M198" s="99">
        <f t="shared" ca="1" si="171"/>
        <v>0</v>
      </c>
      <c r="N198" s="99">
        <f t="shared" ca="1" si="171"/>
        <v>0</v>
      </c>
    </row>
    <row r="199" spans="1:14" ht="16" customHeight="1" x14ac:dyDescent="0.3">
      <c r="D199" s="96" t="s">
        <v>175</v>
      </c>
      <c r="F199" s="97">
        <f ca="1">IFERROR(F196/ABS(F$12),"NA")</f>
        <v>0</v>
      </c>
      <c r="G199" s="97">
        <f ca="1">IFERROR(G196/ABS(G$12),"NA")</f>
        <v>0</v>
      </c>
      <c r="H199" s="97">
        <f ca="1">IFERROR(H196/ABS(H$12),"NA")</f>
        <v>0</v>
      </c>
      <c r="I199" s="97">
        <f ca="1">IFERROR(I196/ABS(I$12),"NA")</f>
        <v>0</v>
      </c>
      <c r="J199" s="100"/>
      <c r="K199" s="100"/>
      <c r="L199" s="100"/>
      <c r="M199" s="100"/>
      <c r="N199" s="100"/>
    </row>
    <row r="200" spans="1:14" x14ac:dyDescent="0.3">
      <c r="D200" s="96" t="s">
        <v>178</v>
      </c>
      <c r="F200" s="97" t="str">
        <f>IFERROR(ABS(F197/(F196+F195)),"NA")</f>
        <v>NA</v>
      </c>
      <c r="G200" s="97" t="str">
        <f t="shared" ref="G200:I200" ca="1" si="172">IFERROR(ABS(G197/(G196+G195)),"NA")</f>
        <v>NA</v>
      </c>
      <c r="H200" s="97" t="str">
        <f t="shared" ca="1" si="172"/>
        <v>NA</v>
      </c>
      <c r="I200" s="97" t="str">
        <f t="shared" ca="1" si="172"/>
        <v>NA</v>
      </c>
      <c r="J200" s="100"/>
      <c r="K200" s="100"/>
      <c r="L200" s="100"/>
      <c r="M200" s="100"/>
      <c r="N200" s="100"/>
    </row>
    <row r="202" spans="1:14" x14ac:dyDescent="0.3">
      <c r="D202" s="10" t="s">
        <v>179</v>
      </c>
      <c r="F202" s="11"/>
      <c r="G202" s="11"/>
      <c r="H202" s="11"/>
      <c r="I202" s="11"/>
      <c r="J202" s="11"/>
      <c r="K202" s="11"/>
      <c r="L202" s="11"/>
      <c r="M202" s="11"/>
      <c r="N202" s="11"/>
    </row>
    <row r="203" spans="1:14" x14ac:dyDescent="0.3">
      <c r="D203" s="22" t="s">
        <v>117</v>
      </c>
      <c r="F203" s="20"/>
      <c r="G203" s="20"/>
      <c r="H203" s="20"/>
      <c r="I203" s="20"/>
      <c r="J203" s="20"/>
      <c r="K203" s="20"/>
      <c r="L203" s="20"/>
      <c r="M203" s="20"/>
      <c r="N203" s="20"/>
    </row>
    <row r="204" spans="1:14" ht="17.25" customHeight="1" x14ac:dyDescent="0.3">
      <c r="D204" s="7" t="s">
        <v>153</v>
      </c>
      <c r="F204" s="85"/>
      <c r="G204" s="85">
        <f t="shared" ref="G204:N204" ca="1" si="173">OFFSET(G206,0,-1)</f>
        <v>0</v>
      </c>
      <c r="H204" s="85">
        <f t="shared" ca="1" si="173"/>
        <v>0</v>
      </c>
      <c r="I204" s="85">
        <f t="shared" ca="1" si="173"/>
        <v>0</v>
      </c>
      <c r="J204" s="85">
        <f t="shared" ca="1" si="173"/>
        <v>0</v>
      </c>
      <c r="K204" s="85">
        <f t="shared" ca="1" si="173"/>
        <v>0</v>
      </c>
      <c r="L204" s="85">
        <f t="shared" ca="1" si="173"/>
        <v>0</v>
      </c>
      <c r="M204" s="85">
        <f t="shared" ca="1" si="173"/>
        <v>0</v>
      </c>
      <c r="N204" s="85">
        <f t="shared" ca="1" si="173"/>
        <v>0</v>
      </c>
    </row>
    <row r="205" spans="1:14" x14ac:dyDescent="0.3">
      <c r="D205" s="7" t="s">
        <v>180</v>
      </c>
      <c r="F205" s="85">
        <f>F206-F204</f>
        <v>0</v>
      </c>
      <c r="G205" s="85">
        <f t="shared" ref="G205:I205" ca="1" si="174">G206-G204</f>
        <v>0</v>
      </c>
      <c r="H205" s="85">
        <f t="shared" ca="1" si="174"/>
        <v>0</v>
      </c>
      <c r="I205" s="85">
        <f t="shared" ca="1" si="174"/>
        <v>0</v>
      </c>
      <c r="J205" s="34"/>
      <c r="K205" s="34"/>
      <c r="L205" s="34"/>
      <c r="M205" s="34"/>
      <c r="N205" s="34"/>
    </row>
    <row r="206" spans="1:14" x14ac:dyDescent="0.3">
      <c r="D206" s="95" t="s">
        <v>155</v>
      </c>
      <c r="F206" s="429">
        <f>F77</f>
        <v>0</v>
      </c>
      <c r="G206" s="429">
        <f>G77</f>
        <v>0</v>
      </c>
      <c r="H206" s="429">
        <f>H77</f>
        <v>0</v>
      </c>
      <c r="I206" s="429">
        <f>I77</f>
        <v>0</v>
      </c>
      <c r="J206" s="99">
        <f ca="1">J204+J205</f>
        <v>0</v>
      </c>
      <c r="K206" s="99">
        <f ca="1">K204+K205</f>
        <v>0</v>
      </c>
      <c r="L206" s="99">
        <f ca="1">L204+L205</f>
        <v>0</v>
      </c>
      <c r="M206" s="99">
        <f ca="1">M204+M205</f>
        <v>0</v>
      </c>
      <c r="N206" s="99">
        <f ca="1">N204+N205</f>
        <v>0</v>
      </c>
    </row>
    <row r="208" spans="1:14" x14ac:dyDescent="0.3">
      <c r="D208" s="22" t="s">
        <v>118</v>
      </c>
      <c r="F208" s="20"/>
      <c r="G208" s="20"/>
      <c r="H208" s="20"/>
      <c r="I208" s="20"/>
      <c r="J208" s="20"/>
      <c r="K208" s="20"/>
      <c r="L208" s="20"/>
      <c r="M208" s="20"/>
      <c r="N208" s="20"/>
    </row>
    <row r="209" spans="4:14" x14ac:dyDescent="0.3">
      <c r="D209" s="7" t="s">
        <v>153</v>
      </c>
      <c r="F209" s="85"/>
      <c r="G209" s="85">
        <f t="shared" ref="G209:N209" ca="1" si="175">OFFSET(G211,0,-1)</f>
        <v>166.1</v>
      </c>
      <c r="H209" s="85">
        <f t="shared" ca="1" si="175"/>
        <v>189</v>
      </c>
      <c r="I209" s="85">
        <f t="shared" ca="1" si="175"/>
        <v>208</v>
      </c>
      <c r="J209" s="85">
        <f t="shared" ca="1" si="175"/>
        <v>249.3</v>
      </c>
      <c r="K209" s="85">
        <f t="shared" ca="1" si="175"/>
        <v>311.625</v>
      </c>
      <c r="L209" s="85">
        <f t="shared" ca="1" si="175"/>
        <v>373.95</v>
      </c>
      <c r="M209" s="85">
        <f t="shared" ca="1" si="175"/>
        <v>436.27499999999998</v>
      </c>
      <c r="N209" s="85">
        <f t="shared" ca="1" si="175"/>
        <v>498.59999999999997</v>
      </c>
    </row>
    <row r="210" spans="4:14" ht="13" customHeight="1" x14ac:dyDescent="0.3">
      <c r="D210" s="7" t="s">
        <v>180</v>
      </c>
      <c r="F210" s="85">
        <f>F211-F209</f>
        <v>166.1</v>
      </c>
      <c r="G210" s="85">
        <f t="shared" ref="G210" ca="1" si="176">G211-G209</f>
        <v>22.900000000000006</v>
      </c>
      <c r="H210" s="85">
        <f t="shared" ref="H210" ca="1" si="177">H211-H209</f>
        <v>19</v>
      </c>
      <c r="I210" s="85">
        <f t="shared" ref="I210" ca="1" si="178">I211-I209</f>
        <v>41.300000000000011</v>
      </c>
      <c r="J210" s="34">
        <f ca="1">AVERAGE(F210:I210)</f>
        <v>62.325000000000003</v>
      </c>
      <c r="K210" s="34">
        <f ca="1">J210</f>
        <v>62.325000000000003</v>
      </c>
      <c r="L210" s="34">
        <f t="shared" ref="L210:N210" ca="1" si="179">K210</f>
        <v>62.325000000000003</v>
      </c>
      <c r="M210" s="34">
        <f t="shared" ca="1" si="179"/>
        <v>62.325000000000003</v>
      </c>
      <c r="N210" s="34">
        <f t="shared" ca="1" si="179"/>
        <v>62.325000000000003</v>
      </c>
    </row>
    <row r="211" spans="4:14" x14ac:dyDescent="0.3">
      <c r="D211" s="95" t="s">
        <v>155</v>
      </c>
      <c r="F211" s="99">
        <f>F78</f>
        <v>166.1</v>
      </c>
      <c r="G211" s="99">
        <f>G78</f>
        <v>189</v>
      </c>
      <c r="H211" s="99">
        <f>H78</f>
        <v>208</v>
      </c>
      <c r="I211" s="99">
        <f>I78</f>
        <v>249.3</v>
      </c>
      <c r="J211" s="99">
        <f ca="1">J209+J210</f>
        <v>311.625</v>
      </c>
      <c r="K211" s="99">
        <f ca="1">K209+K210</f>
        <v>373.95</v>
      </c>
      <c r="L211" s="99">
        <f ca="1">L209+L210</f>
        <v>436.27499999999998</v>
      </c>
      <c r="M211" s="99">
        <f ca="1">M209+M210</f>
        <v>498.59999999999997</v>
      </c>
      <c r="N211" s="99">
        <f ca="1">N209+N210</f>
        <v>560.92499999999995</v>
      </c>
    </row>
    <row r="213" spans="4:14" x14ac:dyDescent="0.3">
      <c r="D213" s="22" t="s">
        <v>123</v>
      </c>
      <c r="F213" s="20"/>
      <c r="G213" s="20"/>
      <c r="H213" s="20"/>
      <c r="I213" s="20"/>
      <c r="J213" s="20"/>
      <c r="K213" s="20"/>
      <c r="L213" s="20"/>
      <c r="M213" s="20"/>
      <c r="N213" s="20"/>
    </row>
    <row r="214" spans="4:14" x14ac:dyDescent="0.3">
      <c r="D214" s="7" t="s">
        <v>153</v>
      </c>
      <c r="F214" s="85"/>
      <c r="G214" s="85">
        <f t="shared" ref="G214:N214" ca="1" si="180">OFFSET(G216,0,-1)</f>
        <v>0</v>
      </c>
      <c r="H214" s="85">
        <f t="shared" ca="1" si="180"/>
        <v>0</v>
      </c>
      <c r="I214" s="85">
        <f t="shared" ca="1" si="180"/>
        <v>0</v>
      </c>
      <c r="J214" s="85">
        <f t="shared" ca="1" si="180"/>
        <v>0</v>
      </c>
      <c r="K214" s="85">
        <f t="shared" ca="1" si="180"/>
        <v>0</v>
      </c>
      <c r="L214" s="85">
        <f t="shared" ca="1" si="180"/>
        <v>0</v>
      </c>
      <c r="M214" s="85">
        <f t="shared" ca="1" si="180"/>
        <v>0</v>
      </c>
      <c r="N214" s="85">
        <f t="shared" ca="1" si="180"/>
        <v>0</v>
      </c>
    </row>
    <row r="215" spans="4:14" x14ac:dyDescent="0.3">
      <c r="D215" s="7" t="s">
        <v>180</v>
      </c>
      <c r="F215" s="85">
        <f>F216-F214</f>
        <v>0</v>
      </c>
      <c r="G215" s="85">
        <f t="shared" ref="G215" ca="1" si="181">G216-G214</f>
        <v>0</v>
      </c>
      <c r="H215" s="85">
        <f t="shared" ref="H215" ca="1" si="182">H216-H214</f>
        <v>0</v>
      </c>
      <c r="I215" s="85">
        <f t="shared" ref="I215" ca="1" si="183">I216-I214</f>
        <v>0</v>
      </c>
      <c r="J215" s="34"/>
      <c r="K215" s="34"/>
      <c r="L215" s="34"/>
      <c r="M215" s="34"/>
      <c r="N215" s="34"/>
    </row>
    <row r="216" spans="4:14" x14ac:dyDescent="0.3">
      <c r="D216" s="95" t="s">
        <v>155</v>
      </c>
      <c r="F216" s="99">
        <f>F84</f>
        <v>0</v>
      </c>
      <c r="G216" s="99">
        <f t="shared" ref="G216:I216" si="184">G84</f>
        <v>0</v>
      </c>
      <c r="H216" s="99">
        <f t="shared" si="184"/>
        <v>0</v>
      </c>
      <c r="I216" s="99">
        <f t="shared" si="184"/>
        <v>0</v>
      </c>
      <c r="J216" s="99">
        <f ca="1">J214+J215</f>
        <v>0</v>
      </c>
      <c r="K216" s="99">
        <f ca="1">K214+K215</f>
        <v>0</v>
      </c>
      <c r="L216" s="99">
        <f ca="1">L214+L215</f>
        <v>0</v>
      </c>
      <c r="M216" s="99">
        <f ca="1">M214+M215</f>
        <v>0</v>
      </c>
      <c r="N216" s="99">
        <f ca="1">N214+N215</f>
        <v>0</v>
      </c>
    </row>
    <row r="217" spans="4:14" x14ac:dyDescent="0.3">
      <c r="D217" s="5"/>
      <c r="E217" s="5"/>
      <c r="F217" s="5"/>
      <c r="G217" s="5"/>
      <c r="H217" s="5"/>
      <c r="I217" s="5"/>
      <c r="J217" s="5"/>
      <c r="K217" s="5"/>
      <c r="L217" s="5"/>
      <c r="M217" s="5"/>
      <c r="N217" s="5"/>
    </row>
    <row r="218" spans="4:14" ht="36" x14ac:dyDescent="0.3">
      <c r="D218" s="450" t="s">
        <v>181</v>
      </c>
      <c r="F218" s="438" t="s">
        <v>182</v>
      </c>
      <c r="G218" s="438" t="s">
        <v>183</v>
      </c>
      <c r="H218" s="438" t="s">
        <v>184</v>
      </c>
      <c r="I218" s="438" t="s">
        <v>185</v>
      </c>
      <c r="J218" s="438"/>
      <c r="K218" s="437"/>
      <c r="L218" s="437"/>
      <c r="M218" s="437"/>
      <c r="N218" s="437"/>
    </row>
    <row r="219" spans="4:14" x14ac:dyDescent="0.3">
      <c r="D219" s="441" t="s">
        <v>186</v>
      </c>
      <c r="F219" s="442"/>
      <c r="G219" s="442"/>
      <c r="H219" s="443"/>
      <c r="I219" s="443"/>
      <c r="J219" s="443"/>
      <c r="K219" s="443"/>
      <c r="L219" s="443"/>
      <c r="M219" s="443"/>
      <c r="N219" s="443"/>
    </row>
    <row r="220" spans="4:14" x14ac:dyDescent="0.3">
      <c r="D220" s="478" t="s">
        <v>187</v>
      </c>
      <c r="F220" s="444">
        <f ca="1">DCF_Enterprise_Value</f>
        <v>27905.695293260767</v>
      </c>
      <c r="G220" s="444">
        <f ca="1">DCF_Equity_Value</f>
        <v>28746.395293260768</v>
      </c>
      <c r="H220" s="445">
        <f ca="1">DCF_Enterprise_Value_PerShare</f>
        <v>227.28857145513001</v>
      </c>
      <c r="I220" s="445">
        <f ca="1">DCF_Equity_Value_PerShare</f>
        <v>234.13597303442245</v>
      </c>
      <c r="J220" s="439"/>
      <c r="K220" s="439"/>
      <c r="L220" s="439"/>
      <c r="M220" s="439"/>
      <c r="N220" s="439"/>
    </row>
    <row r="221" spans="4:14" x14ac:dyDescent="0.3">
      <c r="D221" s="449">
        <f>D222-2.5%</f>
        <v>2.0000000000000004E-2</v>
      </c>
      <c r="E221" s="2">
        <f t="dataTable" ref="E221:I225" dt2D="0" dtr="0" r1="AF12" ca="1"/>
        <v>0</v>
      </c>
      <c r="F221" s="447">
        <v>27905.695293260767</v>
      </c>
      <c r="G221" s="447">
        <v>28746.395293260768</v>
      </c>
      <c r="H221" s="448">
        <v>227.28857145513001</v>
      </c>
      <c r="I221" s="448">
        <v>234.13597303442245</v>
      </c>
      <c r="J221" s="440"/>
      <c r="K221" s="440"/>
      <c r="L221" s="440"/>
      <c r="M221" s="440"/>
      <c r="N221" s="440"/>
    </row>
    <row r="222" spans="4:14" x14ac:dyDescent="0.3">
      <c r="D222" s="449">
        <f>D223-2.5%</f>
        <v>4.5000000000000005E-2</v>
      </c>
      <c r="E222" s="2">
        <v>0</v>
      </c>
      <c r="F222" s="447">
        <v>27905.695293260767</v>
      </c>
      <c r="G222" s="447">
        <v>28746.395293260768</v>
      </c>
      <c r="H222" s="448">
        <v>227.28857145513001</v>
      </c>
      <c r="I222" s="448">
        <v>234.13597303442245</v>
      </c>
      <c r="J222" s="440"/>
      <c r="K222" s="440"/>
      <c r="L222" s="440"/>
      <c r="M222" s="440"/>
      <c r="N222" s="440"/>
    </row>
    <row r="223" spans="4:14" x14ac:dyDescent="0.3">
      <c r="D223" s="446">
        <f>7%</f>
        <v>7.0000000000000007E-2</v>
      </c>
      <c r="E223" s="2">
        <v>0</v>
      </c>
      <c r="F223" s="447">
        <v>27905.695293260767</v>
      </c>
      <c r="G223" s="447">
        <v>28746.395293260768</v>
      </c>
      <c r="H223" s="448">
        <v>227.28857145513001</v>
      </c>
      <c r="I223" s="448">
        <v>234.13597303442245</v>
      </c>
      <c r="J223" s="440"/>
      <c r="K223" s="440"/>
      <c r="L223" s="440"/>
      <c r="M223" s="440"/>
      <c r="N223" s="440"/>
    </row>
    <row r="224" spans="4:14" x14ac:dyDescent="0.3">
      <c r="D224" s="449">
        <f>D223+2.5%</f>
        <v>9.5000000000000001E-2</v>
      </c>
      <c r="E224" s="2">
        <v>0</v>
      </c>
      <c r="F224" s="447">
        <v>27905.695293260767</v>
      </c>
      <c r="G224" s="447">
        <v>28746.395293260768</v>
      </c>
      <c r="H224" s="448">
        <v>227.28857145513001</v>
      </c>
      <c r="I224" s="448">
        <v>234.13597303442245</v>
      </c>
      <c r="J224" s="440"/>
      <c r="K224" s="440"/>
      <c r="L224" s="440"/>
      <c r="M224" s="440"/>
      <c r="N224" s="440"/>
    </row>
    <row r="225" spans="4:14" x14ac:dyDescent="0.3">
      <c r="D225" s="449">
        <f>D224+2.5%</f>
        <v>0.12</v>
      </c>
      <c r="E225" s="2">
        <v>0</v>
      </c>
      <c r="F225" s="447">
        <v>27905.695293260767</v>
      </c>
      <c r="G225" s="447">
        <v>28746.395293260768</v>
      </c>
      <c r="H225" s="448">
        <v>227.28857145513001</v>
      </c>
      <c r="I225" s="448">
        <v>234.13597303442245</v>
      </c>
      <c r="J225" s="440"/>
      <c r="K225" s="440"/>
      <c r="L225" s="440"/>
      <c r="M225" s="440"/>
      <c r="N225" s="440"/>
    </row>
    <row r="227" spans="4:14" x14ac:dyDescent="0.3">
      <c r="D227" s="441" t="s">
        <v>188</v>
      </c>
      <c r="F227" s="442"/>
      <c r="G227" s="442"/>
      <c r="H227" s="443"/>
      <c r="I227" s="443"/>
      <c r="J227" s="443"/>
      <c r="K227" s="443"/>
      <c r="L227" s="443"/>
      <c r="M227" s="443"/>
      <c r="N227" s="443"/>
    </row>
    <row r="228" spans="4:14" x14ac:dyDescent="0.3">
      <c r="D228" s="478" t="s">
        <v>187</v>
      </c>
      <c r="F228" s="444">
        <f ca="1">DCF_Enterprise_Value</f>
        <v>27905.695293260767</v>
      </c>
      <c r="G228" s="444">
        <f ca="1">DCF_Equity_Value</f>
        <v>28746.395293260768</v>
      </c>
      <c r="H228" s="445">
        <f ca="1">DCF_Enterprise_Value_PerShare</f>
        <v>227.28857145513001</v>
      </c>
      <c r="I228" s="445">
        <f ca="1">DCF_Equity_Value_PerShare</f>
        <v>234.13597303442245</v>
      </c>
      <c r="J228" s="439"/>
      <c r="K228" s="439"/>
      <c r="L228" s="439"/>
      <c r="M228" s="439"/>
      <c r="N228" s="439"/>
    </row>
    <row r="229" spans="4:14" x14ac:dyDescent="0.3">
      <c r="D229" s="449">
        <f>D230+2.5%</f>
        <v>0.60000000000000009</v>
      </c>
      <c r="E229" s="2">
        <f t="dataTable" ref="E229:I233" dt2D="0" dtr="0" r1="AF18" ca="1"/>
        <v>0</v>
      </c>
      <c r="F229" s="447">
        <v>27905.695293260767</v>
      </c>
      <c r="G229" s="447">
        <v>28746.395293260768</v>
      </c>
      <c r="H229" s="448">
        <v>227.28857145513001</v>
      </c>
      <c r="I229" s="448">
        <v>234.13597303442245</v>
      </c>
      <c r="J229" s="440"/>
      <c r="K229" s="440"/>
      <c r="L229" s="440"/>
      <c r="M229" s="440"/>
      <c r="N229" s="440"/>
    </row>
    <row r="230" spans="4:14" x14ac:dyDescent="0.3">
      <c r="D230" s="449">
        <f>D231+2.5%</f>
        <v>0.57500000000000007</v>
      </c>
      <c r="E230" s="2">
        <v>0</v>
      </c>
      <c r="F230" s="447">
        <v>27905.695293260767</v>
      </c>
      <c r="G230" s="447">
        <v>28746.395293260768</v>
      </c>
      <c r="H230" s="448">
        <v>227.28857145513001</v>
      </c>
      <c r="I230" s="448">
        <v>234.13597303442245</v>
      </c>
      <c r="J230" s="440"/>
      <c r="K230" s="440"/>
      <c r="L230" s="440"/>
      <c r="M230" s="440"/>
      <c r="N230" s="440"/>
    </row>
    <row r="231" spans="4:14" x14ac:dyDescent="0.3">
      <c r="D231" s="446">
        <f>55%</f>
        <v>0.55000000000000004</v>
      </c>
      <c r="E231" s="2">
        <v>0</v>
      </c>
      <c r="F231" s="447">
        <v>27905.695293260767</v>
      </c>
      <c r="G231" s="447">
        <v>28746.395293260768</v>
      </c>
      <c r="H231" s="448">
        <v>227.28857145513001</v>
      </c>
      <c r="I231" s="448">
        <v>234.13597303442245</v>
      </c>
      <c r="J231" s="440"/>
      <c r="K231" s="440"/>
      <c r="L231" s="440"/>
      <c r="M231" s="440"/>
      <c r="N231" s="440"/>
    </row>
    <row r="232" spans="4:14" x14ac:dyDescent="0.3">
      <c r="D232" s="449">
        <f>D231-2.5%</f>
        <v>0.52500000000000002</v>
      </c>
      <c r="E232" s="2">
        <v>0</v>
      </c>
      <c r="F232" s="447">
        <v>27905.695293260767</v>
      </c>
      <c r="G232" s="447">
        <v>28746.395293260768</v>
      </c>
      <c r="H232" s="448">
        <v>227.28857145513001</v>
      </c>
      <c r="I232" s="448">
        <v>234.13597303442245</v>
      </c>
      <c r="J232" s="440"/>
      <c r="K232" s="440"/>
      <c r="L232" s="440"/>
      <c r="M232" s="440"/>
      <c r="N232" s="440"/>
    </row>
    <row r="233" spans="4:14" x14ac:dyDescent="0.3">
      <c r="D233" s="449">
        <f>D232-2.5%</f>
        <v>0.5</v>
      </c>
      <c r="E233" s="2">
        <v>0</v>
      </c>
      <c r="F233" s="447">
        <v>27905.695293260767</v>
      </c>
      <c r="G233" s="447">
        <v>28746.395293260768</v>
      </c>
      <c r="H233" s="448">
        <v>227.28857145513001</v>
      </c>
      <c r="I233" s="448">
        <v>234.13597303442245</v>
      </c>
      <c r="J233" s="440"/>
      <c r="K233" s="440"/>
      <c r="L233" s="440"/>
      <c r="M233" s="440"/>
      <c r="N233" s="440"/>
    </row>
    <row r="235" spans="4:14" x14ac:dyDescent="0.3">
      <c r="D235" s="441" t="s">
        <v>189</v>
      </c>
      <c r="F235" s="442"/>
      <c r="G235" s="442"/>
      <c r="H235" s="443"/>
      <c r="I235" s="443"/>
      <c r="J235" s="443"/>
      <c r="K235" s="443"/>
      <c r="L235" s="443"/>
      <c r="M235" s="443"/>
      <c r="N235" s="443"/>
    </row>
    <row r="236" spans="4:14" x14ac:dyDescent="0.3">
      <c r="D236" s="478" t="s">
        <v>187</v>
      </c>
      <c r="F236" s="444">
        <f ca="1">DCF_Enterprise_Value</f>
        <v>27905.695293260767</v>
      </c>
      <c r="G236" s="444">
        <f ca="1">DCF_Equity_Value</f>
        <v>28746.395293260768</v>
      </c>
      <c r="H236" s="445">
        <f ca="1">DCF_Enterprise_Value_PerShare</f>
        <v>227.28857145513001</v>
      </c>
      <c r="I236" s="445">
        <f ca="1">DCF_Equity_Value_PerShare</f>
        <v>234.13597303442245</v>
      </c>
      <c r="J236" s="439"/>
      <c r="K236" s="439"/>
      <c r="L236" s="439"/>
      <c r="M236" s="439"/>
      <c r="N236" s="439"/>
    </row>
    <row r="237" spans="4:14" x14ac:dyDescent="0.3">
      <c r="D237" s="449">
        <f>D238+2.5%</f>
        <v>0.35000000000000003</v>
      </c>
      <c r="E237" s="2">
        <f t="dataTable" ref="E237:I241" dt2D="0" dtr="0" r1="AF29" ca="1"/>
        <v>0</v>
      </c>
      <c r="F237" s="447">
        <v>27905.695293260767</v>
      </c>
      <c r="G237" s="447">
        <v>28746.395293260768</v>
      </c>
      <c r="H237" s="448">
        <v>227.28857145513001</v>
      </c>
      <c r="I237" s="448">
        <v>234.13597303442245</v>
      </c>
      <c r="J237" s="440"/>
      <c r="K237" s="440"/>
      <c r="L237" s="440"/>
      <c r="M237" s="440"/>
      <c r="N237" s="440"/>
    </row>
    <row r="238" spans="4:14" x14ac:dyDescent="0.3">
      <c r="D238" s="449">
        <f>D239+2.5%</f>
        <v>0.32500000000000001</v>
      </c>
      <c r="E238" s="2">
        <v>0</v>
      </c>
      <c r="F238" s="447">
        <v>27905.695293260767</v>
      </c>
      <c r="G238" s="447">
        <v>28746.395293260768</v>
      </c>
      <c r="H238" s="448">
        <v>227.28857145513001</v>
      </c>
      <c r="I238" s="448">
        <v>234.13597303442245</v>
      </c>
      <c r="J238" s="440"/>
      <c r="K238" s="440"/>
      <c r="L238" s="440"/>
      <c r="M238" s="440"/>
      <c r="N238" s="440"/>
    </row>
    <row r="239" spans="4:14" x14ac:dyDescent="0.3">
      <c r="D239" s="446">
        <f>30%</f>
        <v>0.3</v>
      </c>
      <c r="E239" s="2">
        <v>0</v>
      </c>
      <c r="F239" s="447">
        <v>27905.695293260767</v>
      </c>
      <c r="G239" s="447">
        <v>28746.395293260768</v>
      </c>
      <c r="H239" s="448">
        <v>227.28857145513001</v>
      </c>
      <c r="I239" s="448">
        <v>234.13597303442245</v>
      </c>
      <c r="J239" s="440"/>
      <c r="K239" s="440"/>
      <c r="L239" s="440"/>
      <c r="M239" s="440"/>
      <c r="N239" s="440"/>
    </row>
    <row r="240" spans="4:14" x14ac:dyDescent="0.3">
      <c r="D240" s="449">
        <f>D239-2.5%</f>
        <v>0.27499999999999997</v>
      </c>
      <c r="E240" s="2">
        <v>0</v>
      </c>
      <c r="F240" s="447">
        <v>27905.695293260767</v>
      </c>
      <c r="G240" s="447">
        <v>28746.395293260768</v>
      </c>
      <c r="H240" s="448">
        <v>227.28857145513001</v>
      </c>
      <c r="I240" s="448">
        <v>234.13597303442245</v>
      </c>
      <c r="J240" s="440"/>
      <c r="K240" s="440"/>
      <c r="L240" s="440"/>
      <c r="M240" s="440"/>
      <c r="N240" s="440"/>
    </row>
    <row r="241" spans="4:14" x14ac:dyDescent="0.3">
      <c r="D241" s="449">
        <f>D240-2.5%</f>
        <v>0.24999999999999997</v>
      </c>
      <c r="E241" s="2">
        <v>0</v>
      </c>
      <c r="F241" s="447">
        <v>27905.695293260767</v>
      </c>
      <c r="G241" s="447">
        <v>28746.395293260768</v>
      </c>
      <c r="H241" s="448">
        <v>227.28857145513001</v>
      </c>
      <c r="I241" s="448">
        <v>234.13597303442245</v>
      </c>
      <c r="J241" s="440"/>
      <c r="K241" s="440"/>
      <c r="L241" s="440"/>
      <c r="M241" s="440"/>
      <c r="N241" s="440"/>
    </row>
  </sheetData>
  <mergeCells count="1">
    <mergeCell ref="B53:B54"/>
  </mergeCells>
  <pageMargins left="0.7" right="0.7" top="0.75" bottom="0.75" header="0.3" footer="0.3"/>
  <pageSetup orientation="portrait" r:id="rId1"/>
  <ignoredErrors>
    <ignoredError sqref="K10:N10 J11:N11 J17:K17 L16:L17 M16:M17 N16:N17 F198 J196:N196 J56:N56 J58:N58 J23:K23 L23 M23:N23 M24:N24 L24 K25:N25 J24:K24 J27:N28 H198:N198" unlockedFormula="1"/>
  </ignoredError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8FEE8-4C11-4B57-9FE0-1C3C62FCAEDC}">
  <sheetPr>
    <tabColor theme="9"/>
    <pageSetUpPr fitToPage="1"/>
  </sheetPr>
  <dimension ref="A1:M65"/>
  <sheetViews>
    <sheetView showGridLines="0" view="pageBreakPreview" zoomScale="115" zoomScaleNormal="100" zoomScaleSheetLayoutView="115" workbookViewId="0">
      <pane ySplit="5" topLeftCell="A46" activePane="bottomLeft" state="frozen"/>
      <selection activeCell="Q21" sqref="Q21"/>
      <selection pane="bottomLeft"/>
    </sheetView>
  </sheetViews>
  <sheetFormatPr defaultColWidth="8.81640625" defaultRowHeight="12.5" x14ac:dyDescent="0.25"/>
  <cols>
    <col min="1" max="1" width="1.453125" style="305" customWidth="1"/>
    <col min="2" max="2" width="30.453125" style="305" customWidth="1"/>
    <col min="3" max="9" width="11.1796875" style="305" customWidth="1"/>
    <col min="10" max="11" width="8.81640625" style="305"/>
    <col min="12" max="12" width="12.453125" style="305" bestFit="1" customWidth="1"/>
    <col min="13" max="16384" width="8.81640625" style="305"/>
  </cols>
  <sheetData>
    <row r="1" spans="1:12" s="304" customFormat="1" ht="7.5" customHeight="1" x14ac:dyDescent="0.3">
      <c r="A1" s="36"/>
      <c r="B1" s="37"/>
      <c r="C1" s="37"/>
      <c r="D1" s="36"/>
      <c r="E1" s="36"/>
      <c r="F1" s="36"/>
      <c r="G1" s="36"/>
      <c r="H1" s="36"/>
      <c r="I1" s="36"/>
    </row>
    <row r="2" spans="1:12" s="304" customFormat="1" ht="6" customHeight="1" x14ac:dyDescent="0.3">
      <c r="A2" s="77"/>
      <c r="B2" s="77"/>
      <c r="C2" s="77"/>
      <c r="D2" s="77"/>
      <c r="E2" s="77"/>
      <c r="F2" s="77"/>
      <c r="G2" s="77"/>
      <c r="H2" s="77"/>
      <c r="I2" s="77"/>
    </row>
    <row r="3" spans="1:12" s="304" customFormat="1" ht="46.5" customHeight="1" x14ac:dyDescent="0.3">
      <c r="A3" s="38"/>
      <c r="B3" s="284" t="str">
        <f>Comp_Name</f>
        <v>LULULEMON ATHLETICA INC.</v>
      </c>
      <c r="C3" s="76" t="s">
        <v>190</v>
      </c>
      <c r="D3" s="40"/>
      <c r="E3" s="40"/>
      <c r="F3" s="40"/>
      <c r="G3" s="40"/>
      <c r="H3" s="40"/>
      <c r="I3" s="40"/>
    </row>
    <row r="4" spans="1:12" s="304" customFormat="1" ht="6" customHeight="1" x14ac:dyDescent="0.3">
      <c r="A4" s="78"/>
      <c r="B4" s="78"/>
      <c r="C4" s="78"/>
      <c r="D4" s="78"/>
      <c r="E4" s="78"/>
      <c r="F4" s="78"/>
      <c r="G4" s="78"/>
      <c r="H4" s="78"/>
      <c r="I4" s="78"/>
    </row>
    <row r="5" spans="1:12" s="304" customFormat="1" ht="13" x14ac:dyDescent="0.3">
      <c r="A5" s="39"/>
      <c r="B5" s="38"/>
      <c r="C5" s="39"/>
      <c r="D5" s="39"/>
      <c r="E5" s="39"/>
      <c r="F5" s="39"/>
      <c r="G5" s="39"/>
      <c r="H5" s="39"/>
      <c r="I5" s="39"/>
    </row>
    <row r="6" spans="1:12" s="304" customFormat="1" ht="14.25" customHeight="1" x14ac:dyDescent="0.3">
      <c r="A6" s="79"/>
      <c r="B6" s="79" t="s">
        <v>191</v>
      </c>
      <c r="C6" s="80"/>
      <c r="D6" s="77"/>
      <c r="E6" s="77"/>
      <c r="F6" s="77"/>
      <c r="G6" s="81"/>
      <c r="H6" s="81"/>
      <c r="I6" s="82"/>
    </row>
    <row r="7" spans="1:12" ht="5.5" customHeight="1" x14ac:dyDescent="0.25">
      <c r="A7" s="41"/>
      <c r="B7" s="41"/>
      <c r="C7" s="41"/>
      <c r="D7" s="41"/>
      <c r="E7" s="41"/>
      <c r="F7" s="41"/>
      <c r="G7" s="41"/>
      <c r="H7" s="41"/>
      <c r="I7" s="41"/>
    </row>
    <row r="8" spans="1:12" ht="13" x14ac:dyDescent="0.3">
      <c r="A8" s="79"/>
      <c r="B8" s="79" t="s">
        <v>192</v>
      </c>
      <c r="C8" s="79"/>
      <c r="D8" s="40"/>
      <c r="E8" s="41"/>
      <c r="F8" s="170"/>
      <c r="G8" s="350"/>
      <c r="H8" s="351" t="s">
        <v>193</v>
      </c>
      <c r="I8" s="352">
        <f>Current_Price</f>
        <v>286.76</v>
      </c>
    </row>
    <row r="9" spans="1:12" ht="13" x14ac:dyDescent="0.3">
      <c r="A9" s="36"/>
      <c r="B9" s="39" t="s">
        <v>194</v>
      </c>
      <c r="C9" s="303">
        <f>Risk_Free_Rate</f>
        <v>4.0350000000000004E-2</v>
      </c>
      <c r="D9" s="40"/>
      <c r="E9" s="41"/>
      <c r="F9" s="41"/>
      <c r="G9" s="41"/>
      <c r="H9" s="41"/>
      <c r="I9" s="41"/>
      <c r="L9" s="307"/>
    </row>
    <row r="10" spans="1:12" ht="14.5" x14ac:dyDescent="0.35">
      <c r="A10" s="36"/>
      <c r="B10" s="39" t="s">
        <v>27</v>
      </c>
      <c r="C10" s="303">
        <f>Equity_Risk_Premium</f>
        <v>7.1199999999999999E-2</v>
      </c>
      <c r="D10" s="40"/>
      <c r="E10" s="41"/>
      <c r="F10" s="41"/>
      <c r="G10" s="41"/>
      <c r="H10" s="41"/>
      <c r="I10" s="41"/>
      <c r="L10" s="308"/>
    </row>
    <row r="11" spans="1:12" ht="14.5" x14ac:dyDescent="0.35">
      <c r="A11" s="36"/>
      <c r="B11" s="39" t="s">
        <v>29</v>
      </c>
      <c r="C11" s="303">
        <f>Country_RP</f>
        <v>0</v>
      </c>
      <c r="D11" s="40"/>
      <c r="E11" s="41"/>
      <c r="F11" s="41"/>
      <c r="G11" s="41"/>
      <c r="H11" s="41"/>
      <c r="I11" s="41"/>
      <c r="L11" s="308"/>
    </row>
    <row r="12" spans="1:12" ht="14.5" x14ac:dyDescent="0.35">
      <c r="A12" s="36"/>
      <c r="B12" s="39" t="s">
        <v>30</v>
      </c>
      <c r="C12" s="303">
        <f>Size_RP</f>
        <v>0</v>
      </c>
      <c r="D12" s="42"/>
      <c r="E12" s="41"/>
      <c r="F12" s="41"/>
      <c r="G12" s="41"/>
      <c r="H12" s="41"/>
      <c r="I12" s="41"/>
      <c r="L12" s="309"/>
    </row>
    <row r="13" spans="1:12" ht="14.5" x14ac:dyDescent="0.3">
      <c r="A13" s="36"/>
      <c r="B13" s="43" t="s">
        <v>31</v>
      </c>
      <c r="C13" s="300">
        <f>Equity_Beta</f>
        <v>1.0269999999999999</v>
      </c>
      <c r="D13" s="44"/>
      <c r="E13" s="41"/>
      <c r="F13" s="41"/>
      <c r="G13" s="41"/>
      <c r="H13" s="515"/>
      <c r="I13" s="41"/>
      <c r="L13" s="310"/>
    </row>
    <row r="14" spans="1:12" ht="13" x14ac:dyDescent="0.3">
      <c r="A14" s="36"/>
      <c r="B14" s="45" t="s">
        <v>33</v>
      </c>
      <c r="C14" s="46">
        <f>Cost_of_Equity</f>
        <v>0.1134724</v>
      </c>
      <c r="D14" s="40"/>
      <c r="E14" s="41"/>
      <c r="F14" s="41"/>
      <c r="G14" s="41"/>
      <c r="H14" s="41"/>
      <c r="I14" s="41"/>
    </row>
    <row r="15" spans="1:12" ht="5.5" customHeight="1" x14ac:dyDescent="0.25">
      <c r="A15" s="41"/>
      <c r="B15" s="41"/>
      <c r="C15" s="41"/>
      <c r="D15" s="41"/>
      <c r="E15" s="41"/>
      <c r="F15" s="41"/>
      <c r="G15" s="41"/>
      <c r="H15" s="41"/>
      <c r="I15" s="41"/>
    </row>
    <row r="16" spans="1:12" ht="13" x14ac:dyDescent="0.25">
      <c r="A16" s="79"/>
      <c r="B16" s="79" t="s">
        <v>21</v>
      </c>
      <c r="C16" s="79"/>
      <c r="D16" s="40"/>
      <c r="E16" s="41"/>
      <c r="F16" s="41"/>
      <c r="G16" s="41"/>
      <c r="H16" s="41"/>
      <c r="I16" s="41"/>
    </row>
    <row r="17" spans="1:12" ht="13" x14ac:dyDescent="0.3">
      <c r="A17" s="36"/>
      <c r="B17" s="39" t="s">
        <v>24</v>
      </c>
      <c r="C17" s="299">
        <f>Tax_Rate</f>
        <v>0.2883</v>
      </c>
      <c r="D17" s="40"/>
      <c r="E17" s="41"/>
      <c r="F17" s="41"/>
      <c r="G17" s="41"/>
      <c r="H17" s="41"/>
      <c r="I17" s="41"/>
    </row>
    <row r="18" spans="1:12" ht="13" x14ac:dyDescent="0.3">
      <c r="A18" s="36"/>
      <c r="B18" s="43" t="s">
        <v>23</v>
      </c>
      <c r="C18" s="300">
        <f>Debt_Adj_Factor</f>
        <v>1.38</v>
      </c>
      <c r="D18" s="40"/>
      <c r="E18" s="41"/>
      <c r="F18" s="41"/>
      <c r="G18" s="41"/>
      <c r="H18" s="41"/>
      <c r="I18" s="41"/>
    </row>
    <row r="19" spans="1:12" ht="13" x14ac:dyDescent="0.3">
      <c r="A19" s="36"/>
      <c r="B19" s="45" t="s">
        <v>25</v>
      </c>
      <c r="C19" s="46">
        <f>Cost_of_Debt</f>
        <v>3.96295911E-2</v>
      </c>
      <c r="D19" s="40"/>
      <c r="E19" s="41"/>
      <c r="F19" s="41"/>
      <c r="G19" s="41"/>
      <c r="H19" s="41"/>
      <c r="I19" s="41"/>
    </row>
    <row r="20" spans="1:12" ht="5.5" customHeight="1" x14ac:dyDescent="0.25">
      <c r="A20" s="41"/>
      <c r="B20" s="41"/>
      <c r="C20" s="41"/>
      <c r="D20" s="41"/>
      <c r="E20" s="41"/>
      <c r="F20" s="41"/>
      <c r="G20" s="41"/>
      <c r="H20" s="41"/>
      <c r="I20" s="41"/>
    </row>
    <row r="21" spans="1:12" ht="13" x14ac:dyDescent="0.25">
      <c r="A21" s="79"/>
      <c r="B21" s="79" t="s">
        <v>195</v>
      </c>
      <c r="C21" s="79"/>
      <c r="D21" s="79"/>
      <c r="E21" s="41"/>
      <c r="F21" s="41"/>
      <c r="G21" s="41"/>
      <c r="H21" s="41"/>
      <c r="I21" s="41"/>
    </row>
    <row r="22" spans="1:12" ht="13" x14ac:dyDescent="0.3">
      <c r="A22" s="36"/>
      <c r="B22" s="45" t="str">
        <f>Assumptions!$A$25</f>
        <v>Equity Shares Outstanding (M)</v>
      </c>
      <c r="C22" s="318">
        <f>Shares_Out</f>
        <v>122.7765</v>
      </c>
      <c r="D22" s="40"/>
      <c r="E22" s="41"/>
      <c r="F22" s="41"/>
      <c r="G22" s="41"/>
      <c r="H22" s="41"/>
      <c r="I22" s="41"/>
    </row>
    <row r="23" spans="1:12" ht="13" x14ac:dyDescent="0.3">
      <c r="A23" s="36"/>
      <c r="B23" s="47" t="str">
        <f>Assumptions!$A$26</f>
        <v>Company Capitalization ($M)</v>
      </c>
      <c r="C23" s="48"/>
      <c r="D23" s="39"/>
      <c r="E23" s="41"/>
      <c r="F23" s="41"/>
      <c r="G23" s="41"/>
      <c r="H23" s="49"/>
      <c r="I23" s="50"/>
    </row>
    <row r="24" spans="1:12" ht="13" x14ac:dyDescent="0.3">
      <c r="A24" s="36"/>
      <c r="B24" s="51" t="s">
        <v>35</v>
      </c>
      <c r="C24" s="187">
        <f>Equity_MV</f>
        <v>35207.389139999999</v>
      </c>
      <c r="D24" s="171">
        <f>C24/C$26</f>
        <v>0.96021167038985245</v>
      </c>
      <c r="E24" s="52"/>
      <c r="F24" s="41"/>
      <c r="G24" s="41"/>
      <c r="H24" s="41"/>
      <c r="I24" s="41"/>
    </row>
    <row r="25" spans="1:12" ht="13" x14ac:dyDescent="0.3">
      <c r="A25" s="36"/>
      <c r="B25" s="51" t="s">
        <v>36</v>
      </c>
      <c r="C25" s="319">
        <f>Debt_MV</f>
        <v>1458.89</v>
      </c>
      <c r="D25" s="171">
        <f>C25/C$26</f>
        <v>3.9788329610147624E-2</v>
      </c>
      <c r="E25" s="41"/>
      <c r="F25" s="41"/>
      <c r="G25" s="41"/>
      <c r="H25" s="41"/>
      <c r="I25" s="41"/>
    </row>
    <row r="26" spans="1:12" ht="13.5" thickBot="1" x14ac:dyDescent="0.35">
      <c r="A26" s="36"/>
      <c r="B26" s="45" t="s">
        <v>37</v>
      </c>
      <c r="C26" s="186">
        <f>Total_Capitalization</f>
        <v>36666.279139999999</v>
      </c>
      <c r="D26" s="53">
        <f>D24+D25</f>
        <v>1</v>
      </c>
      <c r="E26" s="41"/>
      <c r="F26" s="41"/>
      <c r="G26" s="41"/>
      <c r="H26" s="41"/>
      <c r="I26" s="41"/>
    </row>
    <row r="27" spans="1:12" ht="13.5" thickBot="1" x14ac:dyDescent="0.35">
      <c r="A27" s="36"/>
      <c r="B27" s="83" t="s">
        <v>38</v>
      </c>
      <c r="C27" s="84"/>
      <c r="D27" s="84">
        <f>IF(ISNUMBER(WACC_Override),WACC_Override,WACC)</f>
        <v>0.11053431798014768</v>
      </c>
      <c r="E27" s="41"/>
      <c r="F27" s="41"/>
      <c r="G27" s="41"/>
      <c r="H27" s="41"/>
      <c r="I27" s="41"/>
      <c r="K27" s="317" t="s">
        <v>196</v>
      </c>
      <c r="L27" s="349"/>
    </row>
    <row r="28" spans="1:12" x14ac:dyDescent="0.25">
      <c r="A28" s="41"/>
      <c r="B28" s="41"/>
      <c r="C28" s="41"/>
      <c r="D28" s="41"/>
      <c r="E28" s="41"/>
      <c r="F28" s="41"/>
      <c r="G28" s="41"/>
      <c r="H28" s="41"/>
      <c r="I28" s="41"/>
    </row>
    <row r="29" spans="1:12" ht="13" x14ac:dyDescent="0.3">
      <c r="A29" s="79"/>
      <c r="B29" s="79" t="str">
        <f>"Discounted Cash Flows ($"&amp;Scale_Symbol&amp;")"</f>
        <v>Discounted Cash Flows ($M)</v>
      </c>
      <c r="C29" s="80"/>
      <c r="D29" s="77"/>
      <c r="E29" s="77"/>
      <c r="F29" s="77"/>
      <c r="G29" s="81"/>
      <c r="H29" s="81"/>
      <c r="I29" s="82"/>
    </row>
    <row r="30" spans="1:12" ht="14.5" x14ac:dyDescent="0.3">
      <c r="A30" s="38"/>
      <c r="B30" s="54"/>
      <c r="C30" s="55"/>
      <c r="D30" s="56" t="s">
        <v>197</v>
      </c>
      <c r="E30" s="57" t="s">
        <v>49</v>
      </c>
      <c r="F30" s="57"/>
      <c r="G30" s="57"/>
      <c r="H30" s="57"/>
      <c r="I30" s="57"/>
    </row>
    <row r="31" spans="1:12" ht="13.5" thickBot="1" x14ac:dyDescent="0.35">
      <c r="A31" s="38"/>
      <c r="B31" s="58" t="s">
        <v>198</v>
      </c>
      <c r="C31" s="59"/>
      <c r="D31" s="455">
        <f ca="1">Financials!I6</f>
        <v>45322</v>
      </c>
      <c r="E31" s="455">
        <f ca="1">EOMONTH(D31,12)</f>
        <v>45688</v>
      </c>
      <c r="F31" s="455">
        <f t="shared" ref="F31:I31" ca="1" si="0">EOMONTH(E31,12)</f>
        <v>46053</v>
      </c>
      <c r="G31" s="455">
        <f t="shared" ca="1" si="0"/>
        <v>46418</v>
      </c>
      <c r="H31" s="455">
        <f t="shared" ca="1" si="0"/>
        <v>46783</v>
      </c>
      <c r="I31" s="455">
        <f t="shared" ca="1" si="0"/>
        <v>47149</v>
      </c>
    </row>
    <row r="32" spans="1:12" ht="7.5" customHeight="1" x14ac:dyDescent="0.3">
      <c r="A32" s="38"/>
      <c r="B32" s="36"/>
      <c r="C32" s="38"/>
      <c r="D32" s="44"/>
      <c r="E32" s="44"/>
      <c r="F32" s="44"/>
      <c r="G32" s="44"/>
      <c r="H32" s="44"/>
      <c r="I32" s="44"/>
    </row>
    <row r="33" spans="1:13" ht="13" x14ac:dyDescent="0.3">
      <c r="A33" s="38"/>
      <c r="B33" s="60" t="s">
        <v>72</v>
      </c>
      <c r="C33" s="61"/>
      <c r="D33" s="62">
        <f ca="1">INDEX(Financials!$30:$30,MATCH(D$31,Financials!$6:$6,0))</f>
        <v>2132.6999999999994</v>
      </c>
      <c r="E33" s="62">
        <f ca="1">INDEX(Financials!$30:$30,MATCH(E$31,Financials!$6:$6,0))</f>
        <v>2377.4792705694645</v>
      </c>
      <c r="F33" s="62">
        <f ca="1">INDEX(Financials!$30:$30,MATCH(F$31,Financials!$6:$6,0))</f>
        <v>2729.1282083091046</v>
      </c>
      <c r="G33" s="62">
        <f ca="1">INDEX(Financials!$30:$30,MATCH(G$31,Financials!$6:$6,0))</f>
        <v>3115.9591847333004</v>
      </c>
      <c r="H33" s="62">
        <f ca="1">INDEX(Financials!$30:$30,MATCH(H$31,Financials!$6:$6,0))</f>
        <v>3584.6630474970234</v>
      </c>
      <c r="I33" s="62">
        <f ca="1">INDEX(Financials!$30:$30,MATCH(I$31,Financials!$6:$6,0))</f>
        <v>3981.1172738490823</v>
      </c>
    </row>
    <row r="34" spans="1:13" ht="13" x14ac:dyDescent="0.3">
      <c r="A34" s="38"/>
      <c r="B34" s="64" t="s">
        <v>199</v>
      </c>
      <c r="C34" s="38"/>
      <c r="D34" s="65">
        <f ca="1">MIN(0,-$C$17*D33)</f>
        <v>-614.85740999999985</v>
      </c>
      <c r="E34" s="65">
        <f t="shared" ref="E34:I34" ca="1" si="1">MIN(0,-$C$17*E33)</f>
        <v>-685.42727370517662</v>
      </c>
      <c r="F34" s="65">
        <f t="shared" ca="1" si="1"/>
        <v>-786.8076624555149</v>
      </c>
      <c r="G34" s="65">
        <f t="shared" ca="1" si="1"/>
        <v>-898.33103295861054</v>
      </c>
      <c r="H34" s="65">
        <f t="shared" ca="1" si="1"/>
        <v>-1033.458356593392</v>
      </c>
      <c r="I34" s="65">
        <f t="shared" ca="1" si="1"/>
        <v>-1147.7561100506905</v>
      </c>
    </row>
    <row r="35" spans="1:13" ht="13" x14ac:dyDescent="0.3">
      <c r="A35" s="38"/>
      <c r="B35" s="60" t="s">
        <v>200</v>
      </c>
      <c r="C35" s="61"/>
      <c r="D35" s="62">
        <f ca="1">D33+D34</f>
        <v>1517.8425899999995</v>
      </c>
      <c r="E35" s="62">
        <f t="shared" ref="E35:I35" ca="1" si="2">E33+E34</f>
        <v>1692.051996864288</v>
      </c>
      <c r="F35" s="62">
        <f t="shared" ca="1" si="2"/>
        <v>1942.3205458535897</v>
      </c>
      <c r="G35" s="62">
        <f t="shared" ca="1" si="2"/>
        <v>2217.6281517746897</v>
      </c>
      <c r="H35" s="62">
        <f t="shared" ca="1" si="2"/>
        <v>2551.2046909036317</v>
      </c>
      <c r="I35" s="62">
        <f t="shared" ca="1" si="2"/>
        <v>2833.3611637983918</v>
      </c>
      <c r="L35" s="306"/>
    </row>
    <row r="36" spans="1:13" ht="13" x14ac:dyDescent="0.3">
      <c r="A36" s="38"/>
      <c r="B36" s="63" t="s">
        <v>201</v>
      </c>
      <c r="C36" s="38"/>
      <c r="D36" s="65">
        <f ca="1">INDEX(Financials!$110:$110,MATCH(D$31,Financials!$6:$6,0))</f>
        <v>202.7</v>
      </c>
      <c r="E36" s="65">
        <f ca="1">INDEX(Financials!$110:$110,MATCH(E$31,Financials!$6:$6,0))</f>
        <v>-70.749453927209743</v>
      </c>
      <c r="F36" s="65">
        <f ca="1">INDEX(Financials!$110:$110,MATCH(F$31,Financials!$6:$6,0))</f>
        <v>-29.998979162014166</v>
      </c>
      <c r="G36" s="65">
        <f ca="1">INDEX(Financials!$110:$110,MATCH(G$31,Financials!$6:$6,0))</f>
        <v>-38.043455118680413</v>
      </c>
      <c r="H36" s="65">
        <f ca="1">INDEX(Financials!$110:$110,MATCH(H$31,Financials!$6:$6,0))</f>
        <v>-75.662616252768203</v>
      </c>
      <c r="I36" s="65">
        <f ca="1">INDEX(Financials!$110:$110,MATCH(I$31,Financials!$6:$6,0))</f>
        <v>28.687113844854139</v>
      </c>
    </row>
    <row r="37" spans="1:13" ht="13" x14ac:dyDescent="0.3">
      <c r="A37" s="38"/>
      <c r="B37" s="63" t="s">
        <v>202</v>
      </c>
      <c r="C37" s="38"/>
      <c r="D37" s="65">
        <f ca="1">INDEX(Financials!$112:$112,MATCH(D$31,Financials!$6:$6,0))</f>
        <v>379.4</v>
      </c>
      <c r="E37" s="65">
        <f ca="1">INDEX(Financials!$112:$112,MATCH(E$31,Financials!$6:$6,0))</f>
        <v>409.901162446466</v>
      </c>
      <c r="F37" s="65">
        <f ca="1">INDEX(Financials!$112:$112,MATCH(F$31,Financials!$6:$6,0))</f>
        <v>448.41516069089624</v>
      </c>
      <c r="G37" s="65">
        <f ca="1">INDEX(Financials!$112:$112,MATCH(G$31,Financials!$6:$6,0))</f>
        <v>474.43203517670105</v>
      </c>
      <c r="H37" s="65">
        <f ca="1">INDEX(Financials!$112:$112,MATCH(H$31,Financials!$6:$6,0))</f>
        <v>480.97925049717708</v>
      </c>
      <c r="I37" s="65">
        <f ca="1">INDEX(Financials!$112:$112,MATCH(I$31,Financials!$6:$6,0))</f>
        <v>484.45147060087299</v>
      </c>
      <c r="L37" s="311"/>
    </row>
    <row r="38" spans="1:13" ht="13" x14ac:dyDescent="0.3">
      <c r="A38" s="38"/>
      <c r="B38" s="63" t="s">
        <v>203</v>
      </c>
      <c r="C38" s="38"/>
      <c r="D38" s="65">
        <f ca="1">INDEX(Financials!$116:$116,MATCH(D$31,Financials!$6:$6,0))</f>
        <v>-651.9</v>
      </c>
      <c r="E38" s="65">
        <f ca="1">INDEX(Financials!$116:$116,MATCH(E$31,Financials!$6:$6,0))</f>
        <v>-899.40454999999997</v>
      </c>
      <c r="F38" s="65">
        <f ca="1">INDEX(Financials!$116:$116,MATCH(F$31,Financials!$6:$6,0))</f>
        <v>-872.95147500000007</v>
      </c>
      <c r="G38" s="65">
        <f ca="1">INDEX(Financials!$116:$116,MATCH(G$31,Financials!$6:$6,0))</f>
        <v>-761.2136862000001</v>
      </c>
      <c r="H38" s="65">
        <f ca="1">INDEX(Financials!$116:$116,MATCH(H$31,Financials!$6:$6,0))</f>
        <v>-553.14861197200014</v>
      </c>
      <c r="I38" s="65">
        <f ca="1">INDEX(Financials!$116:$116,MATCH(I$31,Financials!$6:$6,0))</f>
        <v>-522.72543831354017</v>
      </c>
      <c r="L38" s="306"/>
      <c r="M38" s="306"/>
    </row>
    <row r="39" spans="1:13" ht="13" x14ac:dyDescent="0.3">
      <c r="A39" s="38"/>
      <c r="B39" s="66" t="s">
        <v>204</v>
      </c>
      <c r="C39" s="61"/>
      <c r="D39" s="62">
        <f t="shared" ref="D39" ca="1" si="3">SUM(D35:D38)</f>
        <v>1448.0425899999996</v>
      </c>
      <c r="E39" s="62">
        <f t="shared" ref="E39:I39" ca="1" si="4">SUM(E35:E38)</f>
        <v>1131.7991553835443</v>
      </c>
      <c r="F39" s="62">
        <f t="shared" ca="1" si="4"/>
        <v>1487.7852523824715</v>
      </c>
      <c r="G39" s="62">
        <f t="shared" ca="1" si="4"/>
        <v>1892.8030456327101</v>
      </c>
      <c r="H39" s="62">
        <f t="shared" ca="1" si="4"/>
        <v>2403.3727131760402</v>
      </c>
      <c r="I39" s="62">
        <f t="shared" ca="1" si="4"/>
        <v>2823.774309930579</v>
      </c>
      <c r="L39" s="312"/>
    </row>
    <row r="40" spans="1:13" ht="13" x14ac:dyDescent="0.3">
      <c r="A40" s="38"/>
      <c r="B40" s="67" t="s">
        <v>205</v>
      </c>
      <c r="C40" s="38"/>
      <c r="D40" s="419">
        <f t="shared" ref="D40:I40" si="5">(1+$D$27)^D41</f>
        <v>1</v>
      </c>
      <c r="E40" s="419">
        <f ca="1">(1+$D$27)^E41</f>
        <v>1.0677202755021034</v>
      </c>
      <c r="F40" s="419">
        <f t="shared" ca="1" si="5"/>
        <v>1.1857400079483038</v>
      </c>
      <c r="G40" s="419">
        <f t="shared" ca="1" si="5"/>
        <v>1.3168049710286445</v>
      </c>
      <c r="H40" s="419">
        <f t="shared" ca="1" si="5"/>
        <v>1.4623571104141637</v>
      </c>
      <c r="I40" s="419">
        <f t="shared" ca="1" si="5"/>
        <v>1.6239977562572128</v>
      </c>
    </row>
    <row r="41" spans="1:13" ht="13" x14ac:dyDescent="0.3">
      <c r="A41" s="38"/>
      <c r="B41" s="67" t="s">
        <v>206</v>
      </c>
      <c r="C41" s="38"/>
      <c r="D41" s="420">
        <v>0</v>
      </c>
      <c r="E41" s="420">
        <f ca="1">YEARFRAC(TODAY(),E$31)</f>
        <v>0.625</v>
      </c>
      <c r="F41" s="420">
        <f ca="1">E41+1</f>
        <v>1.625</v>
      </c>
      <c r="G41" s="420">
        <f ca="1">F41+1</f>
        <v>2.625</v>
      </c>
      <c r="H41" s="420">
        <f ca="1">G41+1</f>
        <v>3.625</v>
      </c>
      <c r="I41" s="420">
        <f ca="1">H41+1</f>
        <v>4.625</v>
      </c>
    </row>
    <row r="42" spans="1:13" ht="13" x14ac:dyDescent="0.3">
      <c r="A42" s="38"/>
      <c r="B42" s="39"/>
      <c r="C42" s="38"/>
      <c r="D42" s="68"/>
      <c r="E42" s="68"/>
      <c r="F42" s="68"/>
      <c r="G42" s="68"/>
      <c r="H42" s="68"/>
      <c r="I42" s="68"/>
    </row>
    <row r="43" spans="1:13" ht="13" x14ac:dyDescent="0.3">
      <c r="A43" s="38"/>
      <c r="B43" s="69" t="s">
        <v>207</v>
      </c>
      <c r="C43" s="61"/>
      <c r="D43" s="70"/>
      <c r="E43" s="70">
        <f ca="1">E39/E40</f>
        <v>1060.0146699015409</v>
      </c>
      <c r="F43" s="70">
        <f t="shared" ref="F43:I43" ca="1" si="6">F39/F40</f>
        <v>1254.7314271336759</v>
      </c>
      <c r="G43" s="70">
        <f t="shared" ca="1" si="6"/>
        <v>1437.4209448450936</v>
      </c>
      <c r="H43" s="70">
        <f t="shared" ca="1" si="6"/>
        <v>1643.4923426435594</v>
      </c>
      <c r="I43" s="70">
        <f t="shared" ca="1" si="6"/>
        <v>1738.7796867641378</v>
      </c>
    </row>
    <row r="44" spans="1:13" ht="14.5" x14ac:dyDescent="0.35">
      <c r="A44" s="38"/>
      <c r="B44" s="39"/>
      <c r="C44" s="38"/>
      <c r="D44" s="41"/>
      <c r="E44" s="71"/>
      <c r="F44" s="71"/>
      <c r="G44" s="71"/>
      <c r="H44" s="71"/>
      <c r="I44" s="72" t="s">
        <v>208</v>
      </c>
    </row>
    <row r="45" spans="1:13" ht="13" x14ac:dyDescent="0.25">
      <c r="A45" s="41"/>
      <c r="B45" s="177" t="s">
        <v>209</v>
      </c>
      <c r="C45" s="178" t="s">
        <v>210</v>
      </c>
      <c r="D45" s="179" t="s">
        <v>211</v>
      </c>
      <c r="E45" s="41"/>
      <c r="F45" s="41"/>
      <c r="G45" s="41"/>
      <c r="H45" s="41"/>
      <c r="I45" s="41"/>
    </row>
    <row r="46" spans="1:13" ht="13" x14ac:dyDescent="0.25">
      <c r="A46" s="41"/>
      <c r="B46" s="73" t="s">
        <v>43</v>
      </c>
      <c r="C46" s="320">
        <f>Terminal_Rate</f>
        <v>2.5000000000000001E-2</v>
      </c>
      <c r="D46" s="74"/>
      <c r="E46" s="41"/>
      <c r="F46" s="41"/>
      <c r="G46" s="41"/>
      <c r="H46" s="41"/>
      <c r="I46" s="41"/>
    </row>
    <row r="47" spans="1:13" ht="13" x14ac:dyDescent="0.25">
      <c r="A47" s="41"/>
      <c r="B47" s="73" t="s">
        <v>212</v>
      </c>
      <c r="C47" s="172">
        <f ca="1">(I39*(1+$C$46)/($D$27-$C$46))</f>
        <v>33838.682952386662</v>
      </c>
      <c r="D47" s="188">
        <f ca="1">C47/Shares_Out</f>
        <v>275.61205077833836</v>
      </c>
      <c r="E47" s="165"/>
      <c r="F47" s="41"/>
      <c r="G47" s="41"/>
      <c r="H47" s="41"/>
      <c r="I47" s="41"/>
      <c r="L47" s="413"/>
    </row>
    <row r="48" spans="1:13" ht="13" x14ac:dyDescent="0.25">
      <c r="A48" s="41"/>
      <c r="B48" s="73" t="s">
        <v>213</v>
      </c>
      <c r="C48" s="172">
        <f ca="1">C47/I$40</f>
        <v>20836.656221972764</v>
      </c>
      <c r="D48" s="188">
        <f ca="1">C48/Shares_Out</f>
        <v>169.71208840431814</v>
      </c>
      <c r="E48" s="41"/>
      <c r="F48" s="41"/>
      <c r="G48" s="41"/>
      <c r="H48" s="41"/>
      <c r="I48" s="41"/>
    </row>
    <row r="49" spans="1:9" ht="13" x14ac:dyDescent="0.25">
      <c r="A49" s="41"/>
      <c r="B49" s="73" t="s">
        <v>214</v>
      </c>
      <c r="C49" s="172">
        <f ca="1">SUM(D$43:I$43)</f>
        <v>7134.4390712880067</v>
      </c>
      <c r="D49" s="188">
        <f ca="1">C49/Shares_Out</f>
        <v>58.109158277748648</v>
      </c>
      <c r="E49" s="41"/>
      <c r="F49" s="41"/>
      <c r="G49" s="41"/>
      <c r="H49" s="41"/>
      <c r="I49" s="41"/>
    </row>
    <row r="50" spans="1:9" ht="13" x14ac:dyDescent="0.25">
      <c r="A50" s="41"/>
      <c r="B50" s="75" t="s">
        <v>215</v>
      </c>
      <c r="C50" s="173">
        <f ca="1">C48+C49</f>
        <v>27971.095293260769</v>
      </c>
      <c r="D50" s="189">
        <f ca="1">D48+D49</f>
        <v>227.82124668206677</v>
      </c>
      <c r="E50" s="165"/>
      <c r="F50" s="165"/>
      <c r="G50" s="41"/>
      <c r="H50" s="41"/>
      <c r="I50" s="41"/>
    </row>
    <row r="51" spans="1:9" ht="13" x14ac:dyDescent="0.25">
      <c r="A51" s="41"/>
      <c r="B51" s="106" t="s">
        <v>216</v>
      </c>
      <c r="C51" s="174">
        <f ca="1" xml:space="preserve"> SUMIF(BS_Start:BS_End,"NOA",OFFSET(BS_Start,0,MATCH($D$31,Financials!$6:$6,0)-COLUMN(BS_Start))) -
   SUMIF(BS_Start:BS_End,"NOL",OFFSET(BS_Start,0,MATCH($D$31,Financials!$6:$6,0)-COLUMN(BS_Start)))</f>
        <v>-65.399999999999991</v>
      </c>
      <c r="D51" s="190">
        <f ca="1">C51/Shares_Out</f>
        <v>-0.53267522693675085</v>
      </c>
      <c r="E51" s="41"/>
      <c r="F51" s="41"/>
      <c r="G51" s="41"/>
      <c r="H51" s="41"/>
      <c r="I51" s="41"/>
    </row>
    <row r="52" spans="1:9" ht="13" x14ac:dyDescent="0.25">
      <c r="A52" s="41"/>
      <c r="B52" s="168" t="s">
        <v>182</v>
      </c>
      <c r="C52" s="175">
        <f ca="1">C50+C51</f>
        <v>27905.695293260767</v>
      </c>
      <c r="D52" s="191">
        <f ca="1">D50+D51</f>
        <v>227.28857145513001</v>
      </c>
      <c r="E52" s="41"/>
      <c r="F52" s="41"/>
      <c r="G52" s="41"/>
      <c r="H52" s="41"/>
      <c r="I52" s="41"/>
    </row>
    <row r="53" spans="1:9" ht="13.5" thickBot="1" x14ac:dyDescent="0.3">
      <c r="A53" s="41"/>
      <c r="B53" s="167" t="s">
        <v>217</v>
      </c>
      <c r="C53" s="174">
        <f ca="1" xml:space="preserve"> SUMIF(BS_Start:BS_End,"Cash",OFFSET(BS_Start,0,MATCH($D$31,Financials!$6:$6,0)-COLUMN(BS_Start))) -
   SUMIF(BS_Start:BS_End,"FC",OFFSET(BS_Start,0,MATCH($D$31,Financials!$6:$6,0)-COLUMN(BS_Start)))</f>
        <v>840.7</v>
      </c>
      <c r="D53" s="188">
        <f ca="1">C53/Shares_Out</f>
        <v>6.8474015792924545</v>
      </c>
      <c r="E53" s="41"/>
      <c r="F53" s="41"/>
      <c r="G53" s="41"/>
      <c r="H53" s="41"/>
      <c r="I53" s="41"/>
    </row>
    <row r="54" spans="1:9" ht="14" thickTop="1" thickBot="1" x14ac:dyDescent="0.3">
      <c r="A54" s="41"/>
      <c r="B54" s="105" t="s">
        <v>218</v>
      </c>
      <c r="C54" s="176">
        <f ca="1">C52+C53</f>
        <v>28746.395293260768</v>
      </c>
      <c r="D54" s="192">
        <f ca="1">C54/Shares_Out</f>
        <v>234.13597303442245</v>
      </c>
      <c r="E54" s="41"/>
      <c r="F54" s="41"/>
      <c r="G54" s="41"/>
      <c r="H54" s="41"/>
      <c r="I54" s="41"/>
    </row>
    <row r="55" spans="1:9" ht="13" thickTop="1" x14ac:dyDescent="0.25"/>
    <row r="56" spans="1:9" x14ac:dyDescent="0.25">
      <c r="C56" s="313" t="s">
        <v>219</v>
      </c>
      <c r="D56" s="314"/>
      <c r="E56" s="314"/>
      <c r="F56" s="314"/>
      <c r="G56" s="315"/>
    </row>
    <row r="57" spans="1:9" ht="13" x14ac:dyDescent="0.25">
      <c r="B57" s="347">
        <f ca="1">$D$54</f>
        <v>234.13597303442245</v>
      </c>
      <c r="C57" s="321">
        <v>0.01</v>
      </c>
      <c r="D57" s="321">
        <f>C57+0.5%</f>
        <v>1.4999999999999999E-2</v>
      </c>
      <c r="E57" s="322">
        <f>Terminal_Rate</f>
        <v>2.5000000000000001E-2</v>
      </c>
      <c r="F57" s="321">
        <f>E57+0.5%</f>
        <v>3.0000000000000002E-2</v>
      </c>
      <c r="G57" s="321">
        <f>F57+0.5%</f>
        <v>3.5000000000000003E-2</v>
      </c>
      <c r="H57" s="316" t="s">
        <v>43</v>
      </c>
    </row>
    <row r="58" spans="1:9" x14ac:dyDescent="0.25">
      <c r="B58" s="345">
        <f>B59-1%</f>
        <v>8.0534317980147693E-2</v>
      </c>
      <c r="C58" s="323">
        <f t="dataTable" ref="C58:G64" dt2D="1" dtr="1" r1="C46" r2="D27" ca="1"/>
        <v>299.39452025443416</v>
      </c>
      <c r="D58" s="324">
        <v>318.18230976307984</v>
      </c>
      <c r="E58" s="325">
        <v>365.90717494718564</v>
      </c>
      <c r="F58" s="324">
        <v>396.85264542690533</v>
      </c>
      <c r="G58" s="326">
        <v>434.59419232819607</v>
      </c>
    </row>
    <row r="59" spans="1:9" x14ac:dyDescent="0.25">
      <c r="B59" s="345">
        <f>B60-1%</f>
        <v>9.0534317980147688E-2</v>
      </c>
      <c r="C59" s="327">
        <v>260.73914967568226</v>
      </c>
      <c r="D59" s="328">
        <v>274.54670667412489</v>
      </c>
      <c r="E59" s="329">
        <v>308.48258088825628</v>
      </c>
      <c r="F59" s="328">
        <v>329.65505956939995</v>
      </c>
      <c r="G59" s="330">
        <v>354.64004184313524</v>
      </c>
    </row>
    <row r="60" spans="1:9" x14ac:dyDescent="0.25">
      <c r="B60" s="345">
        <f>B61-1%</f>
        <v>0.10053431798014768</v>
      </c>
      <c r="C60" s="327">
        <v>230.69945703617256</v>
      </c>
      <c r="D60" s="331">
        <v>241.1929021329</v>
      </c>
      <c r="E60" s="332">
        <v>266.34747876769615</v>
      </c>
      <c r="F60" s="333">
        <v>281.59948387776342</v>
      </c>
      <c r="G60" s="330">
        <v>299.17882000769225</v>
      </c>
    </row>
    <row r="61" spans="1:9" ht="13" x14ac:dyDescent="0.25">
      <c r="B61" s="346">
        <f>WACC</f>
        <v>0.11053431798014768</v>
      </c>
      <c r="C61" s="334">
        <v>206.70142441669213</v>
      </c>
      <c r="D61" s="335">
        <v>214.88904206978302</v>
      </c>
      <c r="E61" s="353">
        <v>234.13597303442245</v>
      </c>
      <c r="F61" s="336">
        <v>245.55186671201645</v>
      </c>
      <c r="G61" s="337">
        <v>258.47911231319489</v>
      </c>
    </row>
    <row r="62" spans="1:9" x14ac:dyDescent="0.25">
      <c r="B62" s="345">
        <f t="shared" ref="B62:B64" si="7">B61+1%</f>
        <v>0.12053431798014767</v>
      </c>
      <c r="C62" s="327">
        <v>187.10266434327841</v>
      </c>
      <c r="D62" s="338">
        <v>193.62837302842362</v>
      </c>
      <c r="E62" s="339">
        <v>208.72901485222448</v>
      </c>
      <c r="F62" s="340">
        <v>217.5302958001119</v>
      </c>
      <c r="G62" s="330">
        <v>227.36055332204887</v>
      </c>
    </row>
    <row r="63" spans="1:9" x14ac:dyDescent="0.25">
      <c r="B63" s="345">
        <f t="shared" si="7"/>
        <v>0.13053431798014767</v>
      </c>
      <c r="C63" s="327">
        <v>170.80595269543008</v>
      </c>
      <c r="D63" s="328">
        <v>176.09904447308236</v>
      </c>
      <c r="E63" s="329">
        <v>188.18988316207947</v>
      </c>
      <c r="F63" s="328">
        <v>195.13729589539656</v>
      </c>
      <c r="G63" s="330">
        <v>202.81192507618559</v>
      </c>
    </row>
    <row r="64" spans="1:9" x14ac:dyDescent="0.25">
      <c r="B64" s="345">
        <f t="shared" si="7"/>
        <v>0.14053431798014768</v>
      </c>
      <c r="C64" s="341">
        <v>157.05040147723631</v>
      </c>
      <c r="D64" s="342">
        <v>161.40732333397571</v>
      </c>
      <c r="E64" s="343">
        <v>171.25249891479328</v>
      </c>
      <c r="F64" s="342">
        <v>176.84310382608749</v>
      </c>
      <c r="G64" s="344">
        <v>182.96345157537931</v>
      </c>
    </row>
    <row r="65" spans="2:2" ht="13" x14ac:dyDescent="0.25">
      <c r="B65" s="348" t="s">
        <v>38</v>
      </c>
    </row>
  </sheetData>
  <pageMargins left="0.7" right="0.7" top="0.75" bottom="0.75" header="0.3" footer="0.3"/>
  <pageSetup scale="82" orientation="portrait" r:id="rId1"/>
  <cellWatches>
    <cellWatch r="C52"/>
  </cellWatche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9C6A1-FAFB-4254-9B04-F8E28498ADAF}">
  <sheetPr>
    <tabColor theme="9"/>
    <pageSetUpPr fitToPage="1"/>
  </sheetPr>
  <dimension ref="A1:M68"/>
  <sheetViews>
    <sheetView showGridLines="0" view="pageBreakPreview" zoomScaleNormal="100" zoomScaleSheetLayoutView="100" workbookViewId="0">
      <pane ySplit="5" topLeftCell="A53" activePane="bottomLeft" state="frozen"/>
      <selection activeCell="Q21" sqref="Q21"/>
      <selection pane="bottomLeft"/>
    </sheetView>
  </sheetViews>
  <sheetFormatPr defaultColWidth="8.81640625" defaultRowHeight="12.5" x14ac:dyDescent="0.25"/>
  <cols>
    <col min="1" max="1" width="1.453125" style="305" customWidth="1"/>
    <col min="2" max="2" width="30.453125" style="305" customWidth="1"/>
    <col min="3" max="9" width="11.1796875" style="305" customWidth="1"/>
    <col min="10" max="11" width="8.81640625" style="305"/>
    <col min="12" max="12" width="12.453125" style="305" bestFit="1" customWidth="1"/>
    <col min="13" max="16384" width="8.81640625" style="305"/>
  </cols>
  <sheetData>
    <row r="1" spans="1:12" s="304" customFormat="1" ht="7.5" customHeight="1" x14ac:dyDescent="0.3">
      <c r="A1" s="36"/>
      <c r="B1" s="37"/>
      <c r="C1" s="37"/>
      <c r="D1" s="36"/>
      <c r="E1" s="36"/>
      <c r="F1" s="36"/>
      <c r="G1" s="36"/>
      <c r="H1" s="36"/>
      <c r="I1" s="36"/>
    </row>
    <row r="2" spans="1:12" s="304" customFormat="1" ht="6" customHeight="1" x14ac:dyDescent="0.3">
      <c r="A2" s="77"/>
      <c r="B2" s="77"/>
      <c r="C2" s="77"/>
      <c r="D2" s="77"/>
      <c r="E2" s="77"/>
      <c r="F2" s="77"/>
      <c r="G2" s="77"/>
      <c r="H2" s="77"/>
      <c r="I2" s="77"/>
    </row>
    <row r="3" spans="1:12" s="304" customFormat="1" ht="46.5" customHeight="1" x14ac:dyDescent="0.3">
      <c r="A3" s="38"/>
      <c r="B3" s="284" t="str">
        <f>Comp_Name</f>
        <v>LULULEMON ATHLETICA INC.</v>
      </c>
      <c r="C3" s="76" t="s">
        <v>190</v>
      </c>
      <c r="D3" s="40"/>
      <c r="E3" s="40"/>
      <c r="F3" s="40"/>
      <c r="G3" s="40"/>
      <c r="H3" s="40"/>
      <c r="I3" s="40"/>
    </row>
    <row r="4" spans="1:12" s="304" customFormat="1" ht="6" customHeight="1" x14ac:dyDescent="0.3">
      <c r="A4" s="78"/>
      <c r="B4" s="78"/>
      <c r="C4" s="78"/>
      <c r="D4" s="78"/>
      <c r="E4" s="78"/>
      <c r="F4" s="78"/>
      <c r="G4" s="78"/>
      <c r="H4" s="78"/>
      <c r="I4" s="78"/>
    </row>
    <row r="5" spans="1:12" s="304" customFormat="1" ht="13" x14ac:dyDescent="0.3">
      <c r="A5" s="39"/>
      <c r="B5" s="38"/>
      <c r="C5" s="39"/>
      <c r="D5" s="39"/>
      <c r="E5" s="39"/>
      <c r="F5" s="39"/>
      <c r="G5" s="39"/>
      <c r="H5" s="39"/>
      <c r="I5" s="39"/>
    </row>
    <row r="6" spans="1:12" s="304" customFormat="1" ht="14.25" customHeight="1" x14ac:dyDescent="0.3">
      <c r="A6" s="79"/>
      <c r="B6" s="79" t="s">
        <v>191</v>
      </c>
      <c r="C6" s="80"/>
      <c r="D6" s="77"/>
      <c r="E6" s="77"/>
      <c r="F6" s="77"/>
      <c r="G6" s="81"/>
      <c r="H6" s="81"/>
      <c r="I6" s="82"/>
    </row>
    <row r="7" spans="1:12" ht="5.5" customHeight="1" x14ac:dyDescent="0.25">
      <c r="A7" s="41"/>
      <c r="B7" s="41"/>
      <c r="C7" s="41"/>
      <c r="D7" s="41"/>
      <c r="E7" s="41"/>
      <c r="F7" s="41"/>
      <c r="G7" s="41"/>
      <c r="H7" s="41"/>
      <c r="I7" s="41"/>
    </row>
    <row r="8" spans="1:12" ht="13" x14ac:dyDescent="0.3">
      <c r="A8" s="79"/>
      <c r="B8" s="79" t="s">
        <v>192</v>
      </c>
      <c r="C8" s="79"/>
      <c r="D8" s="40"/>
      <c r="E8" s="41"/>
      <c r="F8" s="170"/>
      <c r="G8" s="350"/>
      <c r="H8" s="351" t="s">
        <v>193</v>
      </c>
      <c r="I8" s="352">
        <f>Current_Price</f>
        <v>286.76</v>
      </c>
    </row>
    <row r="9" spans="1:12" ht="13" x14ac:dyDescent="0.3">
      <c r="A9" s="36"/>
      <c r="B9" s="39" t="s">
        <v>194</v>
      </c>
      <c r="C9" s="303">
        <f>Risk_Free_Rate</f>
        <v>4.0350000000000004E-2</v>
      </c>
      <c r="D9" s="40"/>
      <c r="E9" s="41"/>
      <c r="F9" s="41"/>
      <c r="G9" s="41"/>
      <c r="H9" s="41"/>
      <c r="I9" s="41"/>
      <c r="L9" s="307"/>
    </row>
    <row r="10" spans="1:12" ht="14.5" x14ac:dyDescent="0.35">
      <c r="A10" s="36"/>
      <c r="B10" s="39" t="s">
        <v>27</v>
      </c>
      <c r="C10" s="303">
        <f>Equity_Risk_Premium</f>
        <v>7.1199999999999999E-2</v>
      </c>
      <c r="D10" s="40"/>
      <c r="E10" s="41"/>
      <c r="F10" s="41"/>
      <c r="G10" s="41"/>
      <c r="H10" s="41"/>
      <c r="I10" s="41"/>
      <c r="L10" s="308"/>
    </row>
    <row r="11" spans="1:12" ht="14.5" x14ac:dyDescent="0.35">
      <c r="A11" s="36"/>
      <c r="B11" s="39" t="s">
        <v>29</v>
      </c>
      <c r="C11" s="303">
        <f>Country_RP</f>
        <v>0</v>
      </c>
      <c r="D11" s="40"/>
      <c r="E11" s="41"/>
      <c r="F11" s="41"/>
      <c r="G11" s="41"/>
      <c r="H11" s="41"/>
      <c r="I11" s="41"/>
      <c r="L11" s="308"/>
    </row>
    <row r="12" spans="1:12" ht="14.5" x14ac:dyDescent="0.35">
      <c r="A12" s="36"/>
      <c r="B12" s="39" t="s">
        <v>30</v>
      </c>
      <c r="C12" s="303">
        <f>Size_RP</f>
        <v>0</v>
      </c>
      <c r="D12" s="42"/>
      <c r="E12" s="41"/>
      <c r="F12" s="41"/>
      <c r="G12" s="41"/>
      <c r="H12" s="41"/>
      <c r="I12" s="41"/>
      <c r="L12" s="309"/>
    </row>
    <row r="13" spans="1:12" ht="14.5" x14ac:dyDescent="0.3">
      <c r="A13" s="36"/>
      <c r="B13" s="43" t="s">
        <v>31</v>
      </c>
      <c r="C13" s="300">
        <f>Equity_Beta</f>
        <v>1.0269999999999999</v>
      </c>
      <c r="D13" s="44"/>
      <c r="E13" s="41"/>
      <c r="F13" s="41"/>
      <c r="G13" s="41"/>
      <c r="H13" s="41"/>
      <c r="I13" s="41"/>
      <c r="L13" s="310"/>
    </row>
    <row r="14" spans="1:12" ht="13" x14ac:dyDescent="0.3">
      <c r="A14" s="36"/>
      <c r="B14" s="45" t="s">
        <v>33</v>
      </c>
      <c r="C14" s="46">
        <f>Cost_of_Equity</f>
        <v>0.1134724</v>
      </c>
      <c r="D14" s="40"/>
      <c r="E14" s="41"/>
      <c r="F14" s="41"/>
      <c r="G14" s="41"/>
      <c r="H14" s="41"/>
      <c r="I14" s="41"/>
    </row>
    <row r="15" spans="1:12" ht="5.5" customHeight="1" x14ac:dyDescent="0.25">
      <c r="A15" s="41"/>
      <c r="B15" s="41"/>
      <c r="C15" s="41"/>
      <c r="D15" s="41"/>
      <c r="E15" s="41"/>
      <c r="F15" s="41"/>
      <c r="G15" s="41"/>
      <c r="H15" s="41"/>
      <c r="I15" s="41"/>
    </row>
    <row r="16" spans="1:12" ht="13" x14ac:dyDescent="0.25">
      <c r="A16" s="79"/>
      <c r="B16" s="79" t="s">
        <v>21</v>
      </c>
      <c r="C16" s="79"/>
      <c r="D16" s="40"/>
      <c r="E16" s="41"/>
      <c r="F16" s="41"/>
      <c r="G16" s="41"/>
      <c r="H16" s="41"/>
      <c r="I16" s="41"/>
    </row>
    <row r="17" spans="1:12" ht="13" x14ac:dyDescent="0.3">
      <c r="A17" s="36"/>
      <c r="B17" s="39" t="s">
        <v>24</v>
      </c>
      <c r="C17" s="299">
        <f>Tax_Rate</f>
        <v>0.2883</v>
      </c>
      <c r="D17" s="40"/>
      <c r="E17" s="41"/>
      <c r="F17" s="41"/>
      <c r="G17" s="41"/>
      <c r="H17" s="41"/>
      <c r="I17" s="41"/>
    </row>
    <row r="18" spans="1:12" ht="13" x14ac:dyDescent="0.3">
      <c r="A18" s="36"/>
      <c r="B18" s="43" t="s">
        <v>23</v>
      </c>
      <c r="C18" s="300">
        <f>Debt_Adj_Factor</f>
        <v>1.38</v>
      </c>
      <c r="D18" s="40"/>
      <c r="E18" s="41"/>
      <c r="F18" s="41"/>
      <c r="G18" s="41"/>
      <c r="H18" s="41"/>
      <c r="I18" s="41"/>
    </row>
    <row r="19" spans="1:12" ht="13" x14ac:dyDescent="0.3">
      <c r="A19" s="36"/>
      <c r="B19" s="45" t="s">
        <v>25</v>
      </c>
      <c r="C19" s="46">
        <f>Cost_of_Debt</f>
        <v>3.96295911E-2</v>
      </c>
      <c r="D19" s="40"/>
      <c r="E19" s="41"/>
      <c r="F19" s="41"/>
      <c r="G19" s="41"/>
      <c r="H19" s="41"/>
      <c r="I19" s="41"/>
    </row>
    <row r="20" spans="1:12" ht="5.5" customHeight="1" x14ac:dyDescent="0.25">
      <c r="A20" s="41"/>
      <c r="B20" s="41"/>
      <c r="C20" s="41"/>
      <c r="D20" s="41"/>
      <c r="E20" s="41"/>
      <c r="F20" s="41"/>
      <c r="G20" s="41"/>
      <c r="H20" s="41"/>
      <c r="I20" s="41"/>
    </row>
    <row r="21" spans="1:12" ht="13" x14ac:dyDescent="0.25">
      <c r="A21" s="79"/>
      <c r="B21" s="79" t="s">
        <v>195</v>
      </c>
      <c r="C21" s="79"/>
      <c r="D21" s="79"/>
      <c r="E21" s="41"/>
      <c r="F21" s="41"/>
      <c r="G21" s="41"/>
      <c r="H21" s="41"/>
      <c r="I21" s="41"/>
    </row>
    <row r="22" spans="1:12" ht="13" x14ac:dyDescent="0.3">
      <c r="A22" s="36"/>
      <c r="B22" s="45" t="str">
        <f>Assumptions!$A$25</f>
        <v>Equity Shares Outstanding (M)</v>
      </c>
      <c r="C22" s="318">
        <f>Shares_Out</f>
        <v>122.7765</v>
      </c>
      <c r="D22" s="40"/>
      <c r="E22" s="41"/>
      <c r="F22" s="41"/>
      <c r="G22" s="41"/>
      <c r="H22" s="41"/>
      <c r="I22" s="41"/>
    </row>
    <row r="23" spans="1:12" ht="13" x14ac:dyDescent="0.3">
      <c r="A23" s="36"/>
      <c r="B23" s="47" t="str">
        <f>Assumptions!$A$26</f>
        <v>Company Capitalization ($M)</v>
      </c>
      <c r="C23" s="48"/>
      <c r="D23" s="39"/>
      <c r="E23" s="41"/>
      <c r="F23" s="41"/>
      <c r="G23" s="41"/>
      <c r="H23" s="49"/>
      <c r="I23" s="50"/>
    </row>
    <row r="24" spans="1:12" ht="13" x14ac:dyDescent="0.3">
      <c r="A24" s="36"/>
      <c r="B24" s="51" t="s">
        <v>35</v>
      </c>
      <c r="C24" s="187">
        <f>Equity_MV</f>
        <v>35207.389139999999</v>
      </c>
      <c r="D24" s="171">
        <f>C24/C$26</f>
        <v>0.96021167038985245</v>
      </c>
      <c r="E24" s="52"/>
      <c r="F24" s="41"/>
      <c r="G24" s="41"/>
      <c r="H24" s="41"/>
      <c r="I24" s="41"/>
    </row>
    <row r="25" spans="1:12" ht="13" x14ac:dyDescent="0.3">
      <c r="A25" s="36"/>
      <c r="B25" s="51" t="s">
        <v>36</v>
      </c>
      <c r="C25" s="319">
        <f>Debt_MV</f>
        <v>1458.89</v>
      </c>
      <c r="D25" s="171">
        <f>C25/C$26</f>
        <v>3.9788329610147624E-2</v>
      </c>
      <c r="E25" s="41"/>
      <c r="F25" s="41"/>
      <c r="G25" s="41"/>
      <c r="H25" s="41"/>
      <c r="I25" s="41"/>
    </row>
    <row r="26" spans="1:12" ht="13.5" thickBot="1" x14ac:dyDescent="0.35">
      <c r="A26" s="36"/>
      <c r="B26" s="45" t="s">
        <v>37</v>
      </c>
      <c r="C26" s="186">
        <f>Total_Capitalization</f>
        <v>36666.279139999999</v>
      </c>
      <c r="D26" s="53">
        <f>D24+D25</f>
        <v>1</v>
      </c>
      <c r="E26" s="41"/>
      <c r="F26" s="41"/>
      <c r="G26" s="41"/>
      <c r="H26" s="41"/>
      <c r="I26" s="41"/>
    </row>
    <row r="27" spans="1:12" ht="13.5" thickBot="1" x14ac:dyDescent="0.35">
      <c r="A27" s="36"/>
      <c r="B27" s="83" t="s">
        <v>38</v>
      </c>
      <c r="C27" s="84"/>
      <c r="D27" s="84">
        <f>IF(ISNUMBER(WACC_Override),WACC_Override,WACC)</f>
        <v>0.11053431798014768</v>
      </c>
      <c r="E27" s="41"/>
      <c r="F27" s="41"/>
      <c r="G27" s="41"/>
      <c r="H27" s="41"/>
      <c r="I27" s="41"/>
      <c r="K27" s="317" t="s">
        <v>196</v>
      </c>
      <c r="L27" s="349"/>
    </row>
    <row r="28" spans="1:12" x14ac:dyDescent="0.25">
      <c r="A28" s="41"/>
      <c r="B28" s="41"/>
      <c r="C28" s="41"/>
      <c r="D28" s="41"/>
      <c r="E28" s="41"/>
      <c r="F28" s="41"/>
      <c r="G28" s="41"/>
      <c r="H28" s="41"/>
      <c r="I28" s="41"/>
    </row>
    <row r="29" spans="1:12" ht="13" x14ac:dyDescent="0.3">
      <c r="A29" s="79"/>
      <c r="B29" s="79" t="str">
        <f>"Discounted Cash Flows ($"&amp;Scale_Symbol&amp;")"</f>
        <v>Discounted Cash Flows ($M)</v>
      </c>
      <c r="C29" s="80"/>
      <c r="D29" s="77"/>
      <c r="E29" s="77"/>
      <c r="F29" s="77"/>
      <c r="G29" s="81"/>
      <c r="H29" s="81"/>
      <c r="I29" s="82"/>
    </row>
    <row r="30" spans="1:12" ht="14.5" x14ac:dyDescent="0.3">
      <c r="A30" s="38"/>
      <c r="B30" s="54"/>
      <c r="C30" s="55"/>
      <c r="D30" s="56" t="s">
        <v>197</v>
      </c>
      <c r="E30" s="57" t="s">
        <v>49</v>
      </c>
      <c r="F30" s="57"/>
      <c r="G30" s="57"/>
      <c r="H30" s="57"/>
      <c r="I30" s="57"/>
    </row>
    <row r="31" spans="1:12" ht="13.5" thickBot="1" x14ac:dyDescent="0.35">
      <c r="A31" s="38"/>
      <c r="B31" s="58" t="s">
        <v>198</v>
      </c>
      <c r="C31" s="59"/>
      <c r="D31" s="455">
        <f ca="1">Financials!I6</f>
        <v>45322</v>
      </c>
      <c r="E31" s="455">
        <f ca="1">EOMONTH(D31,12)</f>
        <v>45688</v>
      </c>
      <c r="F31" s="455">
        <f t="shared" ref="F31:I31" ca="1" si="0">EOMONTH(E31,12)</f>
        <v>46053</v>
      </c>
      <c r="G31" s="455">
        <f t="shared" ca="1" si="0"/>
        <v>46418</v>
      </c>
      <c r="H31" s="455">
        <f t="shared" ca="1" si="0"/>
        <v>46783</v>
      </c>
      <c r="I31" s="455">
        <f t="shared" ca="1" si="0"/>
        <v>47149</v>
      </c>
    </row>
    <row r="32" spans="1:12" ht="7.5" customHeight="1" x14ac:dyDescent="0.3">
      <c r="A32" s="38"/>
      <c r="B32" s="36"/>
      <c r="C32" s="38"/>
      <c r="D32" s="44"/>
      <c r="E32" s="44"/>
      <c r="F32" s="44"/>
      <c r="G32" s="44"/>
      <c r="H32" s="44"/>
      <c r="I32" s="44"/>
    </row>
    <row r="33" spans="1:13" ht="13" x14ac:dyDescent="0.3">
      <c r="A33" s="38"/>
      <c r="B33" s="60" t="s">
        <v>72</v>
      </c>
      <c r="C33" s="61"/>
      <c r="D33" s="62">
        <f ca="1">INDEX(Financials!$30:$30,MATCH(D$31,Financials!$6:$6,0))</f>
        <v>2132.6999999999994</v>
      </c>
      <c r="E33" s="62">
        <f ca="1">INDEX(Financials!$30:$30,MATCH(E$31,Financials!$6:$6,0))</f>
        <v>2377.4792705694645</v>
      </c>
      <c r="F33" s="62">
        <f ca="1">INDEX(Financials!$30:$30,MATCH(F$31,Financials!$6:$6,0))</f>
        <v>2729.1282083091046</v>
      </c>
      <c r="G33" s="62">
        <f ca="1">INDEX(Financials!$30:$30,MATCH(G$31,Financials!$6:$6,0))</f>
        <v>3115.9591847333004</v>
      </c>
      <c r="H33" s="62">
        <f ca="1">INDEX(Financials!$30:$30,MATCH(H$31,Financials!$6:$6,0))</f>
        <v>3584.6630474970234</v>
      </c>
      <c r="I33" s="62">
        <f ca="1">INDEX(Financials!$30:$30,MATCH(I$31,Financials!$6:$6,0))</f>
        <v>3981.1172738490823</v>
      </c>
    </row>
    <row r="34" spans="1:13" ht="13" x14ac:dyDescent="0.3">
      <c r="A34" s="38"/>
      <c r="B34" s="64" t="s">
        <v>199</v>
      </c>
      <c r="C34" s="38"/>
      <c r="D34" s="65">
        <f ca="1">MIN(0,-$C$17*D33)</f>
        <v>-614.85740999999985</v>
      </c>
      <c r="E34" s="65">
        <f t="shared" ref="E34:I34" ca="1" si="1">MIN(0,-$C$17*E33)</f>
        <v>-685.42727370517662</v>
      </c>
      <c r="F34" s="65">
        <f t="shared" ca="1" si="1"/>
        <v>-786.8076624555149</v>
      </c>
      <c r="G34" s="65">
        <f t="shared" ca="1" si="1"/>
        <v>-898.33103295861054</v>
      </c>
      <c r="H34" s="65">
        <f t="shared" ca="1" si="1"/>
        <v>-1033.458356593392</v>
      </c>
      <c r="I34" s="65">
        <f t="shared" ca="1" si="1"/>
        <v>-1147.7561100506905</v>
      </c>
    </row>
    <row r="35" spans="1:13" ht="13" x14ac:dyDescent="0.3">
      <c r="A35" s="38"/>
      <c r="B35" s="60" t="s">
        <v>200</v>
      </c>
      <c r="C35" s="61"/>
      <c r="D35" s="62">
        <f ca="1">D33+D34</f>
        <v>1517.8425899999995</v>
      </c>
      <c r="E35" s="62">
        <f t="shared" ref="E35:I35" ca="1" si="2">E33+E34</f>
        <v>1692.051996864288</v>
      </c>
      <c r="F35" s="62">
        <f t="shared" ca="1" si="2"/>
        <v>1942.3205458535897</v>
      </c>
      <c r="G35" s="62">
        <f t="shared" ca="1" si="2"/>
        <v>2217.6281517746897</v>
      </c>
      <c r="H35" s="62">
        <f t="shared" ca="1" si="2"/>
        <v>2551.2046909036317</v>
      </c>
      <c r="I35" s="62">
        <f t="shared" ca="1" si="2"/>
        <v>2833.3611637983918</v>
      </c>
      <c r="L35" s="306"/>
    </row>
    <row r="36" spans="1:13" ht="13" x14ac:dyDescent="0.3">
      <c r="A36" s="38"/>
      <c r="B36" s="63" t="s">
        <v>201</v>
      </c>
      <c r="C36" s="38"/>
      <c r="D36" s="65">
        <f ca="1">INDEX(Financials!$110:$110,MATCH(D$31,Financials!$6:$6,0))</f>
        <v>202.7</v>
      </c>
      <c r="E36" s="65">
        <f ca="1">INDEX(Financials!$110:$110,MATCH(E$31,Financials!$6:$6,0))</f>
        <v>-70.749453927209743</v>
      </c>
      <c r="F36" s="65">
        <f ca="1">INDEX(Financials!$110:$110,MATCH(F$31,Financials!$6:$6,0))</f>
        <v>-29.998979162014166</v>
      </c>
      <c r="G36" s="65">
        <f ca="1">INDEX(Financials!$110:$110,MATCH(G$31,Financials!$6:$6,0))</f>
        <v>-38.043455118680413</v>
      </c>
      <c r="H36" s="65">
        <f ca="1">INDEX(Financials!$110:$110,MATCH(H$31,Financials!$6:$6,0))</f>
        <v>-75.662616252768203</v>
      </c>
      <c r="I36" s="65">
        <f ca="1">INDEX(Financials!$110:$110,MATCH(I$31,Financials!$6:$6,0))</f>
        <v>28.687113844854139</v>
      </c>
    </row>
    <row r="37" spans="1:13" ht="13" x14ac:dyDescent="0.3">
      <c r="A37" s="38"/>
      <c r="B37" s="63" t="s">
        <v>202</v>
      </c>
      <c r="C37" s="38"/>
      <c r="D37" s="65">
        <f ca="1">INDEX(Financials!$112:$112,MATCH(D$31,Financials!$6:$6,0))</f>
        <v>379.4</v>
      </c>
      <c r="E37" s="65">
        <f ca="1">INDEX(Financials!$112:$112,MATCH(E$31,Financials!$6:$6,0))</f>
        <v>409.901162446466</v>
      </c>
      <c r="F37" s="65">
        <f ca="1">INDEX(Financials!$112:$112,MATCH(F$31,Financials!$6:$6,0))</f>
        <v>448.41516069089624</v>
      </c>
      <c r="G37" s="65">
        <f ca="1">INDEX(Financials!$112:$112,MATCH(G$31,Financials!$6:$6,0))</f>
        <v>474.43203517670105</v>
      </c>
      <c r="H37" s="65">
        <f ca="1">INDEX(Financials!$112:$112,MATCH(H$31,Financials!$6:$6,0))</f>
        <v>480.97925049717708</v>
      </c>
      <c r="I37" s="65">
        <f ca="1">INDEX(Financials!$112:$112,MATCH(I$31,Financials!$6:$6,0))</f>
        <v>484.45147060087299</v>
      </c>
      <c r="L37" s="311"/>
    </row>
    <row r="38" spans="1:13" ht="13" x14ac:dyDescent="0.3">
      <c r="A38" s="38"/>
      <c r="B38" s="63" t="s">
        <v>203</v>
      </c>
      <c r="C38" s="38"/>
      <c r="D38" s="65">
        <f ca="1">INDEX(Financials!$116:$116,MATCH(D$31,Financials!$6:$6,0))</f>
        <v>-651.9</v>
      </c>
      <c r="E38" s="65">
        <f ca="1">INDEX(Financials!$116:$116,MATCH(E$31,Financials!$6:$6,0))</f>
        <v>-899.40454999999997</v>
      </c>
      <c r="F38" s="65">
        <f ca="1">INDEX(Financials!$116:$116,MATCH(F$31,Financials!$6:$6,0))</f>
        <v>-872.95147500000007</v>
      </c>
      <c r="G38" s="65">
        <f ca="1">INDEX(Financials!$116:$116,MATCH(G$31,Financials!$6:$6,0))</f>
        <v>-761.2136862000001</v>
      </c>
      <c r="H38" s="65">
        <f ca="1">INDEX(Financials!$116:$116,MATCH(H$31,Financials!$6:$6,0))</f>
        <v>-553.14861197200014</v>
      </c>
      <c r="I38" s="65">
        <f ca="1">INDEX(Financials!$116:$116,MATCH(I$31,Financials!$6:$6,0))</f>
        <v>-522.72543831354017</v>
      </c>
      <c r="L38" s="306"/>
      <c r="M38" s="306"/>
    </row>
    <row r="39" spans="1:13" ht="27" customHeight="1" x14ac:dyDescent="0.3">
      <c r="A39" s="38"/>
      <c r="B39" s="66" t="s">
        <v>204</v>
      </c>
      <c r="C39" s="61"/>
      <c r="D39" s="62">
        <f t="shared" ref="D39" ca="1" si="3">SUM(D35:D38)</f>
        <v>1448.0425899999996</v>
      </c>
      <c r="E39" s="62">
        <f t="shared" ref="E39:I39" ca="1" si="4">SUM(E35:E38)</f>
        <v>1131.7991553835443</v>
      </c>
      <c r="F39" s="62">
        <f t="shared" ca="1" si="4"/>
        <v>1487.7852523824715</v>
      </c>
      <c r="G39" s="62">
        <f t="shared" ca="1" si="4"/>
        <v>1892.8030456327101</v>
      </c>
      <c r="H39" s="62">
        <f t="shared" ca="1" si="4"/>
        <v>2403.3727131760402</v>
      </c>
      <c r="I39" s="62">
        <f t="shared" ca="1" si="4"/>
        <v>2823.774309930579</v>
      </c>
      <c r="L39" s="312"/>
    </row>
    <row r="40" spans="1:13" ht="6" hidden="1" customHeight="1" x14ac:dyDescent="0.3">
      <c r="A40" s="38"/>
      <c r="B40" s="67" t="s">
        <v>205</v>
      </c>
      <c r="C40" s="38"/>
      <c r="D40" s="419">
        <f t="shared" ref="D40:I40" si="5">(1+$D$27)^D41</f>
        <v>1</v>
      </c>
      <c r="E40" s="419">
        <f t="shared" ca="1" si="5"/>
        <v>1.0677202755021034</v>
      </c>
      <c r="F40" s="419">
        <f t="shared" ca="1" si="5"/>
        <v>1.1857400079483038</v>
      </c>
      <c r="G40" s="419">
        <f t="shared" ca="1" si="5"/>
        <v>1.3168049710286445</v>
      </c>
      <c r="H40" s="419">
        <f t="shared" ca="1" si="5"/>
        <v>1.4623571104141637</v>
      </c>
      <c r="I40" s="419">
        <f t="shared" ca="1" si="5"/>
        <v>1.6239977562572128</v>
      </c>
    </row>
    <row r="41" spans="1:13" ht="0.75" customHeight="1" x14ac:dyDescent="0.3">
      <c r="A41" s="38"/>
      <c r="B41" s="67" t="s">
        <v>206</v>
      </c>
      <c r="C41" s="38"/>
      <c r="D41" s="420">
        <v>0</v>
      </c>
      <c r="E41" s="420">
        <f ca="1">YEARFRAC(TODAY(),E$31)</f>
        <v>0.625</v>
      </c>
      <c r="F41" s="420">
        <f ca="1">E41+1</f>
        <v>1.625</v>
      </c>
      <c r="G41" s="420">
        <f ca="1">F41+1</f>
        <v>2.625</v>
      </c>
      <c r="H41" s="420">
        <f ca="1">G41+1</f>
        <v>3.625</v>
      </c>
      <c r="I41" s="420">
        <f ca="1">H41+1</f>
        <v>4.625</v>
      </c>
    </row>
    <row r="42" spans="1:13" ht="1.75" hidden="1" customHeight="1" x14ac:dyDescent="0.3">
      <c r="A42" s="38"/>
      <c r="B42" s="39"/>
      <c r="C42" s="38"/>
      <c r="D42" s="68"/>
      <c r="E42" s="68"/>
      <c r="F42" s="68"/>
      <c r="G42" s="68"/>
      <c r="H42" s="68"/>
      <c r="I42" s="68"/>
    </row>
    <row r="43" spans="1:13" ht="23.25" customHeight="1" x14ac:dyDescent="0.3">
      <c r="A43" s="38"/>
      <c r="B43" s="69" t="s">
        <v>207</v>
      </c>
      <c r="C43" s="61"/>
      <c r="D43" s="70"/>
      <c r="E43" s="70">
        <f t="shared" ref="E43:I43" ca="1" si="6">E39/E40</f>
        <v>1060.0146699015409</v>
      </c>
      <c r="F43" s="70">
        <f t="shared" ca="1" si="6"/>
        <v>1254.7314271336759</v>
      </c>
      <c r="G43" s="70">
        <f t="shared" ca="1" si="6"/>
        <v>1437.4209448450936</v>
      </c>
      <c r="H43" s="70">
        <f t="shared" ca="1" si="6"/>
        <v>1643.4923426435594</v>
      </c>
      <c r="I43" s="70">
        <f t="shared" ca="1" si="6"/>
        <v>1738.7796867641378</v>
      </c>
    </row>
    <row r="44" spans="1:13" ht="14.5" x14ac:dyDescent="0.35">
      <c r="A44" s="38"/>
      <c r="B44" s="39"/>
      <c r="C44" s="38"/>
      <c r="D44" s="41"/>
      <c r="E44" s="71"/>
      <c r="F44" s="71"/>
      <c r="G44" s="71"/>
      <c r="H44" s="71"/>
      <c r="I44" s="72" t="s">
        <v>208</v>
      </c>
    </row>
    <row r="45" spans="1:13" ht="13" x14ac:dyDescent="0.25">
      <c r="A45" s="41"/>
      <c r="B45" s="177" t="s">
        <v>209</v>
      </c>
      <c r="C45" s="178" t="s">
        <v>210</v>
      </c>
      <c r="D45" s="179" t="s">
        <v>211</v>
      </c>
      <c r="E45" s="41"/>
      <c r="F45" s="41"/>
      <c r="G45" s="41"/>
      <c r="H45" s="41"/>
      <c r="I45" s="41"/>
    </row>
    <row r="46" spans="1:13" ht="13" x14ac:dyDescent="0.25">
      <c r="A46" s="41"/>
      <c r="B46" s="73" t="s">
        <v>220</v>
      </c>
      <c r="C46" s="488"/>
      <c r="D46" s="74"/>
      <c r="E46" s="41"/>
      <c r="F46" s="41"/>
      <c r="G46" s="41"/>
      <c r="H46" s="41"/>
      <c r="I46" s="41"/>
    </row>
    <row r="47" spans="1:13" ht="13" x14ac:dyDescent="0.25">
      <c r="A47" s="41"/>
      <c r="B47" s="73" t="s">
        <v>221</v>
      </c>
      <c r="C47" s="488"/>
      <c r="D47" s="74"/>
      <c r="E47" s="41"/>
      <c r="F47" s="41"/>
      <c r="G47" s="41"/>
      <c r="H47" s="41"/>
      <c r="I47" s="41"/>
    </row>
    <row r="48" spans="1:13" ht="13" x14ac:dyDescent="0.25">
      <c r="A48" s="41"/>
      <c r="B48" s="73" t="s">
        <v>222</v>
      </c>
      <c r="C48" s="490">
        <f>IFERROR(C47/2,0)</f>
        <v>0</v>
      </c>
      <c r="D48" s="74"/>
      <c r="E48" s="41"/>
      <c r="F48" s="41"/>
      <c r="G48" s="41"/>
      <c r="H48" s="41"/>
      <c r="I48" s="41"/>
    </row>
    <row r="49" spans="1:12" ht="13" x14ac:dyDescent="0.25">
      <c r="A49" s="41"/>
      <c r="B49" s="73" t="s">
        <v>43</v>
      </c>
      <c r="C49" s="320">
        <f>Terminal_Rate</f>
        <v>2.5000000000000001E-2</v>
      </c>
      <c r="D49" s="74"/>
      <c r="E49" s="41"/>
      <c r="F49" s="41"/>
      <c r="G49" s="41"/>
      <c r="H49" s="41"/>
      <c r="I49" s="41"/>
    </row>
    <row r="50" spans="1:12" ht="13" x14ac:dyDescent="0.25">
      <c r="A50" s="41"/>
      <c r="B50" s="73" t="s">
        <v>212</v>
      </c>
      <c r="C50" s="489">
        <f ca="1">((I39*(1+C49))+(I39*C48*(C46-C49)))/(D27-C49)</f>
        <v>33838.682952386662</v>
      </c>
      <c r="D50" s="188">
        <f ca="1">C50/Shares_Out</f>
        <v>275.61205077833836</v>
      </c>
      <c r="E50" s="165"/>
      <c r="F50" s="41"/>
      <c r="G50" s="41"/>
      <c r="H50" s="41"/>
      <c r="I50" s="41"/>
      <c r="L50" s="413"/>
    </row>
    <row r="51" spans="1:12" ht="13" x14ac:dyDescent="0.25">
      <c r="A51" s="41"/>
      <c r="B51" s="73" t="s">
        <v>213</v>
      </c>
      <c r="C51" s="172">
        <f ca="1">C50/I$40</f>
        <v>20836.656221972764</v>
      </c>
      <c r="D51" s="188">
        <f ca="1">C51/Shares_Out</f>
        <v>169.71208840431814</v>
      </c>
      <c r="E51" s="41"/>
      <c r="F51" s="41"/>
      <c r="G51" s="41"/>
      <c r="H51" s="41"/>
      <c r="I51" s="41"/>
    </row>
    <row r="52" spans="1:12" ht="13" x14ac:dyDescent="0.25">
      <c r="A52" s="41"/>
      <c r="B52" s="73" t="s">
        <v>214</v>
      </c>
      <c r="C52" s="172">
        <f ca="1">SUM(D$43:I$43)</f>
        <v>7134.4390712880067</v>
      </c>
      <c r="D52" s="188">
        <f ca="1">C52/Shares_Out</f>
        <v>58.109158277748648</v>
      </c>
      <c r="E52" s="41"/>
      <c r="F52" s="41"/>
      <c r="G52" s="41"/>
      <c r="H52" s="41"/>
      <c r="I52" s="41"/>
    </row>
    <row r="53" spans="1:12" ht="13" x14ac:dyDescent="0.25">
      <c r="A53" s="41"/>
      <c r="B53" s="75" t="s">
        <v>215</v>
      </c>
      <c r="C53" s="173">
        <f ca="1">C51+C52</f>
        <v>27971.095293260769</v>
      </c>
      <c r="D53" s="189">
        <f ca="1">D51+D52</f>
        <v>227.82124668206677</v>
      </c>
      <c r="E53" s="165"/>
      <c r="F53" s="165"/>
      <c r="G53" s="41"/>
      <c r="H53" s="41"/>
      <c r="I53" s="41"/>
    </row>
    <row r="54" spans="1:12" ht="13" x14ac:dyDescent="0.25">
      <c r="A54" s="41"/>
      <c r="B54" s="106" t="s">
        <v>216</v>
      </c>
      <c r="C54" s="174">
        <f ca="1" xml:space="preserve"> SUMIF(BS_Start:BS_End,"NOA",OFFSET(BS_Start,0,MATCH($D$31,Financials!$6:$6,0)-COLUMN(BS_Start))) -
   SUMIF(BS_Start:BS_End,"NOL",OFFSET(BS_Start,0,MATCH($D$31,Financials!$6:$6,0)-COLUMN(BS_Start)))</f>
        <v>-65.399999999999991</v>
      </c>
      <c r="D54" s="190">
        <f ca="1">C54/Shares_Out</f>
        <v>-0.53267522693675085</v>
      </c>
      <c r="E54" s="41"/>
      <c r="F54" s="41"/>
      <c r="G54" s="41"/>
      <c r="H54" s="41"/>
      <c r="I54" s="41"/>
    </row>
    <row r="55" spans="1:12" ht="13" x14ac:dyDescent="0.25">
      <c r="A55" s="41"/>
      <c r="B55" s="168" t="s">
        <v>182</v>
      </c>
      <c r="C55" s="175">
        <f ca="1">C53+C54</f>
        <v>27905.695293260767</v>
      </c>
      <c r="D55" s="191">
        <f ca="1">D53+D54</f>
        <v>227.28857145513001</v>
      </c>
      <c r="E55" s="41"/>
      <c r="F55" s="41"/>
      <c r="G55" s="41"/>
      <c r="H55" s="41"/>
      <c r="I55" s="41"/>
    </row>
    <row r="56" spans="1:12" ht="13.5" thickBot="1" x14ac:dyDescent="0.3">
      <c r="A56" s="41"/>
      <c r="B56" s="167" t="s">
        <v>217</v>
      </c>
      <c r="C56" s="174">
        <f ca="1" xml:space="preserve"> SUMIF(BS_Start:BS_End,"Cash",OFFSET(BS_Start,0,MATCH($D$31,Financials!$6:$6,0)-COLUMN(BS_Start))) -
   SUMIF(BS_Start:BS_End,"FC",OFFSET(BS_Start,0,MATCH($D$31,Financials!$6:$6,0)-COLUMN(BS_Start)))</f>
        <v>840.7</v>
      </c>
      <c r="D56" s="188">
        <f ca="1">C56/Shares_Out</f>
        <v>6.8474015792924545</v>
      </c>
      <c r="E56" s="41"/>
      <c r="F56" s="41"/>
      <c r="G56" s="41"/>
      <c r="H56" s="41"/>
      <c r="I56" s="41"/>
    </row>
    <row r="57" spans="1:12" ht="14" thickTop="1" thickBot="1" x14ac:dyDescent="0.3">
      <c r="A57" s="41"/>
      <c r="B57" s="105" t="s">
        <v>218</v>
      </c>
      <c r="C57" s="176">
        <f ca="1">C55+C56</f>
        <v>28746.395293260768</v>
      </c>
      <c r="D57" s="192">
        <f ca="1">C57/Shares_Out</f>
        <v>234.13597303442245</v>
      </c>
      <c r="E57" s="41"/>
      <c r="F57" s="41"/>
      <c r="G57" s="41"/>
      <c r="H57" s="41"/>
      <c r="I57" s="41"/>
    </row>
    <row r="58" spans="1:12" ht="13" thickTop="1" x14ac:dyDescent="0.25"/>
    <row r="59" spans="1:12" x14ac:dyDescent="0.25">
      <c r="C59" s="313" t="s">
        <v>219</v>
      </c>
      <c r="D59" s="314"/>
      <c r="E59" s="314"/>
      <c r="F59" s="314"/>
      <c r="G59" s="315"/>
    </row>
    <row r="60" spans="1:12" ht="13" x14ac:dyDescent="0.25">
      <c r="B60" s="347">
        <f ca="1">$D$57</f>
        <v>234.13597303442245</v>
      </c>
      <c r="C60" s="321">
        <v>0.01</v>
      </c>
      <c r="D60" s="321">
        <f>C60+0.5%</f>
        <v>1.4999999999999999E-2</v>
      </c>
      <c r="E60" s="322">
        <f>Terminal_Rate</f>
        <v>2.5000000000000001E-2</v>
      </c>
      <c r="F60" s="321">
        <f>E60+0.5%</f>
        <v>3.0000000000000002E-2</v>
      </c>
      <c r="G60" s="321">
        <f>F60+0.5%</f>
        <v>3.5000000000000003E-2</v>
      </c>
      <c r="H60" s="316" t="s">
        <v>43</v>
      </c>
    </row>
    <row r="61" spans="1:12" x14ac:dyDescent="0.25">
      <c r="B61" s="345">
        <f>B62-1%</f>
        <v>8.0534317980147693E-2</v>
      </c>
      <c r="C61" s="323">
        <f t="dataTable" ref="C61:G67" dt2D="1" dtr="1" r1="C49" r2="D27" ca="1"/>
        <v>299.39452025443416</v>
      </c>
      <c r="D61" s="324">
        <v>318.18230976307984</v>
      </c>
      <c r="E61" s="325">
        <v>365.90717494718564</v>
      </c>
      <c r="F61" s="324">
        <v>396.85264542690533</v>
      </c>
      <c r="G61" s="326">
        <v>434.59419232819607</v>
      </c>
    </row>
    <row r="62" spans="1:12" x14ac:dyDescent="0.25">
      <c r="B62" s="345">
        <f>B63-1%</f>
        <v>9.0534317980147688E-2</v>
      </c>
      <c r="C62" s="327">
        <v>260.73914967568226</v>
      </c>
      <c r="D62" s="328">
        <v>274.54670667412489</v>
      </c>
      <c r="E62" s="329">
        <v>308.48258088825628</v>
      </c>
      <c r="F62" s="328">
        <v>329.65505956939995</v>
      </c>
      <c r="G62" s="330">
        <v>354.64004184313524</v>
      </c>
    </row>
    <row r="63" spans="1:12" x14ac:dyDescent="0.25">
      <c r="B63" s="345">
        <f>B64-1%</f>
        <v>0.10053431798014768</v>
      </c>
      <c r="C63" s="327">
        <v>230.69945703617256</v>
      </c>
      <c r="D63" s="331">
        <v>241.1929021329</v>
      </c>
      <c r="E63" s="332">
        <v>266.34747876769615</v>
      </c>
      <c r="F63" s="333">
        <v>281.59948387776342</v>
      </c>
      <c r="G63" s="330">
        <v>299.17882000769225</v>
      </c>
    </row>
    <row r="64" spans="1:12" ht="13" x14ac:dyDescent="0.25">
      <c r="B64" s="346">
        <f>WACC</f>
        <v>0.11053431798014768</v>
      </c>
      <c r="C64" s="334">
        <v>206.70142441669213</v>
      </c>
      <c r="D64" s="335">
        <v>214.88904206978302</v>
      </c>
      <c r="E64" s="353">
        <v>234.13597303442245</v>
      </c>
      <c r="F64" s="336">
        <v>245.55186671201645</v>
      </c>
      <c r="G64" s="337">
        <v>258.47911231319489</v>
      </c>
    </row>
    <row r="65" spans="2:7" x14ac:dyDescent="0.25">
      <c r="B65" s="345">
        <f t="shared" ref="B65:B67" si="7">B64+1%</f>
        <v>0.12053431798014767</v>
      </c>
      <c r="C65" s="327">
        <v>187.10266434327841</v>
      </c>
      <c r="D65" s="338">
        <v>193.62837302842362</v>
      </c>
      <c r="E65" s="339">
        <v>208.72901485222448</v>
      </c>
      <c r="F65" s="340">
        <v>217.5302958001119</v>
      </c>
      <c r="G65" s="330">
        <v>227.36055332204887</v>
      </c>
    </row>
    <row r="66" spans="2:7" x14ac:dyDescent="0.25">
      <c r="B66" s="345">
        <f t="shared" si="7"/>
        <v>0.13053431798014767</v>
      </c>
      <c r="C66" s="327">
        <v>170.80595269543008</v>
      </c>
      <c r="D66" s="328">
        <v>176.09904447308236</v>
      </c>
      <c r="E66" s="329">
        <v>188.18988316207947</v>
      </c>
      <c r="F66" s="328">
        <v>195.13729589539656</v>
      </c>
      <c r="G66" s="330">
        <v>202.81192507618559</v>
      </c>
    </row>
    <row r="67" spans="2:7" x14ac:dyDescent="0.25">
      <c r="B67" s="345">
        <f t="shared" si="7"/>
        <v>0.14053431798014768</v>
      </c>
      <c r="C67" s="341">
        <v>157.05040147723631</v>
      </c>
      <c r="D67" s="342">
        <v>161.40732333397571</v>
      </c>
      <c r="E67" s="343">
        <v>171.25249891479328</v>
      </c>
      <c r="F67" s="342">
        <v>176.84310382608749</v>
      </c>
      <c r="G67" s="344">
        <v>182.96345157537931</v>
      </c>
    </row>
    <row r="68" spans="2:7" ht="13" x14ac:dyDescent="0.25">
      <c r="B68" s="348" t="s">
        <v>38</v>
      </c>
    </row>
  </sheetData>
  <pageMargins left="0.7" right="0.7" top="0.75" bottom="0.75" header="0.3" footer="0.3"/>
  <pageSetup scale="82"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600FD-228D-41F3-8790-5D73B4B74B78}">
  <sheetPr>
    <tabColor theme="9"/>
    <pageSetUpPr fitToPage="1"/>
  </sheetPr>
  <dimension ref="A1:Z35"/>
  <sheetViews>
    <sheetView showGridLines="0" zoomScaleNormal="100" workbookViewId="0">
      <pane xSplit="2" ySplit="5" topLeftCell="C17" activePane="bottomRight" state="frozen"/>
      <selection pane="topRight" activeCell="C1" sqref="C1"/>
      <selection pane="bottomLeft" activeCell="A6" sqref="A6"/>
      <selection pane="bottomRight"/>
    </sheetView>
  </sheetViews>
  <sheetFormatPr defaultColWidth="8.81640625" defaultRowHeight="14.5" outlineLevelCol="1" x14ac:dyDescent="0.35"/>
  <cols>
    <col min="1" max="1" width="18.453125" customWidth="1"/>
    <col min="2" max="2" width="8.1796875" customWidth="1"/>
    <col min="3" max="3" width="1.1796875" customWidth="1"/>
    <col min="4" max="5" width="11.453125" customWidth="1"/>
    <col min="6" max="6" width="1.1796875" customWidth="1"/>
    <col min="7" max="8" width="11.453125" customWidth="1"/>
    <col min="9" max="9" width="1.1796875" customWidth="1"/>
    <col min="10" max="11" width="11.453125" customWidth="1"/>
    <col min="12" max="12" width="1.1796875" customWidth="1"/>
    <col min="13" max="14" width="11.453125" customWidth="1"/>
    <col min="15" max="15" width="1.1796875" customWidth="1"/>
    <col min="16" max="17" width="11.453125" hidden="1" customWidth="1" outlineLevel="1"/>
    <col min="18" max="18" width="1.1796875" hidden="1" customWidth="1" outlineLevel="1"/>
    <col min="19" max="19" width="11.453125" customWidth="1" collapsed="1"/>
    <col min="20" max="20" width="11.453125" customWidth="1"/>
    <col min="21" max="21" width="1.1796875" hidden="1" customWidth="1" outlineLevel="1"/>
    <col min="22" max="23" width="11.453125" hidden="1" customWidth="1" outlineLevel="1"/>
    <col min="24" max="24" width="1.1796875" customWidth="1" collapsed="1"/>
    <col min="25" max="26" width="11.453125" customWidth="1"/>
  </cols>
  <sheetData>
    <row r="1" spans="1:26" ht="26.25" customHeight="1" x14ac:dyDescent="0.35">
      <c r="A1" s="222" t="s">
        <v>223</v>
      </c>
      <c r="B1" s="223"/>
      <c r="C1" s="223"/>
      <c r="D1" s="223"/>
      <c r="E1" s="223"/>
      <c r="F1" s="223"/>
      <c r="G1" s="223"/>
      <c r="H1" s="223"/>
      <c r="I1" s="223"/>
      <c r="J1" s="223"/>
      <c r="K1" s="223"/>
      <c r="L1" s="223"/>
      <c r="M1" s="223"/>
      <c r="N1" s="223"/>
      <c r="O1" s="223"/>
      <c r="P1" s="223"/>
      <c r="Q1" s="223"/>
      <c r="R1" s="223"/>
      <c r="S1" s="223"/>
      <c r="T1" s="223"/>
      <c r="U1" s="223"/>
      <c r="V1" s="223"/>
      <c r="W1" s="223"/>
      <c r="X1" s="223"/>
      <c r="Y1" s="223"/>
      <c r="Z1" s="223"/>
    </row>
    <row r="2" spans="1:26" ht="8.25" customHeight="1" thickBot="1" x14ac:dyDescent="0.4">
      <c r="A2" s="227"/>
      <c r="B2" s="225"/>
      <c r="C2" s="226"/>
      <c r="D2" s="228"/>
      <c r="E2" s="228"/>
      <c r="F2" s="226"/>
      <c r="G2" s="228"/>
      <c r="H2" s="228"/>
      <c r="I2" s="226"/>
      <c r="J2" s="228"/>
      <c r="K2" s="228"/>
      <c r="L2" s="226"/>
      <c r="M2" s="228"/>
      <c r="N2" s="228"/>
      <c r="O2" s="226"/>
      <c r="P2" s="228"/>
      <c r="Q2" s="228"/>
      <c r="R2" s="226"/>
      <c r="S2" s="228"/>
      <c r="T2" s="228"/>
      <c r="U2" s="226"/>
      <c r="V2" s="228"/>
      <c r="W2" s="228"/>
      <c r="X2" s="226"/>
      <c r="Y2" s="228"/>
      <c r="Z2" s="228"/>
    </row>
    <row r="3" spans="1:26" ht="15" thickBot="1" x14ac:dyDescent="0.4">
      <c r="A3" s="271" t="s">
        <v>224</v>
      </c>
      <c r="B3" s="272"/>
      <c r="C3" s="270"/>
      <c r="D3" s="532" t="str">
        <f>Comp_Name</f>
        <v>LULULEMON ATHLETICA INC.</v>
      </c>
      <c r="E3" s="532"/>
      <c r="F3" s="270"/>
      <c r="G3" s="521" t="s">
        <v>304</v>
      </c>
      <c r="H3" s="521"/>
      <c r="I3" s="270"/>
      <c r="J3" s="521" t="s">
        <v>306</v>
      </c>
      <c r="K3" s="521"/>
      <c r="L3" s="270"/>
      <c r="M3" s="521" t="s">
        <v>307</v>
      </c>
      <c r="N3" s="521"/>
      <c r="O3" s="270"/>
      <c r="P3" s="521" t="s">
        <v>318</v>
      </c>
      <c r="Q3" s="521"/>
      <c r="R3" s="270"/>
      <c r="S3" s="521" t="s">
        <v>308</v>
      </c>
      <c r="T3" s="521"/>
      <c r="U3" s="270"/>
      <c r="V3" s="521"/>
      <c r="W3" s="521"/>
      <c r="X3" s="270"/>
      <c r="Y3" s="533" t="s">
        <v>225</v>
      </c>
      <c r="Z3" s="533"/>
    </row>
    <row r="4" spans="1:26" ht="8.25" customHeight="1" thickBot="1" x14ac:dyDescent="0.4">
      <c r="A4" s="227"/>
      <c r="B4" s="225"/>
      <c r="C4" s="226"/>
      <c r="D4" s="228"/>
      <c r="E4" s="228"/>
      <c r="F4" s="226"/>
      <c r="G4" s="228"/>
      <c r="H4" s="228"/>
      <c r="I4" s="226"/>
      <c r="J4" s="228"/>
      <c r="K4" s="228"/>
      <c r="L4" s="226"/>
      <c r="M4" s="228"/>
      <c r="N4" s="228"/>
      <c r="O4" s="226"/>
      <c r="P4" s="228"/>
      <c r="Q4" s="228"/>
      <c r="R4" s="226"/>
      <c r="S4" s="228"/>
      <c r="T4" s="228"/>
      <c r="U4" s="226"/>
      <c r="V4" s="228"/>
      <c r="W4" s="228"/>
      <c r="X4" s="226"/>
      <c r="Y4" s="228"/>
      <c r="Z4" s="228"/>
    </row>
    <row r="5" spans="1:26" ht="15" thickBot="1" x14ac:dyDescent="0.4">
      <c r="A5" s="267"/>
      <c r="B5" s="268" t="s">
        <v>226</v>
      </c>
      <c r="C5" s="269"/>
      <c r="D5" s="268" t="s">
        <v>227</v>
      </c>
      <c r="E5" s="268" t="s">
        <v>228</v>
      </c>
      <c r="F5" s="269"/>
      <c r="G5" s="268" t="s">
        <v>227</v>
      </c>
      <c r="H5" s="268" t="s">
        <v>228</v>
      </c>
      <c r="I5" s="269"/>
      <c r="J5" s="268" t="s">
        <v>227</v>
      </c>
      <c r="K5" s="268" t="s">
        <v>228</v>
      </c>
      <c r="L5" s="269"/>
      <c r="M5" s="268" t="s">
        <v>227</v>
      </c>
      <c r="N5" s="268" t="s">
        <v>228</v>
      </c>
      <c r="O5" s="269"/>
      <c r="P5" s="268" t="s">
        <v>227</v>
      </c>
      <c r="Q5" s="268" t="s">
        <v>228</v>
      </c>
      <c r="R5" s="269"/>
      <c r="S5" s="268" t="s">
        <v>227</v>
      </c>
      <c r="T5" s="268" t="s">
        <v>228</v>
      </c>
      <c r="U5" s="269"/>
      <c r="V5" s="268" t="s">
        <v>227</v>
      </c>
      <c r="W5" s="268" t="s">
        <v>228</v>
      </c>
      <c r="X5" s="269"/>
      <c r="Y5" s="268" t="s">
        <v>227</v>
      </c>
      <c r="Z5" s="268" t="s">
        <v>228</v>
      </c>
    </row>
    <row r="6" spans="1:26" ht="8.25" customHeight="1" thickBot="1" x14ac:dyDescent="0.4">
      <c r="A6" s="227"/>
      <c r="B6" s="225"/>
      <c r="C6" s="226"/>
      <c r="D6" s="228"/>
      <c r="E6" s="228"/>
      <c r="F6" s="226"/>
      <c r="G6" s="228"/>
      <c r="H6" s="228"/>
      <c r="I6" s="226"/>
      <c r="J6" s="228"/>
      <c r="K6" s="228"/>
      <c r="L6" s="226"/>
      <c r="M6" s="228"/>
      <c r="N6" s="228"/>
      <c r="O6" s="226"/>
      <c r="P6" s="228"/>
      <c r="Q6" s="228"/>
      <c r="R6" s="226"/>
      <c r="S6" s="228"/>
      <c r="T6" s="228"/>
      <c r="U6" s="226"/>
      <c r="V6" s="228"/>
      <c r="W6" s="228"/>
      <c r="X6" s="226"/>
      <c r="Y6" s="228"/>
      <c r="Z6" s="228"/>
    </row>
    <row r="7" spans="1:26" x14ac:dyDescent="0.35">
      <c r="A7" s="529" t="s">
        <v>229</v>
      </c>
      <c r="B7" s="456" cm="1">
        <f t="array" aca="1" ref="B7" ca="1">INDEX(Annual_Periods,1)</f>
        <v>44227</v>
      </c>
      <c r="C7" s="244"/>
      <c r="D7" s="245">
        <v>285.14</v>
      </c>
      <c r="E7" s="245">
        <v>477.91</v>
      </c>
      <c r="F7" s="246"/>
      <c r="G7" s="245">
        <v>17.350000000000001</v>
      </c>
      <c r="H7" s="245">
        <v>26.96</v>
      </c>
      <c r="I7" s="246"/>
      <c r="J7" s="245">
        <v>127.11</v>
      </c>
      <c r="K7" s="245">
        <v>177.51</v>
      </c>
      <c r="L7" s="246"/>
      <c r="M7" s="245">
        <v>139.22999999999999</v>
      </c>
      <c r="N7" s="245">
        <v>198.68</v>
      </c>
      <c r="O7" s="246"/>
      <c r="P7" s="245">
        <v>66.05</v>
      </c>
      <c r="Q7" s="245">
        <v>90.05</v>
      </c>
      <c r="R7" s="246"/>
      <c r="S7" s="245">
        <v>84.91</v>
      </c>
      <c r="T7" s="245">
        <v>113.49</v>
      </c>
      <c r="U7" s="246"/>
      <c r="V7" s="245"/>
      <c r="W7" s="245"/>
      <c r="X7" s="160"/>
      <c r="Y7" s="229"/>
      <c r="Z7" s="229"/>
    </row>
    <row r="8" spans="1:26" x14ac:dyDescent="0.35">
      <c r="A8" s="530"/>
      <c r="B8" s="457">
        <f ca="1">EOMONTH(B7,12)</f>
        <v>44592</v>
      </c>
      <c r="C8" s="247"/>
      <c r="D8" s="248">
        <v>257.51</v>
      </c>
      <c r="E8" s="248">
        <v>404.66</v>
      </c>
      <c r="F8" s="249"/>
      <c r="G8" s="248">
        <v>6.62</v>
      </c>
      <c r="H8" s="248">
        <v>21.48</v>
      </c>
      <c r="I8" s="249"/>
      <c r="J8" s="248">
        <v>83.12</v>
      </c>
      <c r="K8" s="248">
        <v>166.39</v>
      </c>
      <c r="L8" s="249"/>
      <c r="M8" s="248">
        <v>45.5</v>
      </c>
      <c r="N8" s="248">
        <v>147.15</v>
      </c>
      <c r="O8" s="249"/>
      <c r="P8" s="248">
        <v>25.17</v>
      </c>
      <c r="Q8" s="248">
        <v>75.760000000000005</v>
      </c>
      <c r="R8" s="249"/>
      <c r="S8" s="248">
        <v>67.239999999999995</v>
      </c>
      <c r="T8" s="248">
        <v>100.35</v>
      </c>
      <c r="U8" s="249"/>
      <c r="V8" s="248"/>
      <c r="W8" s="248"/>
      <c r="X8" s="160"/>
      <c r="Y8" s="229"/>
      <c r="Z8" s="229"/>
    </row>
    <row r="9" spans="1:26" x14ac:dyDescent="0.35">
      <c r="A9" s="530"/>
      <c r="B9" s="457">
        <f ca="1">EOMONTH(B8,12)</f>
        <v>44957</v>
      </c>
      <c r="C9" s="247"/>
      <c r="D9" s="248">
        <v>292.89999999999998</v>
      </c>
      <c r="E9" s="248">
        <v>511.29</v>
      </c>
      <c r="F9" s="249"/>
      <c r="G9" s="248">
        <v>6.4</v>
      </c>
      <c r="H9" s="248">
        <v>12.78</v>
      </c>
      <c r="I9" s="249"/>
      <c r="J9" s="248">
        <v>89.42</v>
      </c>
      <c r="K9" s="248">
        <v>129.5</v>
      </c>
      <c r="L9" s="249"/>
      <c r="M9" s="248">
        <v>69.739999999999995</v>
      </c>
      <c r="N9" s="248">
        <v>108.54</v>
      </c>
      <c r="O9" s="249"/>
      <c r="P9" s="248">
        <v>13.1</v>
      </c>
      <c r="Q9" s="248">
        <v>31.64</v>
      </c>
      <c r="R9" s="249"/>
      <c r="S9" s="248">
        <v>69.95</v>
      </c>
      <c r="T9" s="248">
        <v>97.4</v>
      </c>
      <c r="U9" s="249"/>
      <c r="V9" s="248"/>
      <c r="W9" s="248"/>
      <c r="X9" s="160"/>
      <c r="Y9" s="229"/>
      <c r="Z9" s="229"/>
    </row>
    <row r="10" spans="1:26" ht="15" thickBot="1" x14ac:dyDescent="0.4">
      <c r="A10" s="531"/>
      <c r="B10" s="458">
        <f ca="1">EOMONTH(B9,12)</f>
        <v>45322</v>
      </c>
      <c r="C10" s="250"/>
      <c r="D10" s="251">
        <v>233.4</v>
      </c>
      <c r="E10" s="251">
        <v>505.38</v>
      </c>
      <c r="F10" s="252"/>
      <c r="G10" s="251">
        <v>6.37</v>
      </c>
      <c r="H10" s="251">
        <v>9</v>
      </c>
      <c r="I10" s="252"/>
      <c r="J10" s="251">
        <v>71.09</v>
      </c>
      <c r="K10" s="251">
        <v>107.18</v>
      </c>
      <c r="L10" s="252"/>
      <c r="M10" s="251">
        <v>88.12</v>
      </c>
      <c r="N10" s="251">
        <v>133.4</v>
      </c>
      <c r="O10" s="252"/>
      <c r="P10" s="251">
        <v>11.97</v>
      </c>
      <c r="Q10" s="251">
        <v>21.31</v>
      </c>
      <c r="R10" s="252"/>
      <c r="S10" s="251">
        <v>74.209999999999994</v>
      </c>
      <c r="T10" s="251">
        <v>86.98</v>
      </c>
      <c r="U10" s="252"/>
      <c r="V10" s="251"/>
      <c r="W10" s="251"/>
      <c r="X10" s="160"/>
      <c r="Y10" s="229"/>
      <c r="Z10" s="229"/>
    </row>
    <row r="11" spans="1:26" ht="8.25" customHeight="1" thickBot="1" x14ac:dyDescent="0.4">
      <c r="A11" s="227"/>
      <c r="B11" s="459"/>
      <c r="C11" s="226"/>
      <c r="D11" s="228"/>
      <c r="E11" s="228"/>
      <c r="F11" s="226"/>
      <c r="G11" s="228"/>
      <c r="H11" s="228"/>
      <c r="I11" s="226"/>
      <c r="J11" s="228"/>
      <c r="K11" s="228"/>
      <c r="L11" s="226"/>
      <c r="M11" s="228"/>
      <c r="N11" s="228"/>
      <c r="O11" s="226"/>
      <c r="P11" s="228"/>
      <c r="Q11" s="228"/>
      <c r="R11" s="226"/>
      <c r="S11" s="228"/>
      <c r="T11" s="228"/>
      <c r="U11" s="226"/>
      <c r="V11" s="228"/>
      <c r="W11" s="228"/>
      <c r="X11" s="226"/>
      <c r="Y11" s="230"/>
      <c r="Z11" s="230"/>
    </row>
    <row r="12" spans="1:26" x14ac:dyDescent="0.35">
      <c r="A12" s="526" t="s">
        <v>230</v>
      </c>
      <c r="B12" s="456">
        <f ca="1">B7</f>
        <v>44227</v>
      </c>
      <c r="C12" s="244"/>
      <c r="D12" s="522">
        <v>4.5</v>
      </c>
      <c r="E12" s="522"/>
      <c r="F12" s="244"/>
      <c r="G12" s="522">
        <v>0.84</v>
      </c>
      <c r="H12" s="522"/>
      <c r="I12" s="244"/>
      <c r="J12" s="522">
        <v>3.56</v>
      </c>
      <c r="K12" s="522"/>
      <c r="L12" s="244"/>
      <c r="M12" s="522">
        <v>10.9</v>
      </c>
      <c r="N12" s="522"/>
      <c r="O12" s="244"/>
      <c r="P12" s="522">
        <v>1.04</v>
      </c>
      <c r="Q12" s="522"/>
      <c r="R12" s="244"/>
      <c r="S12" s="522">
        <v>5.33</v>
      </c>
      <c r="T12" s="522"/>
      <c r="U12" s="244"/>
      <c r="V12" s="522"/>
      <c r="W12" s="522"/>
      <c r="X12" s="226"/>
      <c r="Y12" s="534"/>
      <c r="Z12" s="534"/>
    </row>
    <row r="13" spans="1:26" ht="14.5" customHeight="1" x14ac:dyDescent="0.35">
      <c r="A13" s="527"/>
      <c r="B13" s="457">
        <f ca="1">B8</f>
        <v>44592</v>
      </c>
      <c r="C13" s="247"/>
      <c r="D13" s="519">
        <v>7.49</v>
      </c>
      <c r="E13" s="519"/>
      <c r="F13" s="247"/>
      <c r="G13" s="519">
        <v>0.78</v>
      </c>
      <c r="H13" s="519"/>
      <c r="I13" s="247"/>
      <c r="J13" s="519">
        <v>3.75</v>
      </c>
      <c r="K13" s="519"/>
      <c r="L13" s="247"/>
      <c r="M13" s="519">
        <v>3.34</v>
      </c>
      <c r="N13" s="519"/>
      <c r="O13" s="247"/>
      <c r="P13" s="519">
        <v>3.53</v>
      </c>
      <c r="Q13" s="519"/>
      <c r="R13" s="247"/>
      <c r="S13" s="519">
        <v>4.95</v>
      </c>
      <c r="T13" s="519"/>
      <c r="U13" s="247"/>
      <c r="V13" s="519"/>
      <c r="W13" s="519"/>
      <c r="X13" s="226"/>
      <c r="Y13" s="534"/>
      <c r="Z13" s="534"/>
    </row>
    <row r="14" spans="1:26" x14ac:dyDescent="0.35">
      <c r="A14" s="527"/>
      <c r="B14" s="457">
        <f ca="1">B9</f>
        <v>44957</v>
      </c>
      <c r="C14" s="247"/>
      <c r="D14" s="519">
        <v>6.68</v>
      </c>
      <c r="E14" s="519"/>
      <c r="F14" s="247"/>
      <c r="G14" s="519">
        <v>0.82</v>
      </c>
      <c r="H14" s="519"/>
      <c r="I14" s="247"/>
      <c r="J14" s="519">
        <v>3.23</v>
      </c>
      <c r="K14" s="519"/>
      <c r="L14" s="247"/>
      <c r="M14" s="519">
        <v>-0.42</v>
      </c>
      <c r="N14" s="519"/>
      <c r="O14" s="247"/>
      <c r="P14" s="519">
        <v>0.31</v>
      </c>
      <c r="Q14" s="519"/>
      <c r="R14" s="247"/>
      <c r="S14" s="519">
        <v>4.09</v>
      </c>
      <c r="T14" s="519"/>
      <c r="U14" s="247"/>
      <c r="V14" s="519"/>
      <c r="W14" s="519"/>
      <c r="X14" s="226"/>
      <c r="Y14" s="534"/>
      <c r="Z14" s="534"/>
    </row>
    <row r="15" spans="1:26" ht="15" thickBot="1" x14ac:dyDescent="0.4">
      <c r="A15" s="528"/>
      <c r="B15" s="458">
        <f ca="1">B10</f>
        <v>45322</v>
      </c>
      <c r="C15" s="250"/>
      <c r="D15" s="520">
        <v>12.2</v>
      </c>
      <c r="E15" s="520"/>
      <c r="F15" s="250"/>
      <c r="G15" s="520">
        <v>0.56000000000000005</v>
      </c>
      <c r="H15" s="520"/>
      <c r="I15" s="250"/>
      <c r="J15" s="520">
        <v>3.73</v>
      </c>
      <c r="K15" s="520"/>
      <c r="L15" s="250"/>
      <c r="M15" s="520"/>
      <c r="N15" s="520"/>
      <c r="O15" s="250"/>
      <c r="P15" s="520">
        <v>-2.4900000000000002</v>
      </c>
      <c r="Q15" s="520"/>
      <c r="R15" s="250"/>
      <c r="S15" s="520"/>
      <c r="T15" s="520"/>
      <c r="U15" s="250"/>
      <c r="V15" s="520"/>
      <c r="W15" s="520"/>
      <c r="X15" s="226"/>
      <c r="Y15" s="534"/>
      <c r="Z15" s="534"/>
    </row>
    <row r="16" spans="1:26" ht="8.25" customHeight="1" thickBot="1" x14ac:dyDescent="0.4">
      <c r="A16" s="227"/>
      <c r="B16" s="459"/>
      <c r="C16" s="226"/>
      <c r="D16" s="228"/>
      <c r="E16" s="228"/>
      <c r="F16" s="226"/>
      <c r="G16" s="228"/>
      <c r="H16" s="228"/>
      <c r="I16" s="226"/>
      <c r="J16" s="228"/>
      <c r="K16" s="228"/>
      <c r="L16" s="226"/>
      <c r="M16" s="228"/>
      <c r="N16" s="228"/>
      <c r="O16" s="226"/>
      <c r="P16" s="228"/>
      <c r="Q16" s="228"/>
      <c r="R16" s="226"/>
      <c r="S16" s="228"/>
      <c r="T16" s="228"/>
      <c r="U16" s="226"/>
      <c r="V16" s="228"/>
      <c r="W16" s="228"/>
      <c r="X16" s="226"/>
      <c r="Y16" s="228"/>
      <c r="Z16" s="228"/>
    </row>
    <row r="17" spans="1:26" x14ac:dyDescent="0.35">
      <c r="A17" s="523" t="s">
        <v>231</v>
      </c>
      <c r="B17" s="456">
        <f ca="1">B7</f>
        <v>44227</v>
      </c>
      <c r="C17" s="244"/>
      <c r="D17" s="253" t="s">
        <v>314</v>
      </c>
      <c r="E17" s="253" t="s">
        <v>314</v>
      </c>
      <c r="F17" s="254"/>
      <c r="G17" s="253">
        <f ca="1">IFERROR(IF(INDEX(G$7:G$10,MATCH($B17,$B$7:$B$10,0))/INDEX(G$12:G$15,MATCH($B17,$B$12:$B$15,0))&lt;0,"NM",INDEX(G$7:G$10,MATCH($B17,$B$7:$B$10,0))/INDEX(G$12:G$15,MATCH($B17,$B$12:$B$15,0))),"NA")</f>
        <v>20.654761904761909</v>
      </c>
      <c r="H17" s="253">
        <f ca="1">IFERROR(IF(INDEX(H$7:H$10,MATCH($B17,$B$7:$B$10,0))/INDEX(G$12:G$15,MATCH($B17,$B$12:$B$15,0))&lt;0,"NM",INDEX(H$7:H$10,MATCH($B17,$B$7:$B$10,0))/INDEX(G$12:G$15,MATCH($B17,$B$12:$B$15,0))),"NA")</f>
        <v>32.095238095238095</v>
      </c>
      <c r="I17" s="254"/>
      <c r="J17" s="253">
        <f t="shared" ref="J17:J20" ca="1" si="0">IFERROR(IF(INDEX(J$7:J$10,MATCH($B17,$B$7:$B$10,0))/INDEX(J$12:J$15,MATCH($B17,$B$12:$B$15,0))&lt;0,"NM",INDEX(J$7:J$10,MATCH($B17,$B$7:$B$10,0))/INDEX(J$12:J$15,MATCH($B17,$B$12:$B$15,0))),"NA")</f>
        <v>35.705056179775283</v>
      </c>
      <c r="K17" s="253">
        <f t="shared" ref="K17:K20" ca="1" si="1">IFERROR(IF(INDEX(K$7:K$10,MATCH($B17,$B$7:$B$10,0))/INDEX(J$12:J$15,MATCH($B17,$B$12:$B$15,0))&lt;0,"NM",INDEX(K$7:K$10,MATCH($B17,$B$7:$B$10,0))/INDEX(J$12:J$15,MATCH($B17,$B$12:$B$15,0))),"NA")</f>
        <v>49.862359550561791</v>
      </c>
      <c r="L17" s="254"/>
      <c r="M17" s="253">
        <f t="shared" ref="M17:M20" ca="1" si="2">IFERROR(IF(INDEX(M$7:M$10,MATCH($B17,$B$7:$B$10,0))/INDEX(M$12:M$15,MATCH($B17,$B$12:$B$15,0))&lt;0,"NM",INDEX(M$7:M$10,MATCH($B17,$B$7:$B$10,0))/INDEX(M$12:M$15,MATCH($B17,$B$12:$B$15,0))),"NA")</f>
        <v>12.773394495412843</v>
      </c>
      <c r="N17" s="253">
        <f t="shared" ref="N17:N20" ca="1" si="3">IFERROR(IF(INDEX(N$7:N$10,MATCH($B17,$B$7:$B$10,0))/INDEX(M$12:M$15,MATCH($B17,$B$12:$B$15,0))&lt;0,"NM",INDEX(N$7:N$10,MATCH($B17,$B$7:$B$10,0))/INDEX(M$12:M$15,MATCH($B17,$B$12:$B$15,0))),"NA")</f>
        <v>18.227522935779817</v>
      </c>
      <c r="O17" s="254"/>
      <c r="P17" s="253">
        <f t="shared" ref="P17:P20" ca="1" si="4">IFERROR(IF(INDEX(P$7:P$10,MATCH($B17,$B$7:$B$10,0))/INDEX(P$12:P$15,MATCH($B17,$B$12:$B$15,0))&lt;0,"NM",INDEX(P$7:P$10,MATCH($B17,$B$7:$B$10,0))/INDEX(P$12:P$15,MATCH($B17,$B$12:$B$15,0))),"NA")</f>
        <v>63.50961538461538</v>
      </c>
      <c r="Q17" s="253">
        <f t="shared" ref="Q17:Q20" ca="1" si="5">IFERROR(IF(INDEX(Q$7:Q$10,MATCH($B17,$B$7:$B$10,0))/INDEX(P$12:P$15,MATCH($B17,$B$12:$B$15,0))&lt;0,"NM",INDEX(Q$7:Q$10,MATCH($B17,$B$7:$B$10,0))/INDEX(P$12:P$15,MATCH($B17,$B$12:$B$15,0))),"NA")</f>
        <v>86.586538461538453</v>
      </c>
      <c r="R17" s="254"/>
      <c r="S17" s="253">
        <f t="shared" ref="S17:S20" ca="1" si="6">IFERROR(IF(INDEX(S$7:S$10,MATCH($B17,$B$7:$B$10,0))/INDEX(S$12:S$15,MATCH($B17,$B$12:$B$15,0))&lt;0,"NM",INDEX(S$7:S$10,MATCH($B17,$B$7:$B$10,0))/INDEX(S$12:S$15,MATCH($B17,$B$12:$B$15,0))),"NA")</f>
        <v>15.930581613508442</v>
      </c>
      <c r="T17" s="253">
        <f t="shared" ref="T17:T20" ca="1" si="7">IFERROR(IF(INDEX(T$7:T$10,MATCH($B17,$B$7:$B$10,0))/INDEX(S$12:S$15,MATCH($B17,$B$12:$B$15,0))&lt;0,"NM",INDEX(T$7:T$10,MATCH($B17,$B$7:$B$10,0))/INDEX(S$12:S$15,MATCH($B17,$B$12:$B$15,0))),"NA")</f>
        <v>21.292682926829269</v>
      </c>
      <c r="U17" s="254"/>
      <c r="V17" s="253" t="str">
        <f t="shared" ref="V17:V20" ca="1" si="8">IFERROR(IF(INDEX(V$7:V$10,MATCH($B17,$B$7:$B$10,0))/INDEX(V$12:V$15,MATCH($B17,$B$12:$B$15,0))&lt;0,"NM",INDEX(V$7:V$10,MATCH($B17,$B$7:$B$10,0))/INDEX(V$12:V$15,MATCH($B17,$B$12:$B$15,0))),"NA")</f>
        <v>NA</v>
      </c>
      <c r="W17" s="253" t="str">
        <f t="shared" ref="W17:W20" ca="1" si="9">IFERROR(IF(INDEX(W$7:W$10,MATCH($B17,$B$7:$B$10,0))/INDEX(V$12:V$15,MATCH($B17,$B$12:$B$15,0))&lt;0,"NM",INDEX(W$7:W$10,MATCH($B17,$B$7:$B$10,0))/INDEX(V$12:V$15,MATCH($B17,$B$12:$B$15,0))),"NA")</f>
        <v>NA</v>
      </c>
      <c r="X17" s="266"/>
      <c r="Y17" s="260">
        <f ca="1">IFERROR(AVERAGE(G17,J17,M17,S17),"NA")</f>
        <v>21.265948548364619</v>
      </c>
      <c r="Z17" s="261">
        <f ca="1">IFERROR(AVERAGE(H17,K17,N17,T17),"NA")</f>
        <v>30.369450877102246</v>
      </c>
    </row>
    <row r="18" spans="1:26" x14ac:dyDescent="0.35">
      <c r="A18" s="524"/>
      <c r="B18" s="457">
        <f ca="1">B8</f>
        <v>44592</v>
      </c>
      <c r="C18" s="247"/>
      <c r="D18" s="255">
        <f t="shared" ref="D18:D20" ca="1" si="10">IFERROR(IF(INDEX(D$7:D$10,MATCH($B18,$B$7:$B$10,0))/INDEX(D$12:D$15,MATCH($B18,$B$12:$B$15,0))&lt;0,"NM",INDEX(D$7:D$10,MATCH($B18,$B$7:$B$10,0))/INDEX(D$12:D$15,MATCH($B18,$B$12:$B$15,0))),"NA")</f>
        <v>34.380507343124165</v>
      </c>
      <c r="E18" s="255">
        <f t="shared" ref="E18:E20" ca="1" si="11">IFERROR(IF(INDEX(E$7:E$10,MATCH($B18,$B$7:$B$10,0))/INDEX(D$12:D$15,MATCH($B18,$B$12:$B$15,0))&lt;0,"NM",INDEX(E$7:E$10,MATCH($B18,$B$7:$B$10,0))/INDEX(D$12:D$15,MATCH($B18,$B$12:$B$15,0))),"NA")</f>
        <v>54.026702269692926</v>
      </c>
      <c r="F18" s="256"/>
      <c r="G18" s="255">
        <f t="shared" ref="G18:G20" ca="1" si="12">IFERROR(IF(INDEX(G$7:G$10,MATCH($B18,$B$7:$B$10,0))/INDEX(G$12:G$15,MATCH($B18,$B$12:$B$15,0))&lt;0,"NM",INDEX(G$7:G$10,MATCH($B18,$B$7:$B$10,0))/INDEX(G$12:G$15,MATCH($B18,$B$12:$B$15,0))),"NA")</f>
        <v>8.4871794871794872</v>
      </c>
      <c r="H18" s="255">
        <f t="shared" ref="H18:H20" ca="1" si="13">IFERROR(IF(INDEX(H$7:H$10,MATCH($B18,$B$7:$B$10,0))/INDEX(G$12:G$15,MATCH($B18,$B$12:$B$15,0))&lt;0,"NM",INDEX(H$7:H$10,MATCH($B18,$B$7:$B$10,0))/INDEX(G$12:G$15,MATCH($B18,$B$12:$B$15,0))),"NA")</f>
        <v>27.538461538461537</v>
      </c>
      <c r="I18" s="256"/>
      <c r="J18" s="255">
        <f t="shared" ca="1" si="0"/>
        <v>22.165333333333333</v>
      </c>
      <c r="K18" s="255">
        <f t="shared" ca="1" si="1"/>
        <v>44.370666666666665</v>
      </c>
      <c r="L18" s="256"/>
      <c r="M18" s="255">
        <f t="shared" ca="1" si="2"/>
        <v>13.622754491017965</v>
      </c>
      <c r="N18" s="255">
        <f t="shared" ca="1" si="3"/>
        <v>44.056886227544915</v>
      </c>
      <c r="O18" s="256"/>
      <c r="P18" s="255">
        <f t="shared" ca="1" si="4"/>
        <v>7.1303116147308794</v>
      </c>
      <c r="Q18" s="255">
        <f t="shared" ca="1" si="5"/>
        <v>21.461756373937678</v>
      </c>
      <c r="R18" s="256"/>
      <c r="S18" s="255">
        <f t="shared" ca="1" si="6"/>
        <v>13.583838383838382</v>
      </c>
      <c r="T18" s="255">
        <f t="shared" ca="1" si="7"/>
        <v>20.27272727272727</v>
      </c>
      <c r="U18" s="256"/>
      <c r="V18" s="255" t="str">
        <f t="shared" ca="1" si="8"/>
        <v>NA</v>
      </c>
      <c r="W18" s="255" t="str">
        <f t="shared" ca="1" si="9"/>
        <v>NA</v>
      </c>
      <c r="X18" s="266"/>
      <c r="Y18" s="262">
        <f t="shared" ref="Y18:Y20" ca="1" si="14">IFERROR(AVERAGE(G18,J18,M18,S18),"NA")</f>
        <v>14.464776423842292</v>
      </c>
      <c r="Z18" s="263">
        <f t="shared" ref="Z18:Z20" ca="1" si="15">IFERROR(AVERAGE(H18,K18,N18,T18),"NA")</f>
        <v>34.0596854263501</v>
      </c>
    </row>
    <row r="19" spans="1:26" x14ac:dyDescent="0.35">
      <c r="A19" s="524"/>
      <c r="B19" s="457">
        <f ca="1">B9</f>
        <v>44957</v>
      </c>
      <c r="C19" s="247"/>
      <c r="D19" s="255">
        <f t="shared" ca="1" si="10"/>
        <v>43.847305389221553</v>
      </c>
      <c r="E19" s="255" t="s">
        <v>314</v>
      </c>
      <c r="F19" s="256"/>
      <c r="G19" s="255">
        <f t="shared" ca="1" si="12"/>
        <v>7.8048780487804885</v>
      </c>
      <c r="H19" s="255">
        <f t="shared" ca="1" si="13"/>
        <v>15.585365853658537</v>
      </c>
      <c r="I19" s="256"/>
      <c r="J19" s="255">
        <f t="shared" ca="1" si="0"/>
        <v>27.684210526315791</v>
      </c>
      <c r="K19" s="255">
        <f t="shared" ca="1" si="1"/>
        <v>40.092879256965944</v>
      </c>
      <c r="L19" s="256"/>
      <c r="M19" s="255" t="str">
        <f t="shared" ca="1" si="2"/>
        <v>NM</v>
      </c>
      <c r="N19" s="255" t="str">
        <f t="shared" ca="1" si="3"/>
        <v>NM</v>
      </c>
      <c r="O19" s="256"/>
      <c r="P19" s="255">
        <f t="shared" ca="1" si="4"/>
        <v>42.258064516129032</v>
      </c>
      <c r="Q19" s="255">
        <f t="shared" ca="1" si="5"/>
        <v>102.06451612903226</v>
      </c>
      <c r="R19" s="256"/>
      <c r="S19" s="255">
        <f t="shared" ca="1" si="6"/>
        <v>17.102689486552567</v>
      </c>
      <c r="T19" s="255">
        <f t="shared" ca="1" si="7"/>
        <v>23.814180929095357</v>
      </c>
      <c r="U19" s="256"/>
      <c r="V19" s="255" t="str">
        <f t="shared" ca="1" si="8"/>
        <v>NA</v>
      </c>
      <c r="W19" s="255" t="str">
        <f t="shared" ca="1" si="9"/>
        <v>NA</v>
      </c>
      <c r="X19" s="266"/>
      <c r="Y19" s="262">
        <f t="shared" ca="1" si="14"/>
        <v>17.530592687216284</v>
      </c>
      <c r="Z19" s="263">
        <f t="shared" ca="1" si="15"/>
        <v>26.497475346573282</v>
      </c>
    </row>
    <row r="20" spans="1:26" x14ac:dyDescent="0.35">
      <c r="A20" s="524"/>
      <c r="B20" s="457">
        <f ca="1">B10</f>
        <v>45322</v>
      </c>
      <c r="C20" s="247"/>
      <c r="D20" s="255">
        <f t="shared" ca="1" si="10"/>
        <v>19.131147540983608</v>
      </c>
      <c r="E20" s="255">
        <f t="shared" ca="1" si="11"/>
        <v>41.424590163934425</v>
      </c>
      <c r="F20" s="256"/>
      <c r="G20" s="255">
        <f t="shared" ca="1" si="12"/>
        <v>11.374999999999998</v>
      </c>
      <c r="H20" s="255">
        <f t="shared" ca="1" si="13"/>
        <v>16.071428571428569</v>
      </c>
      <c r="I20" s="256"/>
      <c r="J20" s="255">
        <f t="shared" ca="1" si="0"/>
        <v>19.058981233243969</v>
      </c>
      <c r="K20" s="255">
        <f t="shared" ca="1" si="1"/>
        <v>28.734584450402146</v>
      </c>
      <c r="L20" s="256"/>
      <c r="M20" s="255" t="str">
        <f t="shared" ca="1" si="2"/>
        <v>NA</v>
      </c>
      <c r="N20" s="255" t="str">
        <f t="shared" ca="1" si="3"/>
        <v>NA</v>
      </c>
      <c r="O20" s="256"/>
      <c r="P20" s="255" t="str">
        <f t="shared" ca="1" si="4"/>
        <v>NM</v>
      </c>
      <c r="Q20" s="255" t="str">
        <f t="shared" ca="1" si="5"/>
        <v>NM</v>
      </c>
      <c r="R20" s="256"/>
      <c r="S20" s="255" t="str">
        <f t="shared" ca="1" si="6"/>
        <v>NA</v>
      </c>
      <c r="T20" s="255" t="str">
        <f t="shared" ca="1" si="7"/>
        <v>NA</v>
      </c>
      <c r="U20" s="256"/>
      <c r="V20" s="255" t="str">
        <f t="shared" ca="1" si="8"/>
        <v>NA</v>
      </c>
      <c r="W20" s="255" t="str">
        <f t="shared" ca="1" si="9"/>
        <v>NA</v>
      </c>
      <c r="X20" s="266"/>
      <c r="Y20" s="262">
        <f t="shared" ca="1" si="14"/>
        <v>15.216990616621985</v>
      </c>
      <c r="Z20" s="263">
        <f t="shared" ca="1" si="15"/>
        <v>22.403006510915358</v>
      </c>
    </row>
    <row r="21" spans="1:26" ht="15" thickBot="1" x14ac:dyDescent="0.4">
      <c r="A21" s="525"/>
      <c r="B21" s="257" t="s">
        <v>232</v>
      </c>
      <c r="C21" s="250"/>
      <c r="D21" s="258">
        <f ca="1">IFERROR(AVERAGE(D17:D20),"NA")</f>
        <v>32.452986757776436</v>
      </c>
      <c r="E21" s="258">
        <f ca="1">IFERROR(AVERAGE(E17:E20),"NA")</f>
        <v>47.725646216813672</v>
      </c>
      <c r="F21" s="259"/>
      <c r="G21" s="258">
        <f ca="1">IFERROR(AVERAGE(G17:G20),"NA")</f>
        <v>12.08045486018047</v>
      </c>
      <c r="H21" s="258">
        <f ca="1">IFERROR(AVERAGE(H17:H20),"NA")</f>
        <v>22.822623514696684</v>
      </c>
      <c r="I21" s="259"/>
      <c r="J21" s="258">
        <f ca="1">IFERROR(AVERAGE(J17:J20),"NA")</f>
        <v>26.153395318167096</v>
      </c>
      <c r="K21" s="258">
        <f ca="1">IFERROR(AVERAGE(K17:K20),"NA")</f>
        <v>40.765122481149135</v>
      </c>
      <c r="L21" s="259"/>
      <c r="M21" s="258">
        <f ca="1">IFERROR(AVERAGE(M17:M20),"NA")</f>
        <v>13.198074493215405</v>
      </c>
      <c r="N21" s="258">
        <f ca="1">IFERROR(AVERAGE(N17:N20),"NA")</f>
        <v>31.142204581662366</v>
      </c>
      <c r="O21" s="259"/>
      <c r="P21" s="258">
        <f ca="1">IFERROR(AVERAGE(P17:P20),"NA")</f>
        <v>37.632663838491766</v>
      </c>
      <c r="Q21" s="258">
        <f ca="1">IFERROR(AVERAGE(Q17:Q20),"NA")</f>
        <v>70.037603654836133</v>
      </c>
      <c r="R21" s="259"/>
      <c r="S21" s="258">
        <f ca="1">IFERROR(AVERAGE(S17:S20),"NA")</f>
        <v>15.53903649463313</v>
      </c>
      <c r="T21" s="258">
        <f ca="1">IFERROR(AVERAGE(T17:T20),"NA")</f>
        <v>21.793197042883964</v>
      </c>
      <c r="U21" s="259"/>
      <c r="V21" s="258" t="str">
        <f ca="1">IFERROR(AVERAGE(V17:V20),"NA")</f>
        <v>NA</v>
      </c>
      <c r="W21" s="258" t="str">
        <f ca="1">IFERROR(AVERAGE(W17:W20),"NA")</f>
        <v>NA</v>
      </c>
      <c r="X21" s="266"/>
      <c r="Y21" s="264">
        <f ca="1">IFERROR(AVERAGE(Y17:Y20),"NA")</f>
        <v>17.119577069011296</v>
      </c>
      <c r="Z21" s="265">
        <f ca="1">IFERROR(AVERAGE(Z17:Z20),"NA")</f>
        <v>28.332404540235245</v>
      </c>
    </row>
    <row r="22" spans="1:26" ht="8.25" customHeight="1" x14ac:dyDescent="0.35">
      <c r="A22" s="227"/>
      <c r="B22" s="225"/>
      <c r="C22" s="226"/>
      <c r="D22" s="228"/>
      <c r="E22" s="228"/>
      <c r="F22" s="226"/>
      <c r="G22" s="228"/>
      <c r="H22" s="228"/>
      <c r="I22" s="226"/>
      <c r="J22" s="228"/>
      <c r="K22" s="228"/>
      <c r="L22" s="226"/>
      <c r="M22" s="228"/>
      <c r="N22" s="228"/>
      <c r="O22" s="226"/>
      <c r="P22" s="228"/>
      <c r="Q22" s="228"/>
      <c r="R22" s="226"/>
      <c r="S22" s="228"/>
      <c r="T22" s="228"/>
      <c r="U22" s="226"/>
      <c r="V22" s="228"/>
      <c r="W22" s="228"/>
      <c r="X22" s="226"/>
      <c r="Y22" s="228"/>
      <c r="Z22" s="228"/>
    </row>
    <row r="23" spans="1:26" x14ac:dyDescent="0.35">
      <c r="A23" s="233" t="s">
        <v>233</v>
      </c>
      <c r="B23" s="234"/>
      <c r="C23" s="235"/>
      <c r="D23" s="235"/>
      <c r="E23" s="234"/>
      <c r="F23" s="235"/>
      <c r="G23" s="234"/>
      <c r="H23" s="234"/>
      <c r="I23" s="235"/>
      <c r="J23" s="234"/>
      <c r="K23" s="235"/>
      <c r="L23" s="235"/>
      <c r="M23" s="235"/>
      <c r="N23" s="235"/>
      <c r="O23" s="235"/>
      <c r="P23" s="235"/>
      <c r="Q23" s="235"/>
      <c r="R23" s="235"/>
      <c r="S23" s="235"/>
      <c r="T23" s="235"/>
      <c r="U23" s="235"/>
      <c r="V23" s="235"/>
      <c r="W23" s="235"/>
      <c r="X23" s="235"/>
      <c r="Y23" s="235"/>
      <c r="Z23" s="235"/>
    </row>
    <row r="24" spans="1:26" x14ac:dyDescent="0.35">
      <c r="A24" s="236" t="s">
        <v>234</v>
      </c>
      <c r="B24" s="220"/>
      <c r="D24" s="237">
        <f ca="1">AVERAGE($Y$21:$Z$21)</f>
        <v>22.725990804623272</v>
      </c>
      <c r="E24" s="220"/>
      <c r="H24" s="238"/>
      <c r="J24" s="220"/>
    </row>
    <row r="25" spans="1:26" x14ac:dyDescent="0.35">
      <c r="A25" s="236" t="s">
        <v>235</v>
      </c>
      <c r="B25" s="220"/>
      <c r="D25" s="239">
        <f ca="1">AVERAGE($D$21:$E$21)</f>
        <v>40.089316487295051</v>
      </c>
      <c r="E25" s="220"/>
      <c r="J25" s="220"/>
    </row>
    <row r="26" spans="1:26" ht="8.25" customHeight="1" x14ac:dyDescent="0.35">
      <c r="A26" s="220"/>
      <c r="B26" s="240"/>
      <c r="D26" s="241"/>
      <c r="E26" s="241"/>
      <c r="G26" s="241"/>
      <c r="H26" s="241"/>
      <c r="J26" s="241"/>
      <c r="K26" s="241"/>
      <c r="M26" s="241"/>
      <c r="N26" s="241"/>
      <c r="P26" s="241"/>
      <c r="Q26" s="241"/>
      <c r="S26" s="241"/>
      <c r="T26" s="241"/>
      <c r="V26" s="241"/>
      <c r="W26" s="241"/>
      <c r="Y26" s="241"/>
      <c r="Z26" s="241"/>
    </row>
    <row r="27" spans="1:26" x14ac:dyDescent="0.35">
      <c r="A27" s="236" t="s">
        <v>236</v>
      </c>
      <c r="B27" s="220"/>
      <c r="D27" s="242">
        <f ca="1">AVERAGE(D25,D24)</f>
        <v>31.407653645959162</v>
      </c>
      <c r="E27" s="220"/>
      <c r="J27" s="220"/>
    </row>
    <row r="28" spans="1:26" x14ac:dyDescent="0.35">
      <c r="A28" s="236" t="s">
        <v>237</v>
      </c>
      <c r="B28" s="220"/>
      <c r="D28" s="243">
        <f ca="1">Summary!$L$25</f>
        <v>13.86736718240093</v>
      </c>
      <c r="E28" s="220"/>
      <c r="J28" s="220"/>
    </row>
    <row r="29" spans="1:26" ht="8.25" customHeight="1" thickBot="1" x14ac:dyDescent="0.4">
      <c r="A29" s="220"/>
      <c r="B29" s="240"/>
      <c r="D29" s="241"/>
      <c r="E29" s="241"/>
      <c r="G29" s="241"/>
      <c r="H29" s="241"/>
      <c r="J29" s="241"/>
      <c r="K29" s="241"/>
      <c r="M29" s="241"/>
      <c r="N29" s="241"/>
      <c r="P29" s="241"/>
      <c r="Q29" s="241"/>
      <c r="S29" s="241"/>
      <c r="T29" s="241"/>
      <c r="V29" s="241"/>
      <c r="W29" s="241"/>
      <c r="Y29" s="241"/>
      <c r="Z29" s="241"/>
    </row>
    <row r="30" spans="1:26" ht="15" thickBot="1" x14ac:dyDescent="0.4">
      <c r="A30" s="273" t="s">
        <v>238</v>
      </c>
      <c r="B30" s="231"/>
      <c r="C30" s="232"/>
      <c r="D30" s="274">
        <f ca="1">D27*D28</f>
        <v>435.54146544618897</v>
      </c>
      <c r="E30" s="231"/>
      <c r="F30" s="232"/>
      <c r="G30" s="232"/>
      <c r="H30" s="232"/>
      <c r="I30" s="232"/>
      <c r="J30" s="231"/>
      <c r="K30" s="231"/>
      <c r="L30" s="232"/>
      <c r="M30" s="231"/>
      <c r="N30" s="231"/>
      <c r="O30" s="232"/>
      <c r="P30" s="231"/>
      <c r="Q30" s="231"/>
      <c r="R30" s="232"/>
      <c r="S30" s="231"/>
      <c r="T30" s="231"/>
      <c r="U30" s="232"/>
      <c r="V30" s="231"/>
      <c r="W30" s="231"/>
      <c r="X30" s="232"/>
      <c r="Y30" s="231"/>
      <c r="Z30" s="231"/>
    </row>
    <row r="31" spans="1:26" ht="15" thickBot="1" x14ac:dyDescent="0.4">
      <c r="A31" s="224"/>
      <c r="B31" s="220"/>
      <c r="E31" s="221"/>
      <c r="J31" s="220"/>
      <c r="K31" s="220"/>
      <c r="M31" s="220"/>
      <c r="N31" s="220"/>
      <c r="P31" s="220"/>
      <c r="Q31" s="220"/>
      <c r="S31" s="220"/>
      <c r="T31" s="220"/>
      <c r="V31" s="220"/>
      <c r="W31" s="220"/>
      <c r="Y31" s="220"/>
      <c r="Z31" s="220"/>
    </row>
    <row r="32" spans="1:26" x14ac:dyDescent="0.35">
      <c r="A32" s="275" t="s">
        <v>239</v>
      </c>
      <c r="B32" s="276"/>
      <c r="C32" s="276"/>
      <c r="D32" s="276"/>
      <c r="E32" s="276"/>
      <c r="F32" s="276"/>
      <c r="G32" s="276"/>
      <c r="H32" s="276"/>
      <c r="I32" s="276"/>
      <c r="J32" s="276"/>
      <c r="K32" s="276"/>
      <c r="L32" s="276"/>
      <c r="M32" s="276"/>
      <c r="N32" s="276"/>
      <c r="O32" s="276"/>
      <c r="P32" s="276"/>
      <c r="Q32" s="276"/>
      <c r="R32" s="276"/>
      <c r="S32" s="276"/>
      <c r="T32" s="276"/>
      <c r="U32" s="276"/>
      <c r="V32" s="276"/>
      <c r="W32" s="276"/>
      <c r="X32" s="276"/>
      <c r="Y32" s="276"/>
      <c r="Z32" s="276"/>
    </row>
    <row r="33" spans="1:26" x14ac:dyDescent="0.35">
      <c r="A33" s="278" t="s">
        <v>240</v>
      </c>
    </row>
    <row r="34" spans="1:26" x14ac:dyDescent="0.35">
      <c r="A34" s="278" t="s">
        <v>241</v>
      </c>
    </row>
    <row r="35" spans="1:26" ht="15" thickBot="1" x14ac:dyDescent="0.4">
      <c r="A35" s="279" t="s">
        <v>242</v>
      </c>
      <c r="B35" s="277"/>
      <c r="C35" s="277"/>
      <c r="D35" s="277"/>
      <c r="E35" s="277"/>
      <c r="F35" s="277"/>
      <c r="G35" s="277"/>
      <c r="H35" s="277"/>
      <c r="I35" s="277"/>
      <c r="J35" s="277"/>
      <c r="K35" s="277"/>
      <c r="L35" s="277"/>
      <c r="M35" s="277"/>
      <c r="N35" s="277"/>
      <c r="O35" s="277"/>
      <c r="P35" s="277"/>
      <c r="Q35" s="277"/>
      <c r="R35" s="277"/>
      <c r="S35" s="277"/>
      <c r="T35" s="277"/>
      <c r="U35" s="277"/>
      <c r="V35" s="277"/>
      <c r="W35" s="277"/>
      <c r="X35" s="277"/>
      <c r="Y35" s="277"/>
      <c r="Z35" s="277"/>
    </row>
  </sheetData>
  <mergeCells count="43">
    <mergeCell ref="V3:W3"/>
    <mergeCell ref="V12:W12"/>
    <mergeCell ref="V13:W13"/>
    <mergeCell ref="V14:W14"/>
    <mergeCell ref="V15:W15"/>
    <mergeCell ref="S3:T3"/>
    <mergeCell ref="S12:T12"/>
    <mergeCell ref="S13:T13"/>
    <mergeCell ref="S14:T14"/>
    <mergeCell ref="S15:T15"/>
    <mergeCell ref="P3:Q3"/>
    <mergeCell ref="P12:Q12"/>
    <mergeCell ref="P13:Q13"/>
    <mergeCell ref="P14:Q14"/>
    <mergeCell ref="P15:Q15"/>
    <mergeCell ref="Y3:Z3"/>
    <mergeCell ref="Y12:Z12"/>
    <mergeCell ref="Y13:Z13"/>
    <mergeCell ref="Y14:Z14"/>
    <mergeCell ref="Y15:Z15"/>
    <mergeCell ref="A17:A21"/>
    <mergeCell ref="A12:A15"/>
    <mergeCell ref="A7:A10"/>
    <mergeCell ref="D3:E3"/>
    <mergeCell ref="G3:H3"/>
    <mergeCell ref="D14:E14"/>
    <mergeCell ref="G14:H14"/>
    <mergeCell ref="J3:K3"/>
    <mergeCell ref="M3:N3"/>
    <mergeCell ref="D12:E12"/>
    <mergeCell ref="G13:H13"/>
    <mergeCell ref="G12:H12"/>
    <mergeCell ref="J12:K12"/>
    <mergeCell ref="M12:N12"/>
    <mergeCell ref="D13:E13"/>
    <mergeCell ref="J13:K13"/>
    <mergeCell ref="M13:N13"/>
    <mergeCell ref="J14:K14"/>
    <mergeCell ref="M14:N14"/>
    <mergeCell ref="D15:E15"/>
    <mergeCell ref="G15:H15"/>
    <mergeCell ref="J15:K15"/>
    <mergeCell ref="M15:N15"/>
  </mergeCells>
  <phoneticPr fontId="1" type="noConversion"/>
  <printOptions horizontalCentered="1"/>
  <pageMargins left="0.7" right="0.7" top="0.75" bottom="0.75" header="0.3" footer="0.3"/>
  <pageSetup scale="83" orientation="landscape"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F8855-7FF5-4879-85EA-E9439FFB76B7}">
  <sheetPr>
    <tabColor theme="9"/>
    <pageSetUpPr fitToPage="1"/>
  </sheetPr>
  <dimension ref="A1:AB39"/>
  <sheetViews>
    <sheetView showGridLines="0" zoomScaleNormal="100" workbookViewId="0">
      <pane xSplit="2" ySplit="5" topLeftCell="C6" activePane="bottomRight" state="frozen"/>
      <selection pane="topRight" activeCell="C1" sqref="C1"/>
      <selection pane="bottomLeft" activeCell="A6" sqref="A6"/>
      <selection pane="bottomRight"/>
    </sheetView>
  </sheetViews>
  <sheetFormatPr defaultColWidth="8.81640625" defaultRowHeight="14.5" outlineLevelCol="1" x14ac:dyDescent="0.35"/>
  <cols>
    <col min="1" max="1" width="28.1796875" customWidth="1"/>
    <col min="2" max="2" width="8.1796875" customWidth="1"/>
    <col min="3" max="3" width="1.1796875" customWidth="1"/>
    <col min="4" max="4" width="14.81640625" bestFit="1" customWidth="1"/>
    <col min="5" max="5" width="14" bestFit="1" customWidth="1"/>
    <col min="6" max="6" width="1.1796875" customWidth="1"/>
    <col min="7" max="7" width="12" bestFit="1" customWidth="1"/>
    <col min="8" max="8" width="12.453125" bestFit="1" customWidth="1"/>
    <col min="9" max="9" width="1.1796875" customWidth="1"/>
    <col min="10" max="11" width="12" bestFit="1" customWidth="1"/>
    <col min="12" max="12" width="1.1796875" customWidth="1"/>
    <col min="13" max="14" width="12.453125" bestFit="1" customWidth="1"/>
    <col min="15" max="15" width="1.1796875" customWidth="1"/>
    <col min="16" max="17" width="12.453125" bestFit="1" customWidth="1"/>
    <col min="18" max="18" width="1.1796875" customWidth="1"/>
    <col min="19" max="20" width="11.453125" customWidth="1"/>
    <col min="22" max="22" width="0" hidden="1" customWidth="1" outlineLevel="1"/>
    <col min="23" max="23" width="10.453125" hidden="1" customWidth="1" outlineLevel="1"/>
    <col min="24" max="27" width="0" hidden="1" customWidth="1" outlineLevel="1"/>
    <col min="28" max="28" width="8.453125" collapsed="1"/>
  </cols>
  <sheetData>
    <row r="1" spans="1:27" ht="26.25" customHeight="1" x14ac:dyDescent="0.35">
      <c r="A1" s="222" t="s">
        <v>243</v>
      </c>
      <c r="B1" s="223"/>
      <c r="C1" s="223"/>
      <c r="D1" s="223"/>
      <c r="E1" s="223"/>
      <c r="F1" s="223"/>
      <c r="G1" s="223"/>
      <c r="H1" s="223"/>
      <c r="I1" s="223"/>
      <c r="J1" s="223"/>
      <c r="K1" s="223"/>
      <c r="L1" s="223"/>
      <c r="M1" s="223"/>
      <c r="N1" s="223"/>
      <c r="O1" s="223"/>
      <c r="P1" s="223"/>
      <c r="Q1" s="223"/>
      <c r="R1" s="223"/>
      <c r="S1" s="223"/>
      <c r="T1" s="223"/>
    </row>
    <row r="2" spans="1:27" ht="8.25" customHeight="1" thickBot="1" x14ac:dyDescent="0.4">
      <c r="A2" s="227"/>
      <c r="B2" s="225"/>
      <c r="C2" s="226"/>
      <c r="D2" s="228"/>
      <c r="E2" s="228"/>
      <c r="F2" s="226"/>
      <c r="G2" s="228"/>
      <c r="H2" s="228"/>
      <c r="I2" s="226"/>
      <c r="J2" s="228"/>
      <c r="K2" s="228"/>
      <c r="L2" s="226"/>
      <c r="M2" s="228"/>
      <c r="N2" s="228"/>
      <c r="O2" s="226"/>
      <c r="P2" s="228"/>
      <c r="Q2" s="228"/>
      <c r="R2" s="226"/>
      <c r="S2" s="228"/>
      <c r="T2" s="228"/>
    </row>
    <row r="3" spans="1:27" ht="15" thickBot="1" x14ac:dyDescent="0.4">
      <c r="A3" s="271" t="s">
        <v>224</v>
      </c>
      <c r="B3" s="272"/>
      <c r="C3" s="270"/>
      <c r="D3" s="532" t="str">
        <f>Comp_Name</f>
        <v>LULULEMON ATHLETICA INC.</v>
      </c>
      <c r="E3" s="532"/>
      <c r="F3" s="270"/>
      <c r="G3" s="521" t="s">
        <v>304</v>
      </c>
      <c r="H3" s="521"/>
      <c r="I3" s="270"/>
      <c r="J3" s="521" t="s">
        <v>306</v>
      </c>
      <c r="K3" s="521"/>
      <c r="L3" s="270"/>
      <c r="M3" s="521" t="s">
        <v>307</v>
      </c>
      <c r="N3" s="521"/>
      <c r="O3" s="270"/>
      <c r="P3" s="521" t="s">
        <v>308</v>
      </c>
      <c r="Q3" s="521"/>
      <c r="R3" s="270"/>
      <c r="S3" s="533" t="s">
        <v>225</v>
      </c>
      <c r="T3" s="533"/>
      <c r="V3" s="517">
        <v>1.1000000000000001</v>
      </c>
      <c r="W3" s="516" t="s">
        <v>319</v>
      </c>
    </row>
    <row r="4" spans="1:27" ht="8.25" customHeight="1" thickBot="1" x14ac:dyDescent="0.4">
      <c r="A4" s="227"/>
      <c r="B4" s="225"/>
      <c r="C4" s="226"/>
      <c r="D4" s="228"/>
      <c r="E4" s="228"/>
      <c r="F4" s="226"/>
      <c r="G4" s="228"/>
      <c r="H4" s="228"/>
      <c r="I4" s="226"/>
      <c r="J4" s="228"/>
      <c r="K4" s="228"/>
      <c r="L4" s="226"/>
      <c r="M4" s="228"/>
      <c r="N4" s="228"/>
      <c r="O4" s="226"/>
      <c r="P4" s="228"/>
      <c r="Q4" s="228"/>
      <c r="R4" s="226"/>
      <c r="S4" s="228"/>
      <c r="T4" s="228"/>
    </row>
    <row r="5" spans="1:27" ht="15" thickBot="1" x14ac:dyDescent="0.4">
      <c r="A5" s="267"/>
      <c r="B5" s="268" t="s">
        <v>226</v>
      </c>
      <c r="C5" s="269"/>
      <c r="D5" s="268" t="s">
        <v>227</v>
      </c>
      <c r="E5" s="268" t="s">
        <v>228</v>
      </c>
      <c r="F5" s="269"/>
      <c r="G5" s="268" t="s">
        <v>227</v>
      </c>
      <c r="H5" s="268" t="s">
        <v>228</v>
      </c>
      <c r="I5" s="269"/>
      <c r="J5" s="268" t="s">
        <v>227</v>
      </c>
      <c r="K5" s="268" t="s">
        <v>228</v>
      </c>
      <c r="L5" s="269"/>
      <c r="M5" s="268" t="s">
        <v>227</v>
      </c>
      <c r="N5" s="268" t="s">
        <v>228</v>
      </c>
      <c r="O5" s="269"/>
      <c r="P5" s="268" t="s">
        <v>227</v>
      </c>
      <c r="Q5" s="268" t="s">
        <v>228</v>
      </c>
      <c r="R5" s="269"/>
      <c r="S5" s="268" t="s">
        <v>227</v>
      </c>
      <c r="T5" s="268" t="s">
        <v>228</v>
      </c>
      <c r="V5" s="535" t="s">
        <v>303</v>
      </c>
      <c r="W5" s="535"/>
      <c r="X5" s="535"/>
      <c r="Y5" s="535"/>
      <c r="Z5" s="535"/>
      <c r="AA5" s="535"/>
    </row>
    <row r="6" spans="1:27" ht="8.25" customHeight="1" thickBot="1" x14ac:dyDescent="0.4">
      <c r="A6" s="227"/>
      <c r="B6" s="225"/>
      <c r="C6" s="226"/>
      <c r="D6" s="228"/>
      <c r="E6" s="228"/>
      <c r="F6" s="226"/>
      <c r="G6" s="228"/>
      <c r="H6" s="228"/>
      <c r="I6" s="226"/>
      <c r="J6" s="228"/>
      <c r="K6" s="228"/>
      <c r="L6" s="226"/>
      <c r="M6" s="228"/>
      <c r="N6" s="228"/>
      <c r="O6" s="226"/>
      <c r="P6" s="228"/>
      <c r="Q6" s="228"/>
      <c r="R6" s="226"/>
      <c r="S6" s="228"/>
      <c r="T6" s="228"/>
    </row>
    <row r="7" spans="1:27" x14ac:dyDescent="0.35">
      <c r="A7" s="529" t="s">
        <v>244</v>
      </c>
      <c r="B7" s="456" cm="1">
        <f t="array" aca="1" ref="B7" ca="1">INDEX(Annual_Periods,1)</f>
        <v>44227</v>
      </c>
      <c r="C7" s="244"/>
      <c r="D7" s="463">
        <v>27428.47</v>
      </c>
      <c r="E7" s="463">
        <v>40599.235999999997</v>
      </c>
      <c r="F7" s="246"/>
      <c r="G7" s="463">
        <v>5492.277</v>
      </c>
      <c r="H7" s="463">
        <v>9713.8490000000002</v>
      </c>
      <c r="I7" s="246"/>
      <c r="J7" s="463">
        <v>156769.32399999999</v>
      </c>
      <c r="K7" s="463">
        <v>214941.63399999999</v>
      </c>
      <c r="L7" s="246"/>
      <c r="M7" s="463">
        <v>57224.936999999998</v>
      </c>
      <c r="N7" s="463">
        <v>74498.095000000001</v>
      </c>
      <c r="O7" s="246"/>
      <c r="P7" s="463">
        <v>5916.701</v>
      </c>
      <c r="Q7" s="463">
        <v>6639.0619999999999</v>
      </c>
      <c r="R7" s="160"/>
      <c r="S7" s="229"/>
      <c r="T7" s="229"/>
      <c r="V7" s="463">
        <v>130.4</v>
      </c>
      <c r="W7" s="463">
        <v>476.3</v>
      </c>
      <c r="X7" s="463">
        <v>1578</v>
      </c>
      <c r="Y7" s="463">
        <v>191.6</v>
      </c>
      <c r="Z7" s="463">
        <v>391.9</v>
      </c>
      <c r="AA7" s="463">
        <v>66.3</v>
      </c>
    </row>
    <row r="8" spans="1:27" x14ac:dyDescent="0.35">
      <c r="A8" s="530"/>
      <c r="B8" s="457">
        <f ca="1">EOMONTH(B7,12)</f>
        <v>44592</v>
      </c>
      <c r="C8" s="247"/>
      <c r="D8" s="464">
        <v>43131.396000000001</v>
      </c>
      <c r="E8" s="464">
        <v>60119.188000000002</v>
      </c>
      <c r="F8" s="249"/>
      <c r="G8" s="464">
        <v>7572.3980000000001</v>
      </c>
      <c r="H8" s="464">
        <v>9685.2749999999996</v>
      </c>
      <c r="I8" s="249"/>
      <c r="J8" s="464">
        <v>213545.87</v>
      </c>
      <c r="K8" s="464">
        <v>266971.07</v>
      </c>
      <c r="L8" s="249"/>
      <c r="M8" s="464">
        <v>24753.821</v>
      </c>
      <c r="N8" s="464">
        <v>47371.182999999997</v>
      </c>
      <c r="O8" s="249"/>
      <c r="P8" s="464">
        <v>4142.2299999999996</v>
      </c>
      <c r="Q8" s="464">
        <v>5664.59</v>
      </c>
      <c r="R8" s="160"/>
      <c r="S8" s="229"/>
      <c r="T8" s="229"/>
      <c r="V8" s="464">
        <v>128.5</v>
      </c>
      <c r="W8" s="464">
        <v>461.6</v>
      </c>
      <c r="X8" s="464">
        <v>1571</v>
      </c>
      <c r="Y8" s="464">
        <v>178.5</v>
      </c>
      <c r="Z8" s="464">
        <v>388.3</v>
      </c>
      <c r="AA8" s="464">
        <v>65.2</v>
      </c>
    </row>
    <row r="9" spans="1:27" x14ac:dyDescent="0.35">
      <c r="A9" s="530"/>
      <c r="B9" s="457">
        <f ca="1">EOMONTH(B8,12)</f>
        <v>44957</v>
      </c>
      <c r="C9" s="247"/>
      <c r="D9" s="464">
        <v>39889.894999999997</v>
      </c>
      <c r="E9" s="464">
        <v>45020.601000000002</v>
      </c>
      <c r="F9" s="249"/>
      <c r="G9" s="464">
        <v>3272.8629999999998</v>
      </c>
      <c r="H9" s="464">
        <v>4967.5829999999996</v>
      </c>
      <c r="I9" s="249"/>
      <c r="J9" s="464">
        <v>166602.77600000001</v>
      </c>
      <c r="K9" s="464">
        <v>186232.264</v>
      </c>
      <c r="L9" s="249"/>
      <c r="M9" s="464">
        <v>36986.262999999999</v>
      </c>
      <c r="N9" s="464">
        <v>40995.457999999999</v>
      </c>
      <c r="O9" s="249"/>
      <c r="P9" s="464">
        <v>4609.6220000000003</v>
      </c>
      <c r="Q9" s="464">
        <v>5559.2079999999996</v>
      </c>
      <c r="R9" s="160"/>
      <c r="S9" s="229"/>
      <c r="T9" s="229"/>
      <c r="V9" s="464">
        <v>127.3</v>
      </c>
      <c r="W9" s="464">
        <v>444.5</v>
      </c>
      <c r="X9" s="464">
        <v>1532</v>
      </c>
      <c r="Y9" s="464">
        <v>178.5</v>
      </c>
      <c r="Z9" s="464">
        <v>388.7</v>
      </c>
      <c r="AA9" s="464">
        <v>62.1</v>
      </c>
    </row>
    <row r="10" spans="1:27" ht="15" thickBot="1" x14ac:dyDescent="0.4">
      <c r="A10" s="531"/>
      <c r="B10" s="458">
        <f ca="1">EOMONTH(B9,12)</f>
        <v>45322</v>
      </c>
      <c r="C10" s="250"/>
      <c r="D10" s="465">
        <v>39817.580999999998</v>
      </c>
      <c r="E10" s="465">
        <v>57344.839</v>
      </c>
      <c r="F10" s="252"/>
      <c r="G10" s="465">
        <v>3595.0819999999999</v>
      </c>
      <c r="H10" s="465">
        <v>4572.6719999999996</v>
      </c>
      <c r="I10" s="252"/>
      <c r="J10" s="465">
        <v>144992.55499999999</v>
      </c>
      <c r="K10" s="465">
        <v>171208.02900000001</v>
      </c>
      <c r="L10" s="252"/>
      <c r="M10" s="465"/>
      <c r="N10" s="465"/>
      <c r="O10" s="252"/>
      <c r="P10" s="465">
        <f>('PE Multiples'!$S10*'EV-Sales Multiples'!$AA10)+'EV-Sales Multiples'!$AA20</f>
        <v>4452.5999999999995</v>
      </c>
      <c r="Q10" s="465">
        <f>('PE Multiples'!$T10*'EV-Sales Multiples'!$AA10)+'EV-Sales Multiples'!$AA20</f>
        <v>5218.8</v>
      </c>
      <c r="R10" s="160"/>
      <c r="S10" s="229"/>
      <c r="T10" s="229"/>
      <c r="V10" s="465">
        <v>126.2</v>
      </c>
      <c r="W10" s="465">
        <v>436</v>
      </c>
      <c r="X10" s="465">
        <v>1503</v>
      </c>
      <c r="Y10" s="465"/>
      <c r="Z10" s="465">
        <v>388.8</v>
      </c>
      <c r="AA10" s="465">
        <v>60</v>
      </c>
    </row>
    <row r="11" spans="1:27" ht="8.25" customHeight="1" thickBot="1" x14ac:dyDescent="0.4">
      <c r="A11" s="227"/>
      <c r="B11" s="459"/>
      <c r="C11" s="226"/>
      <c r="D11" s="228"/>
      <c r="E11" s="228"/>
      <c r="F11" s="226"/>
      <c r="G11" s="228"/>
      <c r="H11" s="228"/>
      <c r="I11" s="226"/>
      <c r="J11" s="228"/>
      <c r="K11" s="228"/>
      <c r="L11" s="226"/>
      <c r="M11" s="228"/>
      <c r="N11" s="228"/>
      <c r="O11" s="226"/>
      <c r="P11" s="228"/>
      <c r="Q11" s="228"/>
      <c r="R11" s="226"/>
      <c r="S11" s="230"/>
      <c r="T11" s="230"/>
    </row>
    <row r="12" spans="1:27" x14ac:dyDescent="0.35">
      <c r="A12" s="526" t="s">
        <v>312</v>
      </c>
      <c r="B12" s="456">
        <f ca="1">B7</f>
        <v>44227</v>
      </c>
      <c r="C12" s="244"/>
      <c r="D12" s="540">
        <f ca="1">Financials!F12</f>
        <v>4401.8999999999996</v>
      </c>
      <c r="E12" s="540"/>
      <c r="F12" s="244"/>
      <c r="G12" s="538">
        <v>5683.5</v>
      </c>
      <c r="H12" s="538"/>
      <c r="I12" s="466"/>
      <c r="J12" s="538">
        <v>8530</v>
      </c>
      <c r="K12" s="538"/>
      <c r="L12" s="466"/>
      <c r="M12" s="538">
        <f>21234*$V$3</f>
        <v>23357.4</v>
      </c>
      <c r="N12" s="538"/>
      <c r="O12" s="466"/>
      <c r="P12" s="538">
        <f>21234*$V$3</f>
        <v>23357.4</v>
      </c>
      <c r="Q12" s="538"/>
      <c r="R12" s="226"/>
      <c r="S12" s="534"/>
      <c r="T12" s="534"/>
    </row>
    <row r="13" spans="1:27" ht="14.5" customHeight="1" x14ac:dyDescent="0.35">
      <c r="A13" s="527"/>
      <c r="B13" s="457">
        <f ca="1">B8</f>
        <v>44592</v>
      </c>
      <c r="C13" s="247"/>
      <c r="D13" s="539">
        <f ca="1">Financials!G12</f>
        <v>6256.6</v>
      </c>
      <c r="E13" s="539"/>
      <c r="F13" s="247"/>
      <c r="G13" s="536">
        <v>5727.2</v>
      </c>
      <c r="H13" s="536"/>
      <c r="I13" s="467"/>
      <c r="J13" s="536">
        <v>8072</v>
      </c>
      <c r="K13" s="536"/>
      <c r="L13" s="467"/>
      <c r="M13" s="536">
        <f>22511*$V$3</f>
        <v>24762.100000000002</v>
      </c>
      <c r="N13" s="536"/>
      <c r="O13" s="467"/>
      <c r="P13" s="536">
        <f>22511*$V$3</f>
        <v>24762.100000000002</v>
      </c>
      <c r="Q13" s="536"/>
      <c r="R13" s="226"/>
      <c r="S13" s="534"/>
      <c r="T13" s="534"/>
    </row>
    <row r="14" spans="1:27" x14ac:dyDescent="0.35">
      <c r="A14" s="527"/>
      <c r="B14" s="457">
        <f ca="1">B9</f>
        <v>44957</v>
      </c>
      <c r="C14" s="247"/>
      <c r="D14" s="539">
        <f ca="1">Financials!H12</f>
        <v>8110.5</v>
      </c>
      <c r="E14" s="539"/>
      <c r="F14" s="247"/>
      <c r="G14" s="536">
        <v>5903.2</v>
      </c>
      <c r="H14" s="536"/>
      <c r="I14" s="467"/>
      <c r="J14" s="536">
        <v>7203</v>
      </c>
      <c r="K14" s="536"/>
      <c r="L14" s="467"/>
      <c r="M14" s="536">
        <f>21427*$V$3</f>
        <v>23569.7</v>
      </c>
      <c r="N14" s="536"/>
      <c r="O14" s="467"/>
      <c r="P14" s="536">
        <f>21427*$V$3</f>
        <v>23569.7</v>
      </c>
      <c r="Q14" s="536"/>
      <c r="R14" s="226"/>
      <c r="S14" s="534"/>
      <c r="T14" s="534"/>
    </row>
    <row r="15" spans="1:27" ht="15" thickBot="1" x14ac:dyDescent="0.4">
      <c r="A15" s="528"/>
      <c r="B15" s="458">
        <f ca="1">B10</f>
        <v>45322</v>
      </c>
      <c r="C15" s="250"/>
      <c r="D15" s="541">
        <f ca="1">Financials!I12</f>
        <v>9619.2999999999993</v>
      </c>
      <c r="E15" s="541"/>
      <c r="F15" s="250"/>
      <c r="G15" s="537">
        <v>5701.9</v>
      </c>
      <c r="H15" s="537"/>
      <c r="I15" s="468"/>
      <c r="J15" s="537">
        <v>8151</v>
      </c>
      <c r="K15" s="537"/>
      <c r="L15" s="468"/>
      <c r="M15" s="537"/>
      <c r="N15" s="537"/>
      <c r="O15" s="468"/>
      <c r="P15" s="537"/>
      <c r="Q15" s="537"/>
      <c r="R15" s="226"/>
      <c r="S15" s="534"/>
      <c r="T15" s="534"/>
      <c r="V15" s="535" t="s">
        <v>313</v>
      </c>
      <c r="W15" s="535"/>
      <c r="X15" s="535"/>
      <c r="Y15" s="535"/>
      <c r="Z15" s="535"/>
      <c r="AA15" s="535"/>
    </row>
    <row r="16" spans="1:27" ht="8.25" customHeight="1" thickBot="1" x14ac:dyDescent="0.4">
      <c r="A16" s="227"/>
      <c r="B16" s="459"/>
      <c r="C16" s="226"/>
      <c r="D16" s="228"/>
      <c r="E16" s="228"/>
      <c r="F16" s="226"/>
      <c r="G16" s="228"/>
      <c r="H16" s="228"/>
      <c r="I16" s="226"/>
      <c r="J16" s="228"/>
      <c r="K16" s="228"/>
      <c r="L16" s="226"/>
      <c r="M16" s="228"/>
      <c r="N16" s="228"/>
      <c r="O16" s="226"/>
      <c r="P16" s="228"/>
      <c r="Q16" s="228"/>
      <c r="R16" s="226"/>
      <c r="S16" s="228"/>
      <c r="T16" s="228"/>
    </row>
    <row r="17" spans="1:27" x14ac:dyDescent="0.35">
      <c r="A17" s="523" t="s">
        <v>315</v>
      </c>
      <c r="B17" s="456">
        <f ca="1">B7</f>
        <v>44227</v>
      </c>
      <c r="C17" s="244"/>
      <c r="D17" s="253">
        <f ca="1">IFERROR(IF(INDEX(D$7:D$10,MATCH($B17,$B$7:$B$10,0))/INDEX(D$12:D$15,MATCH($B17,$B$12:$B$15,0))&lt;0,"NM",INDEX(D$7:D$10,MATCH($B17,$B$7:$B$10,0))/INDEX(D$12:D$15,MATCH($B17,$B$12:$B$15,0))),"NA")</f>
        <v>6.2310525000567942</v>
      </c>
      <c r="E17" s="253">
        <f ca="1">IFERROR(IF(INDEX(E$7:E$10,MATCH($B17,$B$7:$B$10,0))/INDEX(D$12:D$15,MATCH($B17,$B$12:$B$15,0))&lt;0,"NM",INDEX(E$7:E$10,MATCH($B17,$B$7:$B$10,0))/INDEX(D$12:D$15,MATCH($B17,$B$12:$B$15,0))),"NA")</f>
        <v>9.223116381562507</v>
      </c>
      <c r="F17" s="254"/>
      <c r="G17" s="253">
        <f ca="1">IFERROR(IF(INDEX(G$7:G$10,MATCH($B17,$B$7:$B$10,0))/INDEX(G$12:G$15,MATCH($B17,$B$12:$B$15,0))&lt;0,"NM",INDEX(G$7:G$10,MATCH($B17,$B$7:$B$10,0))/INDEX(G$12:G$15,MATCH($B17,$B$12:$B$15,0))),"NA")</f>
        <v>0.96635471100554238</v>
      </c>
      <c r="H17" s="253">
        <f ca="1">IFERROR(IF(INDEX(H$7:H$10,MATCH($B17,$B$7:$B$10,0))/INDEX(G$12:G$15,MATCH($B17,$B$12:$B$15,0))&lt;0,"NM",INDEX(H$7:H$10,MATCH($B17,$B$7:$B$10,0))/INDEX(G$12:G$15,MATCH($B17,$B$12:$B$15,0))),"NA")</f>
        <v>1.7091315210697633</v>
      </c>
      <c r="I17" s="254"/>
      <c r="J17" s="253" t="s">
        <v>314</v>
      </c>
      <c r="K17" s="253" t="s">
        <v>314</v>
      </c>
      <c r="L17" s="254"/>
      <c r="M17" s="253">
        <f t="shared" ref="M17:M20" ca="1" si="0">IFERROR(IF(INDEX(M$7:M$10,MATCH($B17,$B$7:$B$10,0))/INDEX(M$12:M$15,MATCH($B17,$B$12:$B$15,0))&lt;0,"NM",INDEX(M$7:M$10,MATCH($B17,$B$7:$B$10,0))/INDEX(M$12:M$15,MATCH($B17,$B$12:$B$15,0))),"NA")</f>
        <v>2.4499703306018645</v>
      </c>
      <c r="N17" s="253">
        <f t="shared" ref="N17:N20" ca="1" si="1">IFERROR(IF(INDEX(N$7:N$10,MATCH($B17,$B$7:$B$10,0))/INDEX(M$12:M$15,MATCH($B17,$B$12:$B$15,0))&lt;0,"NM",INDEX(N$7:N$10,MATCH($B17,$B$7:$B$10,0))/INDEX(M$12:M$15,MATCH($B17,$B$12:$B$15,0))),"NA")</f>
        <v>3.1894857732453099</v>
      </c>
      <c r="O17" s="254"/>
      <c r="P17" s="253">
        <f t="shared" ref="P17:P20" ca="1" si="2">IFERROR(IF(INDEX(P$7:P$10,MATCH($B17,$B$7:$B$10,0))/INDEX(P$12:P$15,MATCH($B17,$B$12:$B$15,0))&lt;0,"NM",INDEX(P$7:P$10,MATCH($B17,$B$7:$B$10,0))/INDEX(P$12:P$15,MATCH($B17,$B$12:$B$15,0))),"NA")</f>
        <v>0.2533116271502821</v>
      </c>
      <c r="Q17" s="253">
        <f t="shared" ref="Q17:Q20" ca="1" si="3">IFERROR(IF(INDEX(Q$7:Q$10,MATCH($B17,$B$7:$B$10,0))/INDEX(P$12:P$15,MATCH($B17,$B$12:$B$15,0))&lt;0,"NM",INDEX(Q$7:Q$10,MATCH($B17,$B$7:$B$10,0))/INDEX(P$12:P$15,MATCH($B17,$B$12:$B$15,0))),"NA")</f>
        <v>0.28423805731802337</v>
      </c>
      <c r="R17" s="266"/>
      <c r="S17" s="260">
        <f ca="1">IFERROR(AVERAGE(G17,J17,M17,P17),"NA")</f>
        <v>1.2232122229192297</v>
      </c>
      <c r="T17" s="261">
        <f ca="1">IFERROR(AVERAGE(H17,K17,N17,Q17),"NA")</f>
        <v>1.7276184505443657</v>
      </c>
      <c r="V17" s="463"/>
      <c r="W17" s="463">
        <v>-165.1</v>
      </c>
      <c r="X17" s="463">
        <v>-663</v>
      </c>
      <c r="Y17" s="463">
        <v>938</v>
      </c>
      <c r="Z17" s="463">
        <v>5947.1</v>
      </c>
      <c r="AA17" s="463">
        <v>-509.5</v>
      </c>
    </row>
    <row r="18" spans="1:27" x14ac:dyDescent="0.35">
      <c r="A18" s="524"/>
      <c r="B18" s="457">
        <f ca="1">B8</f>
        <v>44592</v>
      </c>
      <c r="C18" s="247"/>
      <c r="D18" s="255">
        <f t="shared" ref="D18:D20" ca="1" si="4">IFERROR(IF(INDEX(D$7:D$10,MATCH($B18,$B$7:$B$10,0))/INDEX(D$12:D$15,MATCH($B18,$B$12:$B$15,0))&lt;0,"NM",INDEX(D$7:D$10,MATCH($B18,$B$7:$B$10,0))/INDEX(D$12:D$15,MATCH($B18,$B$12:$B$15,0))),"NA")</f>
        <v>6.8937435667934661</v>
      </c>
      <c r="E18" s="255">
        <f t="shared" ref="E18:E20" ca="1" si="5">IFERROR(IF(INDEX(E$7:E$10,MATCH($B18,$B$7:$B$10,0))/INDEX(D$12:D$15,MATCH($B18,$B$12:$B$15,0))&lt;0,"NM",INDEX(E$7:E$10,MATCH($B18,$B$7:$B$10,0))/INDEX(D$12:D$15,MATCH($B18,$B$12:$B$15,0))),"NA")</f>
        <v>9.6089230572515429</v>
      </c>
      <c r="F18" s="256"/>
      <c r="G18" s="255">
        <f t="shared" ref="G18:G20" ca="1" si="6">IFERROR(IF(INDEX(G$7:G$10,MATCH($B18,$B$7:$B$10,0))/INDEX(G$12:G$15,MATCH($B18,$B$12:$B$15,0))&lt;0,"NM",INDEX(G$7:G$10,MATCH($B18,$B$7:$B$10,0))/INDEX(G$12:G$15,MATCH($B18,$B$12:$B$15,0))),"NA")</f>
        <v>1.3221815197653304</v>
      </c>
      <c r="H18" s="255">
        <f t="shared" ref="H18:H20" ca="1" si="7">IFERROR(IF(INDEX(H$7:H$10,MATCH($B18,$B$7:$B$10,0))/INDEX(G$12:G$15,MATCH($B18,$B$12:$B$15,0))&lt;0,"NM",INDEX(H$7:H$10,MATCH($B18,$B$7:$B$10,0))/INDEX(G$12:G$15,MATCH($B18,$B$12:$B$15,0))),"NA")</f>
        <v>1.6911012362061741</v>
      </c>
      <c r="I18" s="256"/>
      <c r="J18" s="255" t="s">
        <v>314</v>
      </c>
      <c r="K18" s="255" t="s">
        <v>314</v>
      </c>
      <c r="L18" s="256"/>
      <c r="M18" s="255">
        <f t="shared" ca="1" si="0"/>
        <v>0.99966565840538557</v>
      </c>
      <c r="N18" s="255">
        <f t="shared" ca="1" si="1"/>
        <v>1.9130519220906139</v>
      </c>
      <c r="O18" s="256"/>
      <c r="P18" s="255">
        <f t="shared" ca="1" si="2"/>
        <v>0.16728104643790306</v>
      </c>
      <c r="Q18" s="255">
        <f t="shared" ca="1" si="3"/>
        <v>0.22876048477310082</v>
      </c>
      <c r="R18" s="266"/>
      <c r="S18" s="262">
        <f ca="1">IFERROR(AVERAGE(G18,J18,M18,P18),"NA")</f>
        <v>0.82970940820287298</v>
      </c>
      <c r="T18" s="263">
        <f t="shared" ref="T18:T20" ca="1" si="8">IFERROR(AVERAGE(H18,K18,N18,Q18),"NA")</f>
        <v>1.2776378810232962</v>
      </c>
      <c r="V18" s="464"/>
      <c r="W18" s="464">
        <v>467</v>
      </c>
      <c r="X18" s="464">
        <v>-370</v>
      </c>
      <c r="Y18" s="464">
        <v>4925</v>
      </c>
      <c r="Z18" s="464">
        <v>5522.5</v>
      </c>
      <c r="AA18" s="464">
        <v>-51.7</v>
      </c>
    </row>
    <row r="19" spans="1:27" x14ac:dyDescent="0.35">
      <c r="A19" s="524"/>
      <c r="B19" s="457">
        <f ca="1">B9</f>
        <v>44957</v>
      </c>
      <c r="C19" s="247"/>
      <c r="D19" s="255">
        <f t="shared" ca="1" si="4"/>
        <v>4.9183028173355519</v>
      </c>
      <c r="E19" s="255">
        <f t="shared" ca="1" si="5"/>
        <v>5.550903273534308</v>
      </c>
      <c r="F19" s="256"/>
      <c r="G19" s="255">
        <f t="shared" ca="1" si="6"/>
        <v>0.55442183900257491</v>
      </c>
      <c r="H19" s="255">
        <f t="shared" ca="1" si="7"/>
        <v>0.84150680986583548</v>
      </c>
      <c r="I19" s="256"/>
      <c r="J19" s="255">
        <f t="shared" ref="J19:J20" ca="1" si="9">IFERROR(IF(INDEX(J$7:J$10,MATCH($B19,$B$7:$B$10,0))/INDEX(J$12:J$15,MATCH($B19,$B$12:$B$15,0))&lt;0,"NM",INDEX(J$7:J$10,MATCH($B19,$B$7:$B$10,0))/INDEX(J$12:J$15,MATCH($B19,$B$12:$B$15,0))),"NA")</f>
        <v>23.129637095654591</v>
      </c>
      <c r="K19" s="255" t="s">
        <v>314</v>
      </c>
      <c r="L19" s="256"/>
      <c r="M19" s="255">
        <f t="shared" ca="1" si="0"/>
        <v>1.5692292646915318</v>
      </c>
      <c r="N19" s="255">
        <f t="shared" ca="1" si="1"/>
        <v>1.739328799263461</v>
      </c>
      <c r="O19" s="256"/>
      <c r="P19" s="255">
        <f t="shared" ca="1" si="2"/>
        <v>0.1955740633100973</v>
      </c>
      <c r="Q19" s="255">
        <f t="shared" ca="1" si="3"/>
        <v>0.23586248446098165</v>
      </c>
      <c r="R19" s="266"/>
      <c r="S19" s="262">
        <f t="shared" ref="S19:S20" ca="1" si="10">IFERROR(AVERAGE(G19,J19,M19,P19),"NA")</f>
        <v>6.362215565664699</v>
      </c>
      <c r="T19" s="263">
        <f t="shared" ca="1" si="8"/>
        <v>0.93889936453009259</v>
      </c>
      <c r="V19" s="464"/>
      <c r="W19" s="464">
        <v>810.3</v>
      </c>
      <c r="X19" s="464">
        <v>1469</v>
      </c>
      <c r="Y19" s="464">
        <v>3593</v>
      </c>
      <c r="Z19" s="464">
        <v>7336.1</v>
      </c>
      <c r="AA19" s="464">
        <v>-356.6</v>
      </c>
    </row>
    <row r="20" spans="1:27" ht="15" thickBot="1" x14ac:dyDescent="0.4">
      <c r="A20" s="524"/>
      <c r="B20" s="457">
        <f ca="1">B10</f>
        <v>45322</v>
      </c>
      <c r="C20" s="247"/>
      <c r="D20" s="255">
        <f t="shared" ca="1" si="4"/>
        <v>4.1393428835778074</v>
      </c>
      <c r="E20" s="255">
        <f t="shared" ca="1" si="5"/>
        <v>5.9614357593587899</v>
      </c>
      <c r="F20" s="256"/>
      <c r="G20" s="255">
        <f t="shared" ca="1" si="6"/>
        <v>0.63050597169364597</v>
      </c>
      <c r="H20" s="255">
        <f t="shared" ca="1" si="7"/>
        <v>0.80195583928164293</v>
      </c>
      <c r="I20" s="256"/>
      <c r="J20" s="255">
        <f t="shared" ca="1" si="9"/>
        <v>17.788314930683352</v>
      </c>
      <c r="K20" s="255">
        <f t="shared" ref="K20" ca="1" si="11">IFERROR(IF(INDEX(K$7:K$10,MATCH($B20,$B$7:$B$10,0))/INDEX(J$12:J$15,MATCH($B20,$B$12:$B$15,0))&lt;0,"NM",INDEX(K$7:K$10,MATCH($B20,$B$7:$B$10,0))/INDEX(J$12:J$15,MATCH($B20,$B$12:$B$15,0))),"NA")</f>
        <v>21.004542878174458</v>
      </c>
      <c r="L20" s="256"/>
      <c r="M20" s="255" t="str">
        <f t="shared" ca="1" si="0"/>
        <v>NA</v>
      </c>
      <c r="N20" s="255" t="str">
        <f t="shared" ca="1" si="1"/>
        <v>NA</v>
      </c>
      <c r="O20" s="256"/>
      <c r="P20" s="255" t="str">
        <f t="shared" ca="1" si="2"/>
        <v>NA</v>
      </c>
      <c r="Q20" s="255" t="str">
        <f t="shared" ca="1" si="3"/>
        <v>NA</v>
      </c>
      <c r="R20" s="266"/>
      <c r="S20" s="262">
        <f t="shared" ca="1" si="10"/>
        <v>9.2094104511885</v>
      </c>
      <c r="T20" s="263">
        <f t="shared" ca="1" si="8"/>
        <v>10.903249358728051</v>
      </c>
      <c r="V20" s="465"/>
      <c r="W20" s="465">
        <v>584.9</v>
      </c>
      <c r="X20" s="465">
        <v>370</v>
      </c>
      <c r="Y20" s="465"/>
      <c r="Z20" s="465">
        <v>6758.6</v>
      </c>
      <c r="AA20" s="465"/>
    </row>
    <row r="21" spans="1:27" ht="15" thickBot="1" x14ac:dyDescent="0.4">
      <c r="A21" s="525"/>
      <c r="B21" s="257" t="s">
        <v>232</v>
      </c>
      <c r="C21" s="250"/>
      <c r="D21" s="258">
        <f ca="1">IFERROR(AVERAGE(D17:D20),"NA")</f>
        <v>5.5456104419409051</v>
      </c>
      <c r="E21" s="258">
        <f ca="1">IFERROR(AVERAGE(E17:E20),"NA")</f>
        <v>7.5860946179267872</v>
      </c>
      <c r="F21" s="259"/>
      <c r="G21" s="258">
        <f ca="1">IFERROR(AVERAGE(G17:G20),"NA")</f>
        <v>0.86836601036677341</v>
      </c>
      <c r="H21" s="258">
        <f ca="1">IFERROR(AVERAGE(H17:H20),"NA")</f>
        <v>1.2609238516058539</v>
      </c>
      <c r="I21" s="259"/>
      <c r="J21" s="258">
        <f ca="1">IFERROR(AVERAGE(J17:J20),"NA")</f>
        <v>20.458976013168972</v>
      </c>
      <c r="K21" s="258">
        <f ca="1">IFERROR(AVERAGE(K17:K20),"NA")</f>
        <v>21.004542878174458</v>
      </c>
      <c r="L21" s="259"/>
      <c r="M21" s="258">
        <f ca="1">IFERROR(AVERAGE(M17:M20),"NA")</f>
        <v>1.6729550845662606</v>
      </c>
      <c r="N21" s="258">
        <f ca="1">IFERROR(AVERAGE(N17:N20),"NA")</f>
        <v>2.2806221648664615</v>
      </c>
      <c r="O21" s="259"/>
      <c r="P21" s="258">
        <f ca="1">IFERROR(AVERAGE(P17:P20),"NA")</f>
        <v>0.20538891229942749</v>
      </c>
      <c r="Q21" s="258">
        <f ca="1">IFERROR(AVERAGE(Q17:Q20),"NA")</f>
        <v>0.24962034218403528</v>
      </c>
      <c r="R21" s="266"/>
      <c r="S21" s="264">
        <f ca="1">IFERROR(AVERAGE(S17:S20),"NA")</f>
        <v>4.4061369119938254</v>
      </c>
      <c r="T21" s="265">
        <f ca="1">IFERROR(AVERAGE(T17:T20),"NA")</f>
        <v>3.7118512637064511</v>
      </c>
    </row>
    <row r="22" spans="1:27" ht="8.25" customHeight="1" x14ac:dyDescent="0.35">
      <c r="A22" s="227"/>
      <c r="B22" s="225"/>
      <c r="C22" s="226"/>
      <c r="D22" s="228"/>
      <c r="E22" s="228"/>
      <c r="F22" s="226"/>
      <c r="G22" s="228"/>
      <c r="H22" s="228"/>
      <c r="I22" s="226"/>
      <c r="J22" s="228"/>
      <c r="K22" s="228"/>
      <c r="L22" s="226"/>
      <c r="M22" s="228"/>
      <c r="N22" s="228"/>
      <c r="O22" s="226"/>
      <c r="P22" s="228"/>
      <c r="Q22" s="228"/>
      <c r="R22" s="226"/>
      <c r="S22" s="228"/>
      <c r="T22" s="228"/>
    </row>
    <row r="23" spans="1:27" x14ac:dyDescent="0.35">
      <c r="A23" s="233" t="s">
        <v>233</v>
      </c>
      <c r="B23" s="234"/>
      <c r="C23" s="235"/>
      <c r="D23" s="235"/>
      <c r="E23" s="234"/>
      <c r="F23" s="235"/>
      <c r="G23" s="234"/>
      <c r="H23" s="234"/>
      <c r="I23" s="235"/>
      <c r="J23" s="234"/>
      <c r="K23" s="235"/>
      <c r="L23" s="235"/>
      <c r="M23" s="235"/>
      <c r="N23" s="235"/>
      <c r="O23" s="235"/>
      <c r="P23" s="235"/>
      <c r="Q23" s="235"/>
      <c r="R23" s="235"/>
      <c r="S23" s="235"/>
      <c r="T23" s="235"/>
    </row>
    <row r="24" spans="1:27" x14ac:dyDescent="0.35">
      <c r="A24" s="236" t="s">
        <v>245</v>
      </c>
      <c r="B24" s="220"/>
      <c r="D24" s="237">
        <f ca="1">AVERAGE($S$21:$T$21)</f>
        <v>4.058994087850138</v>
      </c>
      <c r="E24" s="220"/>
      <c r="H24" s="238"/>
      <c r="J24" s="220"/>
    </row>
    <row r="25" spans="1:27" x14ac:dyDescent="0.35">
      <c r="A25" s="236" t="s">
        <v>246</v>
      </c>
      <c r="B25" s="220"/>
      <c r="D25" s="239">
        <f ca="1">AVERAGE($D$21:$E$21)</f>
        <v>6.5658525299338457</v>
      </c>
      <c r="E25" s="220"/>
      <c r="J25" s="220"/>
    </row>
    <row r="26" spans="1:27" ht="8.25" customHeight="1" x14ac:dyDescent="0.35">
      <c r="A26" s="220"/>
      <c r="B26" s="240"/>
      <c r="D26" s="241"/>
      <c r="E26" s="241"/>
      <c r="G26" s="241"/>
      <c r="H26" s="241"/>
      <c r="J26" s="241"/>
      <c r="K26" s="241"/>
      <c r="M26" s="241"/>
      <c r="N26" s="241"/>
      <c r="P26" s="241"/>
      <c r="Q26" s="241"/>
      <c r="S26" s="241"/>
      <c r="T26" s="241"/>
    </row>
    <row r="27" spans="1:27" x14ac:dyDescent="0.35">
      <c r="A27" s="236" t="s">
        <v>316</v>
      </c>
      <c r="B27" s="220"/>
      <c r="D27" s="242">
        <f ca="1">AVERAGE(D25,D24)</f>
        <v>5.3124233088919919</v>
      </c>
      <c r="E27" s="220"/>
      <c r="J27" s="220"/>
    </row>
    <row r="28" spans="1:27" x14ac:dyDescent="0.35">
      <c r="A28" s="236" t="s">
        <v>247</v>
      </c>
      <c r="B28" s="220"/>
      <c r="D28" s="469">
        <f ca="1">Financials!J12</f>
        <v>10581.23</v>
      </c>
      <c r="E28" s="220"/>
      <c r="J28" s="220"/>
    </row>
    <row r="29" spans="1:27" x14ac:dyDescent="0.35">
      <c r="A29" s="236" t="s">
        <v>248</v>
      </c>
      <c r="B29" s="220"/>
      <c r="D29" s="470">
        <f ca="1">D27*D28</f>
        <v>56211.972888747208</v>
      </c>
      <c r="E29" s="220"/>
      <c r="J29" s="220"/>
    </row>
    <row r="30" spans="1:27" x14ac:dyDescent="0.35">
      <c r="A30" s="471" t="s">
        <v>249</v>
      </c>
      <c r="B30" s="220"/>
      <c r="D30" s="469">
        <f ca="1">Financials!J206+Financials!J211+Financials!J216</f>
        <v>311.625</v>
      </c>
      <c r="E30" s="220"/>
      <c r="J30" s="220"/>
    </row>
    <row r="31" spans="1:27" x14ac:dyDescent="0.35">
      <c r="A31" s="471" t="s">
        <v>250</v>
      </c>
      <c r="B31" s="220"/>
      <c r="D31" s="469">
        <f ca="1">Financials!J56</f>
        <v>2187.4648403952215</v>
      </c>
      <c r="E31" s="220"/>
      <c r="J31" s="220"/>
    </row>
    <row r="32" spans="1:27" x14ac:dyDescent="0.35">
      <c r="A32" s="471" t="s">
        <v>251</v>
      </c>
      <c r="B32" s="220"/>
      <c r="D32" s="469">
        <f ca="1">D29-D30+D31</f>
        <v>58087.812729142432</v>
      </c>
      <c r="E32" s="220"/>
      <c r="J32" s="220"/>
    </row>
    <row r="33" spans="1:20" ht="15" customHeight="1" thickBot="1" x14ac:dyDescent="0.4">
      <c r="A33" s="220"/>
      <c r="B33" s="240"/>
      <c r="D33" s="241"/>
      <c r="E33" s="241"/>
      <c r="G33" s="241"/>
      <c r="H33" s="241"/>
      <c r="J33" s="241"/>
      <c r="K33" s="241"/>
      <c r="M33" s="241"/>
      <c r="N33" s="241"/>
      <c r="P33" s="241"/>
      <c r="Q33" s="241"/>
      <c r="S33" s="241"/>
      <c r="T33" s="241"/>
    </row>
    <row r="34" spans="1:20" ht="15" thickBot="1" x14ac:dyDescent="0.4">
      <c r="A34" s="273" t="s">
        <v>317</v>
      </c>
      <c r="B34" s="231"/>
      <c r="C34" s="232"/>
      <c r="D34" s="274">
        <f ca="1">D32/Assumptions!B25</f>
        <v>473.11833069962438</v>
      </c>
      <c r="E34" s="231"/>
      <c r="F34" s="232"/>
      <c r="G34" s="232"/>
      <c r="H34" s="232"/>
      <c r="I34" s="232"/>
      <c r="J34" s="231"/>
      <c r="K34" s="231"/>
      <c r="L34" s="232"/>
      <c r="M34" s="231"/>
      <c r="N34" s="231"/>
      <c r="O34" s="232"/>
      <c r="P34" s="231"/>
      <c r="Q34" s="231"/>
      <c r="R34" s="232"/>
      <c r="S34" s="231"/>
      <c r="T34" s="231"/>
    </row>
    <row r="35" spans="1:20" ht="15" thickBot="1" x14ac:dyDescent="0.4">
      <c r="A35" s="224"/>
      <c r="B35" s="220"/>
      <c r="E35" s="221"/>
      <c r="J35" s="220"/>
      <c r="K35" s="220"/>
      <c r="M35" s="220"/>
      <c r="N35" s="220"/>
      <c r="P35" s="220"/>
      <c r="Q35" s="220"/>
      <c r="S35" s="220"/>
      <c r="T35" s="220"/>
    </row>
    <row r="36" spans="1:20" x14ac:dyDescent="0.35">
      <c r="A36" s="275" t="s">
        <v>239</v>
      </c>
      <c r="B36" s="276"/>
      <c r="C36" s="276"/>
      <c r="D36" s="276"/>
      <c r="E36" s="276"/>
      <c r="F36" s="276"/>
      <c r="G36" s="276"/>
      <c r="H36" s="276"/>
      <c r="I36" s="276"/>
      <c r="J36" s="276"/>
      <c r="K36" s="276"/>
      <c r="L36" s="276"/>
      <c r="M36" s="276"/>
      <c r="N36" s="276"/>
      <c r="O36" s="276"/>
      <c r="P36" s="276"/>
      <c r="Q36" s="276"/>
      <c r="R36" s="276"/>
      <c r="S36" s="276"/>
      <c r="T36" s="276"/>
    </row>
    <row r="37" spans="1:20" x14ac:dyDescent="0.35">
      <c r="A37" s="278" t="s">
        <v>252</v>
      </c>
    </row>
    <row r="38" spans="1:20" x14ac:dyDescent="0.35">
      <c r="A38" s="278" t="s">
        <v>241</v>
      </c>
    </row>
    <row r="39" spans="1:20" ht="15" thickBot="1" x14ac:dyDescent="0.4">
      <c r="A39" s="279" t="s">
        <v>242</v>
      </c>
      <c r="B39" s="277"/>
      <c r="C39" s="277"/>
      <c r="D39" s="277"/>
      <c r="E39" s="277"/>
      <c r="F39" s="277"/>
      <c r="G39" s="277"/>
      <c r="H39" s="277"/>
      <c r="I39" s="277"/>
      <c r="J39" s="277"/>
      <c r="K39" s="277"/>
      <c r="L39" s="277"/>
      <c r="M39" s="277"/>
      <c r="N39" s="277"/>
      <c r="O39" s="277"/>
      <c r="P39" s="277"/>
      <c r="Q39" s="277"/>
      <c r="R39" s="277"/>
      <c r="S39" s="277"/>
      <c r="T39" s="277"/>
    </row>
  </sheetData>
  <mergeCells count="35">
    <mergeCell ref="A17:A21"/>
    <mergeCell ref="S13:T13"/>
    <mergeCell ref="D14:E14"/>
    <mergeCell ref="G14:H14"/>
    <mergeCell ref="M14:N14"/>
    <mergeCell ref="S14:T14"/>
    <mergeCell ref="A12:A15"/>
    <mergeCell ref="D12:E12"/>
    <mergeCell ref="G12:H12"/>
    <mergeCell ref="M12:N12"/>
    <mergeCell ref="S12:T12"/>
    <mergeCell ref="D13:E13"/>
    <mergeCell ref="G13:H13"/>
    <mergeCell ref="D15:E15"/>
    <mergeCell ref="G15:H15"/>
    <mergeCell ref="M15:N15"/>
    <mergeCell ref="S3:T3"/>
    <mergeCell ref="A7:A10"/>
    <mergeCell ref="M13:N13"/>
    <mergeCell ref="D3:E3"/>
    <mergeCell ref="G3:H3"/>
    <mergeCell ref="J3:K3"/>
    <mergeCell ref="M3:N3"/>
    <mergeCell ref="P3:Q3"/>
    <mergeCell ref="P12:Q12"/>
    <mergeCell ref="P13:Q13"/>
    <mergeCell ref="J12:K12"/>
    <mergeCell ref="J13:K13"/>
    <mergeCell ref="V5:AA5"/>
    <mergeCell ref="V15:AA15"/>
    <mergeCell ref="J14:K14"/>
    <mergeCell ref="J15:K15"/>
    <mergeCell ref="S15:T15"/>
    <mergeCell ref="P14:Q14"/>
    <mergeCell ref="P15:Q15"/>
  </mergeCells>
  <phoneticPr fontId="1" type="noConversion"/>
  <printOptions horizontalCentered="1"/>
  <pageMargins left="0.7" right="0.7" top="0.75" bottom="0.75" header="0.3" footer="0.3"/>
  <pageSetup scale="83" orientation="landscape"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B8336-A1BB-443A-844B-5CA5E78C7B0C}">
  <sheetPr>
    <tabColor theme="9"/>
  </sheetPr>
  <dimension ref="A1:F14"/>
  <sheetViews>
    <sheetView showGridLines="0" zoomScale="104" zoomScaleNormal="130" zoomScaleSheetLayoutView="130" workbookViewId="0">
      <pane ySplit="15" topLeftCell="A29" activePane="bottomLeft" state="frozen"/>
      <selection activeCell="R30" sqref="R30"/>
      <selection pane="bottomLeft" activeCell="H39" sqref="H39"/>
    </sheetView>
  </sheetViews>
  <sheetFormatPr defaultColWidth="8.81640625" defaultRowHeight="14.5" x14ac:dyDescent="0.35"/>
  <cols>
    <col min="1" max="1" width="32.453125" customWidth="1"/>
  </cols>
  <sheetData>
    <row r="1" spans="1:6" x14ac:dyDescent="0.35">
      <c r="A1" s="200" t="s">
        <v>253</v>
      </c>
      <c r="B1" s="201"/>
      <c r="C1" s="201"/>
      <c r="D1" s="201"/>
      <c r="E1" s="201"/>
      <c r="F1" s="201"/>
    </row>
    <row r="2" spans="1:6" ht="6" customHeight="1" x14ac:dyDescent="0.35"/>
    <row r="3" spans="1:6" x14ac:dyDescent="0.35">
      <c r="A3" s="202" t="s">
        <v>254</v>
      </c>
      <c r="B3" s="203">
        <f>Cost_of_Equity</f>
        <v>0.1134724</v>
      </c>
      <c r="C3" s="204"/>
      <c r="D3" s="204"/>
      <c r="E3" s="204"/>
      <c r="F3" s="204"/>
    </row>
    <row r="4" spans="1:6" x14ac:dyDescent="0.35">
      <c r="A4" s="202" t="s">
        <v>255</v>
      </c>
      <c r="B4" s="203">
        <f>Terminal_Rate</f>
        <v>2.5000000000000001E-2</v>
      </c>
      <c r="C4" s="204"/>
      <c r="D4" s="204"/>
      <c r="E4" s="204"/>
      <c r="F4" s="204"/>
    </row>
    <row r="5" spans="1:6" ht="16.5" x14ac:dyDescent="0.35">
      <c r="A5" s="202" t="s">
        <v>256</v>
      </c>
      <c r="B5" s="209"/>
      <c r="C5" s="204"/>
      <c r="D5" s="204"/>
      <c r="E5" s="204"/>
      <c r="F5" s="204"/>
    </row>
    <row r="7" spans="1:6" ht="15" thickBot="1" x14ac:dyDescent="0.4">
      <c r="A7" s="58" t="s">
        <v>257</v>
      </c>
      <c r="B7" s="460" cm="1">
        <f t="array" aca="1" ref="B7:F7" ca="1">DCF!$E$31:$I$31</f>
        <v>45688</v>
      </c>
      <c r="C7" s="460">
        <f ca="1"/>
        <v>46053</v>
      </c>
      <c r="D7" s="460">
        <f ca="1"/>
        <v>46418</v>
      </c>
      <c r="E7" s="460">
        <f ca="1"/>
        <v>46783</v>
      </c>
      <c r="F7" s="460">
        <f ca="1"/>
        <v>47149</v>
      </c>
    </row>
    <row r="8" spans="1:6" x14ac:dyDescent="0.35">
      <c r="A8" s="157" t="s">
        <v>258</v>
      </c>
      <c r="B8" s="208"/>
      <c r="C8" s="208"/>
      <c r="D8" s="208"/>
      <c r="E8" s="208"/>
      <c r="F8" s="208"/>
    </row>
    <row r="9" spans="1:6" x14ac:dyDescent="0.35">
      <c r="A9" s="157" t="s">
        <v>259</v>
      </c>
      <c r="B9" s="199">
        <f>$B$5*(1+B8)</f>
        <v>0</v>
      </c>
      <c r="C9" s="199">
        <f>B$9*(1+C8)</f>
        <v>0</v>
      </c>
      <c r="D9" s="199">
        <f t="shared" ref="D9:F9" si="0">C$9*(1+D8)</f>
        <v>0</v>
      </c>
      <c r="E9" s="199">
        <f t="shared" si="0"/>
        <v>0</v>
      </c>
      <c r="F9" s="199">
        <f t="shared" si="0"/>
        <v>0</v>
      </c>
    </row>
    <row r="10" spans="1:6" x14ac:dyDescent="0.35">
      <c r="A10" s="157" t="s">
        <v>212</v>
      </c>
      <c r="B10" s="199"/>
      <c r="C10" s="199"/>
      <c r="D10" s="199"/>
      <c r="E10" s="199"/>
      <c r="F10" s="199">
        <f>IFERROR((F9*(1+$B$4) + (F9*('DCF (H-Model for TV)'!C48)*('DCF (H-Model for TV)'!C46-B4)))/(B3-B4),"NA")</f>
        <v>0</v>
      </c>
    </row>
    <row r="11" spans="1:6" x14ac:dyDescent="0.35">
      <c r="A11" s="210" t="s">
        <v>260</v>
      </c>
      <c r="B11" s="211">
        <f>SUM(B9:B10)</f>
        <v>0</v>
      </c>
      <c r="C11" s="211">
        <f t="shared" ref="C11:F11" si="1">SUM(C9:C10)</f>
        <v>0</v>
      </c>
      <c r="D11" s="211">
        <f t="shared" si="1"/>
        <v>0</v>
      </c>
      <c r="E11" s="211">
        <f t="shared" si="1"/>
        <v>0</v>
      </c>
      <c r="F11" s="211">
        <f t="shared" si="1"/>
        <v>0</v>
      </c>
    </row>
    <row r="12" spans="1:6" ht="6" customHeight="1" x14ac:dyDescent="0.35"/>
    <row r="13" spans="1:6" ht="15" thickBot="1" x14ac:dyDescent="0.4">
      <c r="A13" s="212" t="s">
        <v>261</v>
      </c>
      <c r="B13" s="213"/>
      <c r="C13" s="213"/>
      <c r="D13" s="213"/>
      <c r="E13" s="213"/>
      <c r="F13" s="219">
        <f>NPV($B$3,B$11:F$11)</f>
        <v>0</v>
      </c>
    </row>
    <row r="14" spans="1:6" ht="15" thickBot="1" x14ac:dyDescent="0.4">
      <c r="A14" s="212" t="s">
        <v>262</v>
      </c>
      <c r="B14" s="213"/>
      <c r="C14" s="213"/>
      <c r="D14" s="213"/>
      <c r="E14" s="213"/>
      <c r="F14" s="207">
        <f>F13*(1+$B$3)</f>
        <v>0</v>
      </c>
    </row>
  </sheetData>
  <printOptions horizontalCentered="1"/>
  <pageMargins left="0.7" right="0.7" top="0.75" bottom="0.75" header="0.3" footer="0.3"/>
  <pageSetup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3782B-B920-46DB-ADA7-4EA87917571E}">
  <sheetPr>
    <tabColor theme="4"/>
    <pageSetUpPr fitToPage="1"/>
  </sheetPr>
  <dimension ref="A1:N18"/>
  <sheetViews>
    <sheetView showGridLines="0" tabSelected="1" view="pageBreakPreview" zoomScaleNormal="100" zoomScaleSheetLayoutView="100" workbookViewId="0">
      <pane ySplit="4" topLeftCell="A7" activePane="bottomLeft" state="frozen"/>
      <selection activeCell="Q21" sqref="Q21"/>
      <selection pane="bottomLeft" activeCell="M9" sqref="M9"/>
    </sheetView>
  </sheetViews>
  <sheetFormatPr defaultColWidth="8.81640625" defaultRowHeight="14.5" x14ac:dyDescent="0.35"/>
  <cols>
    <col min="1" max="1" width="25.453125" bestFit="1" customWidth="1"/>
    <col min="2" max="8" width="10.453125" bestFit="1" customWidth="1"/>
    <col min="9" max="10" width="10.453125" customWidth="1"/>
    <col min="11" max="11" width="0.453125" customWidth="1"/>
    <col min="12" max="12" width="9.453125" customWidth="1"/>
    <col min="13" max="13" width="3" customWidth="1"/>
  </cols>
  <sheetData>
    <row r="1" spans="1:14" ht="26.25" customHeight="1" x14ac:dyDescent="0.35">
      <c r="A1" s="107" t="str">
        <f>"Financials Summary ($"&amp;Scale_Symbol&amp;")"</f>
        <v>Financials Summary ($M)</v>
      </c>
      <c r="B1" s="108"/>
      <c r="C1" s="108"/>
      <c r="D1" s="108"/>
      <c r="E1" s="109"/>
      <c r="F1" s="109"/>
      <c r="G1" s="109"/>
      <c r="H1" s="109"/>
      <c r="I1" s="109"/>
      <c r="J1" s="109"/>
      <c r="K1" s="160"/>
      <c r="L1" s="109"/>
      <c r="N1" s="214" t="s">
        <v>284</v>
      </c>
    </row>
    <row r="2" spans="1:14" x14ac:dyDescent="0.35">
      <c r="A2" s="110" t="e">
        <f>"Sales Growth Assumption: "&amp;TEXT(#REF!,"0.0%")</f>
        <v>#REF!</v>
      </c>
      <c r="B2" s="111" t="s">
        <v>197</v>
      </c>
      <c r="C2" s="57"/>
      <c r="D2" s="57"/>
      <c r="E2" s="57"/>
      <c r="F2" s="111" t="s">
        <v>49</v>
      </c>
      <c r="G2" s="57"/>
      <c r="H2" s="111"/>
      <c r="I2" s="111"/>
      <c r="J2" s="57"/>
      <c r="K2" s="160"/>
      <c r="L2" s="160"/>
    </row>
    <row r="3" spans="1:14" ht="15" thickBot="1" x14ac:dyDescent="0.4">
      <c r="A3" s="166" t="s">
        <v>285</v>
      </c>
      <c r="B3" s="461" cm="1">
        <f t="array" aca="1" ref="B3:J3" ca="1">Annual_Periods</f>
        <v>44227</v>
      </c>
      <c r="C3" s="461">
        <f ca="1"/>
        <v>44592</v>
      </c>
      <c r="D3" s="461">
        <f ca="1"/>
        <v>44957</v>
      </c>
      <c r="E3" s="461">
        <f ca="1"/>
        <v>45322</v>
      </c>
      <c r="F3" s="461">
        <f ca="1"/>
        <v>45688</v>
      </c>
      <c r="G3" s="461">
        <f ca="1"/>
        <v>46053</v>
      </c>
      <c r="H3" s="461">
        <f ca="1"/>
        <v>46418</v>
      </c>
      <c r="I3" s="461">
        <f ca="1"/>
        <v>46783</v>
      </c>
      <c r="J3" s="461">
        <f ca="1"/>
        <v>47149</v>
      </c>
      <c r="K3" s="160"/>
      <c r="L3" s="112"/>
    </row>
    <row r="4" spans="1:14" ht="9" customHeight="1" x14ac:dyDescent="0.35">
      <c r="A4" s="113"/>
      <c r="B4" s="114"/>
      <c r="C4" s="114"/>
      <c r="D4" s="114"/>
      <c r="E4" s="114"/>
      <c r="F4" s="114"/>
      <c r="G4" s="114"/>
      <c r="H4" s="114"/>
      <c r="I4" s="114"/>
      <c r="J4" s="114"/>
      <c r="K4" s="169"/>
      <c r="L4" s="114"/>
    </row>
    <row r="5" spans="1:14" hidden="1" x14ac:dyDescent="0.35">
      <c r="A5" s="115" t="s">
        <v>286</v>
      </c>
      <c r="B5" s="116" t="e">
        <f ca="1">INDEX(#REF!,MATCH(B$3,#REF!,0))</f>
        <v>#REF!</v>
      </c>
      <c r="C5" s="116" t="e">
        <f ca="1">INDEX(#REF!,MATCH(C$3,#REF!,0))</f>
        <v>#REF!</v>
      </c>
      <c r="D5" s="116" t="e">
        <f ca="1">INDEX(#REF!,MATCH(D$3,#REF!,0))</f>
        <v>#REF!</v>
      </c>
      <c r="E5" s="116" t="e">
        <f ca="1">INDEX(#REF!,MATCH(E$3,#REF!,0))</f>
        <v>#REF!</v>
      </c>
      <c r="F5" s="116" t="e">
        <f ca="1">INDEX(#REF!,MATCH(F$3,#REF!,0))</f>
        <v>#REF!</v>
      </c>
      <c r="G5" s="116" t="e">
        <f ca="1">INDEX(#REF!,MATCH(G$3,#REF!,0))</f>
        <v>#REF!</v>
      </c>
      <c r="H5" s="116" t="e">
        <f ca="1">INDEX(#REF!,MATCH(H$3,#REF!,0))</f>
        <v>#REF!</v>
      </c>
      <c r="I5" s="116" t="e">
        <f ca="1">INDEX(#REF!,MATCH(I$3,#REF!,0))</f>
        <v>#REF!</v>
      </c>
      <c r="J5" s="116" t="e">
        <f ca="1">INDEX(#REF!,MATCH(J$3,#REF!,0))</f>
        <v>#REF!</v>
      </c>
      <c r="K5" s="160"/>
      <c r="L5" s="117" t="e">
        <f ca="1">_xlfn.RRI(COUNT(OFFSET($A$3,0,1):OFFSET($L$3,0,-1))-1,$B5,$F5)</f>
        <v>#REF!</v>
      </c>
    </row>
    <row r="6" spans="1:14" hidden="1" x14ac:dyDescent="0.35">
      <c r="A6" s="118" t="s">
        <v>287</v>
      </c>
      <c r="B6" s="62" t="e">
        <f ca="1">INDEX(#REF!,MATCH(B$3,#REF!,0))</f>
        <v>#REF!</v>
      </c>
      <c r="C6" s="62" t="e">
        <f ca="1">INDEX(#REF!,MATCH(C$3,#REF!,0))</f>
        <v>#REF!</v>
      </c>
      <c r="D6" s="62" t="e">
        <f ca="1">INDEX(#REF!,MATCH(D$3,#REF!,0))</f>
        <v>#REF!</v>
      </c>
      <c r="E6" s="62" t="e">
        <f ca="1">INDEX(#REF!,MATCH(E$3,#REF!,0))</f>
        <v>#REF!</v>
      </c>
      <c r="F6" s="62" t="e">
        <f ca="1">INDEX(#REF!,MATCH(F$3,#REF!,0))</f>
        <v>#REF!</v>
      </c>
      <c r="G6" s="62" t="e">
        <f ca="1">INDEX(#REF!,MATCH(G$3,#REF!,0))</f>
        <v>#REF!</v>
      </c>
      <c r="H6" s="62" t="e">
        <f ca="1">INDEX(#REF!,MATCH(H$3,#REF!,0))</f>
        <v>#REF!</v>
      </c>
      <c r="I6" s="62" t="e">
        <f ca="1">INDEX(#REF!,MATCH(I$3,#REF!,0))</f>
        <v>#REF!</v>
      </c>
      <c r="J6" s="62" t="e">
        <f ca="1">INDEX(#REF!,MATCH(J$3,#REF!,0))</f>
        <v>#REF!</v>
      </c>
      <c r="K6" s="169"/>
      <c r="L6" s="114"/>
    </row>
    <row r="7" spans="1:14" ht="25.5" customHeight="1" x14ac:dyDescent="0.35">
      <c r="A7" s="115" t="s">
        <v>288</v>
      </c>
      <c r="B7" s="163">
        <f ca="1">INDEX(Financials!$12:$12,MATCH(B$3,Financials!$6:$6,0))</f>
        <v>4401.8999999999996</v>
      </c>
      <c r="C7" s="163">
        <f ca="1">INDEX(Financials!$12:$12,MATCH(C$3,Financials!$6:$6,0))</f>
        <v>6256.6</v>
      </c>
      <c r="D7" s="163">
        <f ca="1">INDEX(Financials!$12:$12,MATCH(D$3,Financials!$6:$6,0))</f>
        <v>8110.5</v>
      </c>
      <c r="E7" s="163">
        <f ca="1">INDEX(Financials!$12:$12,MATCH(E$3,Financials!$6:$6,0))</f>
        <v>9619.2999999999993</v>
      </c>
      <c r="F7" s="163">
        <f ca="1">INDEX(Financials!$12:$12,MATCH(F$3,Financials!$6:$6,0))</f>
        <v>10581.23</v>
      </c>
      <c r="G7" s="163">
        <f ca="1">INDEX(Financials!$12:$12,MATCH(G$3,Financials!$6:$6,0))</f>
        <v>11639.353000000001</v>
      </c>
      <c r="H7" s="163">
        <f ca="1">INDEX(Financials!$12:$12,MATCH(H$3,Financials!$6:$6,0))</f>
        <v>12686.894770000003</v>
      </c>
      <c r="I7" s="163">
        <f ca="1">INDEX(Financials!$12:$12,MATCH(I$3,Financials!$6:$6,0))</f>
        <v>13828.715299300004</v>
      </c>
      <c r="J7" s="163">
        <f ca="1">INDEX(Financials!$12:$12,MATCH(J$3,Financials!$6:$6,0))</f>
        <v>14935.012523244004</v>
      </c>
      <c r="K7" s="160"/>
      <c r="L7" s="117">
        <f ca="1">_xlfn.RRI(5,E7,J7)</f>
        <v>9.1974317906353908E-2</v>
      </c>
    </row>
    <row r="8" spans="1:14" ht="25.5" customHeight="1" x14ac:dyDescent="0.35">
      <c r="A8" s="118" t="s">
        <v>289</v>
      </c>
      <c r="B8" s="164">
        <f ca="1">INDEX(Financials!$18:$18,MATCH(B$3,Financials!$6:$6,0))</f>
        <v>-1752.4</v>
      </c>
      <c r="C8" s="164">
        <f ca="1">INDEX(Financials!$18:$18,MATCH(C$3,Financials!$6:$6,0))</f>
        <v>-2423.9</v>
      </c>
      <c r="D8" s="164">
        <f ca="1">INDEX(Financials!$18:$18,MATCH(D$3,Financials!$6:$6,0))</f>
        <v>-3326.3999999999996</v>
      </c>
      <c r="E8" s="164">
        <f ca="1">INDEX(Financials!$18:$18,MATCH(E$3,Financials!$6:$6,0))</f>
        <v>-3630.5</v>
      </c>
      <c r="F8" s="164">
        <f ca="1">INDEX(Financials!$18:$18,MATCH(F$3,Financials!$6:$6,0))</f>
        <v>-3967.9612499999998</v>
      </c>
      <c r="G8" s="164">
        <f ca="1">INDEX(Financials!$18:$18,MATCH(G$3,Financials!$6:$6,0))</f>
        <v>-4306.5606100000005</v>
      </c>
      <c r="H8" s="164">
        <f ca="1">INDEX(Financials!$18:$18,MATCH(H$3,Financials!$6:$6,0))</f>
        <v>-4630.7165910500007</v>
      </c>
      <c r="I8" s="164">
        <f ca="1">INDEX(Financials!$18:$18,MATCH(I$3,Financials!$6:$6,0))</f>
        <v>-4978.3375077480014</v>
      </c>
      <c r="J8" s="164">
        <f ca="1">INDEX(Financials!$18:$18,MATCH(J$3,Financials!$6:$6,0))</f>
        <v>-5301.9294457516216</v>
      </c>
      <c r="K8" s="160"/>
      <c r="L8" s="62"/>
    </row>
    <row r="9" spans="1:14" ht="25.5" customHeight="1" x14ac:dyDescent="0.35">
      <c r="A9" s="115" t="s">
        <v>64</v>
      </c>
      <c r="B9" s="163">
        <f ca="1">B7+B8</f>
        <v>2649.4999999999995</v>
      </c>
      <c r="C9" s="163">
        <f t="shared" ref="C9:J9" ca="1" si="0">C7+C8</f>
        <v>3832.7000000000003</v>
      </c>
      <c r="D9" s="163">
        <f t="shared" ca="1" si="0"/>
        <v>4784.1000000000004</v>
      </c>
      <c r="E9" s="163">
        <f t="shared" ca="1" si="0"/>
        <v>5988.7999999999993</v>
      </c>
      <c r="F9" s="163">
        <f t="shared" ca="1" si="0"/>
        <v>6613.2687499999993</v>
      </c>
      <c r="G9" s="163">
        <f t="shared" ca="1" si="0"/>
        <v>7332.7923900000005</v>
      </c>
      <c r="H9" s="163">
        <f t="shared" ca="1" si="0"/>
        <v>8056.1781789500019</v>
      </c>
      <c r="I9" s="163">
        <f t="shared" ca="1" si="0"/>
        <v>8850.3777915520022</v>
      </c>
      <c r="J9" s="163">
        <f t="shared" ca="1" si="0"/>
        <v>9633.0830774923816</v>
      </c>
      <c r="K9" s="160"/>
      <c r="L9" s="117"/>
    </row>
    <row r="10" spans="1:14" ht="25.5" customHeight="1" x14ac:dyDescent="0.35">
      <c r="A10" s="119" t="s">
        <v>290</v>
      </c>
      <c r="B10" s="120">
        <f ca="1">IFERROR(B9/B$7,"NA")</f>
        <v>0.60189917989958874</v>
      </c>
      <c r="C10" s="120">
        <f t="shared" ref="C10:J10" ca="1" si="1">IFERROR(C9/C$7,"NA")</f>
        <v>0.61258511012370942</v>
      </c>
      <c r="D10" s="120">
        <f t="shared" ca="1" si="1"/>
        <v>0.58986498982800073</v>
      </c>
      <c r="E10" s="120">
        <f t="shared" ca="1" si="1"/>
        <v>0.62258168473797471</v>
      </c>
      <c r="F10" s="120">
        <f t="shared" ca="1" si="1"/>
        <v>0.625</v>
      </c>
      <c r="G10" s="120">
        <f t="shared" ca="1" si="1"/>
        <v>0.63</v>
      </c>
      <c r="H10" s="120">
        <f t="shared" ca="1" si="1"/>
        <v>0.63500000000000001</v>
      </c>
      <c r="I10" s="120">
        <f t="shared" ca="1" si="1"/>
        <v>0.64</v>
      </c>
      <c r="J10" s="120">
        <f t="shared" ca="1" si="1"/>
        <v>0.64499999999999991</v>
      </c>
      <c r="K10" s="160"/>
      <c r="L10" s="121"/>
    </row>
    <row r="11" spans="1:14" ht="8.25" customHeight="1" x14ac:dyDescent="0.35">
      <c r="A11" s="122"/>
      <c r="B11" s="123"/>
      <c r="C11" s="123"/>
      <c r="D11" s="123"/>
      <c r="E11" s="123"/>
      <c r="F11" s="123"/>
      <c r="G11" s="123"/>
      <c r="H11" s="123"/>
      <c r="I11" s="123"/>
      <c r="J11" s="123"/>
      <c r="K11" s="169"/>
      <c r="L11" s="124"/>
    </row>
    <row r="12" spans="1:14" ht="25.5" customHeight="1" x14ac:dyDescent="0.35">
      <c r="A12" s="118" t="s">
        <v>291</v>
      </c>
      <c r="B12" s="164">
        <f ca="1">-INDEX(Financials!$29:$29,MATCH(B$3,Financials!$6:$6,0))</f>
        <v>-1829.5</v>
      </c>
      <c r="C12" s="164">
        <f ca="1">-INDEX(Financials!$29:$29,MATCH(C$3,Financials!$6:$6,0))</f>
        <v>-2499.3999999999996</v>
      </c>
      <c r="D12" s="164">
        <f ca="1">-INDEX(Financials!$29:$29,MATCH(D$3,Financials!$6:$6,0))</f>
        <v>-3455.7000000000003</v>
      </c>
      <c r="E12" s="164">
        <f ca="1">-INDEX(Financials!$29:$29,MATCH(E$3,Financials!$6:$6,0))</f>
        <v>-3856.1</v>
      </c>
      <c r="F12" s="164">
        <f ca="1">-INDEX(Financials!$29:$29,MATCH(F$3,Financials!$6:$6,0))</f>
        <v>-4235.7894794305348</v>
      </c>
      <c r="G12" s="164">
        <f ca="1">-INDEX(Financials!$29:$29,MATCH(G$3,Financials!$6:$6,0))</f>
        <v>-4603.6641816908959</v>
      </c>
      <c r="H12" s="164">
        <f ca="1">-INDEX(Financials!$29:$29,MATCH(H$3,Financials!$6:$6,0))</f>
        <v>-4940.2189942167015</v>
      </c>
      <c r="I12" s="164">
        <f ca="1">-INDEX(Financials!$29:$29,MATCH(I$3,Financials!$6:$6,0))</f>
        <v>-5265.7147440549788</v>
      </c>
      <c r="J12" s="164">
        <f ca="1">-INDEX(Financials!$29:$29,MATCH(J$3,Financials!$6:$6,0))</f>
        <v>-5651.9658036432993</v>
      </c>
      <c r="K12" s="160"/>
      <c r="L12" s="62"/>
      <c r="N12" s="125"/>
    </row>
    <row r="13" spans="1:14" ht="25.5" customHeight="1" x14ac:dyDescent="0.35">
      <c r="A13" s="115" t="s">
        <v>72</v>
      </c>
      <c r="B13" s="163">
        <f ca="1">B9+B12</f>
        <v>819.99999999999955</v>
      </c>
      <c r="C13" s="163">
        <f t="shared" ref="C13:J13" ca="1" si="2">C9+C12</f>
        <v>1333.3000000000006</v>
      </c>
      <c r="D13" s="163">
        <f t="shared" ca="1" si="2"/>
        <v>1328.4</v>
      </c>
      <c r="E13" s="163">
        <f t="shared" ca="1" si="2"/>
        <v>2132.6999999999994</v>
      </c>
      <c r="F13" s="163">
        <f t="shared" ca="1" si="2"/>
        <v>2377.4792705694645</v>
      </c>
      <c r="G13" s="163">
        <f t="shared" ca="1" si="2"/>
        <v>2729.1282083091046</v>
      </c>
      <c r="H13" s="163">
        <f t="shared" ca="1" si="2"/>
        <v>3115.9591847333004</v>
      </c>
      <c r="I13" s="163">
        <f t="shared" ca="1" si="2"/>
        <v>3584.6630474970234</v>
      </c>
      <c r="J13" s="163">
        <f t="shared" ca="1" si="2"/>
        <v>3981.1172738490823</v>
      </c>
      <c r="K13" s="160"/>
      <c r="L13" s="116"/>
      <c r="N13" s="125"/>
    </row>
    <row r="14" spans="1:14" ht="25.5" customHeight="1" x14ac:dyDescent="0.35">
      <c r="A14" s="119" t="s">
        <v>292</v>
      </c>
      <c r="B14" s="120">
        <f ca="1">IFERROR(B13/B$7,"NA")</f>
        <v>0.18628319589268261</v>
      </c>
      <c r="C14" s="120">
        <f t="shared" ref="C14:J14" ca="1" si="3">IFERROR(C13/C$7,"NA")</f>
        <v>0.21310296327078615</v>
      </c>
      <c r="D14" s="120">
        <f t="shared" ca="1" si="3"/>
        <v>0.16378768263362309</v>
      </c>
      <c r="E14" s="120">
        <f t="shared" ca="1" si="3"/>
        <v>0.22171051947646914</v>
      </c>
      <c r="F14" s="120">
        <f t="shared" ca="1" si="3"/>
        <v>0.22468836520607383</v>
      </c>
      <c r="G14" s="120">
        <f t="shared" ca="1" si="3"/>
        <v>0.23447421934098092</v>
      </c>
      <c r="H14" s="120">
        <f t="shared" ca="1" si="3"/>
        <v>0.24560455818561974</v>
      </c>
      <c r="I14" s="120">
        <f t="shared" ca="1" si="3"/>
        <v>0.25921880448854678</v>
      </c>
      <c r="J14" s="120">
        <f t="shared" ca="1" si="3"/>
        <v>0.26656270074451549</v>
      </c>
      <c r="K14" s="160"/>
      <c r="L14" s="121"/>
    </row>
    <row r="15" spans="1:14" ht="7.5" customHeight="1" x14ac:dyDescent="0.35">
      <c r="A15" s="122"/>
      <c r="B15" s="123"/>
      <c r="C15" s="123"/>
      <c r="D15" s="123"/>
      <c r="E15" s="123"/>
      <c r="F15" s="123"/>
      <c r="G15" s="123"/>
      <c r="H15" s="123"/>
      <c r="I15" s="123"/>
      <c r="J15" s="123"/>
      <c r="K15" s="169"/>
      <c r="L15" s="124"/>
    </row>
    <row r="16" spans="1:14" ht="25.5" customHeight="1" x14ac:dyDescent="0.35">
      <c r="A16" s="115" t="s">
        <v>86</v>
      </c>
      <c r="B16" s="163">
        <f ca="1">INDEX(Financials!$43:$43,MATCH(B$3,Financials!$6:$6,0))</f>
        <v>588.99999999999955</v>
      </c>
      <c r="C16" s="163">
        <f ca="1">INDEX(Financials!$43:$43,MATCH(C$3,Financials!$6:$6,0))</f>
        <v>975.30000000000064</v>
      </c>
      <c r="D16" s="163">
        <f ca="1">INDEX(Financials!$43:$43,MATCH(D$3,Financials!$6:$6,0))</f>
        <v>854.80000000000018</v>
      </c>
      <c r="E16" s="163">
        <f ca="1">INDEX(Financials!$43:$43,MATCH(E$3,Financials!$6:$6,0))</f>
        <v>1550.2999999999993</v>
      </c>
      <c r="F16" s="163">
        <f ca="1">INDEX(Financials!$43:$43,MATCH(F$3,Financials!$6:$6,0))</f>
        <v>1702.5868068700479</v>
      </c>
      <c r="G16" s="163">
        <f ca="1">INDEX(Financials!$43:$43,MATCH(G$3,Financials!$6:$6,0))</f>
        <v>1953.9430071631309</v>
      </c>
      <c r="H16" s="163">
        <f ca="1">INDEX(Financials!$43:$43,MATCH(H$3,Financials!$6:$6,0))</f>
        <v>2230.3389974333923</v>
      </c>
      <c r="I16" s="163">
        <f ca="1">INDEX(Financials!$43:$43,MATCH(I$3,Financials!$6:$6,0))</f>
        <v>2565.1159929324585</v>
      </c>
      <c r="J16" s="163">
        <f ca="1">INDEX(Financials!$43:$43,MATCH(J$3,Financials!$6:$6,0))</f>
        <v>2848.4182743442907</v>
      </c>
      <c r="K16" s="160"/>
      <c r="L16" s="117"/>
    </row>
    <row r="17" spans="1:12" ht="25.5" customHeight="1" x14ac:dyDescent="0.35">
      <c r="A17" s="119" t="s">
        <v>83</v>
      </c>
      <c r="B17" s="120">
        <f t="shared" ref="B17:J17" ca="1" si="4">IFERROR(B16/B$7,"NA")</f>
        <v>0.13380585656193908</v>
      </c>
      <c r="C17" s="120">
        <f t="shared" ca="1" si="4"/>
        <v>0.1558833871431769</v>
      </c>
      <c r="D17" s="120">
        <f t="shared" ca="1" si="4"/>
        <v>0.10539424203193394</v>
      </c>
      <c r="E17" s="120">
        <f t="shared" ca="1" si="4"/>
        <v>0.16116557337852019</v>
      </c>
      <c r="F17" s="120">
        <f t="shared" ca="1" si="4"/>
        <v>0.16090632250409906</v>
      </c>
      <c r="G17" s="120">
        <f t="shared" ca="1" si="4"/>
        <v>0.16787385064815294</v>
      </c>
      <c r="H17" s="120">
        <f t="shared" ca="1" si="4"/>
        <v>0.17579865190553573</v>
      </c>
      <c r="I17" s="120">
        <f t="shared" ca="1" si="4"/>
        <v>0.1854919952732198</v>
      </c>
      <c r="J17" s="120">
        <f t="shared" ca="1" si="4"/>
        <v>0.1907208494074695</v>
      </c>
      <c r="K17" s="160"/>
      <c r="L17" s="121"/>
    </row>
    <row r="18" spans="1:12" ht="9.75" customHeight="1" x14ac:dyDescent="0.35"/>
  </sheetData>
  <printOptions horizontalCentered="1"/>
  <pageMargins left="0.7" right="0.7" top="0.75" bottom="0.75" header="0.3" footer="0.3"/>
  <pageSetup fitToHeight="0" orientation="landscape" r:id="rId1"/>
  <rowBreaks count="1" manualBreakCount="1">
    <brk id="18" max="11"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D5071AA1C2C942B0CD048BB6EDA6E0" ma:contentTypeVersion="13" ma:contentTypeDescription="Create a new document." ma:contentTypeScope="" ma:versionID="961919ca52f2ec3e53544d04f04d593c">
  <xsd:schema xmlns:xsd="http://www.w3.org/2001/XMLSchema" xmlns:xs="http://www.w3.org/2001/XMLSchema" xmlns:p="http://schemas.microsoft.com/office/2006/metadata/properties" xmlns:ns3="c21ce3d2-7ea3-41ec-8fe6-8284232d1458" xmlns:ns4="b21406a0-68e3-4779-9a91-a2eec268eded" targetNamespace="http://schemas.microsoft.com/office/2006/metadata/properties" ma:root="true" ma:fieldsID="567bd0e160793c33c702fc3237843293" ns3:_="" ns4:_="">
    <xsd:import namespace="c21ce3d2-7ea3-41ec-8fe6-8284232d1458"/>
    <xsd:import namespace="b21406a0-68e3-4779-9a91-a2eec268ede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ce3d2-7ea3-41ec-8fe6-8284232d14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1406a0-68e3-4779-9a91-a2eec268ede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21ce3d2-7ea3-41ec-8fe6-8284232d145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0CD4E1-BFF0-4460-84CD-14CF64CF5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1ce3d2-7ea3-41ec-8fe6-8284232d1458"/>
    <ds:schemaRef ds:uri="b21406a0-68e3-4779-9a91-a2eec268ed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0C763C-A70A-4AF6-8DFB-1DD4D1D1A83C}">
  <ds:schemaRefs>
    <ds:schemaRef ds:uri="http://schemas.microsoft.com/office/2006/metadata/properties"/>
    <ds:schemaRef ds:uri="http://schemas.microsoft.com/office/infopath/2007/PartnerControls"/>
    <ds:schemaRef ds:uri="c21ce3d2-7ea3-41ec-8fe6-8284232d1458"/>
  </ds:schemaRefs>
</ds:datastoreItem>
</file>

<file path=customXml/itemProps3.xml><?xml version="1.0" encoding="utf-8"?>
<ds:datastoreItem xmlns:ds="http://schemas.openxmlformats.org/officeDocument/2006/customXml" ds:itemID="{4AF1B1A6-1B6D-4105-8A1E-0D0EDECEB6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38</vt:i4>
      </vt:variant>
    </vt:vector>
  </HeadingPairs>
  <TitlesOfParts>
    <vt:vector size="48" baseType="lpstr">
      <vt:lpstr>Valuation--&gt;</vt:lpstr>
      <vt:lpstr>Summary</vt:lpstr>
      <vt:lpstr>Assumptions</vt:lpstr>
      <vt:lpstr>Financials</vt:lpstr>
      <vt:lpstr>DCF</vt:lpstr>
      <vt:lpstr>DCF (H-Model for TV)</vt:lpstr>
      <vt:lpstr>PE Multiples</vt:lpstr>
      <vt:lpstr>EV-Sales Multiples</vt:lpstr>
      <vt:lpstr>DDM</vt:lpstr>
      <vt:lpstr>IS Summary</vt:lpstr>
      <vt:lpstr>BS_End</vt:lpstr>
      <vt:lpstr>BS_Start</vt:lpstr>
      <vt:lpstr>Comp_Name</vt:lpstr>
      <vt:lpstr>Cost_of_Debt</vt:lpstr>
      <vt:lpstr>Cost_of_Equity</vt:lpstr>
      <vt:lpstr>Country_RP</vt:lpstr>
      <vt:lpstr>Current_Price</vt:lpstr>
      <vt:lpstr>'DCF (H-Model for TV)'!DCF_Enterprise_Value</vt:lpstr>
      <vt:lpstr>DCF_Enterprise_Value</vt:lpstr>
      <vt:lpstr>'DCF (H-Model for TV)'!DCF_Enterprise_Value_PerShare</vt:lpstr>
      <vt:lpstr>DCF_Enterprise_Value_PerShare</vt:lpstr>
      <vt:lpstr>'DCF (H-Model for TV)'!DCF_Equity_Value</vt:lpstr>
      <vt:lpstr>DCF_Equity_Value</vt:lpstr>
      <vt:lpstr>'DCF (H-Model for TV)'!DCF_Equity_Value_PerShare</vt:lpstr>
      <vt:lpstr>DCF_Equity_Value_PerShare</vt:lpstr>
      <vt:lpstr>Debt_Adj_Factor</vt:lpstr>
      <vt:lpstr>Debt_MV</vt:lpstr>
      <vt:lpstr>Equity_Beta</vt:lpstr>
      <vt:lpstr>Equity_MV</vt:lpstr>
      <vt:lpstr>Equity_Risk_Premium</vt:lpstr>
      <vt:lpstr>DCF!Print_Area</vt:lpstr>
      <vt:lpstr>'DCF (H-Model for TV)'!Print_Area</vt:lpstr>
      <vt:lpstr>DDM!Print_Area</vt:lpstr>
      <vt:lpstr>'EV-Sales Multiples'!Print_Area</vt:lpstr>
      <vt:lpstr>'IS Summary'!Print_Area</vt:lpstr>
      <vt:lpstr>'PE Multiples'!Print_Area</vt:lpstr>
      <vt:lpstr>Summary!Print_Area</vt:lpstr>
      <vt:lpstr>Risk_Free_Rate</vt:lpstr>
      <vt:lpstr>Scale_Symbol</vt:lpstr>
      <vt:lpstr>Scaler</vt:lpstr>
      <vt:lpstr>Shares_Out</vt:lpstr>
      <vt:lpstr>Size_RP</vt:lpstr>
      <vt:lpstr>Tax_Rate</vt:lpstr>
      <vt:lpstr>Terminal_Rate</vt:lpstr>
      <vt:lpstr>Total_Capitalization</vt:lpstr>
      <vt:lpstr>WACC</vt:lpstr>
      <vt:lpstr>'DCF (H-Model for TV)'!WACC_Override</vt:lpstr>
      <vt:lpstr>WACC_Override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Douglas</dc:creator>
  <cp:keywords/>
  <dc:description/>
  <cp:lastModifiedBy>Nitin N</cp:lastModifiedBy>
  <cp:revision/>
  <dcterms:created xsi:type="dcterms:W3CDTF">2022-11-10T18:42:52Z</dcterms:created>
  <dcterms:modified xsi:type="dcterms:W3CDTF">2025-09-15T20:00:38Z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0x010100D8D5071AA1C2C942B0CD048BB6EDA6E0</vt:lpwstr>
  </property>
</Properties>
</file>